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omments12.xml" ContentType="application/vnd.openxmlformats-officedocument.spreadsheetml.comments+xml"/>
  <Override PartName="/xl/chartsheets/sheet1.xml" ContentType="application/vnd.openxmlformats-officedocument.spreadsheetml.chartsheet+xml"/>
  <Override PartName="/xl/comments10.xml" ContentType="application/vnd.openxmlformats-officedocument.spreadsheetml.comments+xml"/>
  <Override PartName="/xl/comments11.xml" ContentType="application/vnd.openxmlformats-officedocument.spreadsheetml.comments+xml"/>
  <Override PartName="/xl/charts/chart8.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315" yWindow="0" windowWidth="5085" windowHeight="5805" tabRatio="914"/>
  </bookViews>
  <sheets>
    <sheet name="Ingresos" sheetId="1" r:id="rId1"/>
    <sheet name="Gastos" sheetId="2" r:id="rId2"/>
    <sheet name="Balance Financiero" sheetId="3" r:id="rId3"/>
    <sheet name="Ley 617" sheetId="4" r:id="rId4"/>
    <sheet name="Capacidad de Pago" sheetId="5" r:id="rId5"/>
    <sheet name="Pasivo a Cancelar y Deuda" sheetId="6" r:id="rId6"/>
    <sheet name="Fuentes y Usos Seguimiento" sheetId="7" r:id="rId7"/>
    <sheet name="Fuentes y Usos Proyecciones" sheetId="8" r:id="rId8"/>
    <sheet name="Ingresos Proyecciones" sheetId="9" r:id="rId9"/>
    <sheet name="Gastos Proyecciones" sheetId="10" r:id="rId10"/>
    <sheet name="Cuadros para Informe Municipios" sheetId="11" r:id="rId11"/>
    <sheet name="Variación Cuentas por Pagar" sheetId="12" state="hidden" r:id="rId12"/>
    <sheet name="Resumen Indicadores" sheetId="13" state="hidden" r:id="rId13"/>
    <sheet name="Gráf  Déf-Sup Primario" sheetId="14" r:id="rId14"/>
    <sheet name="Gráf Déf-Aho Corriente" sheetId="15" r:id="rId15"/>
    <sheet name="Gráf Déf-Sup Total" sheetId="16" r:id="rId16"/>
    <sheet name=" Gráf Comp Ing Tributarios" sheetId="17" r:id="rId17"/>
    <sheet name="Gráf Comp Gastos Funcionamien" sheetId="18" r:id="rId18"/>
    <sheet name=" Gráf Comp Ingresos" sheetId="19" r:id="rId19"/>
    <sheet name=" Gráf Comp Gastos" sheetId="20" r:id="rId20"/>
    <sheet name="Gráf Comp Transf" sheetId="21" r:id="rId21"/>
    <sheet name="Hoja1" sheetId="22" r:id="rId22"/>
  </sheets>
  <definedNames>
    <definedName name="_CumplimientoLey617">'Cuadros para Informe Municipios'!$A$4:$D$9</definedName>
    <definedName name="_xlnm._FilterDatabase" localSheetId="1" hidden="1">Gastos!$A$25:$J$217</definedName>
    <definedName name="_xlnm._FilterDatabase" localSheetId="0" hidden="1">Ingresos!$A$25:$I$130</definedName>
    <definedName name="_Ley617">'Ley 617'!$A$24:$AD$86</definedName>
    <definedName name="_Ley617Gastos">'Ley 617'!$A$91:$AD$99</definedName>
    <definedName name="AcreenciasIncorporadas">'Variación Cuentas por Pagar'!$A$10:$U$25</definedName>
    <definedName name="AcreenciasNoIncorporadas">'Variación Cuentas por Pagar'!$A$30:$F$46</definedName>
    <definedName name="_xlnm.Print_Area" localSheetId="2">'Balance Financiero'!$R$23:$U$156</definedName>
    <definedName name="_xlnm.Print_Area" localSheetId="4">'Capacidad de Pago'!$A$1:$U$60</definedName>
    <definedName name="_xlnm.Print_Area" localSheetId="10">'Cuadros para Informe Municipios'!$B$1:$F$80</definedName>
    <definedName name="_xlnm.Print_Area" localSheetId="7">'Fuentes y Usos Proyecciones'!$A$1:$Q$157</definedName>
    <definedName name="_xlnm.Print_Area" localSheetId="6">'Fuentes y Usos Seguimiento'!$A$1:$G$159</definedName>
    <definedName name="_xlnm.Print_Area" localSheetId="1">Gastos!$A$1:$O$233</definedName>
    <definedName name="_xlnm.Print_Area" localSheetId="9">'Gastos Proyecciones'!$C$6:$R$233</definedName>
    <definedName name="_xlnm.Print_Area" localSheetId="0">Ingresos!$A$1:$M$130</definedName>
    <definedName name="_xlnm.Print_Area" localSheetId="8">'Ingresos Proyecciones'!$A$1:$Q$172</definedName>
    <definedName name="_xlnm.Print_Area" localSheetId="3">'Ley 617'!$A$1:$AD$104</definedName>
    <definedName name="_xlnm.Print_Area" localSheetId="5">'Pasivo a Cancelar y Deuda'!$B$25:$Q$93</definedName>
    <definedName name="_xlnm.Print_Area" localSheetId="12">'Resumen Indicadores'!$A$1:$K$18</definedName>
    <definedName name="_xlnm.Print_Area" localSheetId="11">'Variación Cuentas por Pagar'!$B$1:$U$46</definedName>
    <definedName name="BalanceFinanciero">'Balance Financiero'!$A$24:$U$92</definedName>
    <definedName name="CapacidadDeEndeudamiento">'Cuadros para Informe Municipios'!$A$58:$E$66</definedName>
    <definedName name="CapacidadDePago">'Capacidad de Pago'!$A$4:$U$41</definedName>
    <definedName name="Encabezado">Ingresos!$F$189:$N$190</definedName>
    <definedName name="Gastos">Gastos!$A$24:$P$214</definedName>
    <definedName name="GastosDeFuncionamiento">'Cuadros para Informe Municipios'!$A$73:$D$80</definedName>
    <definedName name="GastosProyecciones">'Gastos Proyecciones'!$A$24:$S$214</definedName>
    <definedName name="Ingresos">Ingresos!$A$26:$M$130</definedName>
    <definedName name="IngresosProyecciones">'Ingresos Proyecciones'!$A$23:$R$146</definedName>
    <definedName name="PasivoACancelarYDeuda">'Pasivo a Cancelar y Deuda'!$A$2:$Q$22</definedName>
    <definedName name="ProyeccionesFuentesYUsos">'Fuentes y Usos Proyecciones'!$A$24:$Q$156</definedName>
    <definedName name="SegumientoFuentesYUsos">'Fuentes y Usos Seguimiento'!$A$26:$G$158</definedName>
    <definedName name="_xlnm.Print_Titles" localSheetId="7">'Fuentes y Usos Proyecciones'!$23:$24</definedName>
    <definedName name="_xlnm.Print_Titles" localSheetId="6">'Fuentes y Usos Seguimiento'!$25:$26</definedName>
    <definedName name="_xlnm.Print_Titles" localSheetId="1">Gastos!$22:$22</definedName>
    <definedName name="_xlnm.Print_Titles" localSheetId="9">'Gastos Proyecciones'!$22:$24</definedName>
    <definedName name="_xlnm.Print_Titles" localSheetId="0">Ingresos!$25:$25</definedName>
    <definedName name="_xlnm.Print_Titles" localSheetId="8">'Ingresos Proyecciones'!$22:$23</definedName>
    <definedName name="_xlnm.Print_Titles" localSheetId="3">'Ley 617'!$A:$C</definedName>
    <definedName name="TransferenciasAlConcejo">'Cuadros para Informe Municipios'!$A$24:$D$29</definedName>
    <definedName name="TransferenciasAPersoneria">'Cuadros para Informe Municipios'!$A$46:$D$49</definedName>
    <definedName name="TransferenciasContraloria">'Cuadros para Informe Municipios'!$A$36:$D$39</definedName>
  </definedNames>
  <calcPr calcId="125725"/>
</workbook>
</file>

<file path=xl/calcChain.xml><?xml version="1.0" encoding="utf-8"?>
<calcChain xmlns="http://schemas.openxmlformats.org/spreadsheetml/2006/main">
  <c r="E124" i="10"/>
  <c r="F124" s="1"/>
  <c r="G124" s="1"/>
  <c r="H124" s="1"/>
  <c r="I124" s="1"/>
  <c r="J124" s="1"/>
  <c r="K124" s="1"/>
  <c r="L124" s="1"/>
  <c r="M124" s="1"/>
  <c r="N124" s="1"/>
  <c r="O124" s="1"/>
  <c r="P124" s="1"/>
  <c r="Q124" s="1"/>
  <c r="R124" s="1"/>
  <c r="G197"/>
  <c r="H197" s="1"/>
  <c r="I197" s="1"/>
  <c r="J197" s="1"/>
  <c r="K197" s="1"/>
  <c r="L197" s="1"/>
  <c r="M197" s="1"/>
  <c r="N197" s="1"/>
  <c r="O197" s="1"/>
  <c r="P197" s="1"/>
  <c r="Q197" s="1"/>
  <c r="R197" s="1"/>
  <c r="J184"/>
  <c r="K184" s="1"/>
  <c r="L184" s="1"/>
  <c r="M184" s="1"/>
  <c r="N184" s="1"/>
  <c r="O184" s="1"/>
  <c r="P184" s="1"/>
  <c r="Q184" s="1"/>
  <c r="R184" s="1"/>
  <c r="H123"/>
  <c r="F170"/>
  <c r="F166"/>
  <c r="G166" s="1"/>
  <c r="H166" s="1"/>
  <c r="I166" s="1"/>
  <c r="J166" s="1"/>
  <c r="K166" s="1"/>
  <c r="L166" s="1"/>
  <c r="M166" s="1"/>
  <c r="N166" s="1"/>
  <c r="O166" s="1"/>
  <c r="P166" s="1"/>
  <c r="Q166" s="1"/>
  <c r="R166" s="1"/>
  <c r="E172"/>
  <c r="F172" s="1"/>
  <c r="G172" s="1"/>
  <c r="H172" s="1"/>
  <c r="I172" s="1"/>
  <c r="J172" s="1"/>
  <c r="K172" s="1"/>
  <c r="L172" s="1"/>
  <c r="M172" s="1"/>
  <c r="N172" s="1"/>
  <c r="O172" s="1"/>
  <c r="P172" s="1"/>
  <c r="Q172" s="1"/>
  <c r="R172" s="1"/>
  <c r="E171"/>
  <c r="F171" s="1"/>
  <c r="G171" s="1"/>
  <c r="H171" s="1"/>
  <c r="I171" s="1"/>
  <c r="J171" s="1"/>
  <c r="K171" s="1"/>
  <c r="L171" s="1"/>
  <c r="M171" s="1"/>
  <c r="N171" s="1"/>
  <c r="O171" s="1"/>
  <c r="P171" s="1"/>
  <c r="Q171" s="1"/>
  <c r="R171" s="1"/>
  <c r="E170"/>
  <c r="E169"/>
  <c r="F169" s="1"/>
  <c r="E168"/>
  <c r="F168" s="1"/>
  <c r="G168" s="1"/>
  <c r="H168" s="1"/>
  <c r="I168" s="1"/>
  <c r="J168" s="1"/>
  <c r="K168" s="1"/>
  <c r="L168" s="1"/>
  <c r="M168" s="1"/>
  <c r="N168" s="1"/>
  <c r="O168" s="1"/>
  <c r="P168" s="1"/>
  <c r="Q168" s="1"/>
  <c r="R168" s="1"/>
  <c r="E167"/>
  <c r="F167" s="1"/>
  <c r="E166"/>
  <c r="E165"/>
  <c r="F165" s="1"/>
  <c r="E196"/>
  <c r="F196" s="1"/>
  <c r="H196" s="1"/>
  <c r="I196" s="1"/>
  <c r="J196" s="1"/>
  <c r="K196" s="1"/>
  <c r="L196" s="1"/>
  <c r="M196" s="1"/>
  <c r="N196" s="1"/>
  <c r="O196" s="1"/>
  <c r="P196" s="1"/>
  <c r="Q196" s="1"/>
  <c r="R196" s="1"/>
  <c r="E195"/>
  <c r="F195" s="1"/>
  <c r="G195" s="1"/>
  <c r="H195" s="1"/>
  <c r="I195" s="1"/>
  <c r="J195" s="1"/>
  <c r="K195" s="1"/>
  <c r="L195" s="1"/>
  <c r="M195" s="1"/>
  <c r="N195" s="1"/>
  <c r="O195" s="1"/>
  <c r="P195" s="1"/>
  <c r="Q195" s="1"/>
  <c r="R195" s="1"/>
  <c r="E194"/>
  <c r="F194" s="1"/>
  <c r="G194" s="1"/>
  <c r="H194" s="1"/>
  <c r="I194" s="1"/>
  <c r="J194" s="1"/>
  <c r="K194" s="1"/>
  <c r="L194" s="1"/>
  <c r="M194" s="1"/>
  <c r="N194" s="1"/>
  <c r="O194" s="1"/>
  <c r="P194" s="1"/>
  <c r="Q194" s="1"/>
  <c r="R194" s="1"/>
  <c r="E193"/>
  <c r="F193" s="1"/>
  <c r="G193" s="1"/>
  <c r="H193" s="1"/>
  <c r="I193" s="1"/>
  <c r="J193" s="1"/>
  <c r="K193" s="1"/>
  <c r="L193" s="1"/>
  <c r="M193" s="1"/>
  <c r="N193" s="1"/>
  <c r="O193" s="1"/>
  <c r="P193" s="1"/>
  <c r="Q193" s="1"/>
  <c r="R193" s="1"/>
  <c r="H192"/>
  <c r="I192" s="1"/>
  <c r="J192" s="1"/>
  <c r="K192" s="1"/>
  <c r="L192" s="1"/>
  <c r="M192" s="1"/>
  <c r="N192" s="1"/>
  <c r="O192" s="1"/>
  <c r="P192" s="1"/>
  <c r="Q192" s="1"/>
  <c r="R192" s="1"/>
  <c r="E192"/>
  <c r="I191"/>
  <c r="J191" s="1"/>
  <c r="K191" s="1"/>
  <c r="L191" s="1"/>
  <c r="M191" s="1"/>
  <c r="N191" s="1"/>
  <c r="O191" s="1"/>
  <c r="P191" s="1"/>
  <c r="Q191" s="1"/>
  <c r="R191" s="1"/>
  <c r="E191"/>
  <c r="G190"/>
  <c r="H190" s="1"/>
  <c r="I190" s="1"/>
  <c r="J190" s="1"/>
  <c r="K190" s="1"/>
  <c r="L190" s="1"/>
  <c r="M190" s="1"/>
  <c r="N190" s="1"/>
  <c r="O190" s="1"/>
  <c r="P190" s="1"/>
  <c r="Q190" s="1"/>
  <c r="R190" s="1"/>
  <c r="E189"/>
  <c r="F189" s="1"/>
  <c r="G189" s="1"/>
  <c r="H189" s="1"/>
  <c r="I189" s="1"/>
  <c r="J189" s="1"/>
  <c r="K189" s="1"/>
  <c r="L189" s="1"/>
  <c r="M189" s="1"/>
  <c r="N189" s="1"/>
  <c r="O189" s="1"/>
  <c r="P189" s="1"/>
  <c r="Q189" s="1"/>
  <c r="R189" s="1"/>
  <c r="G188"/>
  <c r="H188" s="1"/>
  <c r="I188" s="1"/>
  <c r="J188" s="1"/>
  <c r="K188" s="1"/>
  <c r="L188" s="1"/>
  <c r="M188" s="1"/>
  <c r="N188" s="1"/>
  <c r="O188" s="1"/>
  <c r="P188" s="1"/>
  <c r="Q188" s="1"/>
  <c r="R188" s="1"/>
  <c r="E187"/>
  <c r="G187" s="1"/>
  <c r="H187" s="1"/>
  <c r="I187" s="1"/>
  <c r="J187" s="1"/>
  <c r="K187" s="1"/>
  <c r="L187" s="1"/>
  <c r="M187" s="1"/>
  <c r="N187" s="1"/>
  <c r="O187" s="1"/>
  <c r="P187" s="1"/>
  <c r="Q187" s="1"/>
  <c r="R187" s="1"/>
  <c r="G186"/>
  <c r="H186" s="1"/>
  <c r="I186" s="1"/>
  <c r="J186" s="1"/>
  <c r="K186" s="1"/>
  <c r="L186" s="1"/>
  <c r="M186" s="1"/>
  <c r="N186" s="1"/>
  <c r="O186" s="1"/>
  <c r="P186" s="1"/>
  <c r="Q186" s="1"/>
  <c r="R186" s="1"/>
  <c r="E184"/>
  <c r="F184" s="1"/>
  <c r="F111" i="9"/>
  <c r="G27"/>
  <c r="H27" s="1"/>
  <c r="F122" i="10"/>
  <c r="E119"/>
  <c r="E118"/>
  <c r="E116"/>
  <c r="E114"/>
  <c r="E112"/>
  <c r="D123" i="9"/>
  <c r="E123" s="1"/>
  <c r="D119"/>
  <c r="F119" s="1"/>
  <c r="G119" s="1"/>
  <c r="H119" s="1"/>
  <c r="I119" s="1"/>
  <c r="J119" s="1"/>
  <c r="K119" s="1"/>
  <c r="L119" s="1"/>
  <c r="M119" s="1"/>
  <c r="N119" s="1"/>
  <c r="O119" s="1"/>
  <c r="P119" s="1"/>
  <c r="Q119" s="1"/>
  <c r="D111"/>
  <c r="F116"/>
  <c r="H114"/>
  <c r="I114" s="1"/>
  <c r="J114" s="1"/>
  <c r="K114" s="1"/>
  <c r="L114" s="1"/>
  <c r="M114" s="1"/>
  <c r="N114" s="1"/>
  <c r="O114" s="1"/>
  <c r="P114" s="1"/>
  <c r="Q114" s="1"/>
  <c r="F113"/>
  <c r="G113" s="1"/>
  <c r="H113" s="1"/>
  <c r="I113" s="1"/>
  <c r="J113" s="1"/>
  <c r="K113" s="1"/>
  <c r="L113" s="1"/>
  <c r="M113" s="1"/>
  <c r="N113" s="1"/>
  <c r="O113" s="1"/>
  <c r="P113" s="1"/>
  <c r="Q113" s="1"/>
  <c r="G109"/>
  <c r="H109" s="1"/>
  <c r="I109" s="1"/>
  <c r="J109" s="1"/>
  <c r="K109" s="1"/>
  <c r="L109" s="1"/>
  <c r="M109" s="1"/>
  <c r="N109" s="1"/>
  <c r="O109" s="1"/>
  <c r="P109" s="1"/>
  <c r="Q109" s="1"/>
  <c r="F109"/>
  <c r="H90"/>
  <c r="I90" s="1"/>
  <c r="J90" s="1"/>
  <c r="K90" s="1"/>
  <c r="L90" s="1"/>
  <c r="M90" s="1"/>
  <c r="N90" s="1"/>
  <c r="O90" s="1"/>
  <c r="P90" s="1"/>
  <c r="Q90" s="1"/>
  <c r="G88"/>
  <c r="H88" s="1"/>
  <c r="I88" s="1"/>
  <c r="J88" s="1"/>
  <c r="K88" s="1"/>
  <c r="L88" s="1"/>
  <c r="M88" s="1"/>
  <c r="N88" s="1"/>
  <c r="O88" s="1"/>
  <c r="P88" s="1"/>
  <c r="Q88" s="1"/>
  <c r="G95"/>
  <c r="H95" s="1"/>
  <c r="I95" s="1"/>
  <c r="J95" s="1"/>
  <c r="K95" s="1"/>
  <c r="L95" s="1"/>
  <c r="M95" s="1"/>
  <c r="N95" s="1"/>
  <c r="O95" s="1"/>
  <c r="P95" s="1"/>
  <c r="Q95" s="1"/>
  <c r="G82"/>
  <c r="G77"/>
  <c r="H77" s="1"/>
  <c r="I77" s="1"/>
  <c r="G78"/>
  <c r="F77"/>
  <c r="G72"/>
  <c r="H72" s="1"/>
  <c r="F74"/>
  <c r="G74" s="1"/>
  <c r="H74" s="1"/>
  <c r="I74" s="1"/>
  <c r="J74" s="1"/>
  <c r="K74" s="1"/>
  <c r="L74" s="1"/>
  <c r="M74" s="1"/>
  <c r="N74" s="1"/>
  <c r="O74" s="1"/>
  <c r="P74" s="1"/>
  <c r="Q74" s="1"/>
  <c r="F73"/>
  <c r="G73" s="1"/>
  <c r="F72"/>
  <c r="G69"/>
  <c r="H69" s="1"/>
  <c r="I69" s="1"/>
  <c r="G65"/>
  <c r="H65" s="1"/>
  <c r="G64"/>
  <c r="H64" s="1"/>
  <c r="G63"/>
  <c r="H63" s="1"/>
  <c r="F69"/>
  <c r="F68"/>
  <c r="G68" s="1"/>
  <c r="H68" s="1"/>
  <c r="F66"/>
  <c r="G66" s="1"/>
  <c r="H66" s="1"/>
  <c r="F65"/>
  <c r="F63"/>
  <c r="H60"/>
  <c r="I60" s="1"/>
  <c r="F60"/>
  <c r="G60" s="1"/>
  <c r="G50"/>
  <c r="H50" s="1"/>
  <c r="F48"/>
  <c r="G48" s="1"/>
  <c r="G46"/>
  <c r="H46" s="1"/>
  <c r="F45"/>
  <c r="G45" s="1"/>
  <c r="H45" s="1"/>
  <c r="F44"/>
  <c r="G44" s="1"/>
  <c r="H44" s="1"/>
  <c r="G37"/>
  <c r="H37" s="1"/>
  <c r="I37" s="1"/>
  <c r="J37" s="1"/>
  <c r="K37" s="1"/>
  <c r="L37" s="1"/>
  <c r="M37" s="1"/>
  <c r="N37" s="1"/>
  <c r="O37" s="1"/>
  <c r="P37" s="1"/>
  <c r="Q37" s="1"/>
  <c r="G33"/>
  <c r="H33" s="1"/>
  <c r="I33" s="1"/>
  <c r="G31"/>
  <c r="G29"/>
  <c r="H29" s="1"/>
  <c r="F38"/>
  <c r="G38" s="1"/>
  <c r="H38" s="1"/>
  <c r="F37"/>
  <c r="F36"/>
  <c r="G36" s="1"/>
  <c r="H36" s="1"/>
  <c r="I36" s="1"/>
  <c r="J36" s="1"/>
  <c r="K36" s="1"/>
  <c r="L36" s="1"/>
  <c r="M36" s="1"/>
  <c r="N36" s="1"/>
  <c r="O36" s="1"/>
  <c r="P36" s="1"/>
  <c r="Q36" s="1"/>
  <c r="F35"/>
  <c r="G35" s="1"/>
  <c r="H35" s="1"/>
  <c r="I35" s="1"/>
  <c r="J35" s="1"/>
  <c r="K35" s="1"/>
  <c r="L35" s="1"/>
  <c r="M35" s="1"/>
  <c r="N35" s="1"/>
  <c r="O35" s="1"/>
  <c r="P35" s="1"/>
  <c r="Q35" s="1"/>
  <c r="F34"/>
  <c r="G34" s="1"/>
  <c r="F33"/>
  <c r="F32"/>
  <c r="G32" s="1"/>
  <c r="H32" s="1"/>
  <c r="F31"/>
  <c r="F30"/>
  <c r="G30" s="1"/>
  <c r="H30" s="1"/>
  <c r="F29"/>
  <c r="G87" i="10"/>
  <c r="H87" s="1"/>
  <c r="I87" s="1"/>
  <c r="J87" s="1"/>
  <c r="K87" s="1"/>
  <c r="L87" s="1"/>
  <c r="M87" s="1"/>
  <c r="N87" s="1"/>
  <c r="O87" s="1"/>
  <c r="P87" s="1"/>
  <c r="Q87" s="1"/>
  <c r="R87" s="1"/>
  <c r="E176"/>
  <c r="F34"/>
  <c r="G34" s="1"/>
  <c r="H34" s="1"/>
  <c r="I34" s="1"/>
  <c r="J34" s="1"/>
  <c r="K34" s="1"/>
  <c r="L34" s="1"/>
  <c r="M34" s="1"/>
  <c r="N34" s="1"/>
  <c r="O34" s="1"/>
  <c r="P34" s="1"/>
  <c r="Q34" s="1"/>
  <c r="R34" s="1"/>
  <c r="F33"/>
  <c r="G33" s="1"/>
  <c r="H33" s="1"/>
  <c r="I33" s="1"/>
  <c r="J33" s="1"/>
  <c r="K33" s="1"/>
  <c r="L33" s="1"/>
  <c r="M33" s="1"/>
  <c r="N33" s="1"/>
  <c r="O33" s="1"/>
  <c r="P33" s="1"/>
  <c r="Q33" s="1"/>
  <c r="R33" s="1"/>
  <c r="G28"/>
  <c r="H28" s="1"/>
  <c r="I28" s="1"/>
  <c r="J28" s="1"/>
  <c r="K28" s="1"/>
  <c r="L28" s="1"/>
  <c r="M28" s="1"/>
  <c r="N28" s="1"/>
  <c r="O28" s="1"/>
  <c r="P28" s="1"/>
  <c r="Q28" s="1"/>
  <c r="R28" s="1"/>
  <c r="E34"/>
  <c r="E33"/>
  <c r="E32"/>
  <c r="F32" s="1"/>
  <c r="G32" s="1"/>
  <c r="H32" s="1"/>
  <c r="I32" s="1"/>
  <c r="J32" s="1"/>
  <c r="K32" s="1"/>
  <c r="L32" s="1"/>
  <c r="M32" s="1"/>
  <c r="N32" s="1"/>
  <c r="O32" s="1"/>
  <c r="P32" s="1"/>
  <c r="Q32" s="1"/>
  <c r="R32" s="1"/>
  <c r="G38"/>
  <c r="G37"/>
  <c r="H37" s="1"/>
  <c r="E38"/>
  <c r="G44"/>
  <c r="H44" s="1"/>
  <c r="I44" s="1"/>
  <c r="J44" s="1"/>
  <c r="K44" s="1"/>
  <c r="L44" s="1"/>
  <c r="M44" s="1"/>
  <c r="N44" s="1"/>
  <c r="O44" s="1"/>
  <c r="P44" s="1"/>
  <c r="Q44" s="1"/>
  <c r="R44" s="1"/>
  <c r="G43"/>
  <c r="F51"/>
  <c r="G51" s="1"/>
  <c r="H51" s="1"/>
  <c r="I51" s="1"/>
  <c r="J51" s="1"/>
  <c r="K51" s="1"/>
  <c r="L51" s="1"/>
  <c r="M51" s="1"/>
  <c r="N51" s="1"/>
  <c r="O51" s="1"/>
  <c r="P51" s="1"/>
  <c r="Q51" s="1"/>
  <c r="R51" s="1"/>
  <c r="G50"/>
  <c r="E51"/>
  <c r="E49"/>
  <c r="F49" s="1"/>
  <c r="G49" s="1"/>
  <c r="H49" s="1"/>
  <c r="I49" s="1"/>
  <c r="J49" s="1"/>
  <c r="K49" s="1"/>
  <c r="L49" s="1"/>
  <c r="M49" s="1"/>
  <c r="N49" s="1"/>
  <c r="O49" s="1"/>
  <c r="P49" s="1"/>
  <c r="Q49" s="1"/>
  <c r="R49" s="1"/>
  <c r="G57"/>
  <c r="H57" s="1"/>
  <c r="I57" s="1"/>
  <c r="J57" s="1"/>
  <c r="K57" s="1"/>
  <c r="L57" s="1"/>
  <c r="M57" s="1"/>
  <c r="N57" s="1"/>
  <c r="O57" s="1"/>
  <c r="P57" s="1"/>
  <c r="Q57" s="1"/>
  <c r="R57" s="1"/>
  <c r="F55"/>
  <c r="G55" s="1"/>
  <c r="H55" s="1"/>
  <c r="I55" s="1"/>
  <c r="J55" s="1"/>
  <c r="K55" s="1"/>
  <c r="L55" s="1"/>
  <c r="M55" s="1"/>
  <c r="N55" s="1"/>
  <c r="O55" s="1"/>
  <c r="P55" s="1"/>
  <c r="Q55" s="1"/>
  <c r="R55" s="1"/>
  <c r="F54"/>
  <c r="G54" s="1"/>
  <c r="H54" s="1"/>
  <c r="E56"/>
  <c r="F56" s="1"/>
  <c r="G56" s="1"/>
  <c r="H56" s="1"/>
  <c r="I56" s="1"/>
  <c r="J56" s="1"/>
  <c r="K56" s="1"/>
  <c r="L56" s="1"/>
  <c r="M56" s="1"/>
  <c r="N56" s="1"/>
  <c r="O56" s="1"/>
  <c r="P56" s="1"/>
  <c r="Q56" s="1"/>
  <c r="R56" s="1"/>
  <c r="E54"/>
  <c r="E53"/>
  <c r="G68"/>
  <c r="H68" s="1"/>
  <c r="I68" s="1"/>
  <c r="J68" s="1"/>
  <c r="K68" s="1"/>
  <c r="L68" s="1"/>
  <c r="M68" s="1"/>
  <c r="N68" s="1"/>
  <c r="O68" s="1"/>
  <c r="P68" s="1"/>
  <c r="Q68" s="1"/>
  <c r="R68" s="1"/>
  <c r="G67"/>
  <c r="F64"/>
  <c r="G64" s="1"/>
  <c r="H64" s="1"/>
  <c r="I64" s="1"/>
  <c r="J64" s="1"/>
  <c r="K64" s="1"/>
  <c r="L64" s="1"/>
  <c r="M64" s="1"/>
  <c r="N64" s="1"/>
  <c r="O64" s="1"/>
  <c r="P64" s="1"/>
  <c r="Q64" s="1"/>
  <c r="R64" s="1"/>
  <c r="G61"/>
  <c r="H61" s="1"/>
  <c r="F60"/>
  <c r="G60" s="1"/>
  <c r="E62"/>
  <c r="F62" s="1"/>
  <c r="G62" s="1"/>
  <c r="H62" s="1"/>
  <c r="I62" s="1"/>
  <c r="J62" s="1"/>
  <c r="K62" s="1"/>
  <c r="L62" s="1"/>
  <c r="M62" s="1"/>
  <c r="N62" s="1"/>
  <c r="O62" s="1"/>
  <c r="P62" s="1"/>
  <c r="Q62" s="1"/>
  <c r="R62" s="1"/>
  <c r="E61"/>
  <c r="F61" s="1"/>
  <c r="E60"/>
  <c r="E66"/>
  <c r="F66" s="1"/>
  <c r="G66" s="1"/>
  <c r="G80"/>
  <c r="H80" s="1"/>
  <c r="I80" s="1"/>
  <c r="J80" s="1"/>
  <c r="K80" s="1"/>
  <c r="L80" s="1"/>
  <c r="M80" s="1"/>
  <c r="N80" s="1"/>
  <c r="O80" s="1"/>
  <c r="P80" s="1"/>
  <c r="Q80" s="1"/>
  <c r="R80" s="1"/>
  <c r="G76"/>
  <c r="H76" s="1"/>
  <c r="I76" s="1"/>
  <c r="J76" s="1"/>
  <c r="K76" s="1"/>
  <c r="L76" s="1"/>
  <c r="M76" s="1"/>
  <c r="N76" s="1"/>
  <c r="O76" s="1"/>
  <c r="P76" s="1"/>
  <c r="Q76" s="1"/>
  <c r="R76" s="1"/>
  <c r="G75"/>
  <c r="H75" s="1"/>
  <c r="I75" s="1"/>
  <c r="J75" s="1"/>
  <c r="K75" s="1"/>
  <c r="L75" s="1"/>
  <c r="M75" s="1"/>
  <c r="N75" s="1"/>
  <c r="O75" s="1"/>
  <c r="P75" s="1"/>
  <c r="Q75" s="1"/>
  <c r="R75" s="1"/>
  <c r="G100"/>
  <c r="H100" s="1"/>
  <c r="I100" s="1"/>
  <c r="J100" s="1"/>
  <c r="K100" s="1"/>
  <c r="L100" s="1"/>
  <c r="M100" s="1"/>
  <c r="N100" s="1"/>
  <c r="O100" s="1"/>
  <c r="P100" s="1"/>
  <c r="Q100" s="1"/>
  <c r="R100" s="1"/>
  <c r="G98"/>
  <c r="H98" s="1"/>
  <c r="I98" s="1"/>
  <c r="J98" s="1"/>
  <c r="K98" s="1"/>
  <c r="L98" s="1"/>
  <c r="M98" s="1"/>
  <c r="N98" s="1"/>
  <c r="O98" s="1"/>
  <c r="P98" s="1"/>
  <c r="Q98" s="1"/>
  <c r="R98" s="1"/>
  <c r="G97"/>
  <c r="H97" s="1"/>
  <c r="I97" s="1"/>
  <c r="J97" s="1"/>
  <c r="K97" s="1"/>
  <c r="L97" s="1"/>
  <c r="M97" s="1"/>
  <c r="N97" s="1"/>
  <c r="O97" s="1"/>
  <c r="P97" s="1"/>
  <c r="Q97" s="1"/>
  <c r="R97" s="1"/>
  <c r="G96"/>
  <c r="H96" s="1"/>
  <c r="I96" s="1"/>
  <c r="J96" s="1"/>
  <c r="K96" s="1"/>
  <c r="L96" s="1"/>
  <c r="M96" s="1"/>
  <c r="N96" s="1"/>
  <c r="O96" s="1"/>
  <c r="P96" s="1"/>
  <c r="Q96" s="1"/>
  <c r="R96" s="1"/>
  <c r="F95"/>
  <c r="G95" s="1"/>
  <c r="H95" s="1"/>
  <c r="I95" s="1"/>
  <c r="J95" s="1"/>
  <c r="K95" s="1"/>
  <c r="L95" s="1"/>
  <c r="M95" s="1"/>
  <c r="N95" s="1"/>
  <c r="O95" s="1"/>
  <c r="P95" s="1"/>
  <c r="Q95" s="1"/>
  <c r="R95" s="1"/>
  <c r="G94"/>
  <c r="H94" s="1"/>
  <c r="I94" s="1"/>
  <c r="J94" s="1"/>
  <c r="K94" s="1"/>
  <c r="L94" s="1"/>
  <c r="M94" s="1"/>
  <c r="N94" s="1"/>
  <c r="O94" s="1"/>
  <c r="P94" s="1"/>
  <c r="Q94" s="1"/>
  <c r="R94" s="1"/>
  <c r="G93"/>
  <c r="H93" s="1"/>
  <c r="I93" s="1"/>
  <c r="J93" s="1"/>
  <c r="K93" s="1"/>
  <c r="L93" s="1"/>
  <c r="M93" s="1"/>
  <c r="N93" s="1"/>
  <c r="O93" s="1"/>
  <c r="P93" s="1"/>
  <c r="Q93" s="1"/>
  <c r="R93" s="1"/>
  <c r="G92"/>
  <c r="H92" s="1"/>
  <c r="I92" s="1"/>
  <c r="J92" s="1"/>
  <c r="K92" s="1"/>
  <c r="L92" s="1"/>
  <c r="M92" s="1"/>
  <c r="N92" s="1"/>
  <c r="O92" s="1"/>
  <c r="P92" s="1"/>
  <c r="Q92" s="1"/>
  <c r="R92" s="1"/>
  <c r="G91"/>
  <c r="H91" s="1"/>
  <c r="I91" s="1"/>
  <c r="J91" s="1"/>
  <c r="K91" s="1"/>
  <c r="L91" s="1"/>
  <c r="M91" s="1"/>
  <c r="N91" s="1"/>
  <c r="O91" s="1"/>
  <c r="P91" s="1"/>
  <c r="Q91" s="1"/>
  <c r="R91" s="1"/>
  <c r="G90"/>
  <c r="H90" s="1"/>
  <c r="I90" s="1"/>
  <c r="J90" s="1"/>
  <c r="K90" s="1"/>
  <c r="L90" s="1"/>
  <c r="M90" s="1"/>
  <c r="N90" s="1"/>
  <c r="O90" s="1"/>
  <c r="P90" s="1"/>
  <c r="Q90" s="1"/>
  <c r="R90" s="1"/>
  <c r="E98"/>
  <c r="E97"/>
  <c r="G108"/>
  <c r="H108" s="1"/>
  <c r="I108" s="1"/>
  <c r="J108" s="1"/>
  <c r="K108" s="1"/>
  <c r="L108" s="1"/>
  <c r="M108" s="1"/>
  <c r="N108" s="1"/>
  <c r="O108" s="1"/>
  <c r="P108" s="1"/>
  <c r="Q108" s="1"/>
  <c r="R108" s="1"/>
  <c r="F106"/>
  <c r="G106" s="1"/>
  <c r="H106" s="1"/>
  <c r="I106" s="1"/>
  <c r="J106" s="1"/>
  <c r="K106" s="1"/>
  <c r="L106" s="1"/>
  <c r="M106" s="1"/>
  <c r="N106" s="1"/>
  <c r="O106" s="1"/>
  <c r="P106" s="1"/>
  <c r="Q106" s="1"/>
  <c r="R106" s="1"/>
  <c r="G104"/>
  <c r="H104" s="1"/>
  <c r="I104" s="1"/>
  <c r="L104" s="1"/>
  <c r="M104" s="1"/>
  <c r="N104" s="1"/>
  <c r="O104" s="1"/>
  <c r="P104" s="1"/>
  <c r="Q104" s="1"/>
  <c r="R104" s="1"/>
  <c r="G123"/>
  <c r="J123" s="1"/>
  <c r="M123" s="1"/>
  <c r="N123" s="1"/>
  <c r="O123" s="1"/>
  <c r="P123" s="1"/>
  <c r="Q123" s="1"/>
  <c r="R123" s="1"/>
  <c r="G122"/>
  <c r="H122" s="1"/>
  <c r="I122" s="1"/>
  <c r="J122" s="1"/>
  <c r="K122" s="1"/>
  <c r="N122" s="1"/>
  <c r="O122" s="1"/>
  <c r="P122" s="1"/>
  <c r="R122" s="1"/>
  <c r="G121"/>
  <c r="H121" s="1"/>
  <c r="I121" s="1"/>
  <c r="J121" s="1"/>
  <c r="K121" s="1"/>
  <c r="L121" s="1"/>
  <c r="O121" s="1"/>
  <c r="R121" s="1"/>
  <c r="G120"/>
  <c r="H120" s="1"/>
  <c r="I120" s="1"/>
  <c r="J120" s="1"/>
  <c r="K120" s="1"/>
  <c r="L120" s="1"/>
  <c r="M120" s="1"/>
  <c r="N120" s="1"/>
  <c r="O120" s="1"/>
  <c r="Q120" s="1"/>
  <c r="R120" s="1"/>
  <c r="H118"/>
  <c r="I118" s="1"/>
  <c r="J118" s="1"/>
  <c r="K118" s="1"/>
  <c r="L118" s="1"/>
  <c r="M118" s="1"/>
  <c r="N118" s="1"/>
  <c r="O118" s="1"/>
  <c r="P118" s="1"/>
  <c r="G117"/>
  <c r="H117" s="1"/>
  <c r="I117" s="1"/>
  <c r="J117" s="1"/>
  <c r="K117" s="1"/>
  <c r="L117" s="1"/>
  <c r="M117" s="1"/>
  <c r="N117" s="1"/>
  <c r="O117" s="1"/>
  <c r="P117" s="1"/>
  <c r="Q117" s="1"/>
  <c r="G113"/>
  <c r="H113" s="1"/>
  <c r="I113" s="1"/>
  <c r="J113" s="1"/>
  <c r="K113" s="1"/>
  <c r="L113" s="1"/>
  <c r="M113" s="1"/>
  <c r="N113" s="1"/>
  <c r="O113" s="1"/>
  <c r="P113" s="1"/>
  <c r="Q113" s="1"/>
  <c r="R113" s="1"/>
  <c r="G112"/>
  <c r="H112" s="1"/>
  <c r="I112" s="1"/>
  <c r="J112" s="1"/>
  <c r="K112" s="1"/>
  <c r="L112" s="1"/>
  <c r="M112" s="1"/>
  <c r="N112" s="1"/>
  <c r="O112" s="1"/>
  <c r="P112" s="1"/>
  <c r="Q112" s="1"/>
  <c r="R112" s="1"/>
  <c r="H134"/>
  <c r="I134" s="1"/>
  <c r="J134" s="1"/>
  <c r="K134" s="1"/>
  <c r="L134" s="1"/>
  <c r="M134" s="1"/>
  <c r="N134" s="1"/>
  <c r="O134" s="1"/>
  <c r="P134" s="1"/>
  <c r="Q134" s="1"/>
  <c r="R134" s="1"/>
  <c r="F133"/>
  <c r="G133" s="1"/>
  <c r="H133" s="1"/>
  <c r="I133" s="1"/>
  <c r="J133" s="1"/>
  <c r="K133" s="1"/>
  <c r="L133" s="1"/>
  <c r="M133" s="1"/>
  <c r="N133" s="1"/>
  <c r="O133" s="1"/>
  <c r="P133" s="1"/>
  <c r="Q133" s="1"/>
  <c r="R133" s="1"/>
  <c r="G130"/>
  <c r="H130" s="1"/>
  <c r="I130" s="1"/>
  <c r="J130" s="1"/>
  <c r="K130" s="1"/>
  <c r="L130" s="1"/>
  <c r="M130" s="1"/>
  <c r="N130" s="1"/>
  <c r="O130" s="1"/>
  <c r="P130" s="1"/>
  <c r="Q130" s="1"/>
  <c r="R130" s="1"/>
  <c r="F146"/>
  <c r="G146" s="1"/>
  <c r="H146" s="1"/>
  <c r="I146" s="1"/>
  <c r="J146" s="1"/>
  <c r="K146" s="1"/>
  <c r="L146" s="1"/>
  <c r="M146" s="1"/>
  <c r="N146" s="1"/>
  <c r="O146" s="1"/>
  <c r="P146" s="1"/>
  <c r="Q146" s="1"/>
  <c r="R146" s="1"/>
  <c r="F142"/>
  <c r="G142" s="1"/>
  <c r="E146"/>
  <c r="E145"/>
  <c r="F145" s="1"/>
  <c r="G145" s="1"/>
  <c r="H145" s="1"/>
  <c r="I145" s="1"/>
  <c r="J145" s="1"/>
  <c r="K145" s="1"/>
  <c r="L145" s="1"/>
  <c r="M145" s="1"/>
  <c r="N145" s="1"/>
  <c r="O145" s="1"/>
  <c r="P145" s="1"/>
  <c r="Q145" s="1"/>
  <c r="R145" s="1"/>
  <c r="E144"/>
  <c r="F144" s="1"/>
  <c r="G144" s="1"/>
  <c r="H144" s="1"/>
  <c r="I144" s="1"/>
  <c r="J144" s="1"/>
  <c r="K144" s="1"/>
  <c r="L144" s="1"/>
  <c r="M144" s="1"/>
  <c r="N144" s="1"/>
  <c r="O144" s="1"/>
  <c r="P144" s="1"/>
  <c r="Q144" s="1"/>
  <c r="R144" s="1"/>
  <c r="E143"/>
  <c r="F143" s="1"/>
  <c r="G143" s="1"/>
  <c r="H143" s="1"/>
  <c r="I143" s="1"/>
  <c r="J143" s="1"/>
  <c r="K143" s="1"/>
  <c r="L143" s="1"/>
  <c r="M143" s="1"/>
  <c r="N143" s="1"/>
  <c r="O143" s="1"/>
  <c r="P143" s="1"/>
  <c r="Q143" s="1"/>
  <c r="R143" s="1"/>
  <c r="F158"/>
  <c r="G158" s="1"/>
  <c r="H158" s="1"/>
  <c r="I158" s="1"/>
  <c r="J158" s="1"/>
  <c r="K158" s="1"/>
  <c r="L158" s="1"/>
  <c r="M158" s="1"/>
  <c r="N158" s="1"/>
  <c r="O158" s="1"/>
  <c r="P158" s="1"/>
  <c r="Q158" s="1"/>
  <c r="R158" s="1"/>
  <c r="H151"/>
  <c r="I151" s="1"/>
  <c r="J151" s="1"/>
  <c r="K151" s="1"/>
  <c r="L151" s="1"/>
  <c r="M151" s="1"/>
  <c r="N151" s="1"/>
  <c r="O151" s="1"/>
  <c r="P151" s="1"/>
  <c r="Q151" s="1"/>
  <c r="R151" s="1"/>
  <c r="E161"/>
  <c r="F161" s="1"/>
  <c r="G161" s="1"/>
  <c r="H161" s="1"/>
  <c r="I161" s="1"/>
  <c r="J161" s="1"/>
  <c r="K161" s="1"/>
  <c r="L161" s="1"/>
  <c r="M161" s="1"/>
  <c r="N161" s="1"/>
  <c r="O161" s="1"/>
  <c r="P161" s="1"/>
  <c r="Q161" s="1"/>
  <c r="R161" s="1"/>
  <c r="E160"/>
  <c r="F160" s="1"/>
  <c r="G160" s="1"/>
  <c r="H160" s="1"/>
  <c r="I160" s="1"/>
  <c r="J160" s="1"/>
  <c r="K160" s="1"/>
  <c r="L160" s="1"/>
  <c r="M160" s="1"/>
  <c r="N160" s="1"/>
  <c r="O160" s="1"/>
  <c r="P160" s="1"/>
  <c r="Q160" s="1"/>
  <c r="R160" s="1"/>
  <c r="E159"/>
  <c r="F159" s="1"/>
  <c r="G159" s="1"/>
  <c r="H159" s="1"/>
  <c r="I159" s="1"/>
  <c r="J159" s="1"/>
  <c r="K159" s="1"/>
  <c r="L159" s="1"/>
  <c r="M159" s="1"/>
  <c r="N159" s="1"/>
  <c r="O159" s="1"/>
  <c r="P159" s="1"/>
  <c r="Q159" s="1"/>
  <c r="R159" s="1"/>
  <c r="E158"/>
  <c r="E157"/>
  <c r="F157" s="1"/>
  <c r="G157" s="1"/>
  <c r="H157" s="1"/>
  <c r="I157" s="1"/>
  <c r="J157" s="1"/>
  <c r="K157" s="1"/>
  <c r="L157" s="1"/>
  <c r="M157" s="1"/>
  <c r="N157" s="1"/>
  <c r="O157" s="1"/>
  <c r="P157" s="1"/>
  <c r="Q157" s="1"/>
  <c r="R157" s="1"/>
  <c r="E156"/>
  <c r="F156" s="1"/>
  <c r="G156" s="1"/>
  <c r="H156" s="1"/>
  <c r="I156" s="1"/>
  <c r="J156" s="1"/>
  <c r="K156" s="1"/>
  <c r="L156" s="1"/>
  <c r="M156" s="1"/>
  <c r="N156" s="1"/>
  <c r="O156" s="1"/>
  <c r="P156" s="1"/>
  <c r="Q156" s="1"/>
  <c r="R156" s="1"/>
  <c r="E155"/>
  <c r="F155" s="1"/>
  <c r="G155" s="1"/>
  <c r="H155" s="1"/>
  <c r="I155" s="1"/>
  <c r="J155" s="1"/>
  <c r="K155" s="1"/>
  <c r="L155" s="1"/>
  <c r="M155" s="1"/>
  <c r="N155" s="1"/>
  <c r="O155" s="1"/>
  <c r="P155" s="1"/>
  <c r="Q155" s="1"/>
  <c r="R155" s="1"/>
  <c r="E149"/>
  <c r="F149" s="1"/>
  <c r="I149" s="1"/>
  <c r="J149" s="1"/>
  <c r="K149" s="1"/>
  <c r="L149" s="1"/>
  <c r="M149" s="1"/>
  <c r="N149" s="1"/>
  <c r="O149" s="1"/>
  <c r="P149" s="1"/>
  <c r="Q149" s="1"/>
  <c r="R149" s="1"/>
  <c r="E148"/>
  <c r="G170"/>
  <c r="H170" s="1"/>
  <c r="I170" s="1"/>
  <c r="J170" s="1"/>
  <c r="K170" s="1"/>
  <c r="L170" s="1"/>
  <c r="M170" s="1"/>
  <c r="N170" s="1"/>
  <c r="O170" s="1"/>
  <c r="P170" s="1"/>
  <c r="Q170" s="1"/>
  <c r="R170" s="1"/>
  <c r="G167"/>
  <c r="H167" s="1"/>
  <c r="I167" s="1"/>
  <c r="J167" s="1"/>
  <c r="K167" s="1"/>
  <c r="L167" s="1"/>
  <c r="M167" s="1"/>
  <c r="N167" s="1"/>
  <c r="O167" s="1"/>
  <c r="P167" s="1"/>
  <c r="Q167" s="1"/>
  <c r="R167" s="1"/>
  <c r="I165"/>
  <c r="J165" s="1"/>
  <c r="K165" s="1"/>
  <c r="L165" s="1"/>
  <c r="M165" s="1"/>
  <c r="N165" s="1"/>
  <c r="O165" s="1"/>
  <c r="P165" s="1"/>
  <c r="Q165" s="1"/>
  <c r="R165" s="1"/>
  <c r="F164"/>
  <c r="G164" s="1"/>
  <c r="H164" s="1"/>
  <c r="I164" s="1"/>
  <c r="J164" s="1"/>
  <c r="K164" s="1"/>
  <c r="L164" s="1"/>
  <c r="M164" s="1"/>
  <c r="N164" s="1"/>
  <c r="O164" s="1"/>
  <c r="P164" s="1"/>
  <c r="Q164" s="1"/>
  <c r="R164" s="1"/>
  <c r="F180"/>
  <c r="G180" s="1"/>
  <c r="H180" s="1"/>
  <c r="I180" s="1"/>
  <c r="J180" s="1"/>
  <c r="K180" s="1"/>
  <c r="L180" s="1"/>
  <c r="M180" s="1"/>
  <c r="N180" s="1"/>
  <c r="O180" s="1"/>
  <c r="P180" s="1"/>
  <c r="Q180" s="1"/>
  <c r="R180" s="1"/>
  <c r="F203"/>
  <c r="G203" s="1"/>
  <c r="H203" s="1"/>
  <c r="I203" s="1"/>
  <c r="J203" s="1"/>
  <c r="K203" s="1"/>
  <c r="L203" s="1"/>
  <c r="M203" s="1"/>
  <c r="N203" s="1"/>
  <c r="O203" s="1"/>
  <c r="P203" s="1"/>
  <c r="Q203" s="1"/>
  <c r="R203" s="1"/>
  <c r="F206"/>
  <c r="E208"/>
  <c r="F208" s="1"/>
  <c r="G208" s="1"/>
  <c r="H208" s="1"/>
  <c r="E207"/>
  <c r="E206"/>
  <c r="E204"/>
  <c r="H64" i="3" s="1"/>
  <c r="E203" i="10"/>
  <c r="E175"/>
  <c r="F175" s="1"/>
  <c r="E91"/>
  <c r="G102"/>
  <c r="H102" s="1"/>
  <c r="I102" s="1"/>
  <c r="J102" s="1"/>
  <c r="K102" s="1"/>
  <c r="L102" s="1"/>
  <c r="M102" s="1"/>
  <c r="N102" s="1"/>
  <c r="O102" s="1"/>
  <c r="P102" s="1"/>
  <c r="Q102" s="1"/>
  <c r="R102" s="1"/>
  <c r="F101"/>
  <c r="E95"/>
  <c r="E86"/>
  <c r="F86" s="1"/>
  <c r="G86" s="1"/>
  <c r="H86" s="1"/>
  <c r="I86" s="1"/>
  <c r="J86" s="1"/>
  <c r="K86" s="1"/>
  <c r="L86" s="1"/>
  <c r="M86" s="1"/>
  <c r="N86" s="1"/>
  <c r="O86" s="1"/>
  <c r="P86" s="1"/>
  <c r="Q86" s="1"/>
  <c r="R86" s="1"/>
  <c r="E205"/>
  <c r="H114"/>
  <c r="I114" s="1"/>
  <c r="J114" s="1"/>
  <c r="K114" s="1"/>
  <c r="L114" s="1"/>
  <c r="M114" s="1"/>
  <c r="N114" s="1"/>
  <c r="O114" s="1"/>
  <c r="P114" s="1"/>
  <c r="Q114" s="1"/>
  <c r="R114" s="1"/>
  <c r="G99"/>
  <c r="H99" s="1"/>
  <c r="I99" s="1"/>
  <c r="J99" s="1"/>
  <c r="K99" s="1"/>
  <c r="L99" s="1"/>
  <c r="M99" s="1"/>
  <c r="N99" s="1"/>
  <c r="O99" s="1"/>
  <c r="P99" s="1"/>
  <c r="Q99" s="1"/>
  <c r="R99" s="1"/>
  <c r="E93"/>
  <c r="F93" s="1"/>
  <c r="E231"/>
  <c r="H225"/>
  <c r="I225" s="1"/>
  <c r="E224"/>
  <c r="F224" s="1"/>
  <c r="G224" s="1"/>
  <c r="H224" s="1"/>
  <c r="I224" s="1"/>
  <c r="J224" s="1"/>
  <c r="K224" s="1"/>
  <c r="L224" s="1"/>
  <c r="M224" s="1"/>
  <c r="N224" s="1"/>
  <c r="O224" s="1"/>
  <c r="P224" s="1"/>
  <c r="Q224" s="1"/>
  <c r="R224" s="1"/>
  <c r="H223"/>
  <c r="E182"/>
  <c r="F182" s="1"/>
  <c r="G182" s="1"/>
  <c r="H182" s="1"/>
  <c r="I182" s="1"/>
  <c r="J182" s="1"/>
  <c r="K182" s="1"/>
  <c r="L182" s="1"/>
  <c r="M182" s="1"/>
  <c r="N182" s="1"/>
  <c r="O182" s="1"/>
  <c r="P182" s="1"/>
  <c r="Q182" s="1"/>
  <c r="R182" s="1"/>
  <c r="E181"/>
  <c r="F181" s="1"/>
  <c r="G181" s="1"/>
  <c r="H181" s="1"/>
  <c r="I181" s="1"/>
  <c r="J181" s="1"/>
  <c r="K181" s="1"/>
  <c r="L181" s="1"/>
  <c r="M181" s="1"/>
  <c r="N181" s="1"/>
  <c r="O181" s="1"/>
  <c r="P181" s="1"/>
  <c r="Q181" s="1"/>
  <c r="R181" s="1"/>
  <c r="E180"/>
  <c r="E179"/>
  <c r="E177" s="1"/>
  <c r="E178"/>
  <c r="F178" s="1"/>
  <c r="E174"/>
  <c r="F174" s="1"/>
  <c r="E173"/>
  <c r="F173" s="1"/>
  <c r="G173" s="1"/>
  <c r="H173" s="1"/>
  <c r="I173" s="1"/>
  <c r="J173" s="1"/>
  <c r="K173" s="1"/>
  <c r="L173" s="1"/>
  <c r="M173" s="1"/>
  <c r="N173" s="1"/>
  <c r="O173" s="1"/>
  <c r="P173" s="1"/>
  <c r="Q173" s="1"/>
  <c r="R173" s="1"/>
  <c r="G169"/>
  <c r="H169" s="1"/>
  <c r="I169" s="1"/>
  <c r="J169" s="1"/>
  <c r="K169" s="1"/>
  <c r="L169" s="1"/>
  <c r="M169" s="1"/>
  <c r="N169" s="1"/>
  <c r="O169" s="1"/>
  <c r="P169" s="1"/>
  <c r="Q169" s="1"/>
  <c r="R169" s="1"/>
  <c r="E164"/>
  <c r="E154"/>
  <c r="F154" s="1"/>
  <c r="G154" s="1"/>
  <c r="H154" s="1"/>
  <c r="I154" s="1"/>
  <c r="J154" s="1"/>
  <c r="K154" s="1"/>
  <c r="L154" s="1"/>
  <c r="M154" s="1"/>
  <c r="N154" s="1"/>
  <c r="O154" s="1"/>
  <c r="P154" s="1"/>
  <c r="Q154" s="1"/>
  <c r="R154" s="1"/>
  <c r="E153"/>
  <c r="F153" s="1"/>
  <c r="G153" s="1"/>
  <c r="H153" s="1"/>
  <c r="I153" s="1"/>
  <c r="J153" s="1"/>
  <c r="K153" s="1"/>
  <c r="L153" s="1"/>
  <c r="M153" s="1"/>
  <c r="N153" s="1"/>
  <c r="O153" s="1"/>
  <c r="P153" s="1"/>
  <c r="Q153" s="1"/>
  <c r="R153" s="1"/>
  <c r="E152"/>
  <c r="F152" s="1"/>
  <c r="G152" s="1"/>
  <c r="H152" s="1"/>
  <c r="I152" s="1"/>
  <c r="J152" s="1"/>
  <c r="K152" s="1"/>
  <c r="L152" s="1"/>
  <c r="M152" s="1"/>
  <c r="N152" s="1"/>
  <c r="O152" s="1"/>
  <c r="P152" s="1"/>
  <c r="Q152" s="1"/>
  <c r="R152" s="1"/>
  <c r="E151"/>
  <c r="E150"/>
  <c r="F150" s="1"/>
  <c r="G150" s="1"/>
  <c r="H150" s="1"/>
  <c r="I150" s="1"/>
  <c r="J150" s="1"/>
  <c r="K150" s="1"/>
  <c r="L150" s="1"/>
  <c r="M150" s="1"/>
  <c r="N150" s="1"/>
  <c r="O150" s="1"/>
  <c r="P150" s="1"/>
  <c r="Q150" s="1"/>
  <c r="R150" s="1"/>
  <c r="E142"/>
  <c r="E141"/>
  <c r="E140" s="1"/>
  <c r="E139"/>
  <c r="F139" s="1"/>
  <c r="G139" s="1"/>
  <c r="H139" s="1"/>
  <c r="I139" s="1"/>
  <c r="J139" s="1"/>
  <c r="K139" s="1"/>
  <c r="L139" s="1"/>
  <c r="M139" s="1"/>
  <c r="N139" s="1"/>
  <c r="O139" s="1"/>
  <c r="P139" s="1"/>
  <c r="Q139" s="1"/>
  <c r="R139" s="1"/>
  <c r="E138"/>
  <c r="F138" s="1"/>
  <c r="G138" s="1"/>
  <c r="H138" s="1"/>
  <c r="I138" s="1"/>
  <c r="J138" s="1"/>
  <c r="K138" s="1"/>
  <c r="L138" s="1"/>
  <c r="M138" s="1"/>
  <c r="N138" s="1"/>
  <c r="O138" s="1"/>
  <c r="P138" s="1"/>
  <c r="Q138" s="1"/>
  <c r="R138" s="1"/>
  <c r="E137"/>
  <c r="F137" s="1"/>
  <c r="G137" s="1"/>
  <c r="H137" s="1"/>
  <c r="I137" s="1"/>
  <c r="J137" s="1"/>
  <c r="K137" s="1"/>
  <c r="L137" s="1"/>
  <c r="M137" s="1"/>
  <c r="N137" s="1"/>
  <c r="O137" s="1"/>
  <c r="P137" s="1"/>
  <c r="Q137" s="1"/>
  <c r="R137" s="1"/>
  <c r="E136"/>
  <c r="F136" s="1"/>
  <c r="G136" s="1"/>
  <c r="H136" s="1"/>
  <c r="I136" s="1"/>
  <c r="J136" s="1"/>
  <c r="K136" s="1"/>
  <c r="L136" s="1"/>
  <c r="M136" s="1"/>
  <c r="N136" s="1"/>
  <c r="O136" s="1"/>
  <c r="P136" s="1"/>
  <c r="Q136" s="1"/>
  <c r="R136" s="1"/>
  <c r="E135"/>
  <c r="F135" s="1"/>
  <c r="G135" s="1"/>
  <c r="H135" s="1"/>
  <c r="I135" s="1"/>
  <c r="J135" s="1"/>
  <c r="K135" s="1"/>
  <c r="L135" s="1"/>
  <c r="M135" s="1"/>
  <c r="N135" s="1"/>
  <c r="O135" s="1"/>
  <c r="P135" s="1"/>
  <c r="Q135" s="1"/>
  <c r="R135" s="1"/>
  <c r="E134"/>
  <c r="F134" s="1"/>
  <c r="E133"/>
  <c r="E132"/>
  <c r="F132" s="1"/>
  <c r="G132" s="1"/>
  <c r="H132" s="1"/>
  <c r="I132" s="1"/>
  <c r="J132" s="1"/>
  <c r="K132" s="1"/>
  <c r="L132" s="1"/>
  <c r="M132" s="1"/>
  <c r="N132" s="1"/>
  <c r="O132" s="1"/>
  <c r="P132" s="1"/>
  <c r="Q132" s="1"/>
  <c r="R132" s="1"/>
  <c r="E131"/>
  <c r="F131" s="1"/>
  <c r="G131" s="1"/>
  <c r="H131" s="1"/>
  <c r="I131" s="1"/>
  <c r="J131" s="1"/>
  <c r="K131" s="1"/>
  <c r="L131" s="1"/>
  <c r="M131" s="1"/>
  <c r="N131" s="1"/>
  <c r="O131" s="1"/>
  <c r="P131" s="1"/>
  <c r="Q131" s="1"/>
  <c r="R131" s="1"/>
  <c r="E130"/>
  <c r="E129"/>
  <c r="F129" s="1"/>
  <c r="G129" s="1"/>
  <c r="H129" s="1"/>
  <c r="I129" s="1"/>
  <c r="J129" s="1"/>
  <c r="K129" s="1"/>
  <c r="L129" s="1"/>
  <c r="M129" s="1"/>
  <c r="N129" s="1"/>
  <c r="O129" s="1"/>
  <c r="P129" s="1"/>
  <c r="Q129" s="1"/>
  <c r="R129" s="1"/>
  <c r="E128"/>
  <c r="F128" s="1"/>
  <c r="E127"/>
  <c r="F127" s="1"/>
  <c r="G127" s="1"/>
  <c r="E109"/>
  <c r="F109" s="1"/>
  <c r="G109" s="1"/>
  <c r="H109" s="1"/>
  <c r="I109" s="1"/>
  <c r="J109" s="1"/>
  <c r="K109" s="1"/>
  <c r="L109" s="1"/>
  <c r="M109" s="1"/>
  <c r="N109" s="1"/>
  <c r="O109" s="1"/>
  <c r="P109" s="1"/>
  <c r="Q109" s="1"/>
  <c r="R109" s="1"/>
  <c r="E108"/>
  <c r="F108" s="1"/>
  <c r="E107"/>
  <c r="F107" s="1"/>
  <c r="G107" s="1"/>
  <c r="H107" s="1"/>
  <c r="I107" s="1"/>
  <c r="J107" s="1"/>
  <c r="K107" s="1"/>
  <c r="L107" s="1"/>
  <c r="M107" s="1"/>
  <c r="N107" s="1"/>
  <c r="O107" s="1"/>
  <c r="P107" s="1"/>
  <c r="Q107" s="1"/>
  <c r="R107" s="1"/>
  <c r="E106"/>
  <c r="E105"/>
  <c r="E104"/>
  <c r="E85"/>
  <c r="F85" s="1"/>
  <c r="G85" s="1"/>
  <c r="H85" s="1"/>
  <c r="I85" s="1"/>
  <c r="J85" s="1"/>
  <c r="K85" s="1"/>
  <c r="L85" s="1"/>
  <c r="M85" s="1"/>
  <c r="N85" s="1"/>
  <c r="O85" s="1"/>
  <c r="P85" s="1"/>
  <c r="Q85" s="1"/>
  <c r="R85" s="1"/>
  <c r="E84"/>
  <c r="F84" s="1"/>
  <c r="E83"/>
  <c r="F83"/>
  <c r="G83" s="1"/>
  <c r="H83" s="1"/>
  <c r="I83" s="1"/>
  <c r="J83" s="1"/>
  <c r="K83" s="1"/>
  <c r="L83" s="1"/>
  <c r="M83" s="1"/>
  <c r="N83" s="1"/>
  <c r="O83" s="1"/>
  <c r="P83" s="1"/>
  <c r="Q83" s="1"/>
  <c r="R83" s="1"/>
  <c r="E82"/>
  <c r="F82"/>
  <c r="G82" s="1"/>
  <c r="H82" s="1"/>
  <c r="I82" s="1"/>
  <c r="J82" s="1"/>
  <c r="K82" s="1"/>
  <c r="L82" s="1"/>
  <c r="M82" s="1"/>
  <c r="N82" s="1"/>
  <c r="O82" s="1"/>
  <c r="P82" s="1"/>
  <c r="Q82" s="1"/>
  <c r="R82" s="1"/>
  <c r="E79"/>
  <c r="F79" s="1"/>
  <c r="G79" s="1"/>
  <c r="H79" s="1"/>
  <c r="I79" s="1"/>
  <c r="J79" s="1"/>
  <c r="K79" s="1"/>
  <c r="L79" s="1"/>
  <c r="M79" s="1"/>
  <c r="N79" s="1"/>
  <c r="O79" s="1"/>
  <c r="P79" s="1"/>
  <c r="Q79" s="1"/>
  <c r="R79" s="1"/>
  <c r="E78"/>
  <c r="F78" s="1"/>
  <c r="G78" s="1"/>
  <c r="H78" s="1"/>
  <c r="I78" s="1"/>
  <c r="J78" s="1"/>
  <c r="K78" s="1"/>
  <c r="L78" s="1"/>
  <c r="M78" s="1"/>
  <c r="N78" s="1"/>
  <c r="O78" s="1"/>
  <c r="P78" s="1"/>
  <c r="Q78" s="1"/>
  <c r="R78" s="1"/>
  <c r="E77"/>
  <c r="F77" s="1"/>
  <c r="G77" s="1"/>
  <c r="H77" s="1"/>
  <c r="I77" s="1"/>
  <c r="J77" s="1"/>
  <c r="K77" s="1"/>
  <c r="L77" s="1"/>
  <c r="M77" s="1"/>
  <c r="N77" s="1"/>
  <c r="O77" s="1"/>
  <c r="P77" s="1"/>
  <c r="Q77" s="1"/>
  <c r="R77" s="1"/>
  <c r="E65"/>
  <c r="F65" s="1"/>
  <c r="G65" s="1"/>
  <c r="E64"/>
  <c r="E63"/>
  <c r="F63" s="1"/>
  <c r="G63" s="1"/>
  <c r="H63" s="1"/>
  <c r="I63" s="1"/>
  <c r="J63" s="1"/>
  <c r="K63" s="1"/>
  <c r="L63" s="1"/>
  <c r="M63" s="1"/>
  <c r="N63" s="1"/>
  <c r="O63" s="1"/>
  <c r="P63" s="1"/>
  <c r="Q63" s="1"/>
  <c r="R63" s="1"/>
  <c r="E55"/>
  <c r="E45"/>
  <c r="F45" s="1"/>
  <c r="G45" s="1"/>
  <c r="H45" s="1"/>
  <c r="I45" s="1"/>
  <c r="J45" s="1"/>
  <c r="K45" s="1"/>
  <c r="L45" s="1"/>
  <c r="M45" s="1"/>
  <c r="N45" s="1"/>
  <c r="O45" s="1"/>
  <c r="P45" s="1"/>
  <c r="Q45" s="1"/>
  <c r="R45" s="1"/>
  <c r="E41"/>
  <c r="F41" s="1"/>
  <c r="G41" s="1"/>
  <c r="H41" s="1"/>
  <c r="I41" s="1"/>
  <c r="J41" s="1"/>
  <c r="K41" s="1"/>
  <c r="L41" s="1"/>
  <c r="M41" s="1"/>
  <c r="N41" s="1"/>
  <c r="O41" s="1"/>
  <c r="P41" s="1"/>
  <c r="Q41" s="1"/>
  <c r="R41" s="1"/>
  <c r="E40"/>
  <c r="E39" s="1"/>
  <c r="E37"/>
  <c r="E31"/>
  <c r="E29" s="1"/>
  <c r="E30"/>
  <c r="F30" s="1"/>
  <c r="G30" s="1"/>
  <c r="H30" s="1"/>
  <c r="I30" s="1"/>
  <c r="J30" s="1"/>
  <c r="K30" s="1"/>
  <c r="L30" s="1"/>
  <c r="M30" s="1"/>
  <c r="N30" s="1"/>
  <c r="O30" s="1"/>
  <c r="P30" s="1"/>
  <c r="Q30" s="1"/>
  <c r="R30" s="1"/>
  <c r="E127" i="9"/>
  <c r="F127" s="1"/>
  <c r="G127" s="1"/>
  <c r="H127" s="1"/>
  <c r="E126"/>
  <c r="F126"/>
  <c r="E125"/>
  <c r="F125" s="1"/>
  <c r="G125" s="1"/>
  <c r="H125" s="1"/>
  <c r="E124"/>
  <c r="F124" s="1"/>
  <c r="G124" s="1"/>
  <c r="H124" s="1"/>
  <c r="E121"/>
  <c r="F121" s="1"/>
  <c r="E120"/>
  <c r="F120" s="1"/>
  <c r="G120"/>
  <c r="H120" s="1"/>
  <c r="E118"/>
  <c r="F118" s="1"/>
  <c r="G118" s="1"/>
  <c r="E117"/>
  <c r="F117" s="1"/>
  <c r="G117" s="1"/>
  <c r="H117" s="1"/>
  <c r="I117" s="1"/>
  <c r="J117" s="1"/>
  <c r="K117" s="1"/>
  <c r="L117" s="1"/>
  <c r="M117" s="1"/>
  <c r="N117" s="1"/>
  <c r="O117" s="1"/>
  <c r="P117" s="1"/>
  <c r="Q117" s="1"/>
  <c r="G116"/>
  <c r="H116" s="1"/>
  <c r="I116" s="1"/>
  <c r="J116" s="1"/>
  <c r="K116" s="1"/>
  <c r="L116" s="1"/>
  <c r="M116" s="1"/>
  <c r="N116" s="1"/>
  <c r="O116" s="1"/>
  <c r="P116" s="1"/>
  <c r="Q116" s="1"/>
  <c r="E115"/>
  <c r="F115"/>
  <c r="G115" s="1"/>
  <c r="H115" s="1"/>
  <c r="I115" s="1"/>
  <c r="J115" s="1"/>
  <c r="K115" s="1"/>
  <c r="L115" s="1"/>
  <c r="M115" s="1"/>
  <c r="N115" s="1"/>
  <c r="O115" s="1"/>
  <c r="P115" s="1"/>
  <c r="Q115" s="1"/>
  <c r="E114"/>
  <c r="E113"/>
  <c r="E112"/>
  <c r="E107"/>
  <c r="F107" s="1"/>
  <c r="G107" s="1"/>
  <c r="H107" s="1"/>
  <c r="E106"/>
  <c r="F106" s="1"/>
  <c r="G106" s="1"/>
  <c r="H106" s="1"/>
  <c r="I106" s="1"/>
  <c r="J106" s="1"/>
  <c r="K106" s="1"/>
  <c r="L106" s="1"/>
  <c r="M106" s="1"/>
  <c r="N106" s="1"/>
  <c r="O106" s="1"/>
  <c r="P106" s="1"/>
  <c r="Q106" s="1"/>
  <c r="E105"/>
  <c r="F105" s="1"/>
  <c r="G105" s="1"/>
  <c r="H105" s="1"/>
  <c r="I105" s="1"/>
  <c r="J105" s="1"/>
  <c r="K105" s="1"/>
  <c r="L105" s="1"/>
  <c r="M105" s="1"/>
  <c r="N105" s="1"/>
  <c r="O105" s="1"/>
  <c r="P105" s="1"/>
  <c r="Q105" s="1"/>
  <c r="E104"/>
  <c r="F104" s="1"/>
  <c r="G104" s="1"/>
  <c r="H104" s="1"/>
  <c r="I104" s="1"/>
  <c r="E103"/>
  <c r="F103" s="1"/>
  <c r="G103" s="1"/>
  <c r="H103" s="1"/>
  <c r="I103" s="1"/>
  <c r="J103" s="1"/>
  <c r="K103" s="1"/>
  <c r="L103" s="1"/>
  <c r="M103" s="1"/>
  <c r="N103" s="1"/>
  <c r="O103" s="1"/>
  <c r="P103" s="1"/>
  <c r="Q103" s="1"/>
  <c r="E102"/>
  <c r="F102" s="1"/>
  <c r="G102" s="1"/>
  <c r="H102" s="1"/>
  <c r="I102" s="1"/>
  <c r="J102" s="1"/>
  <c r="K102" s="1"/>
  <c r="L102" s="1"/>
  <c r="M102" s="1"/>
  <c r="N102" s="1"/>
  <c r="O102" s="1"/>
  <c r="P102" s="1"/>
  <c r="Q102" s="1"/>
  <c r="E101"/>
  <c r="E100"/>
  <c r="E99"/>
  <c r="F99"/>
  <c r="G99" s="1"/>
  <c r="H99" s="1"/>
  <c r="I99" s="1"/>
  <c r="J99" s="1"/>
  <c r="K99" s="1"/>
  <c r="L99" s="1"/>
  <c r="M99" s="1"/>
  <c r="N99" s="1"/>
  <c r="O99" s="1"/>
  <c r="P99" s="1"/>
  <c r="Q99" s="1"/>
  <c r="E94"/>
  <c r="F94" s="1"/>
  <c r="G94" s="1"/>
  <c r="H94" s="1"/>
  <c r="I94" s="1"/>
  <c r="J94" s="1"/>
  <c r="K94" s="1"/>
  <c r="L94" s="1"/>
  <c r="M94" s="1"/>
  <c r="N94" s="1"/>
  <c r="O94" s="1"/>
  <c r="P94" s="1"/>
  <c r="Q94" s="1"/>
  <c r="E93"/>
  <c r="F93" s="1"/>
  <c r="G93" s="1"/>
  <c r="H93" s="1"/>
  <c r="I93" s="1"/>
  <c r="J93" s="1"/>
  <c r="K93" s="1"/>
  <c r="L93" s="1"/>
  <c r="M93" s="1"/>
  <c r="N93" s="1"/>
  <c r="O93" s="1"/>
  <c r="P93" s="1"/>
  <c r="Q93" s="1"/>
  <c r="E92"/>
  <c r="F92" s="1"/>
  <c r="G92" s="1"/>
  <c r="H92" s="1"/>
  <c r="I92" s="1"/>
  <c r="J92" s="1"/>
  <c r="K92" s="1"/>
  <c r="L92" s="1"/>
  <c r="M92" s="1"/>
  <c r="N92" s="1"/>
  <c r="O92" s="1"/>
  <c r="P92" s="1"/>
  <c r="Q92" s="1"/>
  <c r="E91"/>
  <c r="F91" s="1"/>
  <c r="G91" s="1"/>
  <c r="H91" s="1"/>
  <c r="I91" s="1"/>
  <c r="J91" s="1"/>
  <c r="K91" s="1"/>
  <c r="L91" s="1"/>
  <c r="M91" s="1"/>
  <c r="N91" s="1"/>
  <c r="O91" s="1"/>
  <c r="P91" s="1"/>
  <c r="Q91" s="1"/>
  <c r="E90"/>
  <c r="F90" s="1"/>
  <c r="G90" s="1"/>
  <c r="E89"/>
  <c r="F89" s="1"/>
  <c r="G89" s="1"/>
  <c r="H89" s="1"/>
  <c r="I89" s="1"/>
  <c r="J89" s="1"/>
  <c r="K89" s="1"/>
  <c r="L89" s="1"/>
  <c r="M89" s="1"/>
  <c r="N89" s="1"/>
  <c r="O89" s="1"/>
  <c r="P89" s="1"/>
  <c r="Q89" s="1"/>
  <c r="G86"/>
  <c r="E85"/>
  <c r="F81"/>
  <c r="G81" s="1"/>
  <c r="H81" s="1"/>
  <c r="I81" s="1"/>
  <c r="J81" s="1"/>
  <c r="K81" s="1"/>
  <c r="L81" s="1"/>
  <c r="M81" s="1"/>
  <c r="N81" s="1"/>
  <c r="O81" s="1"/>
  <c r="P81" s="1"/>
  <c r="Q81" s="1"/>
  <c r="E80"/>
  <c r="F80" s="1"/>
  <c r="G80" s="1"/>
  <c r="H80" s="1"/>
  <c r="I80" s="1"/>
  <c r="J80" s="1"/>
  <c r="K80" s="1"/>
  <c r="L80" s="1"/>
  <c r="M80" s="1"/>
  <c r="N80" s="1"/>
  <c r="O80" s="1"/>
  <c r="P80" s="1"/>
  <c r="Q80" s="1"/>
  <c r="F76"/>
  <c r="G76" s="1"/>
  <c r="H76" s="1"/>
  <c r="I76" s="1"/>
  <c r="J76" s="1"/>
  <c r="K76" s="1"/>
  <c r="L76" s="1"/>
  <c r="M76" s="1"/>
  <c r="N76" s="1"/>
  <c r="O76" s="1"/>
  <c r="P76" s="1"/>
  <c r="Q76" s="1"/>
  <c r="E70"/>
  <c r="F70" s="1"/>
  <c r="G70" s="1"/>
  <c r="H70" s="1"/>
  <c r="I70" s="1"/>
  <c r="J70" s="1"/>
  <c r="K70" s="1"/>
  <c r="L70" s="1"/>
  <c r="M70" s="1"/>
  <c r="N70" s="1"/>
  <c r="O70" s="1"/>
  <c r="P70" s="1"/>
  <c r="Q70" s="1"/>
  <c r="E67"/>
  <c r="F67" s="1"/>
  <c r="G67" s="1"/>
  <c r="H67" s="1"/>
  <c r="I67" s="1"/>
  <c r="J67" s="1"/>
  <c r="K67" s="1"/>
  <c r="L67" s="1"/>
  <c r="M67" s="1"/>
  <c r="N67" s="1"/>
  <c r="O67" s="1"/>
  <c r="P67" s="1"/>
  <c r="Q67" s="1"/>
  <c r="F61"/>
  <c r="G61" s="1"/>
  <c r="H61" s="1"/>
  <c r="I61" s="1"/>
  <c r="J61" s="1"/>
  <c r="K61" s="1"/>
  <c r="L61" s="1"/>
  <c r="M61" s="1"/>
  <c r="N61" s="1"/>
  <c r="O61" s="1"/>
  <c r="P61" s="1"/>
  <c r="Q61" s="1"/>
  <c r="E57"/>
  <c r="F57" s="1"/>
  <c r="G57" s="1"/>
  <c r="H57" s="1"/>
  <c r="I57" s="1"/>
  <c r="J57" s="1"/>
  <c r="K57" s="1"/>
  <c r="L57" s="1"/>
  <c r="M57" s="1"/>
  <c r="N57" s="1"/>
  <c r="O57" s="1"/>
  <c r="P57" s="1"/>
  <c r="Q57" s="1"/>
  <c r="E52"/>
  <c r="F49"/>
  <c r="G49" s="1"/>
  <c r="E43"/>
  <c r="F43" s="1"/>
  <c r="G43" s="1"/>
  <c r="H43" s="1"/>
  <c r="E42"/>
  <c r="F42" s="1"/>
  <c r="E41"/>
  <c r="F41" s="1"/>
  <c r="G41" s="1"/>
  <c r="H41" s="1"/>
  <c r="I41" s="1"/>
  <c r="J41" s="1"/>
  <c r="K41" s="1"/>
  <c r="L41" s="1"/>
  <c r="M41" s="1"/>
  <c r="N41" s="1"/>
  <c r="O41" s="1"/>
  <c r="P41" s="1"/>
  <c r="Q41" s="1"/>
  <c r="E40"/>
  <c r="F40" s="1"/>
  <c r="G40" s="1"/>
  <c r="H40" s="1"/>
  <c r="I40" s="1"/>
  <c r="J40" s="1"/>
  <c r="K40" s="1"/>
  <c r="L40" s="1"/>
  <c r="M40" s="1"/>
  <c r="N40" s="1"/>
  <c r="O40" s="1"/>
  <c r="P40" s="1"/>
  <c r="Q40" s="1"/>
  <c r="D29"/>
  <c r="E38"/>
  <c r="R70" i="10"/>
  <c r="R71"/>
  <c r="R69" s="1"/>
  <c r="U63" i="3" s="1"/>
  <c r="Q15" i="6"/>
  <c r="Q16"/>
  <c r="Q17"/>
  <c r="Q18"/>
  <c r="Q19"/>
  <c r="Q20"/>
  <c r="Q21"/>
  <c r="Q22"/>
  <c r="Q70" i="10"/>
  <c r="Q71"/>
  <c r="Q69" s="1"/>
  <c r="T63" i="3" s="1"/>
  <c r="P15" i="6"/>
  <c r="P16"/>
  <c r="P17"/>
  <c r="P18"/>
  <c r="P19"/>
  <c r="P20"/>
  <c r="P21"/>
  <c r="P22"/>
  <c r="P70" i="10"/>
  <c r="P71"/>
  <c r="P69" s="1"/>
  <c r="S63" i="3" s="1"/>
  <c r="O15" i="6"/>
  <c r="O16"/>
  <c r="O17"/>
  <c r="O18"/>
  <c r="O19"/>
  <c r="O20"/>
  <c r="O21"/>
  <c r="O22"/>
  <c r="O70" i="10"/>
  <c r="O71"/>
  <c r="N15" i="6"/>
  <c r="N16"/>
  <c r="N17"/>
  <c r="N18"/>
  <c r="N19"/>
  <c r="N20"/>
  <c r="N21"/>
  <c r="N22"/>
  <c r="N14"/>
  <c r="O198" i="10" s="1"/>
  <c r="R76" i="3" s="1"/>
  <c r="N70" i="10"/>
  <c r="N71"/>
  <c r="M15" i="6"/>
  <c r="M16"/>
  <c r="M17"/>
  <c r="M18"/>
  <c r="M19"/>
  <c r="M20"/>
  <c r="M21"/>
  <c r="M22"/>
  <c r="M70" i="10"/>
  <c r="M71"/>
  <c r="L15" i="6"/>
  <c r="L16"/>
  <c r="L17"/>
  <c r="L18"/>
  <c r="L19"/>
  <c r="L20"/>
  <c r="L21"/>
  <c r="L22"/>
  <c r="L70" i="10"/>
  <c r="L71"/>
  <c r="L69" s="1"/>
  <c r="O63" i="3" s="1"/>
  <c r="K15" i="6"/>
  <c r="K16"/>
  <c r="K17"/>
  <c r="K18"/>
  <c r="K19"/>
  <c r="K20"/>
  <c r="K21"/>
  <c r="K22"/>
  <c r="K70" i="10"/>
  <c r="K71"/>
  <c r="J15" i="6"/>
  <c r="J16"/>
  <c r="J17"/>
  <c r="J18"/>
  <c r="J19"/>
  <c r="J20"/>
  <c r="J21"/>
  <c r="J22"/>
  <c r="J14"/>
  <c r="K198" i="10" s="1"/>
  <c r="N76" i="3" s="1"/>
  <c r="J70" i="10"/>
  <c r="J71"/>
  <c r="I15" i="6"/>
  <c r="I16"/>
  <c r="I17"/>
  <c r="I18"/>
  <c r="I19"/>
  <c r="I20"/>
  <c r="I21"/>
  <c r="I22"/>
  <c r="I70" i="10"/>
  <c r="I71"/>
  <c r="H15" i="6"/>
  <c r="H16"/>
  <c r="H17"/>
  <c r="H18"/>
  <c r="H19"/>
  <c r="H20"/>
  <c r="H21"/>
  <c r="H22"/>
  <c r="K28" i="3"/>
  <c r="K29"/>
  <c r="K30"/>
  <c r="K41"/>
  <c r="K70"/>
  <c r="K85"/>
  <c r="H70" i="10"/>
  <c r="H71"/>
  <c r="H69" s="1"/>
  <c r="K63" i="3" s="1"/>
  <c r="G15" i="6"/>
  <c r="G16"/>
  <c r="G17"/>
  <c r="G18"/>
  <c r="G19"/>
  <c r="G20"/>
  <c r="G21"/>
  <c r="G22"/>
  <c r="J28" i="3"/>
  <c r="J29"/>
  <c r="J30"/>
  <c r="J31"/>
  <c r="J41"/>
  <c r="F75" i="9"/>
  <c r="J43" i="3" s="1"/>
  <c r="J70"/>
  <c r="J85"/>
  <c r="J53"/>
  <c r="G222" i="10"/>
  <c r="G70"/>
  <c r="G71"/>
  <c r="F15" i="6"/>
  <c r="F16"/>
  <c r="F17"/>
  <c r="F18"/>
  <c r="F19"/>
  <c r="F20"/>
  <c r="F21"/>
  <c r="F22"/>
  <c r="I28" i="3"/>
  <c r="I29"/>
  <c r="I30"/>
  <c r="I31"/>
  <c r="E39" i="9"/>
  <c r="E79"/>
  <c r="I35" i="3" s="1"/>
  <c r="E55" i="9"/>
  <c r="I37" i="3" s="1"/>
  <c r="E59" i="9"/>
  <c r="I39" i="3" s="1"/>
  <c r="E62" i="9"/>
  <c r="I40" i="3" s="1"/>
  <c r="I41"/>
  <c r="E71" i="9"/>
  <c r="E75"/>
  <c r="I43" i="3" s="1"/>
  <c r="E87" i="9"/>
  <c r="I68" i="3" s="1"/>
  <c r="I69"/>
  <c r="I70"/>
  <c r="I73"/>
  <c r="I85"/>
  <c r="F36" i="10"/>
  <c r="F42"/>
  <c r="I48" i="3" s="1"/>
  <c r="I50"/>
  <c r="I51"/>
  <c r="I53"/>
  <c r="X53" s="1"/>
  <c r="F222" i="10"/>
  <c r="I55" i="3"/>
  <c r="I56"/>
  <c r="I57"/>
  <c r="F70" i="10"/>
  <c r="F71"/>
  <c r="E15" i="6"/>
  <c r="E16"/>
  <c r="E17"/>
  <c r="E18"/>
  <c r="E19"/>
  <c r="E20"/>
  <c r="E21"/>
  <c r="E22"/>
  <c r="I86" i="3"/>
  <c r="H28"/>
  <c r="H29"/>
  <c r="H30"/>
  <c r="H31"/>
  <c r="W31" s="1"/>
  <c r="D39" i="9"/>
  <c r="H32" i="3" s="1"/>
  <c r="D51" i="9"/>
  <c r="H34" i="3" s="1"/>
  <c r="D79" i="9"/>
  <c r="H35" i="3" s="1"/>
  <c r="D55" i="9"/>
  <c r="H37" i="3" s="1"/>
  <c r="D59" i="9"/>
  <c r="H39" i="3" s="1"/>
  <c r="D62" i="9"/>
  <c r="H40" i="3" s="1"/>
  <c r="H41"/>
  <c r="D71" i="9"/>
  <c r="H42" i="3" s="1"/>
  <c r="D75" i="9"/>
  <c r="H43" i="3" s="1"/>
  <c r="H67"/>
  <c r="D87" i="9"/>
  <c r="H68" i="3" s="1"/>
  <c r="H69"/>
  <c r="H70"/>
  <c r="D122" i="9"/>
  <c r="H71" i="3" s="1"/>
  <c r="D110" i="9"/>
  <c r="H73" i="3"/>
  <c r="D98" i="9"/>
  <c r="D97" s="1"/>
  <c r="H82" i="3" s="1"/>
  <c r="H85"/>
  <c r="E36" i="10"/>
  <c r="E42"/>
  <c r="H48" i="3" s="1"/>
  <c r="W48" s="1"/>
  <c r="H50"/>
  <c r="H51"/>
  <c r="H53"/>
  <c r="E222" i="10"/>
  <c r="H55" i="3"/>
  <c r="H56"/>
  <c r="H57"/>
  <c r="H60"/>
  <c r="E89" i="10"/>
  <c r="E126"/>
  <c r="E163"/>
  <c r="E70"/>
  <c r="E71"/>
  <c r="E69"/>
  <c r="H63" i="3" s="1"/>
  <c r="E110" i="10"/>
  <c r="D15" i="6"/>
  <c r="D16"/>
  <c r="D17"/>
  <c r="D18"/>
  <c r="D19"/>
  <c r="D20"/>
  <c r="D21"/>
  <c r="D22"/>
  <c r="D14"/>
  <c r="E198" i="10" s="1"/>
  <c r="H76" i="3" s="1"/>
  <c r="H83"/>
  <c r="H86"/>
  <c r="G28"/>
  <c r="G29"/>
  <c r="G30"/>
  <c r="V30" s="1"/>
  <c r="G31"/>
  <c r="C39" i="9"/>
  <c r="G32" i="3" s="1"/>
  <c r="C51" i="9"/>
  <c r="G34" i="3" s="1"/>
  <c r="C79" i="9"/>
  <c r="G35" i="3" s="1"/>
  <c r="C55" i="9"/>
  <c r="G37" i="3" s="1"/>
  <c r="C59" i="9"/>
  <c r="G39" i="3" s="1"/>
  <c r="C62" i="9"/>
  <c r="G40" i="3" s="1"/>
  <c r="G41"/>
  <c r="C71" i="9"/>
  <c r="G42" i="3" s="1"/>
  <c r="C75" i="9"/>
  <c r="G43" i="3" s="1"/>
  <c r="G67"/>
  <c r="C87" i="9"/>
  <c r="G68" i="3" s="1"/>
  <c r="V68" s="1"/>
  <c r="G69"/>
  <c r="G70"/>
  <c r="C122" i="9"/>
  <c r="G71" i="3" s="1"/>
  <c r="V71" s="1"/>
  <c r="C110" i="9"/>
  <c r="C108" s="1"/>
  <c r="G72" i="3" s="1"/>
  <c r="G73"/>
  <c r="C98" i="9"/>
  <c r="C97" s="1"/>
  <c r="G82" i="3"/>
  <c r="G85"/>
  <c r="D29" i="10"/>
  <c r="D36"/>
  <c r="D39"/>
  <c r="D35" s="1"/>
  <c r="D27" s="1"/>
  <c r="D42"/>
  <c r="G48" i="3" s="1"/>
  <c r="G50"/>
  <c r="V50" s="1"/>
  <c r="G51"/>
  <c r="G52"/>
  <c r="G53"/>
  <c r="D222" i="10"/>
  <c r="G54" i="3" s="1"/>
  <c r="G55"/>
  <c r="G56"/>
  <c r="V56" s="1"/>
  <c r="G57"/>
  <c r="D230" i="10"/>
  <c r="G58" i="3" s="1"/>
  <c r="G60"/>
  <c r="G61"/>
  <c r="D89" i="10"/>
  <c r="D103"/>
  <c r="D126"/>
  <c r="D140"/>
  <c r="D163"/>
  <c r="D177"/>
  <c r="D70"/>
  <c r="D71"/>
  <c r="D69" s="1"/>
  <c r="G63" i="3" s="1"/>
  <c r="G64"/>
  <c r="D110" i="10"/>
  <c r="D147"/>
  <c r="D183"/>
  <c r="C15" i="6"/>
  <c r="C16"/>
  <c r="C17"/>
  <c r="C18"/>
  <c r="C19"/>
  <c r="C20"/>
  <c r="C21"/>
  <c r="C22"/>
  <c r="G83" i="3"/>
  <c r="G86"/>
  <c r="W86"/>
  <c r="V86"/>
  <c r="Y85"/>
  <c r="W85"/>
  <c r="I84"/>
  <c r="G84"/>
  <c r="H81"/>
  <c r="W73"/>
  <c r="X70"/>
  <c r="V70"/>
  <c r="W69"/>
  <c r="AI63"/>
  <c r="V60"/>
  <c r="W57"/>
  <c r="W56"/>
  <c r="V55"/>
  <c r="W53"/>
  <c r="W51"/>
  <c r="W50"/>
  <c r="V42"/>
  <c r="X41"/>
  <c r="V41"/>
  <c r="V35"/>
  <c r="V34"/>
  <c r="X31"/>
  <c r="V31"/>
  <c r="W30"/>
  <c r="Y29"/>
  <c r="X29"/>
  <c r="W29"/>
  <c r="Y28"/>
  <c r="X28"/>
  <c r="W28"/>
  <c r="V28"/>
  <c r="B194" i="1"/>
  <c r="O190"/>
  <c r="J22" i="9"/>
  <c r="K22" i="10" s="1"/>
  <c r="F22" i="9"/>
  <c r="G22" i="10" s="1"/>
  <c r="D22" i="9"/>
  <c r="E22" i="10" s="1"/>
  <c r="C22" i="9"/>
  <c r="D22" i="10" s="1"/>
  <c r="N22" i="9"/>
  <c r="O22" i="10" s="1"/>
  <c r="P22" i="9"/>
  <c r="Q22" i="10" s="1"/>
  <c r="Q22" i="9"/>
  <c r="R22" i="10" s="1"/>
  <c r="E22" i="9"/>
  <c r="F22" i="10" s="1"/>
  <c r="G22" i="9"/>
  <c r="H22" i="10" s="1"/>
  <c r="H22" i="9"/>
  <c r="I22" i="10" s="1"/>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D214"/>
  <c r="G212"/>
  <c r="D212"/>
  <c r="E212"/>
  <c r="G211"/>
  <c r="D211"/>
  <c r="G210"/>
  <c r="D210"/>
  <c r="E210"/>
  <c r="M128" i="1"/>
  <c r="M123"/>
  <c r="M119"/>
  <c r="M115"/>
  <c r="M107"/>
  <c r="M103"/>
  <c r="M96"/>
  <c r="M92"/>
  <c r="M85"/>
  <c r="M80"/>
  <c r="M75"/>
  <c r="M70"/>
  <c r="M66"/>
  <c r="M59"/>
  <c r="M52"/>
  <c r="M47"/>
  <c r="M43"/>
  <c r="M38"/>
  <c r="M34"/>
  <c r="M30"/>
  <c r="U33" i="4"/>
  <c r="U60"/>
  <c r="U69"/>
  <c r="U77"/>
  <c r="T27"/>
  <c r="T29"/>
  <c r="T30"/>
  <c r="T31"/>
  <c r="T32"/>
  <c r="T33"/>
  <c r="T36"/>
  <c r="T40"/>
  <c r="T43"/>
  <c r="T44"/>
  <c r="T45"/>
  <c r="T46"/>
  <c r="T38"/>
  <c r="T50"/>
  <c r="T53"/>
  <c r="T60"/>
  <c r="T63"/>
  <c r="T64"/>
  <c r="T65"/>
  <c r="T66"/>
  <c r="T68"/>
  <c r="T69"/>
  <c r="T70"/>
  <c r="T72"/>
  <c r="T76"/>
  <c r="T77"/>
  <c r="S27"/>
  <c r="S29"/>
  <c r="S30"/>
  <c r="S31"/>
  <c r="S32"/>
  <c r="S33"/>
  <c r="S34"/>
  <c r="S35"/>
  <c r="S36"/>
  <c r="S37"/>
  <c r="S40"/>
  <c r="S41"/>
  <c r="S43"/>
  <c r="S44"/>
  <c r="S45"/>
  <c r="S46"/>
  <c r="S38"/>
  <c r="S48"/>
  <c r="S49"/>
  <c r="S50"/>
  <c r="S53"/>
  <c r="S60"/>
  <c r="S63"/>
  <c r="S64"/>
  <c r="S65"/>
  <c r="S66"/>
  <c r="S67"/>
  <c r="S68"/>
  <c r="S69"/>
  <c r="S70"/>
  <c r="S56"/>
  <c r="S57"/>
  <c r="S72"/>
  <c r="S73"/>
  <c r="S74"/>
  <c r="S76"/>
  <c r="S77"/>
  <c r="S78"/>
  <c r="S83"/>
  <c r="S80"/>
  <c r="S82"/>
  <c r="R27"/>
  <c r="R29"/>
  <c r="R30"/>
  <c r="R31"/>
  <c r="R32"/>
  <c r="R33"/>
  <c r="R34"/>
  <c r="R35"/>
  <c r="R36"/>
  <c r="R37"/>
  <c r="R40"/>
  <c r="R41"/>
  <c r="R42"/>
  <c r="R43"/>
  <c r="R44"/>
  <c r="R45"/>
  <c r="R46"/>
  <c r="R28"/>
  <c r="R38"/>
  <c r="R48"/>
  <c r="R49"/>
  <c r="R50"/>
  <c r="R52"/>
  <c r="R53"/>
  <c r="R60"/>
  <c r="R61"/>
  <c r="R63"/>
  <c r="R64"/>
  <c r="R65"/>
  <c r="R66"/>
  <c r="R67"/>
  <c r="R68"/>
  <c r="R69"/>
  <c r="R70"/>
  <c r="R56"/>
  <c r="R57"/>
  <c r="R72"/>
  <c r="R73"/>
  <c r="R74"/>
  <c r="R76"/>
  <c r="R77"/>
  <c r="R78"/>
  <c r="R83"/>
  <c r="R80"/>
  <c r="R81"/>
  <c r="R82"/>
  <c r="R85"/>
  <c r="Q27"/>
  <c r="Q29"/>
  <c r="Q30"/>
  <c r="Q31"/>
  <c r="Q32"/>
  <c r="Q33"/>
  <c r="Q34"/>
  <c r="Q35"/>
  <c r="Q36"/>
  <c r="Q37"/>
  <c r="Q40"/>
  <c r="Q41"/>
  <c r="Q42"/>
  <c r="Q43"/>
  <c r="Q44"/>
  <c r="Q45"/>
  <c r="Q46"/>
  <c r="Q28"/>
  <c r="Q38"/>
  <c r="Q48"/>
  <c r="Q49"/>
  <c r="Q50"/>
  <c r="Q52"/>
  <c r="Q53"/>
  <c r="Q51" s="1"/>
  <c r="Q60"/>
  <c r="Q61"/>
  <c r="Q63"/>
  <c r="Q64"/>
  <c r="Q65"/>
  <c r="Q66"/>
  <c r="Q67"/>
  <c r="Q68"/>
  <c r="Q69"/>
  <c r="Q70"/>
  <c r="Q56"/>
  <c r="Q57"/>
  <c r="Q55" s="1"/>
  <c r="Q72"/>
  <c r="Q73"/>
  <c r="Q74"/>
  <c r="Q76"/>
  <c r="Q77"/>
  <c r="Q78"/>
  <c r="Q83"/>
  <c r="Q80"/>
  <c r="Q81"/>
  <c r="Q82"/>
  <c r="Q85"/>
  <c r="P85"/>
  <c r="P83"/>
  <c r="P82"/>
  <c r="P81"/>
  <c r="P80"/>
  <c r="P79" s="1"/>
  <c r="P78"/>
  <c r="P77"/>
  <c r="P76"/>
  <c r="P74"/>
  <c r="P73"/>
  <c r="P72"/>
  <c r="P71" s="1"/>
  <c r="P70"/>
  <c r="P69"/>
  <c r="P68"/>
  <c r="P67"/>
  <c r="P66"/>
  <c r="P65"/>
  <c r="P64"/>
  <c r="P63"/>
  <c r="P62" s="1"/>
  <c r="P61"/>
  <c r="P60"/>
  <c r="P57"/>
  <c r="P56"/>
  <c r="P53"/>
  <c r="P52"/>
  <c r="P51" s="1"/>
  <c r="P50"/>
  <c r="P49"/>
  <c r="P48"/>
  <c r="P46"/>
  <c r="P45"/>
  <c r="P44"/>
  <c r="P43"/>
  <c r="P42"/>
  <c r="P41"/>
  <c r="P40"/>
  <c r="P38"/>
  <c r="P37"/>
  <c r="P36"/>
  <c r="P35"/>
  <c r="P34"/>
  <c r="P33"/>
  <c r="P32"/>
  <c r="P31"/>
  <c r="C82" i="8" s="1"/>
  <c r="P30" i="4"/>
  <c r="P29"/>
  <c r="C80" i="8" s="1"/>
  <c r="P28" i="4"/>
  <c r="P27"/>
  <c r="C28" i="8" s="1"/>
  <c r="AC24" i="4"/>
  <c r="AR24" s="1"/>
  <c r="O22" i="9"/>
  <c r="M22"/>
  <c r="Z24" i="4" s="1"/>
  <c r="L22" i="9"/>
  <c r="Y24" i="4" s="1"/>
  <c r="AN24" s="1"/>
  <c r="K22" i="9"/>
  <c r="X24" i="4" s="1"/>
  <c r="I22" i="9"/>
  <c r="I52" i="6" s="1"/>
  <c r="C25" i="1"/>
  <c r="D24" i="4" s="1"/>
  <c r="D42" i="1"/>
  <c r="D29" s="1"/>
  <c r="D54"/>
  <c r="D62"/>
  <c r="D65"/>
  <c r="D58"/>
  <c r="D74"/>
  <c r="D78"/>
  <c r="D82"/>
  <c r="D90"/>
  <c r="D101"/>
  <c r="D100" s="1"/>
  <c r="D99" s="1"/>
  <c r="D113"/>
  <c r="D111" s="1"/>
  <c r="D125"/>
  <c r="E42"/>
  <c r="E29" s="1"/>
  <c r="M26" i="4" s="1"/>
  <c r="E54" i="1"/>
  <c r="E62"/>
  <c r="E65"/>
  <c r="E58"/>
  <c r="E74"/>
  <c r="E78"/>
  <c r="E82"/>
  <c r="E90"/>
  <c r="E101"/>
  <c r="E100"/>
  <c r="E113"/>
  <c r="E125"/>
  <c r="F125" s="1"/>
  <c r="G42"/>
  <c r="G29" s="1"/>
  <c r="G54"/>
  <c r="G62"/>
  <c r="G65"/>
  <c r="G58"/>
  <c r="G74"/>
  <c r="G78"/>
  <c r="G82"/>
  <c r="G90"/>
  <c r="G101"/>
  <c r="G100" s="1"/>
  <c r="G99" s="1"/>
  <c r="G113"/>
  <c r="G111" s="1"/>
  <c r="G125"/>
  <c r="H42"/>
  <c r="H54"/>
  <c r="I54" s="1"/>
  <c r="H62"/>
  <c r="I62" s="1"/>
  <c r="H65"/>
  <c r="H58"/>
  <c r="H74"/>
  <c r="H78"/>
  <c r="H82"/>
  <c r="H90"/>
  <c r="H101"/>
  <c r="H113"/>
  <c r="H111" s="1"/>
  <c r="H125"/>
  <c r="J42"/>
  <c r="J29" s="1"/>
  <c r="J54"/>
  <c r="J62"/>
  <c r="K62" s="1"/>
  <c r="J65"/>
  <c r="J58"/>
  <c r="J74"/>
  <c r="J78"/>
  <c r="J82"/>
  <c r="J90"/>
  <c r="J101"/>
  <c r="J100"/>
  <c r="J99" s="1"/>
  <c r="J113"/>
  <c r="J125"/>
  <c r="F30"/>
  <c r="I30"/>
  <c r="K30"/>
  <c r="F31"/>
  <c r="I31"/>
  <c r="K31"/>
  <c r="F32"/>
  <c r="I32"/>
  <c r="K32"/>
  <c r="F33"/>
  <c r="I33"/>
  <c r="K33"/>
  <c r="F34"/>
  <c r="I34"/>
  <c r="K34"/>
  <c r="F35"/>
  <c r="I35"/>
  <c r="K35"/>
  <c r="F36"/>
  <c r="I36"/>
  <c r="K36"/>
  <c r="F37"/>
  <c r="I37"/>
  <c r="K37"/>
  <c r="F38"/>
  <c r="I38"/>
  <c r="K38"/>
  <c r="F39"/>
  <c r="I39"/>
  <c r="K39"/>
  <c r="F40"/>
  <c r="I40"/>
  <c r="K40"/>
  <c r="F41"/>
  <c r="I41"/>
  <c r="K41"/>
  <c r="F43"/>
  <c r="I43"/>
  <c r="K43"/>
  <c r="F44"/>
  <c r="I44"/>
  <c r="K44"/>
  <c r="F45"/>
  <c r="I45"/>
  <c r="K45"/>
  <c r="F46"/>
  <c r="I46"/>
  <c r="K46"/>
  <c r="F47"/>
  <c r="I47"/>
  <c r="K47"/>
  <c r="F48"/>
  <c r="I48"/>
  <c r="K48"/>
  <c r="F49"/>
  <c r="I49"/>
  <c r="K49"/>
  <c r="F51"/>
  <c r="I51"/>
  <c r="K51"/>
  <c r="F52"/>
  <c r="I52"/>
  <c r="K52"/>
  <c r="F53"/>
  <c r="I53"/>
  <c r="K53"/>
  <c r="F54"/>
  <c r="F55"/>
  <c r="I55"/>
  <c r="K55"/>
  <c r="F56"/>
  <c r="I56"/>
  <c r="K56"/>
  <c r="F58"/>
  <c r="I58"/>
  <c r="F59"/>
  <c r="I59"/>
  <c r="K59"/>
  <c r="F60"/>
  <c r="I60"/>
  <c r="K60"/>
  <c r="F63"/>
  <c r="I63"/>
  <c r="K63"/>
  <c r="F64"/>
  <c r="I64"/>
  <c r="K64"/>
  <c r="F65"/>
  <c r="I65"/>
  <c r="F66"/>
  <c r="I66"/>
  <c r="K66"/>
  <c r="F67"/>
  <c r="I67"/>
  <c r="K67"/>
  <c r="F68"/>
  <c r="I68"/>
  <c r="K68"/>
  <c r="F69"/>
  <c r="I69"/>
  <c r="K69"/>
  <c r="F70"/>
  <c r="I70"/>
  <c r="K70"/>
  <c r="F71"/>
  <c r="I71"/>
  <c r="K71"/>
  <c r="F72"/>
  <c r="I72"/>
  <c r="K72"/>
  <c r="F73"/>
  <c r="I73"/>
  <c r="K73"/>
  <c r="I74"/>
  <c r="F75"/>
  <c r="I75"/>
  <c r="K75"/>
  <c r="F76"/>
  <c r="I76"/>
  <c r="K76"/>
  <c r="F77"/>
  <c r="I77"/>
  <c r="K77"/>
  <c r="F78"/>
  <c r="I78"/>
  <c r="F79"/>
  <c r="I79"/>
  <c r="K79"/>
  <c r="F80"/>
  <c r="I80"/>
  <c r="K80"/>
  <c r="F81"/>
  <c r="I81"/>
  <c r="K81"/>
  <c r="F82"/>
  <c r="I82"/>
  <c r="F83"/>
  <c r="I83"/>
  <c r="K83"/>
  <c r="F84"/>
  <c r="I84"/>
  <c r="K84"/>
  <c r="F85"/>
  <c r="I85"/>
  <c r="K85"/>
  <c r="F86"/>
  <c r="I86"/>
  <c r="K86"/>
  <c r="F88"/>
  <c r="I88"/>
  <c r="K88"/>
  <c r="F89"/>
  <c r="I89"/>
  <c r="K89"/>
  <c r="I90"/>
  <c r="F91"/>
  <c r="I91"/>
  <c r="K91"/>
  <c r="F92"/>
  <c r="I92"/>
  <c r="K92"/>
  <c r="F93"/>
  <c r="I93"/>
  <c r="K93"/>
  <c r="F94"/>
  <c r="I94"/>
  <c r="K94"/>
  <c r="F95"/>
  <c r="I95"/>
  <c r="K95"/>
  <c r="F96"/>
  <c r="I96"/>
  <c r="K96"/>
  <c r="F97"/>
  <c r="I97"/>
  <c r="K97"/>
  <c r="F98"/>
  <c r="I98"/>
  <c r="K98"/>
  <c r="F101"/>
  <c r="I101"/>
  <c r="F102"/>
  <c r="I102"/>
  <c r="K102"/>
  <c r="F103"/>
  <c r="I103"/>
  <c r="K103"/>
  <c r="F104"/>
  <c r="I104"/>
  <c r="K104"/>
  <c r="F105"/>
  <c r="I105"/>
  <c r="K105"/>
  <c r="F106"/>
  <c r="I106"/>
  <c r="K106"/>
  <c r="F107"/>
  <c r="I107"/>
  <c r="K107"/>
  <c r="F108"/>
  <c r="I108"/>
  <c r="K108"/>
  <c r="F109"/>
  <c r="I109"/>
  <c r="K109"/>
  <c r="F110"/>
  <c r="I110"/>
  <c r="K110"/>
  <c r="F112"/>
  <c r="I112"/>
  <c r="K112"/>
  <c r="I113"/>
  <c r="F114"/>
  <c r="I114"/>
  <c r="K114"/>
  <c r="F115"/>
  <c r="I115"/>
  <c r="K115"/>
  <c r="F116"/>
  <c r="I116"/>
  <c r="K116"/>
  <c r="F117"/>
  <c r="I117"/>
  <c r="K117"/>
  <c r="F118"/>
  <c r="I118"/>
  <c r="K118"/>
  <c r="F119"/>
  <c r="I119"/>
  <c r="K119"/>
  <c r="F120"/>
  <c r="I120"/>
  <c r="K120"/>
  <c r="F121"/>
  <c r="I121"/>
  <c r="K121"/>
  <c r="F122"/>
  <c r="I122"/>
  <c r="K122"/>
  <c r="F123"/>
  <c r="I123"/>
  <c r="K123"/>
  <c r="F124"/>
  <c r="I124"/>
  <c r="K124"/>
  <c r="I125"/>
  <c r="F126"/>
  <c r="I126"/>
  <c r="K126"/>
  <c r="F127"/>
  <c r="I127"/>
  <c r="K127"/>
  <c r="F128"/>
  <c r="I128"/>
  <c r="K128"/>
  <c r="F129"/>
  <c r="I129"/>
  <c r="K129"/>
  <c r="F130"/>
  <c r="I130"/>
  <c r="K130"/>
  <c r="B182"/>
  <c r="B183"/>
  <c r="B184"/>
  <c r="B185"/>
  <c r="B186"/>
  <c r="B187"/>
  <c r="B188"/>
  <c r="B189"/>
  <c r="F190"/>
  <c r="G190"/>
  <c r="H190"/>
  <c r="I190"/>
  <c r="J190"/>
  <c r="K190"/>
  <c r="A191"/>
  <c r="A192"/>
  <c r="A193"/>
  <c r="A194"/>
  <c r="A195"/>
  <c r="A196"/>
  <c r="A197"/>
  <c r="A198"/>
  <c r="A199"/>
  <c r="A200"/>
  <c r="A201"/>
  <c r="A202"/>
  <c r="A203"/>
  <c r="A204"/>
  <c r="A205"/>
  <c r="A206"/>
  <c r="A207"/>
  <c r="A208" s="1"/>
  <c r="A209" s="1"/>
  <c r="A210" s="1"/>
  <c r="A211" s="1"/>
  <c r="A212" s="1"/>
  <c r="A213" s="1"/>
  <c r="A214" s="1"/>
  <c r="A215" s="1"/>
  <c r="A216" s="1"/>
  <c r="A217" s="1"/>
  <c r="C5" i="2"/>
  <c r="C6"/>
  <c r="C7"/>
  <c r="C8"/>
  <c r="C9"/>
  <c r="C13"/>
  <c r="C14"/>
  <c r="C15"/>
  <c r="F74"/>
  <c r="F27" s="1"/>
  <c r="F21"/>
  <c r="F20" s="1"/>
  <c r="D22"/>
  <c r="D28" s="1"/>
  <c r="O28" s="1"/>
  <c r="D70"/>
  <c r="D138"/>
  <c r="O138" s="1"/>
  <c r="D182"/>
  <c r="O182" s="1"/>
  <c r="F210" i="10"/>
  <c r="E211"/>
  <c r="F212"/>
  <c r="E214"/>
  <c r="E29" i="2"/>
  <c r="E36"/>
  <c r="E39"/>
  <c r="E42"/>
  <c r="E48"/>
  <c r="E52"/>
  <c r="E47" s="1"/>
  <c r="E59"/>
  <c r="E58" s="1"/>
  <c r="E69"/>
  <c r="E74"/>
  <c r="E81"/>
  <c r="E89"/>
  <c r="E103"/>
  <c r="E110"/>
  <c r="E126"/>
  <c r="E140"/>
  <c r="E147"/>
  <c r="E163"/>
  <c r="E177"/>
  <c r="E183"/>
  <c r="E200"/>
  <c r="E205"/>
  <c r="E199" s="1"/>
  <c r="E222"/>
  <c r="E230"/>
  <c r="G29"/>
  <c r="G36"/>
  <c r="G39"/>
  <c r="G42"/>
  <c r="L94" i="4" s="1"/>
  <c r="E94" s="1"/>
  <c r="D40" i="7" s="1"/>
  <c r="G48" i="2"/>
  <c r="G52"/>
  <c r="G59"/>
  <c r="G58" s="1"/>
  <c r="G69"/>
  <c r="H69" s="1"/>
  <c r="G74"/>
  <c r="H74" s="1"/>
  <c r="G81"/>
  <c r="G89"/>
  <c r="L89" s="1"/>
  <c r="G103"/>
  <c r="G110"/>
  <c r="H110" s="1"/>
  <c r="G126"/>
  <c r="G140"/>
  <c r="H140" s="1"/>
  <c r="G147"/>
  <c r="G163"/>
  <c r="G177"/>
  <c r="H177" s="1"/>
  <c r="G183"/>
  <c r="G200"/>
  <c r="G205"/>
  <c r="G199" s="1"/>
  <c r="G222"/>
  <c r="G230"/>
  <c r="H230" s="1"/>
  <c r="I29"/>
  <c r="I36"/>
  <c r="I39"/>
  <c r="I35" s="1"/>
  <c r="I42"/>
  <c r="I48"/>
  <c r="I52"/>
  <c r="I59"/>
  <c r="I58" s="1"/>
  <c r="I69"/>
  <c r="I74"/>
  <c r="I81"/>
  <c r="I89"/>
  <c r="I103"/>
  <c r="I110"/>
  <c r="I126"/>
  <c r="I140"/>
  <c r="I147"/>
  <c r="I163"/>
  <c r="I177"/>
  <c r="I183"/>
  <c r="I200"/>
  <c r="I205"/>
  <c r="I222"/>
  <c r="I230"/>
  <c r="J29"/>
  <c r="L29" s="1"/>
  <c r="J36"/>
  <c r="J39"/>
  <c r="J42"/>
  <c r="J48"/>
  <c r="J52"/>
  <c r="J59"/>
  <c r="F27" i="6"/>
  <c r="J70" i="2"/>
  <c r="L70" s="1"/>
  <c r="G27" i="6"/>
  <c r="J71" i="2"/>
  <c r="N71" s="1"/>
  <c r="J74"/>
  <c r="J81"/>
  <c r="J89"/>
  <c r="J103"/>
  <c r="J110"/>
  <c r="J126"/>
  <c r="N126" s="1"/>
  <c r="J140"/>
  <c r="J147"/>
  <c r="N147" s="1"/>
  <c r="J163"/>
  <c r="J177"/>
  <c r="J183"/>
  <c r="F38" i="6"/>
  <c r="G38"/>
  <c r="J198" i="2"/>
  <c r="N198" s="1"/>
  <c r="J205"/>
  <c r="J222"/>
  <c r="J230"/>
  <c r="K29"/>
  <c r="K36"/>
  <c r="K39"/>
  <c r="K42"/>
  <c r="K48"/>
  <c r="K52"/>
  <c r="K47"/>
  <c r="K59"/>
  <c r="K58" s="1"/>
  <c r="H27" i="6"/>
  <c r="K70" i="2" s="1"/>
  <c r="I27" i="6"/>
  <c r="K71" i="2" s="1"/>
  <c r="K74"/>
  <c r="K81"/>
  <c r="K89"/>
  <c r="K103"/>
  <c r="K110"/>
  <c r="K126"/>
  <c r="K140"/>
  <c r="K147"/>
  <c r="K163"/>
  <c r="K177"/>
  <c r="K183"/>
  <c r="H38" i="6"/>
  <c r="I38"/>
  <c r="K198" i="2" s="1"/>
  <c r="K200"/>
  <c r="K205"/>
  <c r="K222"/>
  <c r="K230"/>
  <c r="M29"/>
  <c r="M36"/>
  <c r="M39"/>
  <c r="M42"/>
  <c r="N42" s="1"/>
  <c r="M48"/>
  <c r="M52"/>
  <c r="M59"/>
  <c r="M58" s="1"/>
  <c r="M69"/>
  <c r="M74"/>
  <c r="M81"/>
  <c r="M89"/>
  <c r="M103"/>
  <c r="M110"/>
  <c r="M126"/>
  <c r="M140"/>
  <c r="M147"/>
  <c r="M125" s="1"/>
  <c r="M163"/>
  <c r="M177"/>
  <c r="N177" s="1"/>
  <c r="M183"/>
  <c r="M200"/>
  <c r="M205"/>
  <c r="M199"/>
  <c r="M222"/>
  <c r="M230"/>
  <c r="H28"/>
  <c r="L28"/>
  <c r="N28"/>
  <c r="F29"/>
  <c r="H30"/>
  <c r="L30"/>
  <c r="N30"/>
  <c r="H31"/>
  <c r="L31"/>
  <c r="N31"/>
  <c r="H32"/>
  <c r="L32"/>
  <c r="N32"/>
  <c r="H33"/>
  <c r="L33"/>
  <c r="N33"/>
  <c r="H34"/>
  <c r="L34"/>
  <c r="N34"/>
  <c r="F35"/>
  <c r="F36"/>
  <c r="H36"/>
  <c r="H37"/>
  <c r="L37"/>
  <c r="N37"/>
  <c r="H38"/>
  <c r="L38"/>
  <c r="N38"/>
  <c r="F39"/>
  <c r="L39"/>
  <c r="H40"/>
  <c r="L40"/>
  <c r="N40"/>
  <c r="H41"/>
  <c r="L41"/>
  <c r="N41"/>
  <c r="F42"/>
  <c r="H42"/>
  <c r="H43"/>
  <c r="L43"/>
  <c r="N43"/>
  <c r="H44"/>
  <c r="L44"/>
  <c r="N44"/>
  <c r="H45"/>
  <c r="L45"/>
  <c r="N45"/>
  <c r="F46"/>
  <c r="F47"/>
  <c r="F73"/>
  <c r="F72" s="1"/>
  <c r="F48" s="1"/>
  <c r="F125"/>
  <c r="F163"/>
  <c r="F162" s="1"/>
  <c r="H49"/>
  <c r="L49"/>
  <c r="N49"/>
  <c r="H50"/>
  <c r="L50"/>
  <c r="N50"/>
  <c r="H51"/>
  <c r="L51"/>
  <c r="N51"/>
  <c r="F52"/>
  <c r="H52"/>
  <c r="L52"/>
  <c r="H53"/>
  <c r="L53"/>
  <c r="N53"/>
  <c r="H54"/>
  <c r="L54"/>
  <c r="N54"/>
  <c r="H55"/>
  <c r="L55"/>
  <c r="N55"/>
  <c r="H56"/>
  <c r="L56"/>
  <c r="N56"/>
  <c r="H57"/>
  <c r="L57"/>
  <c r="N57"/>
  <c r="F58"/>
  <c r="F59"/>
  <c r="H59"/>
  <c r="H60"/>
  <c r="L60"/>
  <c r="N60"/>
  <c r="H61"/>
  <c r="L61"/>
  <c r="N61"/>
  <c r="H62"/>
  <c r="L62"/>
  <c r="N62"/>
  <c r="H63"/>
  <c r="L63"/>
  <c r="N63"/>
  <c r="H64"/>
  <c r="L64"/>
  <c r="N64"/>
  <c r="H65"/>
  <c r="L65"/>
  <c r="N65"/>
  <c r="H66"/>
  <c r="L66"/>
  <c r="N66"/>
  <c r="H67"/>
  <c r="L67"/>
  <c r="N67"/>
  <c r="H68"/>
  <c r="L68"/>
  <c r="N68"/>
  <c r="H70"/>
  <c r="H71"/>
  <c r="H75"/>
  <c r="L75"/>
  <c r="N75"/>
  <c r="H76"/>
  <c r="L76"/>
  <c r="N76"/>
  <c r="H77"/>
  <c r="L77"/>
  <c r="N77"/>
  <c r="H78"/>
  <c r="L78"/>
  <c r="N78"/>
  <c r="H79"/>
  <c r="L79"/>
  <c r="N79"/>
  <c r="H80"/>
  <c r="L80"/>
  <c r="N80"/>
  <c r="L81"/>
  <c r="H82"/>
  <c r="L82"/>
  <c r="N82"/>
  <c r="H83"/>
  <c r="L83"/>
  <c r="N83"/>
  <c r="H84"/>
  <c r="L84"/>
  <c r="N84"/>
  <c r="H85"/>
  <c r="L85"/>
  <c r="N85"/>
  <c r="H86"/>
  <c r="L86"/>
  <c r="N86"/>
  <c r="H87"/>
  <c r="L87"/>
  <c r="N87"/>
  <c r="H90"/>
  <c r="L90"/>
  <c r="N90"/>
  <c r="H91"/>
  <c r="L91"/>
  <c r="N91"/>
  <c r="H92"/>
  <c r="L92"/>
  <c r="N92"/>
  <c r="H93"/>
  <c r="L93"/>
  <c r="N93"/>
  <c r="H94"/>
  <c r="L94"/>
  <c r="N94"/>
  <c r="H95"/>
  <c r="L95"/>
  <c r="N95"/>
  <c r="H96"/>
  <c r="L96"/>
  <c r="N96"/>
  <c r="H97"/>
  <c r="L97"/>
  <c r="N97"/>
  <c r="H98"/>
  <c r="L98"/>
  <c r="N98"/>
  <c r="H99"/>
  <c r="L99"/>
  <c r="N99"/>
  <c r="H100"/>
  <c r="L100"/>
  <c r="N100"/>
  <c r="H101"/>
  <c r="L101"/>
  <c r="N101"/>
  <c r="H102"/>
  <c r="L102"/>
  <c r="N102"/>
  <c r="F110"/>
  <c r="F103" s="1"/>
  <c r="H103"/>
  <c r="H104"/>
  <c r="L104"/>
  <c r="N104"/>
  <c r="H105"/>
  <c r="L105"/>
  <c r="N105"/>
  <c r="H106"/>
  <c r="L106"/>
  <c r="N106"/>
  <c r="H107"/>
  <c r="L107"/>
  <c r="N107"/>
  <c r="H108"/>
  <c r="L108"/>
  <c r="N108"/>
  <c r="H109"/>
  <c r="L109"/>
  <c r="N109"/>
  <c r="H111"/>
  <c r="L111"/>
  <c r="N111"/>
  <c r="H112"/>
  <c r="L112"/>
  <c r="N112"/>
  <c r="H113"/>
  <c r="L113"/>
  <c r="N113"/>
  <c r="H114"/>
  <c r="L114"/>
  <c r="N114"/>
  <c r="H115"/>
  <c r="L115"/>
  <c r="N115"/>
  <c r="H116"/>
  <c r="L116"/>
  <c r="N116"/>
  <c r="H117"/>
  <c r="L117"/>
  <c r="N117"/>
  <c r="H118"/>
  <c r="L118"/>
  <c r="N118"/>
  <c r="H119"/>
  <c r="L119"/>
  <c r="N119"/>
  <c r="H120"/>
  <c r="L120"/>
  <c r="N120"/>
  <c r="H121"/>
  <c r="L121"/>
  <c r="N121"/>
  <c r="H122"/>
  <c r="L122"/>
  <c r="N122"/>
  <c r="H123"/>
  <c r="L123"/>
  <c r="N123"/>
  <c r="H124"/>
  <c r="L124"/>
  <c r="N124"/>
  <c r="F126"/>
  <c r="H126"/>
  <c r="H127"/>
  <c r="L127"/>
  <c r="N127"/>
  <c r="H128"/>
  <c r="L128"/>
  <c r="N128"/>
  <c r="H129"/>
  <c r="L129"/>
  <c r="N129"/>
  <c r="H130"/>
  <c r="L130"/>
  <c r="N130"/>
  <c r="H131"/>
  <c r="L131"/>
  <c r="N131"/>
  <c r="H132"/>
  <c r="L132"/>
  <c r="N132"/>
  <c r="H133"/>
  <c r="L133"/>
  <c r="N133"/>
  <c r="H134"/>
  <c r="L134"/>
  <c r="N134"/>
  <c r="H135"/>
  <c r="L135"/>
  <c r="N135"/>
  <c r="H136"/>
  <c r="L136"/>
  <c r="N136"/>
  <c r="H137"/>
  <c r="L137"/>
  <c r="N137"/>
  <c r="H138"/>
  <c r="L138"/>
  <c r="N138"/>
  <c r="H139"/>
  <c r="L139"/>
  <c r="N139"/>
  <c r="F140"/>
  <c r="L140"/>
  <c r="H141"/>
  <c r="L141"/>
  <c r="N141"/>
  <c r="H142"/>
  <c r="L142"/>
  <c r="N142"/>
  <c r="H143"/>
  <c r="L143"/>
  <c r="N143"/>
  <c r="H144"/>
  <c r="L144"/>
  <c r="N144"/>
  <c r="H145"/>
  <c r="L145"/>
  <c r="N145"/>
  <c r="H146"/>
  <c r="L146"/>
  <c r="N146"/>
  <c r="F147"/>
  <c r="H147"/>
  <c r="H148"/>
  <c r="L148"/>
  <c r="N148"/>
  <c r="H149"/>
  <c r="L149"/>
  <c r="N149"/>
  <c r="H150"/>
  <c r="L150"/>
  <c r="N150"/>
  <c r="H151"/>
  <c r="L151"/>
  <c r="N151"/>
  <c r="H152"/>
  <c r="L152"/>
  <c r="N152"/>
  <c r="H153"/>
  <c r="L153"/>
  <c r="N153"/>
  <c r="H154"/>
  <c r="L154"/>
  <c r="N154"/>
  <c r="H155"/>
  <c r="L155"/>
  <c r="N155"/>
  <c r="H156"/>
  <c r="L156"/>
  <c r="N156"/>
  <c r="H157"/>
  <c r="L157"/>
  <c r="N157"/>
  <c r="H158"/>
  <c r="L158"/>
  <c r="N158"/>
  <c r="H159"/>
  <c r="L159"/>
  <c r="N159"/>
  <c r="H160"/>
  <c r="L160"/>
  <c r="N160"/>
  <c r="H161"/>
  <c r="L161"/>
  <c r="N161"/>
  <c r="H163"/>
  <c r="N163"/>
  <c r="H164"/>
  <c r="L164"/>
  <c r="N164"/>
  <c r="H165"/>
  <c r="L165"/>
  <c r="N165"/>
  <c r="H166"/>
  <c r="L166"/>
  <c r="N166"/>
  <c r="H167"/>
  <c r="L167"/>
  <c r="N167"/>
  <c r="H168"/>
  <c r="L168"/>
  <c r="N168"/>
  <c r="H169"/>
  <c r="L169"/>
  <c r="N169"/>
  <c r="H170"/>
  <c r="L170"/>
  <c r="N170"/>
  <c r="H171"/>
  <c r="L171"/>
  <c r="N171"/>
  <c r="H172"/>
  <c r="L172"/>
  <c r="N172"/>
  <c r="H173"/>
  <c r="L173"/>
  <c r="N173"/>
  <c r="H174"/>
  <c r="L174"/>
  <c r="N174"/>
  <c r="H175"/>
  <c r="L175"/>
  <c r="N175"/>
  <c r="H176"/>
  <c r="L176"/>
  <c r="N176"/>
  <c r="F177"/>
  <c r="L177"/>
  <c r="H178"/>
  <c r="L178"/>
  <c r="N178"/>
  <c r="H179"/>
  <c r="L179"/>
  <c r="N179"/>
  <c r="H180"/>
  <c r="L180"/>
  <c r="N180"/>
  <c r="H181"/>
  <c r="L181"/>
  <c r="N181"/>
  <c r="H182"/>
  <c r="L182"/>
  <c r="N182"/>
  <c r="F183"/>
  <c r="H183"/>
  <c r="N183"/>
  <c r="H184"/>
  <c r="L184"/>
  <c r="N184"/>
  <c r="H185"/>
  <c r="L185"/>
  <c r="N185"/>
  <c r="H186"/>
  <c r="L186"/>
  <c r="N186"/>
  <c r="H187"/>
  <c r="L187"/>
  <c r="N187"/>
  <c r="H188"/>
  <c r="L188"/>
  <c r="N188"/>
  <c r="H189"/>
  <c r="L189"/>
  <c r="N189"/>
  <c r="H190"/>
  <c r="L190"/>
  <c r="N190"/>
  <c r="H191"/>
  <c r="L191"/>
  <c r="N191"/>
  <c r="H192"/>
  <c r="L192"/>
  <c r="N192"/>
  <c r="H193"/>
  <c r="L193"/>
  <c r="N193"/>
  <c r="H194"/>
  <c r="L194"/>
  <c r="N194"/>
  <c r="H195"/>
  <c r="L195"/>
  <c r="N195"/>
  <c r="H196"/>
  <c r="L196"/>
  <c r="N196"/>
  <c r="H197"/>
  <c r="L197"/>
  <c r="N197"/>
  <c r="H198"/>
  <c r="F199"/>
  <c r="F200"/>
  <c r="H200"/>
  <c r="H201"/>
  <c r="H202"/>
  <c r="L202"/>
  <c r="N202"/>
  <c r="H203"/>
  <c r="L203"/>
  <c r="N203"/>
  <c r="H204"/>
  <c r="L204"/>
  <c r="N204"/>
  <c r="F205"/>
  <c r="H205"/>
  <c r="L205"/>
  <c r="N205"/>
  <c r="H206"/>
  <c r="L206"/>
  <c r="N206"/>
  <c r="H207"/>
  <c r="L207"/>
  <c r="N207"/>
  <c r="H208"/>
  <c r="L208"/>
  <c r="N208"/>
  <c r="A209"/>
  <c r="B209"/>
  <c r="C209"/>
  <c r="E209"/>
  <c r="F209"/>
  <c r="G209"/>
  <c r="H222"/>
  <c r="H209" s="1"/>
  <c r="I209"/>
  <c r="J209"/>
  <c r="K209"/>
  <c r="L222"/>
  <c r="L209" s="1"/>
  <c r="M209"/>
  <c r="N222"/>
  <c r="N209" s="1"/>
  <c r="A210"/>
  <c r="B210"/>
  <c r="C210"/>
  <c r="E210"/>
  <c r="F210"/>
  <c r="G210"/>
  <c r="H223"/>
  <c r="H210" s="1"/>
  <c r="I210"/>
  <c r="J210"/>
  <c r="K210"/>
  <c r="L223"/>
  <c r="L210" s="1"/>
  <c r="M210"/>
  <c r="N223"/>
  <c r="N210" s="1"/>
  <c r="A211"/>
  <c r="B211"/>
  <c r="C211"/>
  <c r="E211"/>
  <c r="F211"/>
  <c r="G211"/>
  <c r="H224"/>
  <c r="H211" s="1"/>
  <c r="I211"/>
  <c r="J211"/>
  <c r="K211"/>
  <c r="L224"/>
  <c r="L211" s="1"/>
  <c r="M211"/>
  <c r="N224"/>
  <c r="N211" s="1"/>
  <c r="A212"/>
  <c r="B212"/>
  <c r="C212"/>
  <c r="E212"/>
  <c r="F212"/>
  <c r="G212"/>
  <c r="H225"/>
  <c r="H212" s="1"/>
  <c r="I212"/>
  <c r="J212"/>
  <c r="K212"/>
  <c r="L225"/>
  <c r="L212" s="1"/>
  <c r="M212"/>
  <c r="N225"/>
  <c r="N212" s="1"/>
  <c r="A213"/>
  <c r="B213"/>
  <c r="C213"/>
  <c r="E213"/>
  <c r="F213"/>
  <c r="G213"/>
  <c r="H213"/>
  <c r="I213"/>
  <c r="J213"/>
  <c r="K213"/>
  <c r="L230"/>
  <c r="L213" s="1"/>
  <c r="M213"/>
  <c r="A214"/>
  <c r="B214"/>
  <c r="C214"/>
  <c r="E214"/>
  <c r="F214"/>
  <c r="G214"/>
  <c r="H231"/>
  <c r="H214" s="1"/>
  <c r="I214"/>
  <c r="J214"/>
  <c r="K214"/>
  <c r="L231"/>
  <c r="L214" s="1"/>
  <c r="M214"/>
  <c r="N231"/>
  <c r="N214"/>
  <c r="F216"/>
  <c r="F217"/>
  <c r="F226"/>
  <c r="F232"/>
  <c r="H232"/>
  <c r="L232"/>
  <c r="N232"/>
  <c r="O232"/>
  <c r="F233"/>
  <c r="H233"/>
  <c r="L233"/>
  <c r="N233"/>
  <c r="O233"/>
  <c r="F234"/>
  <c r="F235"/>
  <c r="D9" i="3"/>
  <c r="D18"/>
  <c r="C23"/>
  <c r="G23"/>
  <c r="G120" s="1"/>
  <c r="I23"/>
  <c r="I120" s="1"/>
  <c r="J23"/>
  <c r="J120" s="1"/>
  <c r="K23"/>
  <c r="K120" s="1"/>
  <c r="L23"/>
  <c r="L120" s="1"/>
  <c r="N23"/>
  <c r="P23"/>
  <c r="R23"/>
  <c r="T23"/>
  <c r="T120" s="1"/>
  <c r="U23"/>
  <c r="U120" s="1"/>
  <c r="A25"/>
  <c r="C28"/>
  <c r="C29"/>
  <c r="C30"/>
  <c r="C31"/>
  <c r="C35"/>
  <c r="C37"/>
  <c r="C39"/>
  <c r="C40"/>
  <c r="C41"/>
  <c r="C42"/>
  <c r="C43"/>
  <c r="C67"/>
  <c r="C68"/>
  <c r="C69"/>
  <c r="C70"/>
  <c r="C71"/>
  <c r="C73"/>
  <c r="A26"/>
  <c r="C85"/>
  <c r="A27"/>
  <c r="A28"/>
  <c r="B28"/>
  <c r="A29"/>
  <c r="B29"/>
  <c r="A30"/>
  <c r="B30"/>
  <c r="A31"/>
  <c r="B31"/>
  <c r="A32"/>
  <c r="A33"/>
  <c r="A35"/>
  <c r="A36"/>
  <c r="A37"/>
  <c r="B37"/>
  <c r="A38"/>
  <c r="A39"/>
  <c r="B39"/>
  <c r="A40"/>
  <c r="B40"/>
  <c r="A41"/>
  <c r="B41"/>
  <c r="A42"/>
  <c r="A43"/>
  <c r="B43"/>
  <c r="A44"/>
  <c r="C50"/>
  <c r="C51"/>
  <c r="C52"/>
  <c r="C53"/>
  <c r="C54"/>
  <c r="C55"/>
  <c r="C56"/>
  <c r="C57"/>
  <c r="C58"/>
  <c r="C60"/>
  <c r="C61"/>
  <c r="C62"/>
  <c r="C64"/>
  <c r="C86"/>
  <c r="A46"/>
  <c r="A47"/>
  <c r="B47"/>
  <c r="A48"/>
  <c r="B48"/>
  <c r="A49"/>
  <c r="B50"/>
  <c r="A56"/>
  <c r="A57"/>
  <c r="A58"/>
  <c r="A63"/>
  <c r="A64"/>
  <c r="A66"/>
  <c r="A67"/>
  <c r="A68"/>
  <c r="A69"/>
  <c r="A70"/>
  <c r="A71"/>
  <c r="A72"/>
  <c r="A73"/>
  <c r="A76"/>
  <c r="C84"/>
  <c r="A80"/>
  <c r="A81"/>
  <c r="A84"/>
  <c r="A87"/>
  <c r="B87"/>
  <c r="D87"/>
  <c r="E87"/>
  <c r="F87"/>
  <c r="A88"/>
  <c r="B88"/>
  <c r="D88"/>
  <c r="E88"/>
  <c r="F88"/>
  <c r="A89"/>
  <c r="B89"/>
  <c r="C89"/>
  <c r="D89"/>
  <c r="E89"/>
  <c r="F89"/>
  <c r="G89"/>
  <c r="H89"/>
  <c r="I89"/>
  <c r="J89"/>
  <c r="K89"/>
  <c r="L89"/>
  <c r="M89"/>
  <c r="N89"/>
  <c r="O89"/>
  <c r="P89"/>
  <c r="Q89"/>
  <c r="R89"/>
  <c r="S89"/>
  <c r="T89"/>
  <c r="U89"/>
  <c r="A90"/>
  <c r="B90"/>
  <c r="D90"/>
  <c r="E90"/>
  <c r="F90"/>
  <c r="A91"/>
  <c r="B91"/>
  <c r="D91"/>
  <c r="E91"/>
  <c r="F91"/>
  <c r="A92"/>
  <c r="B92"/>
  <c r="D92"/>
  <c r="E92"/>
  <c r="F92"/>
  <c r="B116"/>
  <c r="C118"/>
  <c r="G118" s="1"/>
  <c r="G119"/>
  <c r="H119" s="1"/>
  <c r="C120"/>
  <c r="N120"/>
  <c r="P120"/>
  <c r="R120"/>
  <c r="N27" i="4"/>
  <c r="K27" s="1"/>
  <c r="F27" s="1"/>
  <c r="N29"/>
  <c r="K29" s="1"/>
  <c r="F29" s="1"/>
  <c r="E31" i="7" s="1"/>
  <c r="N30" i="4"/>
  <c r="K30" s="1"/>
  <c r="F30" s="1"/>
  <c r="N31"/>
  <c r="K31" s="1"/>
  <c r="F31" s="1"/>
  <c r="N32"/>
  <c r="K32" s="1"/>
  <c r="F32" s="1"/>
  <c r="N33"/>
  <c r="K33" s="1"/>
  <c r="F33" s="1"/>
  <c r="N34"/>
  <c r="K34" s="1"/>
  <c r="F34" s="1"/>
  <c r="N35"/>
  <c r="K35" s="1"/>
  <c r="F35" s="1"/>
  <c r="N36"/>
  <c r="K36" s="1"/>
  <c r="F36" s="1"/>
  <c r="N37"/>
  <c r="K37" s="1"/>
  <c r="F37" s="1"/>
  <c r="N40"/>
  <c r="K40" s="1"/>
  <c r="F40" s="1"/>
  <c r="N41"/>
  <c r="K41" s="1"/>
  <c r="N42"/>
  <c r="K42" s="1"/>
  <c r="F42" s="1"/>
  <c r="N43"/>
  <c r="K43" s="1"/>
  <c r="F43" s="1"/>
  <c r="N44"/>
  <c r="K44" s="1"/>
  <c r="F44" s="1"/>
  <c r="N45"/>
  <c r="K45" s="1"/>
  <c r="F45" s="1"/>
  <c r="N46"/>
  <c r="K46" s="1"/>
  <c r="N28"/>
  <c r="K28" s="1"/>
  <c r="F28" s="1"/>
  <c r="N38"/>
  <c r="K38" s="1"/>
  <c r="F38" s="1"/>
  <c r="N48"/>
  <c r="K48" s="1"/>
  <c r="F48" s="1"/>
  <c r="N49"/>
  <c r="K49" s="1"/>
  <c r="F49" s="1"/>
  <c r="N50"/>
  <c r="K50" s="1"/>
  <c r="F50" s="1"/>
  <c r="N52"/>
  <c r="K52" s="1"/>
  <c r="F52" s="1"/>
  <c r="N53"/>
  <c r="K53" s="1"/>
  <c r="N60"/>
  <c r="K60" s="1"/>
  <c r="N61"/>
  <c r="K61" s="1"/>
  <c r="F61" s="1"/>
  <c r="N63"/>
  <c r="K63" s="1"/>
  <c r="F63" s="1"/>
  <c r="N64"/>
  <c r="K64" s="1"/>
  <c r="N65"/>
  <c r="K65" s="1"/>
  <c r="F65" s="1"/>
  <c r="N66"/>
  <c r="K66" s="1"/>
  <c r="F66" s="1"/>
  <c r="N67"/>
  <c r="K67" s="1"/>
  <c r="F67" s="1"/>
  <c r="N68"/>
  <c r="K68" s="1"/>
  <c r="F68" s="1"/>
  <c r="N69"/>
  <c r="K69" s="1"/>
  <c r="F69" s="1"/>
  <c r="N70"/>
  <c r="K70" s="1"/>
  <c r="F70" s="1"/>
  <c r="N56"/>
  <c r="K56" s="1"/>
  <c r="F56" s="1"/>
  <c r="N57"/>
  <c r="K57" s="1"/>
  <c r="N72"/>
  <c r="K72" s="1"/>
  <c r="N73"/>
  <c r="K73" s="1"/>
  <c r="F73" s="1"/>
  <c r="N74"/>
  <c r="K74" s="1"/>
  <c r="F74" s="1"/>
  <c r="N76"/>
  <c r="K76" s="1"/>
  <c r="N77"/>
  <c r="K77" s="1"/>
  <c r="F77" s="1"/>
  <c r="N78"/>
  <c r="K78" s="1"/>
  <c r="F78" s="1"/>
  <c r="N83"/>
  <c r="K83" s="1"/>
  <c r="F83" s="1"/>
  <c r="N80"/>
  <c r="K80" s="1"/>
  <c r="N81"/>
  <c r="K81" s="1"/>
  <c r="F81" s="1"/>
  <c r="N82"/>
  <c r="K82" s="1"/>
  <c r="F82" s="1"/>
  <c r="N85"/>
  <c r="K85" s="1"/>
  <c r="F85" s="1"/>
  <c r="P39"/>
  <c r="P26" s="1"/>
  <c r="P59"/>
  <c r="P55"/>
  <c r="P75"/>
  <c r="M94"/>
  <c r="F94" s="1"/>
  <c r="E40" i="7" s="1"/>
  <c r="J96" i="4"/>
  <c r="J97"/>
  <c r="J95" s="1"/>
  <c r="M99"/>
  <c r="F99" s="1"/>
  <c r="P94"/>
  <c r="D48" i="10"/>
  <c r="D52"/>
  <c r="D59"/>
  <c r="D58" s="1"/>
  <c r="P98" i="4"/>
  <c r="P99"/>
  <c r="Q94"/>
  <c r="E48" i="10"/>
  <c r="E52"/>
  <c r="E59"/>
  <c r="E58" s="1"/>
  <c r="Q98" i="4"/>
  <c r="Q99"/>
  <c r="R94"/>
  <c r="F48" i="10"/>
  <c r="F59"/>
  <c r="F58" s="1"/>
  <c r="R98" i="4"/>
  <c r="S98"/>
  <c r="T98"/>
  <c r="U98"/>
  <c r="V98"/>
  <c r="W98"/>
  <c r="X98"/>
  <c r="Y98"/>
  <c r="Z98"/>
  <c r="AA98"/>
  <c r="AB98"/>
  <c r="AC98"/>
  <c r="AD98"/>
  <c r="D231" i="3"/>
  <c r="D229"/>
  <c r="D228"/>
  <c r="E228"/>
  <c r="D233"/>
  <c r="D234"/>
  <c r="E234"/>
  <c r="D210"/>
  <c r="D208"/>
  <c r="D207"/>
  <c r="E207"/>
  <c r="D220"/>
  <c r="D213"/>
  <c r="D216"/>
  <c r="D214"/>
  <c r="D215"/>
  <c r="E214"/>
  <c r="D227"/>
  <c r="D223"/>
  <c r="D221"/>
  <c r="D222"/>
  <c r="E221"/>
  <c r="D4" i="5"/>
  <c r="C128" i="3" s="1"/>
  <c r="C11" i="5"/>
  <c r="D11" s="1"/>
  <c r="C1" i="6"/>
  <c r="D1" s="1"/>
  <c r="E1" s="1"/>
  <c r="F1" s="1"/>
  <c r="G1" s="1"/>
  <c r="H1" s="1"/>
  <c r="I1" s="1"/>
  <c r="J1" s="1"/>
  <c r="C73"/>
  <c r="C10" s="1"/>
  <c r="C55"/>
  <c r="C4" s="1"/>
  <c r="C58"/>
  <c r="C5" s="1"/>
  <c r="C61"/>
  <c r="C6" s="1"/>
  <c r="C64"/>
  <c r="C7" s="1"/>
  <c r="C67"/>
  <c r="C8" s="1"/>
  <c r="C70"/>
  <c r="C9" s="1"/>
  <c r="C76"/>
  <c r="C11" s="1"/>
  <c r="C79"/>
  <c r="C12" s="1"/>
  <c r="C82"/>
  <c r="C13" s="1"/>
  <c r="D55"/>
  <c r="D4" s="1"/>
  <c r="D58"/>
  <c r="D5" s="1"/>
  <c r="D61"/>
  <c r="D6" s="1"/>
  <c r="D64"/>
  <c r="D7" s="1"/>
  <c r="D67"/>
  <c r="D8" s="1"/>
  <c r="D70"/>
  <c r="D9" s="1"/>
  <c r="D73"/>
  <c r="D10" s="1"/>
  <c r="D76"/>
  <c r="D11" s="1"/>
  <c r="D79"/>
  <c r="D12" s="1"/>
  <c r="D82"/>
  <c r="D13" s="1"/>
  <c r="E55"/>
  <c r="E4"/>
  <c r="E58"/>
  <c r="E5"/>
  <c r="E61"/>
  <c r="E6"/>
  <c r="E64"/>
  <c r="E7"/>
  <c r="E67"/>
  <c r="E8"/>
  <c r="E70"/>
  <c r="E9"/>
  <c r="E73"/>
  <c r="E10"/>
  <c r="E76"/>
  <c r="E11"/>
  <c r="E79"/>
  <c r="E12"/>
  <c r="E82"/>
  <c r="E13"/>
  <c r="F55"/>
  <c r="F4" s="1"/>
  <c r="F58"/>
  <c r="F5" s="1"/>
  <c r="F61"/>
  <c r="F6" s="1"/>
  <c r="F64"/>
  <c r="F7" s="1"/>
  <c r="F67"/>
  <c r="F8" s="1"/>
  <c r="F70"/>
  <c r="F9" s="1"/>
  <c r="F73"/>
  <c r="F10" s="1"/>
  <c r="F76"/>
  <c r="F11" s="1"/>
  <c r="F79"/>
  <c r="F12" s="1"/>
  <c r="F82"/>
  <c r="F13" s="1"/>
  <c r="G55"/>
  <c r="G4"/>
  <c r="G58"/>
  <c r="G5"/>
  <c r="G61"/>
  <c r="G6"/>
  <c r="G64"/>
  <c r="G7"/>
  <c r="G67"/>
  <c r="G8"/>
  <c r="G70"/>
  <c r="G9"/>
  <c r="G73"/>
  <c r="G10"/>
  <c r="G76"/>
  <c r="G11"/>
  <c r="G79"/>
  <c r="G12"/>
  <c r="G82"/>
  <c r="G13"/>
  <c r="H55"/>
  <c r="H4" s="1"/>
  <c r="H58"/>
  <c r="H5" s="1"/>
  <c r="H61"/>
  <c r="H6" s="1"/>
  <c r="H64"/>
  <c r="H7" s="1"/>
  <c r="H67"/>
  <c r="H8" s="1"/>
  <c r="H70"/>
  <c r="H9" s="1"/>
  <c r="H73"/>
  <c r="H10" s="1"/>
  <c r="H76"/>
  <c r="H11" s="1"/>
  <c r="H79"/>
  <c r="H12" s="1"/>
  <c r="H82"/>
  <c r="H13" s="1"/>
  <c r="I55"/>
  <c r="I4"/>
  <c r="I58"/>
  <c r="I5"/>
  <c r="I61"/>
  <c r="I6"/>
  <c r="I64"/>
  <c r="I7"/>
  <c r="I67"/>
  <c r="I8"/>
  <c r="I70"/>
  <c r="I9"/>
  <c r="I73"/>
  <c r="I10"/>
  <c r="I76"/>
  <c r="I11"/>
  <c r="I79"/>
  <c r="I12"/>
  <c r="I82"/>
  <c r="I13"/>
  <c r="J55"/>
  <c r="J4" s="1"/>
  <c r="J58"/>
  <c r="J5" s="1"/>
  <c r="J61"/>
  <c r="J6" s="1"/>
  <c r="J64"/>
  <c r="J7" s="1"/>
  <c r="J67"/>
  <c r="J8" s="1"/>
  <c r="J70"/>
  <c r="J9" s="1"/>
  <c r="J73"/>
  <c r="J10" s="1"/>
  <c r="J76"/>
  <c r="J11" s="1"/>
  <c r="J79"/>
  <c r="J12" s="1"/>
  <c r="J82"/>
  <c r="J13" s="1"/>
  <c r="K55"/>
  <c r="K4"/>
  <c r="K58"/>
  <c r="K5"/>
  <c r="K61"/>
  <c r="K6"/>
  <c r="K64"/>
  <c r="K7"/>
  <c r="K67"/>
  <c r="K8"/>
  <c r="K70"/>
  <c r="K9"/>
  <c r="K73"/>
  <c r="K10"/>
  <c r="K76"/>
  <c r="K11"/>
  <c r="K79"/>
  <c r="K12"/>
  <c r="K82"/>
  <c r="K13"/>
  <c r="L55"/>
  <c r="L4" s="1"/>
  <c r="L58"/>
  <c r="L5" s="1"/>
  <c r="L61"/>
  <c r="L6" s="1"/>
  <c r="L64"/>
  <c r="L7" s="1"/>
  <c r="L67"/>
  <c r="L8" s="1"/>
  <c r="L70"/>
  <c r="L9" s="1"/>
  <c r="L73"/>
  <c r="L10" s="1"/>
  <c r="L76"/>
  <c r="L11" s="1"/>
  <c r="L79"/>
  <c r="L12" s="1"/>
  <c r="L82"/>
  <c r="L13" s="1"/>
  <c r="M55"/>
  <c r="M4"/>
  <c r="M58"/>
  <c r="M5"/>
  <c r="M61"/>
  <c r="M6"/>
  <c r="M64"/>
  <c r="M7"/>
  <c r="M67"/>
  <c r="M8"/>
  <c r="M70"/>
  <c r="M9"/>
  <c r="M73"/>
  <c r="M10"/>
  <c r="M76"/>
  <c r="M11"/>
  <c r="M79"/>
  <c r="M12"/>
  <c r="M82"/>
  <c r="M13"/>
  <c r="N55"/>
  <c r="N4" s="1"/>
  <c r="N58"/>
  <c r="N5" s="1"/>
  <c r="N61"/>
  <c r="N6" s="1"/>
  <c r="N64"/>
  <c r="N7" s="1"/>
  <c r="N67"/>
  <c r="N8" s="1"/>
  <c r="N70"/>
  <c r="N9" s="1"/>
  <c r="N73"/>
  <c r="N10" s="1"/>
  <c r="N76"/>
  <c r="N11" s="1"/>
  <c r="N79"/>
  <c r="N12" s="1"/>
  <c r="N82"/>
  <c r="N13" s="1"/>
  <c r="O55"/>
  <c r="O4"/>
  <c r="O58"/>
  <c r="O5"/>
  <c r="O61"/>
  <c r="O6"/>
  <c r="O64"/>
  <c r="O7"/>
  <c r="O67"/>
  <c r="O8"/>
  <c r="O70"/>
  <c r="O9"/>
  <c r="O73"/>
  <c r="O10"/>
  <c r="O76"/>
  <c r="O11"/>
  <c r="O79"/>
  <c r="O12"/>
  <c r="O82"/>
  <c r="O13"/>
  <c r="P55"/>
  <c r="P4" s="1"/>
  <c r="P58"/>
  <c r="P5" s="1"/>
  <c r="P61"/>
  <c r="P6" s="1"/>
  <c r="P64"/>
  <c r="P7" s="1"/>
  <c r="P67"/>
  <c r="P8" s="1"/>
  <c r="P70"/>
  <c r="P9" s="1"/>
  <c r="P73"/>
  <c r="P10" s="1"/>
  <c r="P76"/>
  <c r="P11" s="1"/>
  <c r="P79"/>
  <c r="P12" s="1"/>
  <c r="P82"/>
  <c r="P13" s="1"/>
  <c r="Q55"/>
  <c r="Q4"/>
  <c r="Q58"/>
  <c r="Q5"/>
  <c r="Q61"/>
  <c r="Q6"/>
  <c r="Q64"/>
  <c r="Q7"/>
  <c r="Q67"/>
  <c r="Q8"/>
  <c r="Q70"/>
  <c r="Q9"/>
  <c r="Q73"/>
  <c r="Q10"/>
  <c r="Q76"/>
  <c r="Q11"/>
  <c r="Q79"/>
  <c r="Q12"/>
  <c r="Q82"/>
  <c r="Q13"/>
  <c r="C132" i="3"/>
  <c r="D26" i="5"/>
  <c r="D21" s="1"/>
  <c r="D37" s="1"/>
  <c r="G26"/>
  <c r="H26"/>
  <c r="I26"/>
  <c r="J26"/>
  <c r="K26"/>
  <c r="L26"/>
  <c r="M26"/>
  <c r="N26"/>
  <c r="O26"/>
  <c r="P26"/>
  <c r="Q26"/>
  <c r="R26"/>
  <c r="S26"/>
  <c r="T26"/>
  <c r="C133" i="3"/>
  <c r="G133"/>
  <c r="H133"/>
  <c r="I133"/>
  <c r="J133"/>
  <c r="K133"/>
  <c r="L133"/>
  <c r="M133"/>
  <c r="N133"/>
  <c r="O133"/>
  <c r="P133"/>
  <c r="Q133"/>
  <c r="R133"/>
  <c r="S133"/>
  <c r="T133"/>
  <c r="U133"/>
  <c r="C135"/>
  <c r="C136"/>
  <c r="U26" i="5"/>
  <c r="G135" i="3"/>
  <c r="H135"/>
  <c r="I135"/>
  <c r="J135"/>
  <c r="K135"/>
  <c r="L135"/>
  <c r="M135"/>
  <c r="N135"/>
  <c r="O135"/>
  <c r="P135"/>
  <c r="Q135"/>
  <c r="R135"/>
  <c r="S135"/>
  <c r="T135"/>
  <c r="U135"/>
  <c r="G136"/>
  <c r="H136"/>
  <c r="I136"/>
  <c r="J136"/>
  <c r="K136"/>
  <c r="L136"/>
  <c r="M136"/>
  <c r="N136"/>
  <c r="O136"/>
  <c r="P136"/>
  <c r="Q136"/>
  <c r="R136"/>
  <c r="S136"/>
  <c r="T136"/>
  <c r="U136"/>
  <c r="C137"/>
  <c r="G137"/>
  <c r="H137"/>
  <c r="I137"/>
  <c r="J137"/>
  <c r="K137"/>
  <c r="L137"/>
  <c r="M137"/>
  <c r="N137"/>
  <c r="O137"/>
  <c r="P137"/>
  <c r="Q137"/>
  <c r="R137"/>
  <c r="S137"/>
  <c r="T137"/>
  <c r="U137"/>
  <c r="C138"/>
  <c r="G138"/>
  <c r="H138"/>
  <c r="I138"/>
  <c r="J138"/>
  <c r="K138"/>
  <c r="L138"/>
  <c r="M138"/>
  <c r="N138"/>
  <c r="O138"/>
  <c r="P138"/>
  <c r="Q138"/>
  <c r="R138"/>
  <c r="S138"/>
  <c r="T138"/>
  <c r="U138"/>
  <c r="D29" i="5"/>
  <c r="C139" i="3" s="1"/>
  <c r="G29" i="5"/>
  <c r="G139" i="3"/>
  <c r="H29" i="5"/>
  <c r="H139" i="3"/>
  <c r="I29" i="5"/>
  <c r="I139" i="3"/>
  <c r="J29" i="5"/>
  <c r="J139" i="3"/>
  <c r="K29" i="5"/>
  <c r="K139" i="3"/>
  <c r="L29" i="5"/>
  <c r="L139" i="3"/>
  <c r="M29" i="5"/>
  <c r="M139" i="3"/>
  <c r="N29" i="5"/>
  <c r="N139" i="3"/>
  <c r="O29" i="5"/>
  <c r="O139" i="3"/>
  <c r="P29" i="5"/>
  <c r="P139" i="3"/>
  <c r="Q29" i="5"/>
  <c r="Q139" i="3"/>
  <c r="R29" i="5"/>
  <c r="R139" i="3"/>
  <c r="S29" i="5"/>
  <c r="S139" i="3"/>
  <c r="T29" i="5"/>
  <c r="T139" i="3"/>
  <c r="U29" i="5"/>
  <c r="U139" i="3"/>
  <c r="C140"/>
  <c r="G140"/>
  <c r="H140"/>
  <c r="I140"/>
  <c r="J140"/>
  <c r="K140"/>
  <c r="L140"/>
  <c r="M140"/>
  <c r="N140"/>
  <c r="O140"/>
  <c r="P140"/>
  <c r="Q140"/>
  <c r="R140"/>
  <c r="S140"/>
  <c r="T140"/>
  <c r="U140"/>
  <c r="E208"/>
  <c r="D209"/>
  <c r="E209"/>
  <c r="E210"/>
  <c r="D211"/>
  <c r="E211"/>
  <c r="D212"/>
  <c r="E212"/>
  <c r="E213"/>
  <c r="E215"/>
  <c r="E216"/>
  <c r="D217"/>
  <c r="E217"/>
  <c r="D218"/>
  <c r="E218"/>
  <c r="D219"/>
  <c r="E219"/>
  <c r="E220"/>
  <c r="E222"/>
  <c r="E223"/>
  <c r="D224"/>
  <c r="E224"/>
  <c r="D225"/>
  <c r="E225"/>
  <c r="D226"/>
  <c r="E226"/>
  <c r="E227"/>
  <c r="E229"/>
  <c r="D230"/>
  <c r="E230"/>
  <c r="E231"/>
  <c r="D232"/>
  <c r="E232"/>
  <c r="E233"/>
  <c r="C7" i="4"/>
  <c r="C8"/>
  <c r="C22" s="1"/>
  <c r="C9"/>
  <c r="C23" s="1"/>
  <c r="A22"/>
  <c r="A23"/>
  <c r="A25"/>
  <c r="M27"/>
  <c r="J27" s="1"/>
  <c r="E27" s="1"/>
  <c r="M29"/>
  <c r="J29" s="1"/>
  <c r="E29" s="1"/>
  <c r="M30"/>
  <c r="J30" s="1"/>
  <c r="E30" s="1"/>
  <c r="M31"/>
  <c r="J31" s="1"/>
  <c r="E31" s="1"/>
  <c r="M32"/>
  <c r="J32" s="1"/>
  <c r="E32" s="1"/>
  <c r="M33"/>
  <c r="J33" s="1"/>
  <c r="E33" s="1"/>
  <c r="M34"/>
  <c r="J34" s="1"/>
  <c r="E34" s="1"/>
  <c r="M35"/>
  <c r="J35" s="1"/>
  <c r="E35" s="1"/>
  <c r="M36"/>
  <c r="J36" s="1"/>
  <c r="E36" s="1"/>
  <c r="M37"/>
  <c r="J37" s="1"/>
  <c r="E37" s="1"/>
  <c r="M40"/>
  <c r="J40" s="1"/>
  <c r="E40" s="1"/>
  <c r="M41"/>
  <c r="J41" s="1"/>
  <c r="M42"/>
  <c r="J42" s="1"/>
  <c r="E42" s="1"/>
  <c r="M43"/>
  <c r="J43" s="1"/>
  <c r="E43" s="1"/>
  <c r="M44"/>
  <c r="J44" s="1"/>
  <c r="E44" s="1"/>
  <c r="M45"/>
  <c r="J45" s="1"/>
  <c r="E45" s="1"/>
  <c r="M46"/>
  <c r="J46" s="1"/>
  <c r="E46" s="1"/>
  <c r="M28"/>
  <c r="J28" s="1"/>
  <c r="E28" s="1"/>
  <c r="M38"/>
  <c r="J38" s="1"/>
  <c r="E38" s="1"/>
  <c r="M48"/>
  <c r="J48" s="1"/>
  <c r="E48" s="1"/>
  <c r="M49"/>
  <c r="J49" s="1"/>
  <c r="E49" s="1"/>
  <c r="M50"/>
  <c r="J50" s="1"/>
  <c r="E50" s="1"/>
  <c r="M52"/>
  <c r="J52" s="1"/>
  <c r="E52" s="1"/>
  <c r="M53"/>
  <c r="J53" s="1"/>
  <c r="M60"/>
  <c r="J60" s="1"/>
  <c r="M61"/>
  <c r="J61" s="1"/>
  <c r="E61" s="1"/>
  <c r="M63"/>
  <c r="J63" s="1"/>
  <c r="E63" s="1"/>
  <c r="M64"/>
  <c r="J64" s="1"/>
  <c r="M65"/>
  <c r="J65" s="1"/>
  <c r="E65" s="1"/>
  <c r="M66"/>
  <c r="J66" s="1"/>
  <c r="E66" s="1"/>
  <c r="M67"/>
  <c r="J67" s="1"/>
  <c r="E67" s="1"/>
  <c r="M68"/>
  <c r="J68" s="1"/>
  <c r="E68" s="1"/>
  <c r="M69"/>
  <c r="J69" s="1"/>
  <c r="E69" s="1"/>
  <c r="M70"/>
  <c r="J70" s="1"/>
  <c r="E70" s="1"/>
  <c r="M56"/>
  <c r="J56" s="1"/>
  <c r="E56" s="1"/>
  <c r="M57"/>
  <c r="J57" s="1"/>
  <c r="M72"/>
  <c r="J72" s="1"/>
  <c r="M73"/>
  <c r="J73" s="1"/>
  <c r="E73" s="1"/>
  <c r="M74"/>
  <c r="J74" s="1"/>
  <c r="E74" s="1"/>
  <c r="M76"/>
  <c r="J76" s="1"/>
  <c r="M77"/>
  <c r="J77" s="1"/>
  <c r="E77" s="1"/>
  <c r="M78"/>
  <c r="J78" s="1"/>
  <c r="E78" s="1"/>
  <c r="M83"/>
  <c r="J83" s="1"/>
  <c r="E83" s="1"/>
  <c r="M80"/>
  <c r="J80" s="1"/>
  <c r="M81"/>
  <c r="J81" s="1"/>
  <c r="E81" s="1"/>
  <c r="M82"/>
  <c r="J82" s="1"/>
  <c r="E82" s="1"/>
  <c r="M85"/>
  <c r="J85" s="1"/>
  <c r="E85" s="1"/>
  <c r="A26"/>
  <c r="A27"/>
  <c r="A28"/>
  <c r="A29"/>
  <c r="A30"/>
  <c r="A31"/>
  <c r="A32"/>
  <c r="A33"/>
  <c r="A34"/>
  <c r="A35"/>
  <c r="A36"/>
  <c r="A37"/>
  <c r="A38"/>
  <c r="A39"/>
  <c r="M39"/>
  <c r="N39"/>
  <c r="A40"/>
  <c r="A41"/>
  <c r="A42"/>
  <c r="A43"/>
  <c r="A44"/>
  <c r="A45"/>
  <c r="A46"/>
  <c r="A47"/>
  <c r="A48"/>
  <c r="A49"/>
  <c r="A50"/>
  <c r="A51"/>
  <c r="M51"/>
  <c r="N51"/>
  <c r="A52"/>
  <c r="A53"/>
  <c r="A54"/>
  <c r="A55"/>
  <c r="M55"/>
  <c r="N55"/>
  <c r="A56"/>
  <c r="A57"/>
  <c r="A58"/>
  <c r="A59"/>
  <c r="M59"/>
  <c r="N59"/>
  <c r="A60"/>
  <c r="A61"/>
  <c r="A62"/>
  <c r="M62"/>
  <c r="N62"/>
  <c r="A63"/>
  <c r="A64"/>
  <c r="A65"/>
  <c r="A66"/>
  <c r="A67"/>
  <c r="A68"/>
  <c r="A69"/>
  <c r="A70"/>
  <c r="A71"/>
  <c r="M71"/>
  <c r="N71"/>
  <c r="A72"/>
  <c r="A73"/>
  <c r="A74"/>
  <c r="A75"/>
  <c r="M75"/>
  <c r="N75"/>
  <c r="A76"/>
  <c r="A77"/>
  <c r="A78"/>
  <c r="A79"/>
  <c r="M79"/>
  <c r="N79"/>
  <c r="A80"/>
  <c r="A81"/>
  <c r="A82"/>
  <c r="A83"/>
  <c r="A84"/>
  <c r="A85"/>
  <c r="Y91"/>
  <c r="A92"/>
  <c r="I96"/>
  <c r="I97"/>
  <c r="L98"/>
  <c r="I98"/>
  <c r="L99"/>
  <c r="E99" s="1"/>
  <c r="A93"/>
  <c r="A94"/>
  <c r="A95"/>
  <c r="A96"/>
  <c r="A97"/>
  <c r="A98"/>
  <c r="B1" i="5"/>
  <c r="E4"/>
  <c r="E22"/>
  <c r="E23"/>
  <c r="E27"/>
  <c r="E28"/>
  <c r="E26"/>
  <c r="E30"/>
  <c r="E31"/>
  <c r="E33"/>
  <c r="E34"/>
  <c r="E35"/>
  <c r="D38"/>
  <c r="G38"/>
  <c r="H38"/>
  <c r="H54" s="1"/>
  <c r="I38"/>
  <c r="I54" s="1"/>
  <c r="J38"/>
  <c r="J54" s="1"/>
  <c r="K38"/>
  <c r="K54" s="1"/>
  <c r="L38"/>
  <c r="L54" s="1"/>
  <c r="M38"/>
  <c r="N38"/>
  <c r="N54" s="1"/>
  <c r="O38"/>
  <c r="P38"/>
  <c r="P54" s="1"/>
  <c r="Q38"/>
  <c r="R38"/>
  <c r="R54" s="1"/>
  <c r="S38"/>
  <c r="T38"/>
  <c r="T54" s="1"/>
  <c r="U38"/>
  <c r="C46"/>
  <c r="G47"/>
  <c r="C48"/>
  <c r="D48"/>
  <c r="E48"/>
  <c r="G48"/>
  <c r="H48"/>
  <c r="I48"/>
  <c r="J48"/>
  <c r="K48"/>
  <c r="L48"/>
  <c r="M48"/>
  <c r="N48"/>
  <c r="O48"/>
  <c r="P48"/>
  <c r="Q48"/>
  <c r="R48"/>
  <c r="S48"/>
  <c r="T48"/>
  <c r="U48"/>
  <c r="C49"/>
  <c r="E49"/>
  <c r="C53"/>
  <c r="C54"/>
  <c r="D54"/>
  <c r="G54"/>
  <c r="M54"/>
  <c r="O54"/>
  <c r="Q54"/>
  <c r="S54"/>
  <c r="U54"/>
  <c r="C25" i="6"/>
  <c r="D25"/>
  <c r="E25"/>
  <c r="F25"/>
  <c r="G25"/>
  <c r="H25"/>
  <c r="I25"/>
  <c r="F26"/>
  <c r="G26"/>
  <c r="H26"/>
  <c r="I26"/>
  <c r="C27"/>
  <c r="D27"/>
  <c r="E27"/>
  <c r="C38"/>
  <c r="D38"/>
  <c r="E38"/>
  <c r="C52"/>
  <c r="D52"/>
  <c r="E52"/>
  <c r="F52"/>
  <c r="G52"/>
  <c r="H52"/>
  <c r="J52"/>
  <c r="C146" i="7" s="1"/>
  <c r="L52" i="6"/>
  <c r="N52"/>
  <c r="O52"/>
  <c r="P52"/>
  <c r="Q52"/>
  <c r="C54"/>
  <c r="D54"/>
  <c r="E54"/>
  <c r="F54"/>
  <c r="G54"/>
  <c r="H54"/>
  <c r="I54"/>
  <c r="J54"/>
  <c r="K54"/>
  <c r="L54"/>
  <c r="M54"/>
  <c r="N54"/>
  <c r="O54"/>
  <c r="P54"/>
  <c r="Q54"/>
  <c r="C85"/>
  <c r="D85"/>
  <c r="E85"/>
  <c r="F85"/>
  <c r="G85"/>
  <c r="H85"/>
  <c r="I85"/>
  <c r="J85"/>
  <c r="K85"/>
  <c r="L85"/>
  <c r="M85"/>
  <c r="N85"/>
  <c r="O85"/>
  <c r="P85"/>
  <c r="Q85"/>
  <c r="C7" i="7"/>
  <c r="C8"/>
  <c r="C9"/>
  <c r="C10"/>
  <c r="C11"/>
  <c r="C15"/>
  <c r="C16"/>
  <c r="C17"/>
  <c r="D19"/>
  <c r="D20"/>
  <c r="D21"/>
  <c r="C25"/>
  <c r="C133"/>
  <c r="G133" s="1"/>
  <c r="D44"/>
  <c r="D45"/>
  <c r="D46"/>
  <c r="D53"/>
  <c r="D54"/>
  <c r="D61"/>
  <c r="D62"/>
  <c r="D68"/>
  <c r="D69"/>
  <c r="D75"/>
  <c r="D76"/>
  <c r="D106"/>
  <c r="D107"/>
  <c r="D109"/>
  <c r="D108" s="1"/>
  <c r="D129"/>
  <c r="D130"/>
  <c r="D131"/>
  <c r="D132"/>
  <c r="D133"/>
  <c r="D134"/>
  <c r="D135"/>
  <c r="F135" s="1"/>
  <c r="D136"/>
  <c r="D137"/>
  <c r="F137" s="1"/>
  <c r="D144"/>
  <c r="D145"/>
  <c r="D143" s="1"/>
  <c r="D146"/>
  <c r="D147"/>
  <c r="F147" s="1"/>
  <c r="D148"/>
  <c r="D149"/>
  <c r="F149" s="1"/>
  <c r="D150"/>
  <c r="D151"/>
  <c r="F151" s="1"/>
  <c r="D156"/>
  <c r="E44"/>
  <c r="E45"/>
  <c r="E46"/>
  <c r="E53"/>
  <c r="F53" s="1"/>
  <c r="E54"/>
  <c r="E61"/>
  <c r="E62"/>
  <c r="F62" s="1"/>
  <c r="E68"/>
  <c r="E69"/>
  <c r="F69" s="1"/>
  <c r="E75"/>
  <c r="E76"/>
  <c r="F76" s="1"/>
  <c r="E106"/>
  <c r="F106" s="1"/>
  <c r="E107"/>
  <c r="F107" s="1"/>
  <c r="E109"/>
  <c r="E108" s="1"/>
  <c r="F108" s="1"/>
  <c r="E128"/>
  <c r="E129"/>
  <c r="E130"/>
  <c r="F130" s="1"/>
  <c r="E131"/>
  <c r="E132"/>
  <c r="F132" s="1"/>
  <c r="E133"/>
  <c r="E134"/>
  <c r="E135"/>
  <c r="E136"/>
  <c r="E137"/>
  <c r="E144"/>
  <c r="E145"/>
  <c r="E146"/>
  <c r="E147"/>
  <c r="E148"/>
  <c r="E149"/>
  <c r="E150"/>
  <c r="E151"/>
  <c r="A158" i="9"/>
  <c r="D122" i="7" s="1"/>
  <c r="A154" i="9"/>
  <c r="A155"/>
  <c r="A156"/>
  <c r="A157"/>
  <c r="D188" i="7" s="1"/>
  <c r="D51"/>
  <c r="D50" s="1"/>
  <c r="D58"/>
  <c r="F58" s="1"/>
  <c r="D59"/>
  <c r="D66"/>
  <c r="D65" s="1"/>
  <c r="D73"/>
  <c r="D72" s="1"/>
  <c r="D93"/>
  <c r="D95"/>
  <c r="D100"/>
  <c r="D101"/>
  <c r="D102"/>
  <c r="D103"/>
  <c r="D119"/>
  <c r="D125"/>
  <c r="E33"/>
  <c r="E51"/>
  <c r="E58"/>
  <c r="E59"/>
  <c r="E66"/>
  <c r="E65" s="1"/>
  <c r="E73"/>
  <c r="E72" s="1"/>
  <c r="E84"/>
  <c r="E93"/>
  <c r="E95"/>
  <c r="F95" s="1"/>
  <c r="E100"/>
  <c r="E101"/>
  <c r="F101" s="1"/>
  <c r="E102"/>
  <c r="E103"/>
  <c r="F103" s="1"/>
  <c r="E118"/>
  <c r="E120"/>
  <c r="E125"/>
  <c r="F125" s="1"/>
  <c r="A29"/>
  <c r="A37"/>
  <c r="A39"/>
  <c r="A40"/>
  <c r="A41"/>
  <c r="A42"/>
  <c r="A44"/>
  <c r="F44"/>
  <c r="A45"/>
  <c r="F45"/>
  <c r="A46"/>
  <c r="F46"/>
  <c r="F61"/>
  <c r="F66"/>
  <c r="F68"/>
  <c r="F75"/>
  <c r="F102"/>
  <c r="F109"/>
  <c r="F129"/>
  <c r="F131"/>
  <c r="F133"/>
  <c r="F134"/>
  <c r="F136"/>
  <c r="F144"/>
  <c r="F146"/>
  <c r="F148"/>
  <c r="F150"/>
  <c r="D178"/>
  <c r="E178"/>
  <c r="C7" i="8"/>
  <c r="C8"/>
  <c r="C9"/>
  <c r="C10"/>
  <c r="C11"/>
  <c r="C15"/>
  <c r="C16"/>
  <c r="C17"/>
  <c r="C19"/>
  <c r="H19"/>
  <c r="H20"/>
  <c r="C29"/>
  <c r="C30"/>
  <c r="C31"/>
  <c r="C32"/>
  <c r="C33"/>
  <c r="C49"/>
  <c r="C48" s="1"/>
  <c r="C56"/>
  <c r="C57"/>
  <c r="C64"/>
  <c r="C63" s="1"/>
  <c r="C71"/>
  <c r="C70" s="1"/>
  <c r="C79"/>
  <c r="C81"/>
  <c r="C83"/>
  <c r="C26" i="9"/>
  <c r="C86" i="8"/>
  <c r="C87"/>
  <c r="C58" i="9"/>
  <c r="C54" s="1"/>
  <c r="C47" s="1"/>
  <c r="C121" i="8"/>
  <c r="C91"/>
  <c r="C92"/>
  <c r="C93"/>
  <c r="C94"/>
  <c r="C96" i="9"/>
  <c r="C95" i="8"/>
  <c r="C96"/>
  <c r="C97"/>
  <c r="C98"/>
  <c r="C99"/>
  <c r="C100"/>
  <c r="C101"/>
  <c r="C115"/>
  <c r="C116"/>
  <c r="C117"/>
  <c r="C118"/>
  <c r="C119"/>
  <c r="C120"/>
  <c r="C122"/>
  <c r="C123"/>
  <c r="D28"/>
  <c r="D29"/>
  <c r="D30"/>
  <c r="D31"/>
  <c r="D32"/>
  <c r="D49"/>
  <c r="D48" s="1"/>
  <c r="D56"/>
  <c r="D57"/>
  <c r="D64"/>
  <c r="D63" s="1"/>
  <c r="D71"/>
  <c r="D70" s="1"/>
  <c r="D79"/>
  <c r="D80"/>
  <c r="D81"/>
  <c r="D82"/>
  <c r="D83"/>
  <c r="D26" i="9"/>
  <c r="D86" i="8"/>
  <c r="D87"/>
  <c r="D58" i="9"/>
  <c r="D54" s="1"/>
  <c r="D47" s="1"/>
  <c r="D121" i="8"/>
  <c r="D91"/>
  <c r="D92"/>
  <c r="D93"/>
  <c r="D94"/>
  <c r="D96" i="9"/>
  <c r="D95" i="8" s="1"/>
  <c r="D97"/>
  <c r="D98"/>
  <c r="D99"/>
  <c r="D100"/>
  <c r="D101"/>
  <c r="D115"/>
  <c r="D116"/>
  <c r="D117"/>
  <c r="D118"/>
  <c r="D119"/>
  <c r="D120"/>
  <c r="D122"/>
  <c r="D123"/>
  <c r="E28"/>
  <c r="E29"/>
  <c r="E30"/>
  <c r="E31"/>
  <c r="E32"/>
  <c r="E49"/>
  <c r="E48" s="1"/>
  <c r="E56"/>
  <c r="E57"/>
  <c r="E64"/>
  <c r="E63" s="1"/>
  <c r="E71"/>
  <c r="E70" s="1"/>
  <c r="E79"/>
  <c r="E80"/>
  <c r="E81"/>
  <c r="E82"/>
  <c r="E83"/>
  <c r="E26" i="9"/>
  <c r="E86" i="8"/>
  <c r="E87"/>
  <c r="E58" i="9"/>
  <c r="E54" s="1"/>
  <c r="E121" i="8"/>
  <c r="E91"/>
  <c r="E92"/>
  <c r="E93"/>
  <c r="E94"/>
  <c r="E97"/>
  <c r="E98"/>
  <c r="E100"/>
  <c r="E101"/>
  <c r="E115"/>
  <c r="E116"/>
  <c r="E117"/>
  <c r="E118"/>
  <c r="E119"/>
  <c r="E120"/>
  <c r="E122"/>
  <c r="E123"/>
  <c r="F28"/>
  <c r="F29"/>
  <c r="F30"/>
  <c r="F31"/>
  <c r="F32"/>
  <c r="F57"/>
  <c r="F64"/>
  <c r="F63" s="1"/>
  <c r="F71"/>
  <c r="F70" s="1"/>
  <c r="F79"/>
  <c r="F80"/>
  <c r="F81"/>
  <c r="F82"/>
  <c r="F83"/>
  <c r="F86"/>
  <c r="F87"/>
  <c r="F121"/>
  <c r="F92"/>
  <c r="F93"/>
  <c r="F97"/>
  <c r="F98"/>
  <c r="F100"/>
  <c r="F101"/>
  <c r="F115"/>
  <c r="F116"/>
  <c r="F119"/>
  <c r="F120"/>
  <c r="F122"/>
  <c r="F123"/>
  <c r="G28"/>
  <c r="G29"/>
  <c r="G30"/>
  <c r="G31"/>
  <c r="G32"/>
  <c r="G64"/>
  <c r="G63" s="1"/>
  <c r="G71"/>
  <c r="G70" s="1"/>
  <c r="G79"/>
  <c r="G80"/>
  <c r="G81"/>
  <c r="G82"/>
  <c r="G83"/>
  <c r="G86"/>
  <c r="G87"/>
  <c r="G121"/>
  <c r="G97"/>
  <c r="G100"/>
  <c r="G101"/>
  <c r="G115"/>
  <c r="G116"/>
  <c r="G120"/>
  <c r="G122"/>
  <c r="G123"/>
  <c r="H97"/>
  <c r="H120"/>
  <c r="H123"/>
  <c r="C38"/>
  <c r="C40"/>
  <c r="C42"/>
  <c r="C43"/>
  <c r="C44"/>
  <c r="C51"/>
  <c r="C52"/>
  <c r="C59"/>
  <c r="C60"/>
  <c r="C66"/>
  <c r="C67"/>
  <c r="C73"/>
  <c r="C74"/>
  <c r="C104"/>
  <c r="C105"/>
  <c r="C107"/>
  <c r="C106" s="1"/>
  <c r="C126"/>
  <c r="C127"/>
  <c r="C128"/>
  <c r="C129"/>
  <c r="C130"/>
  <c r="C131"/>
  <c r="C132"/>
  <c r="C133"/>
  <c r="C134"/>
  <c r="C135"/>
  <c r="C142"/>
  <c r="C143"/>
  <c r="C144"/>
  <c r="C145"/>
  <c r="C146"/>
  <c r="C147"/>
  <c r="C148"/>
  <c r="C149"/>
  <c r="D200" i="10"/>
  <c r="D205"/>
  <c r="D38" i="8"/>
  <c r="D40"/>
  <c r="D42"/>
  <c r="D41" s="1"/>
  <c r="D43"/>
  <c r="D44"/>
  <c r="D51"/>
  <c r="D52"/>
  <c r="D59"/>
  <c r="D60"/>
  <c r="D66"/>
  <c r="D67"/>
  <c r="D73"/>
  <c r="D74"/>
  <c r="D107"/>
  <c r="D106" s="1"/>
  <c r="D126"/>
  <c r="D127"/>
  <c r="D128"/>
  <c r="D129"/>
  <c r="D130"/>
  <c r="D131"/>
  <c r="D132"/>
  <c r="D133"/>
  <c r="D134"/>
  <c r="D135"/>
  <c r="D142"/>
  <c r="D143"/>
  <c r="D141" s="1"/>
  <c r="D144"/>
  <c r="D145"/>
  <c r="D146"/>
  <c r="D147"/>
  <c r="D148"/>
  <c r="D149"/>
  <c r="E38"/>
  <c r="E40"/>
  <c r="E42"/>
  <c r="E43"/>
  <c r="E44"/>
  <c r="E51"/>
  <c r="E126"/>
  <c r="E127"/>
  <c r="E125" s="1"/>
  <c r="E128"/>
  <c r="E129"/>
  <c r="E130"/>
  <c r="E131"/>
  <c r="E132"/>
  <c r="E133"/>
  <c r="E134"/>
  <c r="E135"/>
  <c r="E142"/>
  <c r="E143"/>
  <c r="E144"/>
  <c r="E145"/>
  <c r="E146"/>
  <c r="E147"/>
  <c r="E148"/>
  <c r="E149"/>
  <c r="F40"/>
  <c r="F42"/>
  <c r="F43"/>
  <c r="F44"/>
  <c r="F126"/>
  <c r="F127"/>
  <c r="F128"/>
  <c r="F129"/>
  <c r="F130"/>
  <c r="F131"/>
  <c r="F132"/>
  <c r="F133"/>
  <c r="F134"/>
  <c r="F135"/>
  <c r="F142"/>
  <c r="F143"/>
  <c r="F144"/>
  <c r="F145"/>
  <c r="F146"/>
  <c r="F147"/>
  <c r="F148"/>
  <c r="F149"/>
  <c r="G40"/>
  <c r="G42"/>
  <c r="G43"/>
  <c r="G44"/>
  <c r="G126"/>
  <c r="G127"/>
  <c r="G128"/>
  <c r="G129"/>
  <c r="G130"/>
  <c r="G131"/>
  <c r="G132"/>
  <c r="G133"/>
  <c r="G134"/>
  <c r="G135"/>
  <c r="G142"/>
  <c r="G143"/>
  <c r="G144"/>
  <c r="G145"/>
  <c r="G146"/>
  <c r="G147"/>
  <c r="G148"/>
  <c r="G149"/>
  <c r="H40"/>
  <c r="H43"/>
  <c r="H126"/>
  <c r="H127"/>
  <c r="H128"/>
  <c r="H129"/>
  <c r="H130"/>
  <c r="H131"/>
  <c r="H132"/>
  <c r="H133"/>
  <c r="H134"/>
  <c r="H135"/>
  <c r="H142"/>
  <c r="H143"/>
  <c r="H144"/>
  <c r="H145"/>
  <c r="H146"/>
  <c r="H147"/>
  <c r="H148"/>
  <c r="H149"/>
  <c r="I40"/>
  <c r="I43"/>
  <c r="I126"/>
  <c r="I127"/>
  <c r="I128"/>
  <c r="I129"/>
  <c r="I130"/>
  <c r="I131"/>
  <c r="I132"/>
  <c r="I133"/>
  <c r="I134"/>
  <c r="I135"/>
  <c r="I142"/>
  <c r="I143"/>
  <c r="I144"/>
  <c r="I145"/>
  <c r="I146"/>
  <c r="I147"/>
  <c r="I148"/>
  <c r="I149"/>
  <c r="J40"/>
  <c r="J43"/>
  <c r="J126"/>
  <c r="J127"/>
  <c r="J128"/>
  <c r="J129"/>
  <c r="J130"/>
  <c r="J131"/>
  <c r="J132"/>
  <c r="J133"/>
  <c r="J134"/>
  <c r="J135"/>
  <c r="J142"/>
  <c r="J143"/>
  <c r="J144"/>
  <c r="J145"/>
  <c r="J146"/>
  <c r="J147"/>
  <c r="J148"/>
  <c r="J149"/>
  <c r="K40"/>
  <c r="K43"/>
  <c r="K126"/>
  <c r="K127"/>
  <c r="K128"/>
  <c r="K129"/>
  <c r="K130"/>
  <c r="K131"/>
  <c r="K132"/>
  <c r="K133"/>
  <c r="K134"/>
  <c r="K135"/>
  <c r="K142"/>
  <c r="K143"/>
  <c r="K144"/>
  <c r="K145"/>
  <c r="K146"/>
  <c r="K147"/>
  <c r="K148"/>
  <c r="K149"/>
  <c r="L40"/>
  <c r="L43"/>
  <c r="L126"/>
  <c r="L127"/>
  <c r="L128"/>
  <c r="L129"/>
  <c r="L130"/>
  <c r="L131"/>
  <c r="L132"/>
  <c r="L133"/>
  <c r="L134"/>
  <c r="L135"/>
  <c r="L142"/>
  <c r="L143"/>
  <c r="L144"/>
  <c r="L145"/>
  <c r="L146"/>
  <c r="L147"/>
  <c r="L148"/>
  <c r="L149"/>
  <c r="M40"/>
  <c r="M43"/>
  <c r="M126"/>
  <c r="M127"/>
  <c r="M128"/>
  <c r="M129"/>
  <c r="M130"/>
  <c r="M131"/>
  <c r="M132"/>
  <c r="M133"/>
  <c r="M134"/>
  <c r="M135"/>
  <c r="M142"/>
  <c r="M143"/>
  <c r="M144"/>
  <c r="M145"/>
  <c r="M146"/>
  <c r="M147"/>
  <c r="M148"/>
  <c r="M149"/>
  <c r="N40"/>
  <c r="N43"/>
  <c r="N126"/>
  <c r="N127"/>
  <c r="N128"/>
  <c r="N129"/>
  <c r="N130"/>
  <c r="N131"/>
  <c r="N132"/>
  <c r="N133"/>
  <c r="N134"/>
  <c r="N135"/>
  <c r="N142"/>
  <c r="N143"/>
  <c r="N144"/>
  <c r="N145"/>
  <c r="N146"/>
  <c r="N147"/>
  <c r="N148"/>
  <c r="N149"/>
  <c r="O40"/>
  <c r="O43"/>
  <c r="O126"/>
  <c r="O127"/>
  <c r="O128"/>
  <c r="O129"/>
  <c r="O130"/>
  <c r="O131"/>
  <c r="O132"/>
  <c r="O133"/>
  <c r="O134"/>
  <c r="O135"/>
  <c r="O142"/>
  <c r="O143"/>
  <c r="O144"/>
  <c r="O145"/>
  <c r="O146"/>
  <c r="O147"/>
  <c r="O148"/>
  <c r="O149"/>
  <c r="P40"/>
  <c r="P43"/>
  <c r="P126"/>
  <c r="P127"/>
  <c r="P128"/>
  <c r="P129"/>
  <c r="P130"/>
  <c r="P131"/>
  <c r="P132"/>
  <c r="P133"/>
  <c r="P134"/>
  <c r="P135"/>
  <c r="P142"/>
  <c r="P143"/>
  <c r="P144"/>
  <c r="P145"/>
  <c r="P146"/>
  <c r="P147"/>
  <c r="P148"/>
  <c r="P149"/>
  <c r="Q40"/>
  <c r="Q43"/>
  <c r="Q126"/>
  <c r="Q127"/>
  <c r="Q128"/>
  <c r="Q129"/>
  <c r="Q130"/>
  <c r="Q131"/>
  <c r="Q132"/>
  <c r="Q133"/>
  <c r="Q134"/>
  <c r="Q135"/>
  <c r="Q142"/>
  <c r="Q143"/>
  <c r="Q144"/>
  <c r="Q145"/>
  <c r="Q146"/>
  <c r="Q147"/>
  <c r="Q148"/>
  <c r="Q149"/>
  <c r="C23"/>
  <c r="D23"/>
  <c r="E23"/>
  <c r="F23"/>
  <c r="G23"/>
  <c r="H23"/>
  <c r="I23"/>
  <c r="J23"/>
  <c r="K23"/>
  <c r="L23"/>
  <c r="M23"/>
  <c r="N23"/>
  <c r="O23"/>
  <c r="P23"/>
  <c r="Q23"/>
  <c r="A27"/>
  <c r="A35"/>
  <c r="A37"/>
  <c r="A38"/>
  <c r="A39"/>
  <c r="A40"/>
  <c r="A42"/>
  <c r="A43"/>
  <c r="A44"/>
  <c r="D114"/>
  <c r="C5" i="9"/>
  <c r="C6"/>
  <c r="C7"/>
  <c r="C8"/>
  <c r="C9"/>
  <c r="C84"/>
  <c r="A128"/>
  <c r="B128"/>
  <c r="C128"/>
  <c r="D128"/>
  <c r="E128"/>
  <c r="F128"/>
  <c r="G128"/>
  <c r="H128"/>
  <c r="I128"/>
  <c r="J128"/>
  <c r="K128"/>
  <c r="L128"/>
  <c r="M128"/>
  <c r="N128"/>
  <c r="O128"/>
  <c r="P128"/>
  <c r="Q128"/>
  <c r="R128"/>
  <c r="A129"/>
  <c r="B129"/>
  <c r="C129"/>
  <c r="D129"/>
  <c r="E129"/>
  <c r="F129"/>
  <c r="G129"/>
  <c r="H129"/>
  <c r="I129"/>
  <c r="J129"/>
  <c r="K129"/>
  <c r="L129"/>
  <c r="M129"/>
  <c r="N129"/>
  <c r="O129"/>
  <c r="P129"/>
  <c r="Q129"/>
  <c r="R129"/>
  <c r="A130"/>
  <c r="B130"/>
  <c r="C130"/>
  <c r="D130"/>
  <c r="E130"/>
  <c r="F130"/>
  <c r="G130"/>
  <c r="H130"/>
  <c r="I130"/>
  <c r="J130"/>
  <c r="K130"/>
  <c r="L130"/>
  <c r="M130"/>
  <c r="N130"/>
  <c r="O130"/>
  <c r="P130"/>
  <c r="Q130"/>
  <c r="R130"/>
  <c r="A131"/>
  <c r="B131"/>
  <c r="C131"/>
  <c r="D131"/>
  <c r="E131"/>
  <c r="F131"/>
  <c r="G131"/>
  <c r="H131"/>
  <c r="I131"/>
  <c r="J131"/>
  <c r="K131"/>
  <c r="L131"/>
  <c r="M131"/>
  <c r="N131"/>
  <c r="O131"/>
  <c r="P131"/>
  <c r="Q131"/>
  <c r="R131"/>
  <c r="B132"/>
  <c r="C132"/>
  <c r="D132"/>
  <c r="E132"/>
  <c r="F132"/>
  <c r="G132"/>
  <c r="H132"/>
  <c r="I132"/>
  <c r="J132"/>
  <c r="K132"/>
  <c r="L132"/>
  <c r="M132"/>
  <c r="N132"/>
  <c r="O132"/>
  <c r="P132"/>
  <c r="Q132"/>
  <c r="R132"/>
  <c r="A133"/>
  <c r="B133"/>
  <c r="C133"/>
  <c r="D133"/>
  <c r="E133"/>
  <c r="F133"/>
  <c r="G133"/>
  <c r="H133"/>
  <c r="I133"/>
  <c r="J133"/>
  <c r="K133"/>
  <c r="L133"/>
  <c r="M133"/>
  <c r="N133"/>
  <c r="O133"/>
  <c r="P133"/>
  <c r="Q133"/>
  <c r="R133"/>
  <c r="A134"/>
  <c r="B134"/>
  <c r="C134"/>
  <c r="D134"/>
  <c r="E134"/>
  <c r="F134"/>
  <c r="G134"/>
  <c r="H134"/>
  <c r="I134"/>
  <c r="J134"/>
  <c r="K134"/>
  <c r="L134"/>
  <c r="M134"/>
  <c r="N134"/>
  <c r="O134"/>
  <c r="P134"/>
  <c r="Q134"/>
  <c r="R134"/>
  <c r="A135"/>
  <c r="B135"/>
  <c r="C135"/>
  <c r="D135"/>
  <c r="E135"/>
  <c r="F135"/>
  <c r="G135"/>
  <c r="H135"/>
  <c r="I135"/>
  <c r="J135"/>
  <c r="K135"/>
  <c r="L135"/>
  <c r="M135"/>
  <c r="N135"/>
  <c r="O135"/>
  <c r="P135"/>
  <c r="Q135"/>
  <c r="R135"/>
  <c r="A136"/>
  <c r="B136"/>
  <c r="C162"/>
  <c r="C136" s="1"/>
  <c r="D162"/>
  <c r="D136" s="1"/>
  <c r="E162"/>
  <c r="E136" s="1"/>
  <c r="F162"/>
  <c r="F136" s="1"/>
  <c r="G162"/>
  <c r="G136" s="1"/>
  <c r="H162"/>
  <c r="H136" s="1"/>
  <c r="I162"/>
  <c r="I136" s="1"/>
  <c r="J162"/>
  <c r="J136" s="1"/>
  <c r="K162"/>
  <c r="K136" s="1"/>
  <c r="L162"/>
  <c r="L136" s="1"/>
  <c r="M162"/>
  <c r="M136" s="1"/>
  <c r="N162"/>
  <c r="N136" s="1"/>
  <c r="O162"/>
  <c r="O136" s="1"/>
  <c r="P162"/>
  <c r="P136" s="1"/>
  <c r="Q162"/>
  <c r="Q136" s="1"/>
  <c r="R136"/>
  <c r="A137"/>
  <c r="B137"/>
  <c r="C137"/>
  <c r="D137"/>
  <c r="E137"/>
  <c r="F137"/>
  <c r="G137"/>
  <c r="H137"/>
  <c r="I137"/>
  <c r="J137"/>
  <c r="K137"/>
  <c r="L137"/>
  <c r="M137"/>
  <c r="N137"/>
  <c r="O137"/>
  <c r="P137"/>
  <c r="Q137"/>
  <c r="R137"/>
  <c r="A138"/>
  <c r="B138"/>
  <c r="C138"/>
  <c r="D138"/>
  <c r="E138"/>
  <c r="F138"/>
  <c r="G138"/>
  <c r="H138"/>
  <c r="I138"/>
  <c r="J138"/>
  <c r="K138"/>
  <c r="L138"/>
  <c r="M138"/>
  <c r="N138"/>
  <c r="O138"/>
  <c r="P138"/>
  <c r="Q138"/>
  <c r="R138"/>
  <c r="A139"/>
  <c r="B139"/>
  <c r="C139"/>
  <c r="D139"/>
  <c r="E139"/>
  <c r="F139"/>
  <c r="G139"/>
  <c r="H139"/>
  <c r="I139"/>
  <c r="J139"/>
  <c r="K139"/>
  <c r="L139"/>
  <c r="M139"/>
  <c r="N139"/>
  <c r="O139"/>
  <c r="P139"/>
  <c r="Q139"/>
  <c r="R139"/>
  <c r="A140"/>
  <c r="B140"/>
  <c r="C140"/>
  <c r="D140"/>
  <c r="E140"/>
  <c r="F140"/>
  <c r="G140"/>
  <c r="H140"/>
  <c r="I140"/>
  <c r="J140"/>
  <c r="K140"/>
  <c r="L140"/>
  <c r="M140"/>
  <c r="N140"/>
  <c r="O140"/>
  <c r="P140"/>
  <c r="Q140"/>
  <c r="R140"/>
  <c r="A141"/>
  <c r="B141"/>
  <c r="C141"/>
  <c r="D141"/>
  <c r="E141"/>
  <c r="F141"/>
  <c r="G141"/>
  <c r="H141"/>
  <c r="I141"/>
  <c r="J141"/>
  <c r="K141"/>
  <c r="L141"/>
  <c r="M141"/>
  <c r="N141"/>
  <c r="O141"/>
  <c r="P141"/>
  <c r="Q141"/>
  <c r="R141"/>
  <c r="A142"/>
  <c r="B142"/>
  <c r="C142"/>
  <c r="D142"/>
  <c r="E142"/>
  <c r="F142"/>
  <c r="G142"/>
  <c r="H142"/>
  <c r="I142"/>
  <c r="J142"/>
  <c r="K142"/>
  <c r="L142"/>
  <c r="M142"/>
  <c r="N142"/>
  <c r="O142"/>
  <c r="P142"/>
  <c r="Q142"/>
  <c r="R142"/>
  <c r="A143"/>
  <c r="B143"/>
  <c r="C143"/>
  <c r="D143"/>
  <c r="E143"/>
  <c r="F143"/>
  <c r="G143"/>
  <c r="H143"/>
  <c r="I143"/>
  <c r="J143"/>
  <c r="K143"/>
  <c r="L143"/>
  <c r="M143"/>
  <c r="N143"/>
  <c r="O143"/>
  <c r="P143"/>
  <c r="Q143"/>
  <c r="R143"/>
  <c r="A144"/>
  <c r="B144"/>
  <c r="C144"/>
  <c r="D144"/>
  <c r="E144"/>
  <c r="F144"/>
  <c r="G144"/>
  <c r="H144"/>
  <c r="I144"/>
  <c r="J144"/>
  <c r="K144"/>
  <c r="L144"/>
  <c r="M144"/>
  <c r="N144"/>
  <c r="O144"/>
  <c r="P144"/>
  <c r="Q144"/>
  <c r="R144"/>
  <c r="A145"/>
  <c r="B145"/>
  <c r="C145"/>
  <c r="D145"/>
  <c r="E145"/>
  <c r="F145"/>
  <c r="G145"/>
  <c r="H145"/>
  <c r="I145"/>
  <c r="J145"/>
  <c r="K145"/>
  <c r="L145"/>
  <c r="M145"/>
  <c r="N145"/>
  <c r="O145"/>
  <c r="P145"/>
  <c r="Q145"/>
  <c r="R145"/>
  <c r="A146"/>
  <c r="B146"/>
  <c r="C146"/>
  <c r="D146"/>
  <c r="E146"/>
  <c r="F146"/>
  <c r="G146"/>
  <c r="H146"/>
  <c r="I146"/>
  <c r="J146"/>
  <c r="K146"/>
  <c r="L146"/>
  <c r="M146"/>
  <c r="N146"/>
  <c r="O146"/>
  <c r="P146"/>
  <c r="Q146"/>
  <c r="R146"/>
  <c r="C151"/>
  <c r="D151"/>
  <c r="E151"/>
  <c r="F151"/>
  <c r="G151"/>
  <c r="H151"/>
  <c r="I151"/>
  <c r="J151"/>
  <c r="K151"/>
  <c r="L151"/>
  <c r="M151"/>
  <c r="N151"/>
  <c r="O151"/>
  <c r="P151"/>
  <c r="Q151"/>
  <c r="C5" i="10"/>
  <c r="C6"/>
  <c r="C7"/>
  <c r="C8"/>
  <c r="C9"/>
  <c r="C13"/>
  <c r="C14"/>
  <c r="C15"/>
  <c r="D17"/>
  <c r="L22"/>
  <c r="M22"/>
  <c r="M219" s="1"/>
  <c r="M227" s="1"/>
  <c r="N22"/>
  <c r="P22"/>
  <c r="C25"/>
  <c r="D74"/>
  <c r="D81"/>
  <c r="D88"/>
  <c r="D125"/>
  <c r="D162"/>
  <c r="E74"/>
  <c r="E81"/>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B209"/>
  <c r="C209"/>
  <c r="D209"/>
  <c r="E209"/>
  <c r="F209"/>
  <c r="G209"/>
  <c r="S209"/>
  <c r="B210"/>
  <c r="C210"/>
  <c r="H210"/>
  <c r="S210"/>
  <c r="B211"/>
  <c r="C211"/>
  <c r="F211"/>
  <c r="P224" i="2" s="1"/>
  <c r="P211" s="1"/>
  <c r="H211" i="10"/>
  <c r="I211"/>
  <c r="J211"/>
  <c r="K211"/>
  <c r="L211"/>
  <c r="M211"/>
  <c r="N211"/>
  <c r="O211"/>
  <c r="P211"/>
  <c r="Q211"/>
  <c r="R211"/>
  <c r="S211"/>
  <c r="B212"/>
  <c r="C212"/>
  <c r="H212"/>
  <c r="S212"/>
  <c r="B213"/>
  <c r="C213"/>
  <c r="D213"/>
  <c r="S213"/>
  <c r="B214"/>
  <c r="C214"/>
  <c r="S214"/>
  <c r="D219"/>
  <c r="E219"/>
  <c r="E227" s="1"/>
  <c r="F219"/>
  <c r="G219"/>
  <c r="G227" s="1"/>
  <c r="H219"/>
  <c r="I219"/>
  <c r="I227" s="1"/>
  <c r="K219"/>
  <c r="K227" s="1"/>
  <c r="L219"/>
  <c r="N219"/>
  <c r="N227" s="1"/>
  <c r="O219"/>
  <c r="O227" s="1"/>
  <c r="P219"/>
  <c r="P227" s="1"/>
  <c r="Q219"/>
  <c r="Q227" s="1"/>
  <c r="R219"/>
  <c r="R227" s="1"/>
  <c r="D227"/>
  <c r="F227"/>
  <c r="H227"/>
  <c r="L227"/>
  <c r="D1" i="11"/>
  <c r="D21" s="1"/>
  <c r="D4"/>
  <c r="C4" s="1"/>
  <c r="C7"/>
  <c r="D16"/>
  <c r="D48" s="1"/>
  <c r="B21"/>
  <c r="D25"/>
  <c r="C27"/>
  <c r="C26" s="1"/>
  <c r="C29" s="1"/>
  <c r="D27"/>
  <c r="B33"/>
  <c r="D37"/>
  <c r="D38"/>
  <c r="C38"/>
  <c r="C39" s="1"/>
  <c r="B43"/>
  <c r="D47"/>
  <c r="D76" s="1"/>
  <c r="D55"/>
  <c r="B56"/>
  <c r="B57"/>
  <c r="B59"/>
  <c r="B60"/>
  <c r="B61"/>
  <c r="B62"/>
  <c r="C62"/>
  <c r="B63"/>
  <c r="C63"/>
  <c r="D63"/>
  <c r="B64"/>
  <c r="C64"/>
  <c r="B65"/>
  <c r="C65"/>
  <c r="B66"/>
  <c r="C66"/>
  <c r="B67"/>
  <c r="C67"/>
  <c r="B71"/>
  <c r="D71"/>
  <c r="C75"/>
  <c r="C76"/>
  <c r="C74" s="1"/>
  <c r="C78" s="1"/>
  <c r="C80" s="1"/>
  <c r="A75"/>
  <c r="A77"/>
  <c r="C77"/>
  <c r="L89"/>
  <c r="L90"/>
  <c r="L91"/>
  <c r="L92"/>
  <c r="L93"/>
  <c r="L94"/>
  <c r="L95"/>
  <c r="L96"/>
  <c r="L97"/>
  <c r="L98"/>
  <c r="L99"/>
  <c r="L100"/>
  <c r="L101"/>
  <c r="L102"/>
  <c r="L103"/>
  <c r="L104"/>
  <c r="L105"/>
  <c r="L106"/>
  <c r="L107"/>
  <c r="I12" i="12"/>
  <c r="J12" s="1"/>
  <c r="R12"/>
  <c r="I13"/>
  <c r="J13" s="1"/>
  <c r="L13" s="1"/>
  <c r="R13"/>
  <c r="I14"/>
  <c r="J14" s="1"/>
  <c r="L14" s="1"/>
  <c r="R14"/>
  <c r="I15"/>
  <c r="J15" s="1"/>
  <c r="L15" s="1"/>
  <c r="R15"/>
  <c r="I16"/>
  <c r="J16" s="1"/>
  <c r="L16" s="1"/>
  <c r="R16"/>
  <c r="C17"/>
  <c r="D17"/>
  <c r="E17"/>
  <c r="F17"/>
  <c r="G17"/>
  <c r="H17"/>
  <c r="I17"/>
  <c r="K17"/>
  <c r="K25" s="1"/>
  <c r="M17"/>
  <c r="N17"/>
  <c r="O17"/>
  <c r="P17"/>
  <c r="Q17"/>
  <c r="R17"/>
  <c r="T17"/>
  <c r="I19"/>
  <c r="J19" s="1"/>
  <c r="R19"/>
  <c r="R24" s="1"/>
  <c r="R25" s="1"/>
  <c r="I20"/>
  <c r="J20"/>
  <c r="L20" s="1"/>
  <c r="S20" s="1"/>
  <c r="U20" s="1"/>
  <c r="R20"/>
  <c r="I21"/>
  <c r="J21" s="1"/>
  <c r="L21" s="1"/>
  <c r="S21" s="1"/>
  <c r="U21" s="1"/>
  <c r="R21"/>
  <c r="I22"/>
  <c r="J22"/>
  <c r="L22" s="1"/>
  <c r="S22" s="1"/>
  <c r="U22" s="1"/>
  <c r="R22"/>
  <c r="I23"/>
  <c r="J23" s="1"/>
  <c r="L23" s="1"/>
  <c r="S23" s="1"/>
  <c r="U23" s="1"/>
  <c r="R23"/>
  <c r="C24"/>
  <c r="D24"/>
  <c r="D25" s="1"/>
  <c r="E24"/>
  <c r="F24"/>
  <c r="F25" s="1"/>
  <c r="G24"/>
  <c r="H24"/>
  <c r="H25" s="1"/>
  <c r="K24"/>
  <c r="M24"/>
  <c r="N24"/>
  <c r="O24"/>
  <c r="O25" s="1"/>
  <c r="P24"/>
  <c r="Q24"/>
  <c r="T24"/>
  <c r="T25" s="1"/>
  <c r="C25"/>
  <c r="E25"/>
  <c r="G25"/>
  <c r="M25"/>
  <c r="Q25"/>
  <c r="C37"/>
  <c r="D37"/>
  <c r="E37"/>
  <c r="F37"/>
  <c r="C44"/>
  <c r="D44"/>
  <c r="E44"/>
  <c r="F44"/>
  <c r="C45"/>
  <c r="D45"/>
  <c r="E45"/>
  <c r="F45"/>
  <c r="A8" i="13"/>
  <c r="F8"/>
  <c r="A132" i="9" l="1"/>
  <c r="C89" i="8"/>
  <c r="C84"/>
  <c r="F145" i="7"/>
  <c r="E122"/>
  <c r="F100"/>
  <c r="E94"/>
  <c r="E123"/>
  <c r="E82"/>
  <c r="E188"/>
  <c r="E42"/>
  <c r="C129"/>
  <c r="M52" i="6"/>
  <c r="K52"/>
  <c r="E98" i="4"/>
  <c r="D42" i="7" s="1"/>
  <c r="I95" i="4"/>
  <c r="AC91"/>
  <c r="J98"/>
  <c r="Q23" i="3"/>
  <c r="Q120" s="1"/>
  <c r="O23"/>
  <c r="O120" s="1"/>
  <c r="H23"/>
  <c r="H120" s="1"/>
  <c r="P225" i="2"/>
  <c r="P212" s="1"/>
  <c r="P223"/>
  <c r="D156"/>
  <c r="O156" s="1"/>
  <c r="D93"/>
  <c r="O93" s="1"/>
  <c r="D54"/>
  <c r="O54" s="1"/>
  <c r="W24" i="4"/>
  <c r="AD24"/>
  <c r="R51"/>
  <c r="M32" i="1"/>
  <c r="M36"/>
  <c r="M40"/>
  <c r="M45"/>
  <c r="M49"/>
  <c r="M55"/>
  <c r="M63"/>
  <c r="M68"/>
  <c r="M72"/>
  <c r="M77"/>
  <c r="M83"/>
  <c r="M89"/>
  <c r="M94"/>
  <c r="M98"/>
  <c r="M105"/>
  <c r="M109"/>
  <c r="M117"/>
  <c r="M121"/>
  <c r="M126"/>
  <c r="M130"/>
  <c r="G81" i="3"/>
  <c r="V51"/>
  <c r="V29"/>
  <c r="W70"/>
  <c r="W68"/>
  <c r="M69" i="10"/>
  <c r="P63" i="3" s="1"/>
  <c r="D49" i="11"/>
  <c r="J92" i="4"/>
  <c r="V81" i="3"/>
  <c r="V57"/>
  <c r="V53"/>
  <c r="W41"/>
  <c r="X85"/>
  <c r="Y41"/>
  <c r="L19" i="12"/>
  <c r="J24"/>
  <c r="P25"/>
  <c r="N25"/>
  <c r="I24"/>
  <c r="I25" s="1"/>
  <c r="S16"/>
  <c r="U16" s="1"/>
  <c r="S15"/>
  <c r="U15" s="1"/>
  <c r="S14"/>
  <c r="U14" s="1"/>
  <c r="S13"/>
  <c r="U13" s="1"/>
  <c r="Q125" i="8"/>
  <c r="O125"/>
  <c r="M125"/>
  <c r="K125"/>
  <c r="I125"/>
  <c r="G125"/>
  <c r="F141"/>
  <c r="C65"/>
  <c r="F89"/>
  <c r="E55"/>
  <c r="E57" i="7"/>
  <c r="E127"/>
  <c r="D43"/>
  <c r="Q3" i="6"/>
  <c r="O3"/>
  <c r="M3"/>
  <c r="K3"/>
  <c r="I3"/>
  <c r="G3"/>
  <c r="E3"/>
  <c r="G42" i="9"/>
  <c r="S42" i="4"/>
  <c r="H34" i="9"/>
  <c r="T34" i="4"/>
  <c r="I45" i="9"/>
  <c r="U45" i="4"/>
  <c r="P141" i="8"/>
  <c r="N141"/>
  <c r="L141"/>
  <c r="J141"/>
  <c r="H141"/>
  <c r="C141"/>
  <c r="C188" i="7"/>
  <c r="G146"/>
  <c r="G129"/>
  <c r="D47" i="10"/>
  <c r="D46" s="1"/>
  <c r="P95" i="4" s="1"/>
  <c r="C39" i="8" s="1"/>
  <c r="C126" i="3"/>
  <c r="G162" i="2"/>
  <c r="E162"/>
  <c r="O70"/>
  <c r="P171"/>
  <c r="P168"/>
  <c r="P101"/>
  <c r="P99"/>
  <c r="P97"/>
  <c r="P95"/>
  <c r="P93"/>
  <c r="P176"/>
  <c r="P102"/>
  <c r="P98"/>
  <c r="P94"/>
  <c r="G80" i="3"/>
  <c r="G79" s="1"/>
  <c r="V63"/>
  <c r="V85"/>
  <c r="H84"/>
  <c r="V84" s="1"/>
  <c r="V73"/>
  <c r="V69"/>
  <c r="V67"/>
  <c r="W55"/>
  <c r="F14" i="6"/>
  <c r="G198" i="10" s="1"/>
  <c r="J76" i="3" s="1"/>
  <c r="Y70"/>
  <c r="K14" i="6"/>
  <c r="L198" i="10" s="1"/>
  <c r="O76" i="3" s="1"/>
  <c r="AC76" s="1"/>
  <c r="P14" i="6"/>
  <c r="Q198" i="10" s="1"/>
  <c r="T76" i="3" s="1"/>
  <c r="G121" i="9"/>
  <c r="J73" i="3"/>
  <c r="X73" s="1"/>
  <c r="F105" i="10"/>
  <c r="G105" s="1"/>
  <c r="H105" s="1"/>
  <c r="I105" s="1"/>
  <c r="J105" s="1"/>
  <c r="K105" s="1"/>
  <c r="L105" s="1"/>
  <c r="M105" s="1"/>
  <c r="N105" s="1"/>
  <c r="O105" s="1"/>
  <c r="P105" s="1"/>
  <c r="Q105" s="1"/>
  <c r="R105" s="1"/>
  <c r="E103"/>
  <c r="F126"/>
  <c r="I223"/>
  <c r="H222"/>
  <c r="H209" s="1"/>
  <c r="F204"/>
  <c r="F148"/>
  <c r="E147"/>
  <c r="E125" s="1"/>
  <c r="P96" i="2"/>
  <c r="P169"/>
  <c r="L71"/>
  <c r="N48"/>
  <c r="K125"/>
  <c r="N230"/>
  <c r="N213" s="1"/>
  <c r="E125"/>
  <c r="H81"/>
  <c r="D190"/>
  <c r="O190" s="1"/>
  <c r="D166"/>
  <c r="O166" s="1"/>
  <c r="D148"/>
  <c r="O148" s="1"/>
  <c r="D130"/>
  <c r="O130" s="1"/>
  <c r="D82"/>
  <c r="O82" s="1"/>
  <c r="D63"/>
  <c r="O63" s="1"/>
  <c r="D38"/>
  <c r="O38" s="1"/>
  <c r="H80" i="3"/>
  <c r="V83"/>
  <c r="V82"/>
  <c r="Y30"/>
  <c r="X30"/>
  <c r="H14" i="6"/>
  <c r="I198" i="10" s="1"/>
  <c r="L76" i="3" s="1"/>
  <c r="L14" i="6"/>
  <c r="M198" i="10" s="1"/>
  <c r="P76" i="3" s="1"/>
  <c r="AD76" s="1"/>
  <c r="O14" i="6"/>
  <c r="P198" i="10" s="1"/>
  <c r="S76" i="3" s="1"/>
  <c r="AG76" s="1"/>
  <c r="F52" i="9"/>
  <c r="E51"/>
  <c r="I34" i="3" s="1"/>
  <c r="F85" i="9"/>
  <c r="I67" i="3"/>
  <c r="W67" s="1"/>
  <c r="F100" i="9"/>
  <c r="G100" s="1"/>
  <c r="H100" s="1"/>
  <c r="I100" s="1"/>
  <c r="J100" s="1"/>
  <c r="K100" s="1"/>
  <c r="L100" s="1"/>
  <c r="M100" s="1"/>
  <c r="N100" s="1"/>
  <c r="O100" s="1"/>
  <c r="P100" s="1"/>
  <c r="Q100" s="1"/>
  <c r="E98"/>
  <c r="E97" s="1"/>
  <c r="F112"/>
  <c r="G112" s="1"/>
  <c r="H112" s="1"/>
  <c r="I112" s="1"/>
  <c r="J112" s="1"/>
  <c r="K112" s="1"/>
  <c r="L112" s="1"/>
  <c r="M112" s="1"/>
  <c r="N112" s="1"/>
  <c r="O112" s="1"/>
  <c r="P112" s="1"/>
  <c r="Q112" s="1"/>
  <c r="E110"/>
  <c r="I120"/>
  <c r="L70" i="3"/>
  <c r="Z70" s="1"/>
  <c r="G126" i="9"/>
  <c r="J69" i="3"/>
  <c r="X69" s="1"/>
  <c r="H65" i="10"/>
  <c r="J55" i="3"/>
  <c r="X55" s="1"/>
  <c r="G178" i="10"/>
  <c r="F231"/>
  <c r="E230"/>
  <c r="V64" i="3"/>
  <c r="F207" i="10"/>
  <c r="H61" i="3"/>
  <c r="V61" s="1"/>
  <c r="F179" i="10"/>
  <c r="G179" s="1"/>
  <c r="H179" s="1"/>
  <c r="I179" s="1"/>
  <c r="J179" s="1"/>
  <c r="K179" s="1"/>
  <c r="L179" s="1"/>
  <c r="M179" s="1"/>
  <c r="N179" s="1"/>
  <c r="O179" s="1"/>
  <c r="P179" s="1"/>
  <c r="Q179" s="1"/>
  <c r="R179" s="1"/>
  <c r="F141"/>
  <c r="F53"/>
  <c r="H52" i="3"/>
  <c r="V52" s="1"/>
  <c r="F40" i="10"/>
  <c r="G40" s="1"/>
  <c r="H40" s="1"/>
  <c r="I40" s="1"/>
  <c r="J40" s="1"/>
  <c r="K40" s="1"/>
  <c r="L40" s="1"/>
  <c r="M40" s="1"/>
  <c r="N40" s="1"/>
  <c r="O40" s="1"/>
  <c r="P40" s="1"/>
  <c r="Q40" s="1"/>
  <c r="R40" s="1"/>
  <c r="F31"/>
  <c r="H31" i="9"/>
  <c r="K31" i="3"/>
  <c r="Y31" s="1"/>
  <c r="P92" i="2"/>
  <c r="P100"/>
  <c r="C14" i="6"/>
  <c r="D198" i="10" s="1"/>
  <c r="G76" i="3" s="1"/>
  <c r="V76" s="1"/>
  <c r="H54"/>
  <c r="D108" i="9"/>
  <c r="V32" i="3"/>
  <c r="E14" i="6"/>
  <c r="F198" i="10" s="1"/>
  <c r="F69"/>
  <c r="I63" i="3" s="1"/>
  <c r="W63" s="1"/>
  <c r="I54"/>
  <c r="I42"/>
  <c r="G14" i="6"/>
  <c r="H198" i="10" s="1"/>
  <c r="K76" i="3" s="1"/>
  <c r="Y76" s="1"/>
  <c r="I14" i="6"/>
  <c r="J198" i="10" s="1"/>
  <c r="M76" i="3" s="1"/>
  <c r="J69" i="10"/>
  <c r="M63" i="3" s="1"/>
  <c r="K69" i="10"/>
  <c r="N63" i="3" s="1"/>
  <c r="M14" i="6"/>
  <c r="N198" i="10" s="1"/>
  <c r="Q76" i="3" s="1"/>
  <c r="N69" i="10"/>
  <c r="Q63" i="3" s="1"/>
  <c r="O69" i="10"/>
  <c r="R63" i="3" s="1"/>
  <c r="Q14" i="6"/>
  <c r="R198" i="10" s="1"/>
  <c r="U76" i="3" s="1"/>
  <c r="AI76" s="1"/>
  <c r="G176" i="10"/>
  <c r="H176" s="1"/>
  <c r="I176" s="1"/>
  <c r="J176" s="1"/>
  <c r="K176" s="1"/>
  <c r="L176" s="1"/>
  <c r="M176" s="1"/>
  <c r="N176" s="1"/>
  <c r="O176" s="1"/>
  <c r="P176" s="1"/>
  <c r="Q176" s="1"/>
  <c r="R176" s="1"/>
  <c r="F176"/>
  <c r="E183"/>
  <c r="I208"/>
  <c r="J208" s="1"/>
  <c r="K208" s="1"/>
  <c r="L208" s="1"/>
  <c r="M208" s="1"/>
  <c r="N208" s="1"/>
  <c r="O208" s="1"/>
  <c r="P208" s="1"/>
  <c r="Q208" s="1"/>
  <c r="R208" s="1"/>
  <c r="H86" i="9"/>
  <c r="G93" i="8"/>
  <c r="E114"/>
  <c r="H56" i="9"/>
  <c r="T56" i="4"/>
  <c r="H73" i="9"/>
  <c r="T73" i="4"/>
  <c r="G57" i="8"/>
  <c r="H49" i="9"/>
  <c r="T49" i="4"/>
  <c r="H78" i="9"/>
  <c r="T78" i="4"/>
  <c r="K162" i="2"/>
  <c r="M162"/>
  <c r="D61" i="1"/>
  <c r="F61" s="1"/>
  <c r="K125"/>
  <c r="G87"/>
  <c r="C72" i="3"/>
  <c r="E98" i="7"/>
  <c r="I42" i="1"/>
  <c r="F42"/>
  <c r="E61"/>
  <c r="M58" i="4" s="1"/>
  <c r="G61" i="1"/>
  <c r="K58"/>
  <c r="J61"/>
  <c r="J57" s="1"/>
  <c r="J50" s="1"/>
  <c r="J28" s="1"/>
  <c r="K82"/>
  <c r="K78"/>
  <c r="K74"/>
  <c r="E57"/>
  <c r="M54" i="4" s="1"/>
  <c r="G57" i="1"/>
  <c r="E50"/>
  <c r="M47" i="4" s="1"/>
  <c r="F74" i="1"/>
  <c r="F62"/>
  <c r="C66" i="3"/>
  <c r="C58" i="8"/>
  <c r="C72"/>
  <c r="F183" i="10"/>
  <c r="U27" i="4"/>
  <c r="H28" i="8" s="1"/>
  <c r="I27" i="9"/>
  <c r="L28" i="3"/>
  <c r="Z28" s="1"/>
  <c r="H83" i="9"/>
  <c r="T83" i="4"/>
  <c r="H82" i="9"/>
  <c r="T82" i="4"/>
  <c r="H48" i="9"/>
  <c r="T48" i="4"/>
  <c r="J35" i="2"/>
  <c r="I47"/>
  <c r="L48"/>
  <c r="I46"/>
  <c r="G47"/>
  <c r="H47" s="1"/>
  <c r="E35"/>
  <c r="N201"/>
  <c r="J200"/>
  <c r="L201"/>
  <c r="C83" i="3"/>
  <c r="K199" i="2"/>
  <c r="I199"/>
  <c r="H199"/>
  <c r="M47"/>
  <c r="M46" s="1"/>
  <c r="F40" i="7"/>
  <c r="L59" i="2"/>
  <c r="N74"/>
  <c r="N103"/>
  <c r="J88"/>
  <c r="I88"/>
  <c r="E105" i="7"/>
  <c r="N140" i="2"/>
  <c r="G125"/>
  <c r="H162"/>
  <c r="H125"/>
  <c r="H58"/>
  <c r="N36"/>
  <c r="K35"/>
  <c r="K27" s="1"/>
  <c r="E27"/>
  <c r="N29"/>
  <c r="I27"/>
  <c r="I26" s="1"/>
  <c r="H29"/>
  <c r="E29" i="5"/>
  <c r="E38" s="1"/>
  <c r="E54" s="1"/>
  <c r="E63" i="11" s="1"/>
  <c r="C134" i="3"/>
  <c r="C141" s="1"/>
  <c r="E67" i="7"/>
  <c r="E60"/>
  <c r="E63" s="1"/>
  <c r="E52"/>
  <c r="D105"/>
  <c r="D74"/>
  <c r="D77" s="1"/>
  <c r="D60"/>
  <c r="F60" s="1"/>
  <c r="D52"/>
  <c r="D55" s="1"/>
  <c r="F54"/>
  <c r="C75" i="3"/>
  <c r="N110" i="2"/>
  <c r="G115" i="10"/>
  <c r="E74" i="8"/>
  <c r="G119" i="10"/>
  <c r="H119" s="1"/>
  <c r="I119" s="1"/>
  <c r="J119" s="1"/>
  <c r="K119" s="1"/>
  <c r="L119" s="1"/>
  <c r="M119" s="1"/>
  <c r="N119" s="1"/>
  <c r="P119" s="1"/>
  <c r="R119" s="1"/>
  <c r="D119" i="2"/>
  <c r="O119" s="1"/>
  <c r="G111" i="10"/>
  <c r="H111" s="1"/>
  <c r="I111" s="1"/>
  <c r="J111" s="1"/>
  <c r="K111" s="1"/>
  <c r="L111" s="1"/>
  <c r="M111" s="1"/>
  <c r="N111" s="1"/>
  <c r="O111" s="1"/>
  <c r="P111" s="1"/>
  <c r="Q111" s="1"/>
  <c r="R111" s="1"/>
  <c r="F110"/>
  <c r="D111" i="2"/>
  <c r="O111" s="1"/>
  <c r="E67" i="8"/>
  <c r="I116" i="10"/>
  <c r="J116" s="1"/>
  <c r="K116" s="1"/>
  <c r="L116" s="1"/>
  <c r="M116" s="1"/>
  <c r="N116" s="1"/>
  <c r="O116" s="1"/>
  <c r="P116" s="1"/>
  <c r="Q116" s="1"/>
  <c r="R116" s="1"/>
  <c r="E60" i="8"/>
  <c r="F123" i="9"/>
  <c r="E122"/>
  <c r="E108"/>
  <c r="I72" i="3" s="1"/>
  <c r="F110" i="9"/>
  <c r="F108" s="1"/>
  <c r="F118" i="8"/>
  <c r="G111" i="9"/>
  <c r="S85" i="4"/>
  <c r="E96" i="8"/>
  <c r="F122" i="7"/>
  <c r="H101" i="8"/>
  <c r="I127" i="9"/>
  <c r="I125"/>
  <c r="H100" i="8"/>
  <c r="I124" i="9"/>
  <c r="J124" s="1"/>
  <c r="K124" s="1"/>
  <c r="L124" s="1"/>
  <c r="M124" s="1"/>
  <c r="N124" s="1"/>
  <c r="O124" s="1"/>
  <c r="P124" s="1"/>
  <c r="Q124" s="1"/>
  <c r="I123" i="8"/>
  <c r="J104" i="9"/>
  <c r="I107"/>
  <c r="J107" s="1"/>
  <c r="K107" s="1"/>
  <c r="L107" s="1"/>
  <c r="M107" s="1"/>
  <c r="N107" s="1"/>
  <c r="O107" s="1"/>
  <c r="P107" s="1"/>
  <c r="Q107" s="1"/>
  <c r="L85" i="3"/>
  <c r="Z85" s="1"/>
  <c r="H93" i="8"/>
  <c r="I86" i="9"/>
  <c r="I83"/>
  <c r="U83" i="4"/>
  <c r="U78"/>
  <c r="I78" i="9"/>
  <c r="V77" i="4"/>
  <c r="J77" i="9"/>
  <c r="S75" i="4"/>
  <c r="U72"/>
  <c r="H57" i="8"/>
  <c r="I72" i="9"/>
  <c r="I63"/>
  <c r="U63" i="4"/>
  <c r="I65" i="9"/>
  <c r="U65" i="4"/>
  <c r="I64" i="9"/>
  <c r="U64" i="4"/>
  <c r="I66" i="9"/>
  <c r="U66" i="4"/>
  <c r="U68"/>
  <c r="H64" i="8"/>
  <c r="H63" s="1"/>
  <c r="H121"/>
  <c r="I68" i="9"/>
  <c r="L41" i="3"/>
  <c r="Z41" s="1"/>
  <c r="H71" i="8"/>
  <c r="H70" s="1"/>
  <c r="H86"/>
  <c r="J69" i="9"/>
  <c r="V69" i="4"/>
  <c r="V60"/>
  <c r="J60" i="9"/>
  <c r="S55" i="4"/>
  <c r="I53" i="9"/>
  <c r="U53" i="4"/>
  <c r="U50"/>
  <c r="I50" i="9"/>
  <c r="U48" i="4"/>
  <c r="I48" i="9"/>
  <c r="I43"/>
  <c r="U43" i="4"/>
  <c r="U46"/>
  <c r="I46" i="9"/>
  <c r="U44" i="4"/>
  <c r="I44" i="9"/>
  <c r="J45"/>
  <c r="V45" i="4"/>
  <c r="I29" i="9"/>
  <c r="L29" i="3"/>
  <c r="Z29" s="1"/>
  <c r="U29" i="4"/>
  <c r="H29" i="8" s="1"/>
  <c r="I31" i="9"/>
  <c r="L31" i="3"/>
  <c r="Z31" s="1"/>
  <c r="U31" i="4"/>
  <c r="H31" i="8" s="1"/>
  <c r="H115"/>
  <c r="I34" i="9"/>
  <c r="U34" i="4"/>
  <c r="H116" i="8"/>
  <c r="I38" i="9"/>
  <c r="U38" i="4"/>
  <c r="H32" i="8" s="1"/>
  <c r="I30" i="9"/>
  <c r="L30" i="3"/>
  <c r="Z30" s="1"/>
  <c r="U30" i="4"/>
  <c r="H30" i="8" s="1"/>
  <c r="I32" i="9"/>
  <c r="U32" i="4"/>
  <c r="V33"/>
  <c r="J33" i="9"/>
  <c r="U36" i="4"/>
  <c r="H67" i="10"/>
  <c r="J57" i="3"/>
  <c r="X57" s="1"/>
  <c r="H50" i="10"/>
  <c r="I50" s="1"/>
  <c r="J50" s="1"/>
  <c r="K50" s="1"/>
  <c r="L50" s="1"/>
  <c r="M50" s="1"/>
  <c r="N50" s="1"/>
  <c r="O50" s="1"/>
  <c r="P50" s="1"/>
  <c r="Q50" s="1"/>
  <c r="R50" s="1"/>
  <c r="J50" i="3"/>
  <c r="X50" s="1"/>
  <c r="G174" i="10"/>
  <c r="H174" s="1"/>
  <c r="I174" s="1"/>
  <c r="J174" s="1"/>
  <c r="K174" s="1"/>
  <c r="L174" s="1"/>
  <c r="M174" s="1"/>
  <c r="N174" s="1"/>
  <c r="O174" s="1"/>
  <c r="P174" s="1"/>
  <c r="Q174" s="1"/>
  <c r="R174" s="1"/>
  <c r="D174" i="2"/>
  <c r="O174" s="1"/>
  <c r="H202" i="10"/>
  <c r="I202" s="1"/>
  <c r="J202" s="1"/>
  <c r="K202" s="1"/>
  <c r="L202" s="1"/>
  <c r="M202" s="1"/>
  <c r="N202" s="1"/>
  <c r="O202" s="1"/>
  <c r="P202" s="1"/>
  <c r="Q202" s="1"/>
  <c r="R202" s="1"/>
  <c r="I60" i="3"/>
  <c r="W60" s="1"/>
  <c r="E200" i="10"/>
  <c r="D199"/>
  <c r="C154" i="8" s="1"/>
  <c r="G59" i="3"/>
  <c r="I83"/>
  <c r="F200" i="10"/>
  <c r="V80" i="3"/>
  <c r="G175" i="10"/>
  <c r="H175" s="1"/>
  <c r="I175" s="1"/>
  <c r="J175" s="1"/>
  <c r="K175" s="1"/>
  <c r="L175" s="1"/>
  <c r="M175" s="1"/>
  <c r="N175" s="1"/>
  <c r="O175" s="1"/>
  <c r="P175" s="1"/>
  <c r="Q175" s="1"/>
  <c r="R175" s="1"/>
  <c r="F163"/>
  <c r="D101" i="2"/>
  <c r="O101" s="1"/>
  <c r="G101" i="10"/>
  <c r="H101" s="1"/>
  <c r="I101" s="1"/>
  <c r="J101" s="1"/>
  <c r="K101" s="1"/>
  <c r="L101" s="1"/>
  <c r="M101" s="1"/>
  <c r="N101" s="1"/>
  <c r="O101" s="1"/>
  <c r="P101" s="1"/>
  <c r="Q101" s="1"/>
  <c r="R101" s="1"/>
  <c r="H38"/>
  <c r="I38" s="1"/>
  <c r="J38" s="1"/>
  <c r="K38" s="1"/>
  <c r="L38" s="1"/>
  <c r="M38" s="1"/>
  <c r="N38" s="1"/>
  <c r="O38" s="1"/>
  <c r="P38" s="1"/>
  <c r="Q38" s="1"/>
  <c r="R38" s="1"/>
  <c r="G36"/>
  <c r="H36"/>
  <c r="I37"/>
  <c r="E35"/>
  <c r="E27" s="1"/>
  <c r="Q93" i="4" s="1"/>
  <c r="D37" i="8" s="1"/>
  <c r="G42" i="10"/>
  <c r="H43"/>
  <c r="G48"/>
  <c r="E47"/>
  <c r="E46" s="1"/>
  <c r="K53" i="3"/>
  <c r="Y53" s="1"/>
  <c r="I54" i="10"/>
  <c r="J54" i="3"/>
  <c r="K54"/>
  <c r="Y54" s="1"/>
  <c r="G59" i="10"/>
  <c r="G58" s="1"/>
  <c r="H60"/>
  <c r="J51" i="3"/>
  <c r="X51" s="1"/>
  <c r="K50"/>
  <c r="Y50" s="1"/>
  <c r="I61" i="10"/>
  <c r="I65"/>
  <c r="K55" i="3"/>
  <c r="Y55" s="1"/>
  <c r="J56"/>
  <c r="X56" s="1"/>
  <c r="H66" i="10"/>
  <c r="I67"/>
  <c r="K57" i="3"/>
  <c r="Y57" s="1"/>
  <c r="D72" i="8"/>
  <c r="D75" s="1"/>
  <c r="F103" i="10"/>
  <c r="G110"/>
  <c r="G126"/>
  <c r="H127"/>
  <c r="H142"/>
  <c r="I142" s="1"/>
  <c r="J142" s="1"/>
  <c r="K142" s="1"/>
  <c r="L142" s="1"/>
  <c r="M142" s="1"/>
  <c r="N142" s="1"/>
  <c r="O142" s="1"/>
  <c r="P142" s="1"/>
  <c r="Q142" s="1"/>
  <c r="R142" s="1"/>
  <c r="D50" i="8"/>
  <c r="G177" i="10"/>
  <c r="H178"/>
  <c r="G183"/>
  <c r="F60" i="8"/>
  <c r="H183" i="10"/>
  <c r="J86" i="3"/>
  <c r="E199" i="10"/>
  <c r="D154" i="8" s="1"/>
  <c r="J60" i="3"/>
  <c r="H59"/>
  <c r="F51" i="8"/>
  <c r="G60"/>
  <c r="G51"/>
  <c r="F89" i="10"/>
  <c r="E73" i="8"/>
  <c r="E72" s="1"/>
  <c r="E75" s="1"/>
  <c r="G84" i="10"/>
  <c r="E59" i="8"/>
  <c r="F81" i="10"/>
  <c r="D58" i="8"/>
  <c r="D73" i="10"/>
  <c r="D72" s="1"/>
  <c r="E52" i="8"/>
  <c r="E50" s="1"/>
  <c r="E53" s="1"/>
  <c r="F74" i="10"/>
  <c r="F52"/>
  <c r="F47" s="1"/>
  <c r="V48" i="3"/>
  <c r="G47"/>
  <c r="P93" i="4"/>
  <c r="C37" i="8" s="1"/>
  <c r="D26" i="10"/>
  <c r="C36" i="8"/>
  <c r="J225" i="10"/>
  <c r="H44" i="8"/>
  <c r="I212" i="10"/>
  <c r="I222"/>
  <c r="F41" i="8"/>
  <c r="X54" i="3"/>
  <c r="W54"/>
  <c r="G49"/>
  <c r="V54"/>
  <c r="C41" i="8"/>
  <c r="X43" i="3"/>
  <c r="W40"/>
  <c r="W37"/>
  <c r="W39"/>
  <c r="W35"/>
  <c r="S71" i="4"/>
  <c r="S81"/>
  <c r="S79" s="1"/>
  <c r="T61"/>
  <c r="T59" s="1"/>
  <c r="F59" i="9"/>
  <c r="S61" i="4"/>
  <c r="S59" s="1"/>
  <c r="W42" i="3"/>
  <c r="Q75" i="4"/>
  <c r="W43" i="3"/>
  <c r="R62" i="4"/>
  <c r="R59"/>
  <c r="W34" i="3"/>
  <c r="T37" i="4"/>
  <c r="R39"/>
  <c r="T35"/>
  <c r="V43" i="3"/>
  <c r="Q71" i="4"/>
  <c r="V40" i="3"/>
  <c r="D55" i="8"/>
  <c r="H38" i="3"/>
  <c r="V37"/>
  <c r="G66"/>
  <c r="G38"/>
  <c r="V39"/>
  <c r="G33"/>
  <c r="Q79" i="4"/>
  <c r="AO24"/>
  <c r="Z91"/>
  <c r="C103" i="1"/>
  <c r="L103" s="1"/>
  <c r="C127"/>
  <c r="L127" s="1"/>
  <c r="C71"/>
  <c r="C123" i="7" s="1"/>
  <c r="G123" s="1"/>
  <c r="D24" i="11"/>
  <c r="D14"/>
  <c r="C116" i="1"/>
  <c r="L116" s="1"/>
  <c r="C56"/>
  <c r="C46"/>
  <c r="D73" i="11"/>
  <c r="D58"/>
  <c r="C58" s="1"/>
  <c r="D39"/>
  <c r="D8"/>
  <c r="D203" i="2"/>
  <c r="O203" s="1"/>
  <c r="D194"/>
  <c r="O194" s="1"/>
  <c r="D186"/>
  <c r="O186" s="1"/>
  <c r="D178"/>
  <c r="O178" s="1"/>
  <c r="D170"/>
  <c r="O170" s="1"/>
  <c r="D160"/>
  <c r="O160" s="1"/>
  <c r="D152"/>
  <c r="O152" s="1"/>
  <c r="D144"/>
  <c r="O144" s="1"/>
  <c r="D134"/>
  <c r="O134" s="1"/>
  <c r="D123"/>
  <c r="O123" s="1"/>
  <c r="D115"/>
  <c r="O115" s="1"/>
  <c r="D107"/>
  <c r="O107" s="1"/>
  <c r="D97"/>
  <c r="O97" s="1"/>
  <c r="D86"/>
  <c r="O86" s="1"/>
  <c r="D78"/>
  <c r="O78" s="1"/>
  <c r="D68"/>
  <c r="O68" s="1"/>
  <c r="D60"/>
  <c r="O60" s="1"/>
  <c r="D44"/>
  <c r="O44" s="1"/>
  <c r="D31"/>
  <c r="O31" s="1"/>
  <c r="C130" i="1"/>
  <c r="C121"/>
  <c r="L121" s="1"/>
  <c r="C107"/>
  <c r="C95"/>
  <c r="L95" s="1"/>
  <c r="C80"/>
  <c r="C64"/>
  <c r="C36"/>
  <c r="C114" i="8"/>
  <c r="D207" i="2"/>
  <c r="O207" s="1"/>
  <c r="D201"/>
  <c r="O201" s="1"/>
  <c r="D196"/>
  <c r="O196" s="1"/>
  <c r="D192"/>
  <c r="O192" s="1"/>
  <c r="D188"/>
  <c r="O188" s="1"/>
  <c r="D184"/>
  <c r="O184" s="1"/>
  <c r="D180"/>
  <c r="O180" s="1"/>
  <c r="D176"/>
  <c r="O176" s="1"/>
  <c r="D172"/>
  <c r="O172" s="1"/>
  <c r="D168"/>
  <c r="O168" s="1"/>
  <c r="D164"/>
  <c r="O164" s="1"/>
  <c r="D158"/>
  <c r="O158" s="1"/>
  <c r="D154"/>
  <c r="O154" s="1"/>
  <c r="D150"/>
  <c r="O150" s="1"/>
  <c r="D146"/>
  <c r="O146" s="1"/>
  <c r="D142"/>
  <c r="O142" s="1"/>
  <c r="D136"/>
  <c r="O136" s="1"/>
  <c r="D132"/>
  <c r="O132" s="1"/>
  <c r="D128"/>
  <c r="O128" s="1"/>
  <c r="D121"/>
  <c r="O121" s="1"/>
  <c r="D117"/>
  <c r="D113"/>
  <c r="O113" s="1"/>
  <c r="D109"/>
  <c r="O109" s="1"/>
  <c r="D105"/>
  <c r="O105" s="1"/>
  <c r="D99"/>
  <c r="O99" s="1"/>
  <c r="D95"/>
  <c r="O95" s="1"/>
  <c r="D91"/>
  <c r="O91" s="1"/>
  <c r="D84"/>
  <c r="O84" s="1"/>
  <c r="D80"/>
  <c r="O80" s="1"/>
  <c r="D76"/>
  <c r="O76" s="1"/>
  <c r="D65"/>
  <c r="O65" s="1"/>
  <c r="D66"/>
  <c r="D62"/>
  <c r="O62" s="1"/>
  <c r="D55"/>
  <c r="O55" s="1"/>
  <c r="D50"/>
  <c r="O50" s="1"/>
  <c r="D41"/>
  <c r="O41" s="1"/>
  <c r="D33"/>
  <c r="O33" s="1"/>
  <c r="C91" i="1"/>
  <c r="L91" s="1"/>
  <c r="C84"/>
  <c r="C59"/>
  <c r="C68"/>
  <c r="C41"/>
  <c r="C40"/>
  <c r="C32"/>
  <c r="AM24" i="4"/>
  <c r="X91"/>
  <c r="D89" i="8"/>
  <c r="C178" i="7"/>
  <c r="F73"/>
  <c r="E121"/>
  <c r="E119"/>
  <c r="F119" s="1"/>
  <c r="E117"/>
  <c r="E99"/>
  <c r="E96"/>
  <c r="E88"/>
  <c r="E91" s="1"/>
  <c r="E189"/>
  <c r="E183"/>
  <c r="D124"/>
  <c r="D121"/>
  <c r="D117"/>
  <c r="D94"/>
  <c r="F94" s="1"/>
  <c r="C118"/>
  <c r="G118" s="1"/>
  <c r="C189"/>
  <c r="C150"/>
  <c r="G150" s="1"/>
  <c r="C137"/>
  <c r="G137" s="1"/>
  <c r="C131"/>
  <c r="G131" s="1"/>
  <c r="D49" i="5"/>
  <c r="G4"/>
  <c r="C128" i="1"/>
  <c r="C124"/>
  <c r="C119"/>
  <c r="L119" s="1"/>
  <c r="C114"/>
  <c r="C105"/>
  <c r="L105" s="1"/>
  <c r="C97"/>
  <c r="L97" s="1"/>
  <c r="C93"/>
  <c r="L93" s="1"/>
  <c r="C88"/>
  <c r="C53"/>
  <c r="C86"/>
  <c r="C76"/>
  <c r="C73"/>
  <c r="C70"/>
  <c r="C66"/>
  <c r="C51"/>
  <c r="C49"/>
  <c r="C44"/>
  <c r="C38"/>
  <c r="C34"/>
  <c r="F65" i="7"/>
  <c r="E70"/>
  <c r="AB63" i="3"/>
  <c r="AF63"/>
  <c r="AE63"/>
  <c r="F72" i="7"/>
  <c r="D128"/>
  <c r="F128" s="1"/>
  <c r="F42"/>
  <c r="G11" i="5"/>
  <c r="H11" s="1"/>
  <c r="I11" s="1"/>
  <c r="J11" s="1"/>
  <c r="K11" s="1"/>
  <c r="L11" s="1"/>
  <c r="M11" s="1"/>
  <c r="N11" s="1"/>
  <c r="O11" s="1"/>
  <c r="P11" s="1"/>
  <c r="Q11" s="1"/>
  <c r="R11" s="1"/>
  <c r="S11" s="1"/>
  <c r="T11" s="1"/>
  <c r="U11" s="1"/>
  <c r="E11"/>
  <c r="E67" i="3"/>
  <c r="E68"/>
  <c r="E69"/>
  <c r="E70"/>
  <c r="E71"/>
  <c r="E72"/>
  <c r="E73"/>
  <c r="AD63"/>
  <c r="AC63"/>
  <c r="AH63"/>
  <c r="AG63"/>
  <c r="D61" i="8"/>
  <c r="R58" i="4"/>
  <c r="V59" i="3"/>
  <c r="P125" i="8"/>
  <c r="N125"/>
  <c r="L125"/>
  <c r="J125"/>
  <c r="H125"/>
  <c r="F125"/>
  <c r="E141"/>
  <c r="E41"/>
  <c r="C125"/>
  <c r="C90"/>
  <c r="C75"/>
  <c r="C55"/>
  <c r="C61" s="1"/>
  <c r="E104" i="7"/>
  <c r="I92" i="4"/>
  <c r="D89" i="7"/>
  <c r="H27" i="3"/>
  <c r="I38"/>
  <c r="W38" s="1"/>
  <c r="I33"/>
  <c r="G69" i="10"/>
  <c r="J63" i="3" s="1"/>
  <c r="I69" i="10"/>
  <c r="L63" i="3" s="1"/>
  <c r="Z63" s="1"/>
  <c r="E58" i="11"/>
  <c r="D43"/>
  <c r="D33"/>
  <c r="Q141" i="8"/>
  <c r="O141"/>
  <c r="M141"/>
  <c r="K141"/>
  <c r="I141"/>
  <c r="G141"/>
  <c r="G41"/>
  <c r="D125"/>
  <c r="D65"/>
  <c r="D68" s="1"/>
  <c r="C103"/>
  <c r="C102" s="1"/>
  <c r="C50"/>
  <c r="C53" s="1"/>
  <c r="G89"/>
  <c r="E89"/>
  <c r="C78"/>
  <c r="C27"/>
  <c r="D57" i="7"/>
  <c r="D63" s="1"/>
  <c r="E143"/>
  <c r="F143" s="1"/>
  <c r="E74"/>
  <c r="F74" s="1"/>
  <c r="E43"/>
  <c r="F43" s="1"/>
  <c r="D67"/>
  <c r="D70" s="1"/>
  <c r="C148"/>
  <c r="G148" s="1"/>
  <c r="C144"/>
  <c r="G144" s="1"/>
  <c r="C135"/>
  <c r="G135" s="1"/>
  <c r="C128"/>
  <c r="G128" s="1"/>
  <c r="P58" i="4"/>
  <c r="P54" s="1"/>
  <c r="P47" s="1"/>
  <c r="C35" i="8" s="1"/>
  <c r="C34" s="1"/>
  <c r="C124" s="1"/>
  <c r="K69" i="2"/>
  <c r="Q59" i="4"/>
  <c r="R55"/>
  <c r="W84" i="3"/>
  <c r="G46"/>
  <c r="C8" i="11"/>
  <c r="C36"/>
  <c r="C46"/>
  <c r="C14"/>
  <c r="C24"/>
  <c r="C48"/>
  <c r="C49" s="1"/>
  <c r="C73"/>
  <c r="L108"/>
  <c r="D25" i="9"/>
  <c r="C68" i="8"/>
  <c r="L24" i="12"/>
  <c r="S19"/>
  <c r="L12"/>
  <c r="J17"/>
  <c r="J25" s="1"/>
  <c r="C25" i="9"/>
  <c r="C24" s="1"/>
  <c r="C9" i="11"/>
  <c r="D53" i="8"/>
  <c r="E50" i="7"/>
  <c r="E57" i="4"/>
  <c r="J55"/>
  <c r="E60"/>
  <c r="E59" s="1"/>
  <c r="J59"/>
  <c r="D34" i="7"/>
  <c r="D186" s="1"/>
  <c r="D85"/>
  <c r="D32"/>
  <c r="D184" s="1"/>
  <c r="D83"/>
  <c r="D31"/>
  <c r="D183" s="1"/>
  <c r="D82"/>
  <c r="F82" s="1"/>
  <c r="K1" i="6"/>
  <c r="L1" s="1"/>
  <c r="M1" s="1"/>
  <c r="N1" s="1"/>
  <c r="O1" s="1"/>
  <c r="P1" s="1"/>
  <c r="Q1" s="1"/>
  <c r="F57" i="4"/>
  <c r="K55"/>
  <c r="F60"/>
  <c r="F59" s="1"/>
  <c r="K59"/>
  <c r="E34" i="7"/>
  <c r="E85"/>
  <c r="E32"/>
  <c r="E83"/>
  <c r="H118" i="3"/>
  <c r="I118" s="1"/>
  <c r="J118" s="1"/>
  <c r="K118" s="1"/>
  <c r="L118" s="1"/>
  <c r="M118" s="1"/>
  <c r="N118" s="1"/>
  <c r="O118" s="1"/>
  <c r="P118" s="1"/>
  <c r="Q118" s="1"/>
  <c r="R118" s="1"/>
  <c r="S118" s="1"/>
  <c r="T118" s="1"/>
  <c r="U118" s="1"/>
  <c r="G126"/>
  <c r="D46" i="11"/>
  <c r="D36"/>
  <c r="C3" i="6"/>
  <c r="C2" s="1"/>
  <c r="F46" i="10"/>
  <c r="R95" i="4" s="1"/>
  <c r="E39" i="8" s="1"/>
  <c r="P92" i="4"/>
  <c r="E80"/>
  <c r="E79" s="1"/>
  <c r="J79"/>
  <c r="E76"/>
  <c r="E75" s="1"/>
  <c r="J75"/>
  <c r="E72"/>
  <c r="E71" s="1"/>
  <c r="J71"/>
  <c r="E64"/>
  <c r="E62" s="1"/>
  <c r="J62"/>
  <c r="E53"/>
  <c r="E51" s="1"/>
  <c r="J51"/>
  <c r="E41"/>
  <c r="E39" s="1"/>
  <c r="E26" s="1"/>
  <c r="J39"/>
  <c r="D33" i="7"/>
  <c r="D185" s="1"/>
  <c r="D84"/>
  <c r="F84" s="1"/>
  <c r="D30"/>
  <c r="D81"/>
  <c r="G22" i="5"/>
  <c r="G132" i="3" s="1"/>
  <c r="D53" i="5"/>
  <c r="D62" i="11" s="1"/>
  <c r="F80" i="4"/>
  <c r="F79" s="1"/>
  <c r="K79"/>
  <c r="F76"/>
  <c r="F75" s="1"/>
  <c r="K75"/>
  <c r="F72"/>
  <c r="F71" s="1"/>
  <c r="K71"/>
  <c r="E89" i="7"/>
  <c r="E124"/>
  <c r="F64" i="4"/>
  <c r="F62" s="1"/>
  <c r="K62"/>
  <c r="F53"/>
  <c r="F51" s="1"/>
  <c r="K51"/>
  <c r="F46"/>
  <c r="F41"/>
  <c r="F39" s="1"/>
  <c r="K39"/>
  <c r="K26" s="1"/>
  <c r="E30" i="7"/>
  <c r="E81"/>
  <c r="I119" i="3"/>
  <c r="H126"/>
  <c r="F93" i="7"/>
  <c r="F51"/>
  <c r="E185"/>
  <c r="F31"/>
  <c r="D104"/>
  <c r="E55" i="4"/>
  <c r="P3" i="6"/>
  <c r="P2" s="1"/>
  <c r="N3"/>
  <c r="N2" s="1"/>
  <c r="L3"/>
  <c r="L2" s="1"/>
  <c r="J3"/>
  <c r="J2" s="1"/>
  <c r="H3"/>
  <c r="H2" s="1"/>
  <c r="F3"/>
  <c r="F2" s="1"/>
  <c r="D3"/>
  <c r="D2" s="1"/>
  <c r="P25" i="4"/>
  <c r="F55"/>
  <c r="C49" i="3"/>
  <c r="E52" s="1"/>
  <c r="M88" i="2"/>
  <c r="M73" s="1"/>
  <c r="M72" s="1"/>
  <c r="N89"/>
  <c r="L198"/>
  <c r="C76" i="3"/>
  <c r="L147" i="2"/>
  <c r="J125"/>
  <c r="L126"/>
  <c r="J69"/>
  <c r="N70"/>
  <c r="J47"/>
  <c r="N52"/>
  <c r="L42"/>
  <c r="C48" i="3"/>
  <c r="G35" i="2"/>
  <c r="H39"/>
  <c r="K90" i="1"/>
  <c r="H61"/>
  <c r="K65"/>
  <c r="K54"/>
  <c r="C34" i="3"/>
  <c r="E111" i="1"/>
  <c r="F113"/>
  <c r="E28"/>
  <c r="F29"/>
  <c r="D120" i="7"/>
  <c r="F120" s="1"/>
  <c r="D118"/>
  <c r="D99"/>
  <c r="F99" s="1"/>
  <c r="D96"/>
  <c r="F96" s="1"/>
  <c r="D123"/>
  <c r="F123" s="1"/>
  <c r="D88"/>
  <c r="D189"/>
  <c r="C151"/>
  <c r="G151" s="1"/>
  <c r="C149"/>
  <c r="G149" s="1"/>
  <c r="C147"/>
  <c r="G147" s="1"/>
  <c r="C145"/>
  <c r="C136"/>
  <c r="G136" s="1"/>
  <c r="C134"/>
  <c r="G134" s="1"/>
  <c r="C132"/>
  <c r="G132" s="1"/>
  <c r="C130"/>
  <c r="G130" s="1"/>
  <c r="J26" i="4"/>
  <c r="E54" i="3"/>
  <c r="C38"/>
  <c r="L110" i="2"/>
  <c r="L103"/>
  <c r="L74"/>
  <c r="H48"/>
  <c r="I125"/>
  <c r="G50" i="1"/>
  <c r="G28" s="1"/>
  <c r="G27" s="1"/>
  <c r="Q62" i="4"/>
  <c r="Q39"/>
  <c r="Q26" s="1"/>
  <c r="R79"/>
  <c r="R71"/>
  <c r="S62"/>
  <c r="S39"/>
  <c r="C59" i="3"/>
  <c r="E61" s="1"/>
  <c r="M35" i="2"/>
  <c r="N35" s="1"/>
  <c r="N39"/>
  <c r="L200"/>
  <c r="L183"/>
  <c r="J162"/>
  <c r="L163"/>
  <c r="J73"/>
  <c r="N81"/>
  <c r="J58"/>
  <c r="N59"/>
  <c r="J27"/>
  <c r="L35"/>
  <c r="L36"/>
  <c r="G88"/>
  <c r="H89"/>
  <c r="D30"/>
  <c r="D32"/>
  <c r="O32" s="1"/>
  <c r="D34"/>
  <c r="O34" s="1"/>
  <c r="D37"/>
  <c r="D43"/>
  <c r="D45"/>
  <c r="O45" s="1"/>
  <c r="D49"/>
  <c r="D51"/>
  <c r="O51" s="1"/>
  <c r="D53"/>
  <c r="D57"/>
  <c r="O57" s="1"/>
  <c r="D56"/>
  <c r="O56" s="1"/>
  <c r="D61"/>
  <c r="O61" s="1"/>
  <c r="D67"/>
  <c r="O67" s="1"/>
  <c r="D64"/>
  <c r="O64" s="1"/>
  <c r="D71"/>
  <c r="D75"/>
  <c r="D77"/>
  <c r="D79"/>
  <c r="O79" s="1"/>
  <c r="D83"/>
  <c r="D85"/>
  <c r="D87"/>
  <c r="O87" s="1"/>
  <c r="D90"/>
  <c r="D92"/>
  <c r="O92" s="1"/>
  <c r="D94"/>
  <c r="D96"/>
  <c r="O96" s="1"/>
  <c r="D98"/>
  <c r="O98" s="1"/>
  <c r="D100"/>
  <c r="O100" s="1"/>
  <c r="D102"/>
  <c r="O102" s="1"/>
  <c r="D104"/>
  <c r="D106"/>
  <c r="O106" s="1"/>
  <c r="D108"/>
  <c r="O108" s="1"/>
  <c r="D112"/>
  <c r="O112" s="1"/>
  <c r="D114"/>
  <c r="O114" s="1"/>
  <c r="D116"/>
  <c r="O116" s="1"/>
  <c r="D118"/>
  <c r="O118" s="1"/>
  <c r="D120"/>
  <c r="O120" s="1"/>
  <c r="D122"/>
  <c r="O122" s="1"/>
  <c r="D124"/>
  <c r="O124" s="1"/>
  <c r="D127"/>
  <c r="D129"/>
  <c r="O129" s="1"/>
  <c r="D131"/>
  <c r="O131" s="1"/>
  <c r="D133"/>
  <c r="O133" s="1"/>
  <c r="D135"/>
  <c r="O135" s="1"/>
  <c r="D137"/>
  <c r="O137" s="1"/>
  <c r="D139"/>
  <c r="O139" s="1"/>
  <c r="D141"/>
  <c r="D143"/>
  <c r="O143" s="1"/>
  <c r="D145"/>
  <c r="O145" s="1"/>
  <c r="D149"/>
  <c r="D151"/>
  <c r="O151" s="1"/>
  <c r="D153"/>
  <c r="O153" s="1"/>
  <c r="D155"/>
  <c r="O155" s="1"/>
  <c r="D157"/>
  <c r="O157" s="1"/>
  <c r="D159"/>
  <c r="O159" s="1"/>
  <c r="D161"/>
  <c r="O161" s="1"/>
  <c r="D165"/>
  <c r="O165" s="1"/>
  <c r="D167"/>
  <c r="O167" s="1"/>
  <c r="D169"/>
  <c r="O169" s="1"/>
  <c r="D171"/>
  <c r="O171" s="1"/>
  <c r="D173"/>
  <c r="O173" s="1"/>
  <c r="D175"/>
  <c r="O175" s="1"/>
  <c r="D179"/>
  <c r="O179" s="1"/>
  <c r="D181"/>
  <c r="O181" s="1"/>
  <c r="D185"/>
  <c r="D187"/>
  <c r="O187" s="1"/>
  <c r="D189"/>
  <c r="O189" s="1"/>
  <c r="D191"/>
  <c r="O191" s="1"/>
  <c r="D193"/>
  <c r="O193" s="1"/>
  <c r="D195"/>
  <c r="O195" s="1"/>
  <c r="D197"/>
  <c r="O197" s="1"/>
  <c r="D202"/>
  <c r="D204"/>
  <c r="O204" s="1"/>
  <c r="D206"/>
  <c r="D208"/>
  <c r="O208" s="1"/>
  <c r="D223"/>
  <c r="D224"/>
  <c r="D225"/>
  <c r="J111" i="1"/>
  <c r="J87" s="1"/>
  <c r="K113"/>
  <c r="H100"/>
  <c r="K101"/>
  <c r="H29"/>
  <c r="K42"/>
  <c r="C32" i="3"/>
  <c r="C27" s="1"/>
  <c r="E99" i="1"/>
  <c r="F100"/>
  <c r="E87"/>
  <c r="F90"/>
  <c r="V24" i="4"/>
  <c r="J22" i="10"/>
  <c r="J219" s="1"/>
  <c r="J227" s="1"/>
  <c r="M23" i="3"/>
  <c r="M120" s="1"/>
  <c r="AB24" i="4"/>
  <c r="S23" i="3"/>
  <c r="S120" s="1"/>
  <c r="P208" i="2"/>
  <c r="P205" s="1"/>
  <c r="P203"/>
  <c r="P198"/>
  <c r="P196"/>
  <c r="P194"/>
  <c r="P191"/>
  <c r="P189"/>
  <c r="P185"/>
  <c r="P181"/>
  <c r="P178"/>
  <c r="P174"/>
  <c r="P172"/>
  <c r="P167"/>
  <c r="P164"/>
  <c r="P160"/>
  <c r="P158"/>
  <c r="P156"/>
  <c r="P154"/>
  <c r="P152"/>
  <c r="P149"/>
  <c r="P144"/>
  <c r="P141"/>
  <c r="P138"/>
  <c r="P136"/>
  <c r="P134"/>
  <c r="P132"/>
  <c r="P130"/>
  <c r="P128"/>
  <c r="P124"/>
  <c r="P122"/>
  <c r="P120"/>
  <c r="P118"/>
  <c r="P116"/>
  <c r="P114"/>
  <c r="P112"/>
  <c r="P109"/>
  <c r="P107"/>
  <c r="P105"/>
  <c r="P90"/>
  <c r="P86"/>
  <c r="P84"/>
  <c r="P82"/>
  <c r="P79"/>
  <c r="P77"/>
  <c r="P75"/>
  <c r="P70"/>
  <c r="P65"/>
  <c r="P63"/>
  <c r="P60"/>
  <c r="P56"/>
  <c r="P54"/>
  <c r="P50"/>
  <c r="P45"/>
  <c r="P43"/>
  <c r="P40"/>
  <c r="P37"/>
  <c r="P33"/>
  <c r="P31"/>
  <c r="P28"/>
  <c r="P204"/>
  <c r="P202"/>
  <c r="P197"/>
  <c r="P195"/>
  <c r="P192"/>
  <c r="P190"/>
  <c r="P186"/>
  <c r="P184"/>
  <c r="P180"/>
  <c r="P175"/>
  <c r="P173"/>
  <c r="P170"/>
  <c r="P165"/>
  <c r="P161"/>
  <c r="P159"/>
  <c r="P157"/>
  <c r="P155"/>
  <c r="P153"/>
  <c r="P151"/>
  <c r="P146"/>
  <c r="P142"/>
  <c r="P139"/>
  <c r="P137"/>
  <c r="P135"/>
  <c r="P133"/>
  <c r="P131"/>
  <c r="P129"/>
  <c r="P127"/>
  <c r="P123"/>
  <c r="P121"/>
  <c r="P119"/>
  <c r="P117"/>
  <c r="P115"/>
  <c r="P113"/>
  <c r="P111"/>
  <c r="P108"/>
  <c r="P106"/>
  <c r="P104"/>
  <c r="P91"/>
  <c r="P87"/>
  <c r="P85"/>
  <c r="P83"/>
  <c r="P80"/>
  <c r="P78"/>
  <c r="P76"/>
  <c r="P71"/>
  <c r="P68"/>
  <c r="P64"/>
  <c r="P61"/>
  <c r="P57"/>
  <c r="P55"/>
  <c r="P51"/>
  <c r="P49"/>
  <c r="P44"/>
  <c r="P41"/>
  <c r="P38"/>
  <c r="P34"/>
  <c r="P32"/>
  <c r="P30"/>
  <c r="K88"/>
  <c r="K73" s="1"/>
  <c r="K72" s="1"/>
  <c r="K46"/>
  <c r="I162"/>
  <c r="I73"/>
  <c r="G46"/>
  <c r="E88"/>
  <c r="E73" s="1"/>
  <c r="E72" s="1"/>
  <c r="E46"/>
  <c r="E26" s="1"/>
  <c r="D59"/>
  <c r="D87" i="1"/>
  <c r="Q58" i="4"/>
  <c r="Q54" s="1"/>
  <c r="Q47" s="1"/>
  <c r="D35" i="8" s="1"/>
  <c r="R75" i="4"/>
  <c r="R26"/>
  <c r="S58"/>
  <c r="S54" s="1"/>
  <c r="T75"/>
  <c r="I32" i="3"/>
  <c r="F28" i="9"/>
  <c r="G28" s="1"/>
  <c r="H28" s="1"/>
  <c r="I28" s="1"/>
  <c r="J28" s="1"/>
  <c r="K28" s="1"/>
  <c r="L28" s="1"/>
  <c r="M28" s="1"/>
  <c r="N28" s="1"/>
  <c r="O28" s="1"/>
  <c r="P28" s="1"/>
  <c r="Q28" s="1"/>
  <c r="F55"/>
  <c r="J37" i="3" s="1"/>
  <c r="F71" i="9"/>
  <c r="J42" i="3" s="1"/>
  <c r="X42" s="1"/>
  <c r="J67"/>
  <c r="G75"/>
  <c r="G74" s="1"/>
  <c r="G77" s="1"/>
  <c r="G27"/>
  <c r="H75"/>
  <c r="H36"/>
  <c r="F39" i="9"/>
  <c r="F26" s="1"/>
  <c r="G59"/>
  <c r="F62"/>
  <c r="G75"/>
  <c r="K43" i="3" s="1"/>
  <c r="Y43" s="1"/>
  <c r="F79" i="9"/>
  <c r="J35" i="3" s="1"/>
  <c r="X35" s="1"/>
  <c r="F87" i="9"/>
  <c r="F98"/>
  <c r="F97" s="1"/>
  <c r="M85" i="3"/>
  <c r="H118" i="9"/>
  <c r="J120"/>
  <c r="M70" i="3"/>
  <c r="AA70" s="1"/>
  <c r="C129" i="1"/>
  <c r="C126"/>
  <c r="C123"/>
  <c r="C122"/>
  <c r="L122" s="1"/>
  <c r="C120"/>
  <c r="L120" s="1"/>
  <c r="C118"/>
  <c r="L118" s="1"/>
  <c r="C117"/>
  <c r="L117" s="1"/>
  <c r="C115"/>
  <c r="C112"/>
  <c r="C110"/>
  <c r="L110" s="1"/>
  <c r="C109"/>
  <c r="L109" s="1"/>
  <c r="C108"/>
  <c r="L108" s="1"/>
  <c r="C106"/>
  <c r="L106" s="1"/>
  <c r="C104"/>
  <c r="L104" s="1"/>
  <c r="C102"/>
  <c r="C98"/>
  <c r="L98" s="1"/>
  <c r="C96"/>
  <c r="L96" s="1"/>
  <c r="C94"/>
  <c r="L94" s="1"/>
  <c r="C92"/>
  <c r="C89"/>
  <c r="C55"/>
  <c r="C52"/>
  <c r="C85"/>
  <c r="C83"/>
  <c r="C81"/>
  <c r="C79"/>
  <c r="C77"/>
  <c r="C75"/>
  <c r="C60"/>
  <c r="C72"/>
  <c r="C69"/>
  <c r="C67"/>
  <c r="C63"/>
  <c r="C31"/>
  <c r="C48"/>
  <c r="C47"/>
  <c r="C45"/>
  <c r="C43"/>
  <c r="C39"/>
  <c r="C37"/>
  <c r="C35"/>
  <c r="C33"/>
  <c r="C30"/>
  <c r="P24" i="4"/>
  <c r="Q24"/>
  <c r="R24"/>
  <c r="S24"/>
  <c r="T24"/>
  <c r="U24"/>
  <c r="AA24"/>
  <c r="M31" i="1"/>
  <c r="M33"/>
  <c r="M35"/>
  <c r="M37"/>
  <c r="M39"/>
  <c r="M41"/>
  <c r="M44"/>
  <c r="M46"/>
  <c r="M48"/>
  <c r="M51"/>
  <c r="M53"/>
  <c r="M56"/>
  <c r="M54" s="1"/>
  <c r="M60"/>
  <c r="M58" s="1"/>
  <c r="M64"/>
  <c r="M62" s="1"/>
  <c r="M67"/>
  <c r="M69"/>
  <c r="M71"/>
  <c r="M73"/>
  <c r="M76"/>
  <c r="M74" s="1"/>
  <c r="M79"/>
  <c r="M81"/>
  <c r="M84"/>
  <c r="M82" s="1"/>
  <c r="M88"/>
  <c r="M91"/>
  <c r="M93"/>
  <c r="M95"/>
  <c r="M97"/>
  <c r="M102"/>
  <c r="M104"/>
  <c r="M106"/>
  <c r="M108"/>
  <c r="M114"/>
  <c r="M116"/>
  <c r="M118"/>
  <c r="M120"/>
  <c r="M122"/>
  <c r="M124"/>
  <c r="M127"/>
  <c r="M125" s="1"/>
  <c r="M129"/>
  <c r="H79" i="3"/>
  <c r="V79" s="1"/>
  <c r="G62"/>
  <c r="G45" s="1"/>
  <c r="G36"/>
  <c r="H62"/>
  <c r="H33"/>
  <c r="I36"/>
  <c r="W36" s="1"/>
  <c r="P222" i="2"/>
  <c r="P210"/>
  <c r="F39" i="10"/>
  <c r="F35" s="1"/>
  <c r="AL24" i="4" l="1"/>
  <c r="W91"/>
  <c r="AS24"/>
  <c r="AD91"/>
  <c r="F26"/>
  <c r="V38" i="3"/>
  <c r="H82" i="8"/>
  <c r="H80"/>
  <c r="G17" i="5"/>
  <c r="D127" i="7"/>
  <c r="F127" s="1"/>
  <c r="H47" i="3"/>
  <c r="G163" i="10"/>
  <c r="G162" s="1"/>
  <c r="X60" i="3"/>
  <c r="H79" i="8"/>
  <c r="D57" i="1"/>
  <c r="F57" s="1"/>
  <c r="AA76" i="3"/>
  <c r="AB76"/>
  <c r="G31" i="10"/>
  <c r="F29"/>
  <c r="G141"/>
  <c r="F140"/>
  <c r="E66" i="8"/>
  <c r="E65" s="1"/>
  <c r="E68" s="1"/>
  <c r="G231" i="10"/>
  <c r="F230"/>
  <c r="F214"/>
  <c r="P231" i="2" s="1"/>
  <c r="H126" i="9"/>
  <c r="K69" i="3"/>
  <c r="Y69" s="1"/>
  <c r="G92" i="8"/>
  <c r="G119"/>
  <c r="I97"/>
  <c r="I120"/>
  <c r="G85" i="9"/>
  <c r="H85" s="1"/>
  <c r="I85" s="1"/>
  <c r="J85" s="1"/>
  <c r="K85" s="1"/>
  <c r="L85" s="1"/>
  <c r="M85" s="1"/>
  <c r="N85" s="1"/>
  <c r="O85" s="1"/>
  <c r="P85" s="1"/>
  <c r="Q85" s="1"/>
  <c r="F91" i="8"/>
  <c r="G52" i="9"/>
  <c r="F51"/>
  <c r="J34" i="3" s="1"/>
  <c r="S52" i="4"/>
  <c r="S51" s="1"/>
  <c r="G204" i="10"/>
  <c r="I64" i="3"/>
  <c r="W64" s="1"/>
  <c r="J223" i="10"/>
  <c r="H42" i="8"/>
  <c r="H41" s="1"/>
  <c r="I210" i="10"/>
  <c r="E88"/>
  <c r="E73" s="1"/>
  <c r="D104" i="8"/>
  <c r="AH76" i="3"/>
  <c r="E47" i="9"/>
  <c r="E25" s="1"/>
  <c r="H42"/>
  <c r="T42" i="4"/>
  <c r="G2" i="6"/>
  <c r="K2"/>
  <c r="O2"/>
  <c r="F27" i="10"/>
  <c r="S47" i="4"/>
  <c r="F35" i="8" s="1"/>
  <c r="D25" i="10"/>
  <c r="AE76" i="3"/>
  <c r="AF76"/>
  <c r="I76"/>
  <c r="W76" s="1"/>
  <c r="D198" i="2"/>
  <c r="O198" s="1"/>
  <c r="H72" i="3"/>
  <c r="D96" i="8"/>
  <c r="D90" s="1"/>
  <c r="D84" i="9"/>
  <c r="D24" s="1"/>
  <c r="G53" i="10"/>
  <c r="I52" i="3"/>
  <c r="E107" i="8"/>
  <c r="E106" s="1"/>
  <c r="I61" i="3"/>
  <c r="W61" s="1"/>
  <c r="G207" i="10"/>
  <c r="F205"/>
  <c r="F199" s="1"/>
  <c r="E154" i="8" s="1"/>
  <c r="H58" i="3"/>
  <c r="E213" i="10"/>
  <c r="F177"/>
  <c r="F162" s="1"/>
  <c r="I82" i="3"/>
  <c r="W82" s="1"/>
  <c r="E96" i="9"/>
  <c r="Z76" i="3"/>
  <c r="F147" i="10"/>
  <c r="E105" i="8" s="1"/>
  <c r="G148" i="10"/>
  <c r="F125"/>
  <c r="K73" i="3"/>
  <c r="Y73" s="1"/>
  <c r="H121" i="9"/>
  <c r="G98" i="8"/>
  <c r="E2" i="6"/>
  <c r="D17" i="5" s="1"/>
  <c r="E17" s="1"/>
  <c r="E24" s="1"/>
  <c r="E21" s="1"/>
  <c r="E37" s="1"/>
  <c r="E53" s="1"/>
  <c r="E62" i="11" s="1"/>
  <c r="I2" i="6"/>
  <c r="M2"/>
  <c r="Q2"/>
  <c r="E162" i="10"/>
  <c r="D105" i="8"/>
  <c r="E72" i="10"/>
  <c r="I56" i="9"/>
  <c r="U56" i="4"/>
  <c r="I73" i="9"/>
  <c r="U73" i="4"/>
  <c r="I49" i="9"/>
  <c r="U49" i="4"/>
  <c r="D50" i="1"/>
  <c r="E58" i="8"/>
  <c r="E61" s="1"/>
  <c r="J27" i="9"/>
  <c r="M28" i="3"/>
  <c r="AA28" s="1"/>
  <c r="V27" i="4"/>
  <c r="I28" i="8" s="1"/>
  <c r="I82" i="9"/>
  <c r="U82" i="4"/>
  <c r="F104" i="7"/>
  <c r="J199" i="2"/>
  <c r="N200"/>
  <c r="F105" i="7"/>
  <c r="N88" i="2"/>
  <c r="I72"/>
  <c r="I25" s="1"/>
  <c r="K26"/>
  <c r="F52" i="7"/>
  <c r="I75" i="3"/>
  <c r="H115" i="10"/>
  <c r="H110" s="1"/>
  <c r="F74" i="8"/>
  <c r="F122" i="9"/>
  <c r="G123"/>
  <c r="I71" i="3"/>
  <c r="E99" i="8"/>
  <c r="H111" i="9"/>
  <c r="G110"/>
  <c r="G108" s="1"/>
  <c r="K72" i="3" s="1"/>
  <c r="Y72" s="1"/>
  <c r="G118" i="8"/>
  <c r="T85" i="4"/>
  <c r="J72" i="3"/>
  <c r="X72" s="1"/>
  <c r="F96" i="8"/>
  <c r="J125" i="9"/>
  <c r="I100" i="8"/>
  <c r="J127" i="9"/>
  <c r="I101" i="8"/>
  <c r="K104" i="9"/>
  <c r="J123" i="8"/>
  <c r="J86" i="9"/>
  <c r="I93" i="8"/>
  <c r="J83" i="9"/>
  <c r="V83" i="4"/>
  <c r="K77" i="9"/>
  <c r="W77" i="4"/>
  <c r="J78" i="9"/>
  <c r="V78" i="4"/>
  <c r="J72" i="9"/>
  <c r="V72" i="4"/>
  <c r="J66" i="9"/>
  <c r="V66" i="4"/>
  <c r="J64" i="9"/>
  <c r="V64" i="4"/>
  <c r="V65"/>
  <c r="J65" i="9"/>
  <c r="V63" i="4"/>
  <c r="J63" i="9"/>
  <c r="K69"/>
  <c r="W69" i="4"/>
  <c r="J68" i="9"/>
  <c r="V68" i="4"/>
  <c r="I71" i="8"/>
  <c r="I70" s="1"/>
  <c r="I86"/>
  <c r="M41" i="3"/>
  <c r="AA41" s="1"/>
  <c r="I64" i="8"/>
  <c r="I63" s="1"/>
  <c r="I121"/>
  <c r="K60" i="9"/>
  <c r="W60" i="4"/>
  <c r="J53" i="9"/>
  <c r="V53" i="4"/>
  <c r="J48" i="9"/>
  <c r="V48" i="4"/>
  <c r="J50" i="9"/>
  <c r="V50" i="4"/>
  <c r="K45" i="9"/>
  <c r="W45" i="4"/>
  <c r="J43" i="9"/>
  <c r="V43" i="4"/>
  <c r="J44" i="9"/>
  <c r="V44" i="4"/>
  <c r="J46" i="9"/>
  <c r="V46" i="4"/>
  <c r="J38" i="9"/>
  <c r="V38" i="4"/>
  <c r="I32" i="8" s="1"/>
  <c r="I116"/>
  <c r="V31" i="4"/>
  <c r="I31" i="8" s="1"/>
  <c r="I115"/>
  <c r="J31" i="9"/>
  <c r="M31" i="3"/>
  <c r="AA31" s="1"/>
  <c r="V29" i="4"/>
  <c r="I29" i="8" s="1"/>
  <c r="J29" i="9"/>
  <c r="M29" i="3"/>
  <c r="AA29" s="1"/>
  <c r="H81" i="8"/>
  <c r="H83"/>
  <c r="K33" i="9"/>
  <c r="W33" i="4"/>
  <c r="J32" i="9"/>
  <c r="V32" i="4"/>
  <c r="J30" i="9"/>
  <c r="M30" i="3"/>
  <c r="AA30" s="1"/>
  <c r="V30" i="4"/>
  <c r="I30" i="8" s="1"/>
  <c r="J34" i="9"/>
  <c r="V34" i="4"/>
  <c r="V36"/>
  <c r="H201" i="10"/>
  <c r="J83" i="3"/>
  <c r="X83" s="1"/>
  <c r="W83"/>
  <c r="I81"/>
  <c r="J37" i="10"/>
  <c r="I36"/>
  <c r="J48" i="3"/>
  <c r="X48" s="1"/>
  <c r="S94" i="4"/>
  <c r="F38" i="8" s="1"/>
  <c r="I43" i="10"/>
  <c r="H42"/>
  <c r="H48"/>
  <c r="J54"/>
  <c r="L53" i="3"/>
  <c r="Z53" s="1"/>
  <c r="J67" i="10"/>
  <c r="L57" i="3"/>
  <c r="Z57" s="1"/>
  <c r="I66" i="10"/>
  <c r="K56" i="3"/>
  <c r="Y56" s="1"/>
  <c r="J61" i="10"/>
  <c r="L50" i="3"/>
  <c r="Z50" s="1"/>
  <c r="J65" i="10"/>
  <c r="L55" i="3"/>
  <c r="Z55" s="1"/>
  <c r="I60" i="10"/>
  <c r="H59"/>
  <c r="H58" s="1"/>
  <c r="K51" i="3"/>
  <c r="Y51" s="1"/>
  <c r="G103" i="10"/>
  <c r="I127"/>
  <c r="H126"/>
  <c r="I178"/>
  <c r="H177"/>
  <c r="I183"/>
  <c r="X86" i="3"/>
  <c r="J84"/>
  <c r="X84" s="1"/>
  <c r="I206" i="10"/>
  <c r="K86" i="3"/>
  <c r="K60"/>
  <c r="H163" i="10"/>
  <c r="I163"/>
  <c r="H60" i="8"/>
  <c r="H51"/>
  <c r="G89" i="10"/>
  <c r="F73" i="8"/>
  <c r="E104"/>
  <c r="F88" i="10"/>
  <c r="R99" i="4"/>
  <c r="F73" i="10"/>
  <c r="H84"/>
  <c r="F59" i="8"/>
  <c r="F58" s="1"/>
  <c r="G81" i="10"/>
  <c r="G74"/>
  <c r="F52" i="8"/>
  <c r="F50" s="1"/>
  <c r="C22"/>
  <c r="G52" i="10"/>
  <c r="G47" s="1"/>
  <c r="G46" s="1"/>
  <c r="S95" i="4" s="1"/>
  <c r="F39" i="8" s="1"/>
  <c r="K225" i="10"/>
  <c r="I44" i="8"/>
  <c r="J222" i="10"/>
  <c r="J212"/>
  <c r="L54" i="3"/>
  <c r="I209" i="10"/>
  <c r="P110" i="2"/>
  <c r="T81" i="4"/>
  <c r="J39" i="3"/>
  <c r="X39" s="1"/>
  <c r="F49" i="8"/>
  <c r="F48" s="1"/>
  <c r="U37" i="4"/>
  <c r="U35"/>
  <c r="M42" i="1"/>
  <c r="M29" s="1"/>
  <c r="C88" i="8"/>
  <c r="C85" s="1"/>
  <c r="C77" s="1"/>
  <c r="C108" s="1"/>
  <c r="M65" i="1"/>
  <c r="M61" s="1"/>
  <c r="L71"/>
  <c r="L68" i="4"/>
  <c r="I68" s="1"/>
  <c r="D68" s="1"/>
  <c r="C73" i="7"/>
  <c r="C66"/>
  <c r="C88"/>
  <c r="G88" s="1"/>
  <c r="L46" i="1"/>
  <c r="L43" i="4"/>
  <c r="I43" s="1"/>
  <c r="D43" s="1"/>
  <c r="L56" i="1"/>
  <c r="L53" i="4"/>
  <c r="I53" s="1"/>
  <c r="D53" s="1"/>
  <c r="L36" i="1"/>
  <c r="L33" i="4"/>
  <c r="I33" s="1"/>
  <c r="D33" s="1"/>
  <c r="L80" i="1"/>
  <c r="L77" i="4"/>
  <c r="I77" s="1"/>
  <c r="D77" s="1"/>
  <c r="L107" i="1"/>
  <c r="C125" i="7"/>
  <c r="G125" s="1"/>
  <c r="L130" i="1"/>
  <c r="C103" i="7"/>
  <c r="G103" s="1"/>
  <c r="L64" i="1"/>
  <c r="L61" i="4"/>
  <c r="I61" s="1"/>
  <c r="D61" s="1"/>
  <c r="L32" i="1"/>
  <c r="L29" i="4"/>
  <c r="I29" s="1"/>
  <c r="D29" s="1"/>
  <c r="L41" i="1"/>
  <c r="L38" i="4"/>
  <c r="I38" s="1"/>
  <c r="D38" s="1"/>
  <c r="L59" i="1"/>
  <c r="L56" i="4"/>
  <c r="O66" i="2"/>
  <c r="G96" i="4"/>
  <c r="C69" i="7"/>
  <c r="G69" s="1"/>
  <c r="L40" i="1"/>
  <c r="L37" i="4"/>
  <c r="I37" s="1"/>
  <c r="D37" s="1"/>
  <c r="L68" i="1"/>
  <c r="L65" i="4"/>
  <c r="I65" s="1"/>
  <c r="D65" s="1"/>
  <c r="L84" i="1"/>
  <c r="L81" i="4"/>
  <c r="I81" s="1"/>
  <c r="D81" s="1"/>
  <c r="O117" i="2"/>
  <c r="C76" i="7"/>
  <c r="G76" s="1"/>
  <c r="L38" i="1"/>
  <c r="L35" i="4"/>
  <c r="I35" s="1"/>
  <c r="D35" s="1"/>
  <c r="L46"/>
  <c r="I46" s="1"/>
  <c r="D46" s="1"/>
  <c r="L49" i="1"/>
  <c r="L66"/>
  <c r="L63" i="4"/>
  <c r="L70"/>
  <c r="I70" s="1"/>
  <c r="D70" s="1"/>
  <c r="L73" i="1"/>
  <c r="L86"/>
  <c r="L83" i="4"/>
  <c r="I83" s="1"/>
  <c r="D83" s="1"/>
  <c r="L88" i="1"/>
  <c r="C93" i="7"/>
  <c r="G93" s="1"/>
  <c r="L114" i="1"/>
  <c r="L85" i="4"/>
  <c r="I85" s="1"/>
  <c r="D85" s="1"/>
  <c r="C120" i="7"/>
  <c r="G120" s="1"/>
  <c r="L124" i="1"/>
  <c r="C100" i="7"/>
  <c r="G100" s="1"/>
  <c r="G128" i="3"/>
  <c r="H4" i="5"/>
  <c r="G49"/>
  <c r="L34" i="1"/>
  <c r="L31" i="4"/>
  <c r="I31" s="1"/>
  <c r="D31" s="1"/>
  <c r="C117" i="7"/>
  <c r="G117" s="1"/>
  <c r="L44" i="1"/>
  <c r="L41" i="4"/>
  <c r="I41" s="1"/>
  <c r="D41" s="1"/>
  <c r="L48"/>
  <c r="I48" s="1"/>
  <c r="D48" s="1"/>
  <c r="L51" i="1"/>
  <c r="L70"/>
  <c r="L67" i="4"/>
  <c r="I67" s="1"/>
  <c r="D67" s="1"/>
  <c r="L73"/>
  <c r="I73" s="1"/>
  <c r="D73" s="1"/>
  <c r="L76" i="1"/>
  <c r="L53"/>
  <c r="L50" i="4"/>
  <c r="I50" s="1"/>
  <c r="D50" s="1"/>
  <c r="L128" i="1"/>
  <c r="C102" i="7"/>
  <c r="G102" s="1"/>
  <c r="F117"/>
  <c r="F121"/>
  <c r="K25" i="2"/>
  <c r="R54" i="4"/>
  <c r="R47" s="1"/>
  <c r="E35" i="8" s="1"/>
  <c r="C26"/>
  <c r="C21" s="1"/>
  <c r="F57" i="7"/>
  <c r="E77"/>
  <c r="F77" s="1"/>
  <c r="F67"/>
  <c r="AA63" i="3"/>
  <c r="F70" i="7"/>
  <c r="X63" i="3"/>
  <c r="Y63"/>
  <c r="F63" i="7"/>
  <c r="G44" i="3"/>
  <c r="G104" s="1"/>
  <c r="G91" s="1"/>
  <c r="E28"/>
  <c r="E30"/>
  <c r="E31"/>
  <c r="E29"/>
  <c r="E35" i="7"/>
  <c r="E181" s="1"/>
  <c r="D35"/>
  <c r="D187" s="1"/>
  <c r="D86"/>
  <c r="D80" s="1"/>
  <c r="C109" i="8"/>
  <c r="C140" s="1"/>
  <c r="V33" i="3"/>
  <c r="W33"/>
  <c r="V62"/>
  <c r="AP24" i="4"/>
  <c r="AA91"/>
  <c r="AI24"/>
  <c r="T91"/>
  <c r="AG24"/>
  <c r="R91"/>
  <c r="AE24"/>
  <c r="P91"/>
  <c r="L33" i="1"/>
  <c r="L30" i="4"/>
  <c r="L37" i="1"/>
  <c r="L34" i="4"/>
  <c r="C42" i="1"/>
  <c r="C29" s="1"/>
  <c r="L29" s="1"/>
  <c r="L43"/>
  <c r="L40" i="4"/>
  <c r="L47" i="1"/>
  <c r="L44" i="4"/>
  <c r="L31" i="1"/>
  <c r="L28" i="4"/>
  <c r="L67" i="1"/>
  <c r="L64" i="4"/>
  <c r="L72" i="1"/>
  <c r="L69" i="4"/>
  <c r="C74" i="1"/>
  <c r="L75"/>
  <c r="L72" i="4"/>
  <c r="C59" i="7"/>
  <c r="C78" i="1"/>
  <c r="L79"/>
  <c r="L76" i="4"/>
  <c r="L83" i="1"/>
  <c r="C82"/>
  <c r="L80" i="4"/>
  <c r="L52" i="1"/>
  <c r="L49" i="4"/>
  <c r="L89" i="1"/>
  <c r="C95" i="7"/>
  <c r="G95" s="1"/>
  <c r="C113" i="1"/>
  <c r="L113" s="1"/>
  <c r="L115"/>
  <c r="C125"/>
  <c r="L126"/>
  <c r="G96" i="8"/>
  <c r="AA85" i="3"/>
  <c r="J82"/>
  <c r="F96" i="9"/>
  <c r="F95" i="8" s="1"/>
  <c r="H98" i="9"/>
  <c r="H97" s="1"/>
  <c r="J68" i="3"/>
  <c r="X68" s="1"/>
  <c r="F94" i="8"/>
  <c r="F117"/>
  <c r="F114" s="1"/>
  <c r="G62" i="9"/>
  <c r="G58" s="1"/>
  <c r="T67" i="4"/>
  <c r="T62" s="1"/>
  <c r="T58" s="1"/>
  <c r="K39" i="3"/>
  <c r="G49" i="8"/>
  <c r="G48" s="1"/>
  <c r="T41" i="4"/>
  <c r="T39" s="1"/>
  <c r="G26" i="3"/>
  <c r="V27"/>
  <c r="K67"/>
  <c r="G55" i="9"/>
  <c r="K37" i="3" s="1"/>
  <c r="T57" i="4"/>
  <c r="T55" s="1"/>
  <c r="J32" i="3"/>
  <c r="S28" i="4"/>
  <c r="AK24"/>
  <c r="V91"/>
  <c r="F99" i="1"/>
  <c r="D97" i="7"/>
  <c r="D212" i="2"/>
  <c r="O225"/>
  <c r="O212" s="1"/>
  <c r="C46" i="7"/>
  <c r="G46" s="1"/>
  <c r="D210" i="2"/>
  <c r="O223"/>
  <c r="O210" s="1"/>
  <c r="D222"/>
  <c r="C44" i="7"/>
  <c r="O206" i="2"/>
  <c r="D205"/>
  <c r="O205" s="1"/>
  <c r="O202"/>
  <c r="D200"/>
  <c r="O149"/>
  <c r="D147"/>
  <c r="O147" s="1"/>
  <c r="O127"/>
  <c r="D126"/>
  <c r="D103"/>
  <c r="O103" s="1"/>
  <c r="O104"/>
  <c r="O83"/>
  <c r="C62" i="7"/>
  <c r="G62" s="1"/>
  <c r="O77" i="2"/>
  <c r="C53" i="7"/>
  <c r="O71" i="2"/>
  <c r="D69"/>
  <c r="K98" i="4" s="1"/>
  <c r="G98"/>
  <c r="C109" i="7"/>
  <c r="D52" i="2"/>
  <c r="O52" s="1"/>
  <c r="O53"/>
  <c r="G97" i="4"/>
  <c r="O49" i="2"/>
  <c r="D48"/>
  <c r="O43"/>
  <c r="D42"/>
  <c r="D29"/>
  <c r="O29" s="1"/>
  <c r="O30"/>
  <c r="H88"/>
  <c r="L88"/>
  <c r="C47" i="3"/>
  <c r="M93" i="4"/>
  <c r="L58" i="2"/>
  <c r="N58"/>
  <c r="J72"/>
  <c r="N73"/>
  <c r="Q25" i="4"/>
  <c r="D33" i="8"/>
  <c r="D27" s="1"/>
  <c r="E39" i="3"/>
  <c r="E41"/>
  <c r="E40"/>
  <c r="C143" i="7"/>
  <c r="G143" s="1"/>
  <c r="G145"/>
  <c r="D91"/>
  <c r="F91" s="1"/>
  <c r="F88"/>
  <c r="F118"/>
  <c r="D116"/>
  <c r="C33" i="3"/>
  <c r="L47" i="2"/>
  <c r="N47"/>
  <c r="J46"/>
  <c r="N69"/>
  <c r="C63" i="3"/>
  <c r="L69" i="2"/>
  <c r="M98" i="4"/>
  <c r="F98" s="1"/>
  <c r="C74" i="3"/>
  <c r="E76" s="1"/>
  <c r="E51"/>
  <c r="E55"/>
  <c r="E56"/>
  <c r="E57"/>
  <c r="E58"/>
  <c r="E53"/>
  <c r="P86" i="4"/>
  <c r="P102" s="1"/>
  <c r="G121" i="3"/>
  <c r="F81" i="7"/>
  <c r="F89"/>
  <c r="D29"/>
  <c r="D182"/>
  <c r="D181"/>
  <c r="G122" i="3"/>
  <c r="G124"/>
  <c r="E184" i="7"/>
  <c r="F32"/>
  <c r="E186"/>
  <c r="F34"/>
  <c r="E55"/>
  <c r="F50"/>
  <c r="S24" i="12"/>
  <c r="U19"/>
  <c r="U24" s="1"/>
  <c r="M113" i="1"/>
  <c r="M111" s="1"/>
  <c r="C9" i="5" s="1"/>
  <c r="D9" s="1"/>
  <c r="G9" s="1"/>
  <c r="H9" s="1"/>
  <c r="I9" s="1"/>
  <c r="J9" s="1"/>
  <c r="K9" s="1"/>
  <c r="L9" s="1"/>
  <c r="M9" s="1"/>
  <c r="N9" s="1"/>
  <c r="O9" s="1"/>
  <c r="P9" s="1"/>
  <c r="Q9" s="1"/>
  <c r="R9" s="1"/>
  <c r="S9" s="1"/>
  <c r="T9" s="1"/>
  <c r="U9" s="1"/>
  <c r="M101" i="1"/>
  <c r="M100" s="1"/>
  <c r="M99" s="1"/>
  <c r="M90"/>
  <c r="C10" i="5" s="1"/>
  <c r="D10" s="1"/>
  <c r="M78" i="1"/>
  <c r="G39" i="9"/>
  <c r="G26" s="1"/>
  <c r="V36" i="3"/>
  <c r="C65" i="1"/>
  <c r="J27"/>
  <c r="E25" i="2"/>
  <c r="P36"/>
  <c r="P42"/>
  <c r="C14" i="5" s="1"/>
  <c r="D14" s="1"/>
  <c r="P69" i="2"/>
  <c r="C17" i="5" s="1"/>
  <c r="P81" i="2"/>
  <c r="P140"/>
  <c r="P147"/>
  <c r="P163"/>
  <c r="P177"/>
  <c r="F87" i="1"/>
  <c r="D163" i="2"/>
  <c r="S26" i="4"/>
  <c r="D177" i="2"/>
  <c r="O177" s="1"/>
  <c r="D110"/>
  <c r="C127" i="7"/>
  <c r="G127" s="1"/>
  <c r="F33"/>
  <c r="F58" i="4"/>
  <c r="F54" s="1"/>
  <c r="F47" s="1"/>
  <c r="E37" i="7" s="1"/>
  <c r="E58" i="4"/>
  <c r="E54" s="1"/>
  <c r="E47" s="1"/>
  <c r="D84" i="8"/>
  <c r="D78" s="1"/>
  <c r="AJ24" i="4"/>
  <c r="U91"/>
  <c r="AH24"/>
  <c r="S91"/>
  <c r="AF24"/>
  <c r="Q91"/>
  <c r="L30" i="1"/>
  <c r="L27" i="4"/>
  <c r="L35" i="1"/>
  <c r="L32" i="4"/>
  <c r="L39" i="1"/>
  <c r="L36" i="4"/>
  <c r="L45" i="1"/>
  <c r="L42" i="4"/>
  <c r="L48" i="1"/>
  <c r="L45" i="4"/>
  <c r="C62" i="1"/>
  <c r="L63"/>
  <c r="L60" i="4"/>
  <c r="L69" i="1"/>
  <c r="L66" i="4"/>
  <c r="C58" i="1"/>
  <c r="L60"/>
  <c r="L57" i="4"/>
  <c r="L77" i="1"/>
  <c r="L74" i="4"/>
  <c r="L81" i="1"/>
  <c r="L78" i="4"/>
  <c r="L85" i="1"/>
  <c r="L82" i="4"/>
  <c r="C54" i="1"/>
  <c r="L55"/>
  <c r="L52" i="4"/>
  <c r="C90" i="1"/>
  <c r="L92"/>
  <c r="C101"/>
  <c r="L102"/>
  <c r="L112"/>
  <c r="C99" i="7"/>
  <c r="G99" s="1"/>
  <c r="C122"/>
  <c r="G122" s="1"/>
  <c r="L123" i="1"/>
  <c r="L129"/>
  <c r="C94" i="7"/>
  <c r="C121"/>
  <c r="G121" s="1"/>
  <c r="J100" i="8"/>
  <c r="N70" i="3"/>
  <c r="AB70" s="1"/>
  <c r="K120" i="9"/>
  <c r="J97" i="8"/>
  <c r="J120"/>
  <c r="I118" i="9"/>
  <c r="H89" i="8"/>
  <c r="N85" i="3"/>
  <c r="G87" i="9"/>
  <c r="G79"/>
  <c r="K35" i="3" s="1"/>
  <c r="Y35" s="1"/>
  <c r="T80" i="4"/>
  <c r="T79" s="1"/>
  <c r="H75" i="9"/>
  <c r="L43" i="3" s="1"/>
  <c r="Z43" s="1"/>
  <c r="U76" i="4"/>
  <c r="U75" s="1"/>
  <c r="J40" i="3"/>
  <c r="F58" i="9"/>
  <c r="F54" s="1"/>
  <c r="F47" s="1"/>
  <c r="F56" i="8"/>
  <c r="F55" s="1"/>
  <c r="H59" i="9"/>
  <c r="U61" i="4"/>
  <c r="U59" s="1"/>
  <c r="F84" i="8"/>
  <c r="F78" s="1"/>
  <c r="H39" i="9"/>
  <c r="U40" i="4"/>
  <c r="H74" i="3"/>
  <c r="V75"/>
  <c r="X67"/>
  <c r="G71" i="9"/>
  <c r="K42" i="3" s="1"/>
  <c r="Y42" s="1"/>
  <c r="T74" i="4"/>
  <c r="T71" s="1"/>
  <c r="U70"/>
  <c r="H87" i="8" s="1"/>
  <c r="X37" i="3"/>
  <c r="I27"/>
  <c r="W32"/>
  <c r="R25" i="4"/>
  <c r="E33" i="8"/>
  <c r="E27" s="1"/>
  <c r="E84"/>
  <c r="E78" s="1"/>
  <c r="D58" i="2"/>
  <c r="O58" s="1"/>
  <c r="O59"/>
  <c r="H46"/>
  <c r="L95" i="4"/>
  <c r="E95" s="1"/>
  <c r="D41" i="7" s="1"/>
  <c r="AQ24" i="4"/>
  <c r="AB91"/>
  <c r="K29" i="1"/>
  <c r="N26" i="4"/>
  <c r="I29" i="1"/>
  <c r="E86" i="7"/>
  <c r="K100" i="1"/>
  <c r="C82" i="3"/>
  <c r="H99" i="1"/>
  <c r="I100"/>
  <c r="D211" i="2"/>
  <c r="O224"/>
  <c r="O211" s="1"/>
  <c r="C45" i="7"/>
  <c r="G45" s="1"/>
  <c r="O185" i="2"/>
  <c r="D183"/>
  <c r="O183" s="1"/>
  <c r="D140"/>
  <c r="O140" s="1"/>
  <c r="O141"/>
  <c r="C75" i="7"/>
  <c r="O94" i="2"/>
  <c r="D89"/>
  <c r="O90"/>
  <c r="C68" i="7"/>
  <c r="C61"/>
  <c r="O85" i="2"/>
  <c r="D74"/>
  <c r="O75"/>
  <c r="C54" i="7"/>
  <c r="G54" s="1"/>
  <c r="D36" i="2"/>
  <c r="O36" s="1"/>
  <c r="O37"/>
  <c r="L162"/>
  <c r="N162"/>
  <c r="E60" i="3"/>
  <c r="E27" i="1"/>
  <c r="M25" i="4"/>
  <c r="F111" i="1"/>
  <c r="I111"/>
  <c r="D98" i="7"/>
  <c r="F98" s="1"/>
  <c r="H57" i="1"/>
  <c r="K61"/>
  <c r="I61"/>
  <c r="N58" i="4"/>
  <c r="G27" i="2"/>
  <c r="H35"/>
  <c r="N125"/>
  <c r="L125"/>
  <c r="I126" i="3"/>
  <c r="J119"/>
  <c r="E29" i="7"/>
  <c r="E182"/>
  <c r="F30"/>
  <c r="E116"/>
  <c r="F124"/>
  <c r="Q95" i="4"/>
  <c r="E26" i="10"/>
  <c r="F83" i="7"/>
  <c r="F85"/>
  <c r="S12" i="12"/>
  <c r="L17"/>
  <c r="C45" i="8"/>
  <c r="C113" s="1"/>
  <c r="C112" s="1"/>
  <c r="C136" s="1"/>
  <c r="C139" s="1"/>
  <c r="C138" s="1"/>
  <c r="C150" s="1"/>
  <c r="C153" s="1"/>
  <c r="C152" s="1"/>
  <c r="C155" s="1"/>
  <c r="C156" s="1"/>
  <c r="G98" i="9"/>
  <c r="G97" s="1"/>
  <c r="H26" i="3"/>
  <c r="D34" i="8"/>
  <c r="D124" s="1"/>
  <c r="P29" i="2"/>
  <c r="P48"/>
  <c r="P103"/>
  <c r="P126"/>
  <c r="P183"/>
  <c r="P200"/>
  <c r="P199" s="1"/>
  <c r="P39"/>
  <c r="P52"/>
  <c r="P59"/>
  <c r="P58" s="1"/>
  <c r="P74"/>
  <c r="P89"/>
  <c r="E32" i="3"/>
  <c r="K111" i="1"/>
  <c r="G73" i="2"/>
  <c r="M27"/>
  <c r="M26" s="1"/>
  <c r="M25" s="1"/>
  <c r="C36" i="3"/>
  <c r="E42"/>
  <c r="E50"/>
  <c r="D81" i="2"/>
  <c r="O81" s="1"/>
  <c r="G21" i="5"/>
  <c r="G37" s="1"/>
  <c r="K58" i="4"/>
  <c r="K54" s="1"/>
  <c r="K47" s="1"/>
  <c r="K25" s="1"/>
  <c r="J58"/>
  <c r="J54" s="1"/>
  <c r="J47" s="1"/>
  <c r="J25" s="1"/>
  <c r="L25" i="12"/>
  <c r="D88" i="8"/>
  <c r="D85" s="1"/>
  <c r="I47" i="3"/>
  <c r="R93" i="4"/>
  <c r="F26" i="10"/>
  <c r="G39"/>
  <c r="G35" s="1"/>
  <c r="D40" i="2"/>
  <c r="P209"/>
  <c r="D103" i="8" l="1"/>
  <c r="D102" s="1"/>
  <c r="H17" i="5"/>
  <c r="E103" i="8"/>
  <c r="E102" s="1"/>
  <c r="V72" i="3"/>
  <c r="H66"/>
  <c r="V66" s="1"/>
  <c r="H52" i="9"/>
  <c r="T52" i="4"/>
  <c r="T51" s="1"/>
  <c r="G51" i="9"/>
  <c r="K34" i="3" s="1"/>
  <c r="I126" i="9"/>
  <c r="L69" i="3"/>
  <c r="Z69" s="1"/>
  <c r="H119" i="8"/>
  <c r="H92"/>
  <c r="F213" i="10"/>
  <c r="I58" i="3"/>
  <c r="W58" s="1"/>
  <c r="H141" i="10"/>
  <c r="G140"/>
  <c r="J62" i="3" s="1"/>
  <c r="F66" i="8"/>
  <c r="E90"/>
  <c r="H148" i="10"/>
  <c r="G147"/>
  <c r="F67" i="8"/>
  <c r="W52" i="3"/>
  <c r="I42" i="9"/>
  <c r="U42" i="4"/>
  <c r="H31" i="10"/>
  <c r="G29"/>
  <c r="G27"/>
  <c r="J47" i="3" s="1"/>
  <c r="E25" i="10"/>
  <c r="F88" i="8"/>
  <c r="F85" s="1"/>
  <c r="G91"/>
  <c r="E88"/>
  <c r="E85" s="1"/>
  <c r="F72" i="10"/>
  <c r="F25" s="1"/>
  <c r="F72" i="8"/>
  <c r="F75" s="1"/>
  <c r="I81"/>
  <c r="I82"/>
  <c r="I74" i="3"/>
  <c r="X76"/>
  <c r="I121" i="9"/>
  <c r="H98" i="8"/>
  <c r="L73" i="3"/>
  <c r="Z73" s="1"/>
  <c r="E95" i="8"/>
  <c r="E84" i="9"/>
  <c r="V58" i="3"/>
  <c r="H49"/>
  <c r="V49" s="1"/>
  <c r="H207" i="10"/>
  <c r="G205"/>
  <c r="J61" i="3"/>
  <c r="J52"/>
  <c r="X52" s="1"/>
  <c r="F107" i="8"/>
  <c r="F106" s="1"/>
  <c r="H53" i="10"/>
  <c r="I62" i="3"/>
  <c r="W62" s="1"/>
  <c r="E24" i="9"/>
  <c r="K223" i="10"/>
  <c r="I42" i="8"/>
  <c r="I41" s="1"/>
  <c r="J210" i="10"/>
  <c r="G200"/>
  <c r="G199" s="1"/>
  <c r="F154" i="8" s="1"/>
  <c r="J64" i="3"/>
  <c r="X64" s="1"/>
  <c r="H204" i="10"/>
  <c r="X34" i="3"/>
  <c r="J33"/>
  <c r="X33" s="1"/>
  <c r="P230" i="2"/>
  <c r="P213" s="1"/>
  <c r="P214"/>
  <c r="H231" i="10"/>
  <c r="G230"/>
  <c r="G214"/>
  <c r="D231" i="2" s="1"/>
  <c r="I59" i="3"/>
  <c r="W59" s="1"/>
  <c r="V47"/>
  <c r="W72"/>
  <c r="F84" i="9"/>
  <c r="V56" i="4"/>
  <c r="J56" i="9"/>
  <c r="J73"/>
  <c r="I57" i="8"/>
  <c r="V73" i="4"/>
  <c r="V49"/>
  <c r="J49" i="9"/>
  <c r="D92" i="7"/>
  <c r="F50" i="1"/>
  <c r="D28"/>
  <c r="N28" i="3"/>
  <c r="AB28" s="1"/>
  <c r="W27" i="4"/>
  <c r="J28" i="8" s="1"/>
  <c r="K27" i="9"/>
  <c r="J79" i="8"/>
  <c r="I79"/>
  <c r="V82" i="4"/>
  <c r="J82" i="9"/>
  <c r="L199" i="2"/>
  <c r="E156" i="7"/>
  <c r="F156" s="1"/>
  <c r="N199" i="2"/>
  <c r="W75" i="3"/>
  <c r="I115" i="10"/>
  <c r="G74" i="8"/>
  <c r="W71" i="3"/>
  <c r="I66"/>
  <c r="J71"/>
  <c r="F99" i="8"/>
  <c r="F90" s="1"/>
  <c r="H123" i="9"/>
  <c r="G122"/>
  <c r="I111"/>
  <c r="U85" i="4"/>
  <c r="H118" i="8"/>
  <c r="H110" i="9"/>
  <c r="H108" s="1"/>
  <c r="K125"/>
  <c r="K100" i="8" s="1"/>
  <c r="J101"/>
  <c r="K127" i="9"/>
  <c r="K123" i="8"/>
  <c r="L104" i="9"/>
  <c r="K86"/>
  <c r="J93" i="8"/>
  <c r="K83" i="9"/>
  <c r="W83" i="4"/>
  <c r="K78" i="9"/>
  <c r="W78" i="4"/>
  <c r="L77" i="9"/>
  <c r="X77" i="4"/>
  <c r="W72"/>
  <c r="K72" i="9"/>
  <c r="W68" i="4"/>
  <c r="J71" i="8"/>
  <c r="J70" s="1"/>
  <c r="J86"/>
  <c r="K68" i="9"/>
  <c r="N41" i="3"/>
  <c r="AB41" s="1"/>
  <c r="J64" i="8"/>
  <c r="J63" s="1"/>
  <c r="J121"/>
  <c r="X69" i="4"/>
  <c r="L69" i="9"/>
  <c r="K64"/>
  <c r="W64" i="4"/>
  <c r="K66" i="9"/>
  <c r="W66" i="4"/>
  <c r="K63" i="9"/>
  <c r="W63" i="4"/>
  <c r="K65" i="9"/>
  <c r="W65" i="4"/>
  <c r="F25" i="9"/>
  <c r="X60" i="4"/>
  <c r="L60" i="9"/>
  <c r="W53" i="4"/>
  <c r="K53" i="9"/>
  <c r="W50" i="4"/>
  <c r="K50" i="9"/>
  <c r="W48" i="4"/>
  <c r="K48" i="9"/>
  <c r="K46"/>
  <c r="W46" i="4"/>
  <c r="K44" i="9"/>
  <c r="W44" i="4"/>
  <c r="K43" i="9"/>
  <c r="W43" i="4"/>
  <c r="L45" i="9"/>
  <c r="X45" i="4"/>
  <c r="K34" i="9"/>
  <c r="W34" i="4"/>
  <c r="K30" i="9"/>
  <c r="N30" i="3"/>
  <c r="AB30" s="1"/>
  <c r="W30" i="4"/>
  <c r="J30" i="8" s="1"/>
  <c r="K32" i="9"/>
  <c r="W32" i="4"/>
  <c r="K38" i="9"/>
  <c r="W38" i="4"/>
  <c r="J32" i="8" s="1"/>
  <c r="J116"/>
  <c r="I80"/>
  <c r="I83"/>
  <c r="X33" i="4"/>
  <c r="L33" i="9"/>
  <c r="K29"/>
  <c r="W29" i="4"/>
  <c r="J29" i="8" s="1"/>
  <c r="N29" i="3"/>
  <c r="AB29" s="1"/>
  <c r="K31" i="9"/>
  <c r="N31" i="3"/>
  <c r="AB31" s="1"/>
  <c r="W31" i="4"/>
  <c r="J31" i="8" s="1"/>
  <c r="J115"/>
  <c r="W36" i="4"/>
  <c r="F53" i="8"/>
  <c r="I201" i="10"/>
  <c r="K83" i="3"/>
  <c r="Y83" s="1"/>
  <c r="W81"/>
  <c r="I80"/>
  <c r="J36" i="10"/>
  <c r="K37"/>
  <c r="J43"/>
  <c r="I42"/>
  <c r="K48" i="3"/>
  <c r="Y48" s="1"/>
  <c r="T94" i="4"/>
  <c r="G38" i="8" s="1"/>
  <c r="I48" i="10"/>
  <c r="K54"/>
  <c r="M53" i="3"/>
  <c r="AA53" s="1"/>
  <c r="L56"/>
  <c r="Z56" s="1"/>
  <c r="J66" i="10"/>
  <c r="K67"/>
  <c r="M57" i="3"/>
  <c r="AA57" s="1"/>
  <c r="L51"/>
  <c r="Z51" s="1"/>
  <c r="I59" i="10"/>
  <c r="I58" s="1"/>
  <c r="J60"/>
  <c r="K65"/>
  <c r="M55" i="3"/>
  <c r="AA55" s="1"/>
  <c r="K61" i="10"/>
  <c r="M50" i="3"/>
  <c r="AA50" s="1"/>
  <c r="H103" i="10"/>
  <c r="F61" i="8"/>
  <c r="I110" i="10"/>
  <c r="I126"/>
  <c r="J127"/>
  <c r="I177"/>
  <c r="J178"/>
  <c r="H162"/>
  <c r="J183"/>
  <c r="I162"/>
  <c r="J206"/>
  <c r="L86" i="3"/>
  <c r="Y86"/>
  <c r="K84"/>
  <c r="Y84" s="1"/>
  <c r="Y60"/>
  <c r="L60"/>
  <c r="J163" i="10"/>
  <c r="I60" i="8"/>
  <c r="I51"/>
  <c r="P125" i="2"/>
  <c r="O69"/>
  <c r="G95" i="4"/>
  <c r="G92" s="1"/>
  <c r="H89" i="10"/>
  <c r="G73" i="8"/>
  <c r="G72" s="1"/>
  <c r="G75" s="1"/>
  <c r="S99" i="4"/>
  <c r="G88" i="10"/>
  <c r="G73" s="1"/>
  <c r="I84"/>
  <c r="G59" i="8"/>
  <c r="G58" s="1"/>
  <c r="H81" i="10"/>
  <c r="G52" i="8"/>
  <c r="G50" s="1"/>
  <c r="G53" s="1"/>
  <c r="H74" i="10"/>
  <c r="H52"/>
  <c r="H47" s="1"/>
  <c r="H46" s="1"/>
  <c r="T95" i="4" s="1"/>
  <c r="G39" i="8" s="1"/>
  <c r="Z54" i="3"/>
  <c r="M54"/>
  <c r="J209" i="10"/>
  <c r="L225"/>
  <c r="K222"/>
  <c r="K212"/>
  <c r="J44" i="8"/>
  <c r="U81" i="4"/>
  <c r="V37"/>
  <c r="V35"/>
  <c r="M87" i="1"/>
  <c r="C111"/>
  <c r="C98" i="7" s="1"/>
  <c r="G98" s="1"/>
  <c r="G125" i="3"/>
  <c r="C72" i="7"/>
  <c r="G72" s="1"/>
  <c r="G73"/>
  <c r="C65"/>
  <c r="G65" s="1"/>
  <c r="G66"/>
  <c r="C91"/>
  <c r="I56" i="4"/>
  <c r="D56" s="1"/>
  <c r="C85" i="7"/>
  <c r="G85" s="1"/>
  <c r="C34"/>
  <c r="C31"/>
  <c r="C82"/>
  <c r="G82" s="1"/>
  <c r="C33"/>
  <c r="C84"/>
  <c r="G84" s="1"/>
  <c r="H128" i="3"/>
  <c r="H49" i="5"/>
  <c r="I4"/>
  <c r="C89" i="7"/>
  <c r="G89" s="1"/>
  <c r="C124"/>
  <c r="G124" s="1"/>
  <c r="I63" i="4"/>
  <c r="D63" s="1"/>
  <c r="C26" i="3"/>
  <c r="C25" s="1"/>
  <c r="C103" s="1"/>
  <c r="P47" i="2"/>
  <c r="P46" s="1"/>
  <c r="C15" i="5" s="1"/>
  <c r="D15" s="1"/>
  <c r="H122" i="8"/>
  <c r="M57" i="1"/>
  <c r="C8" i="5" s="1"/>
  <c r="D8" s="1"/>
  <c r="G123" i="3"/>
  <c r="E43"/>
  <c r="E37"/>
  <c r="G72" i="2"/>
  <c r="H72" s="1"/>
  <c r="H73"/>
  <c r="P88"/>
  <c r="P73" s="1"/>
  <c r="C16" i="5"/>
  <c r="D16" s="1"/>
  <c r="K82" i="3"/>
  <c r="G96" i="9"/>
  <c r="G95" i="8" s="1"/>
  <c r="F116" i="7"/>
  <c r="K119" i="3"/>
  <c r="J126"/>
  <c r="G26" i="2"/>
  <c r="H27"/>
  <c r="L93" i="4"/>
  <c r="C67" i="7"/>
  <c r="G68"/>
  <c r="D88" i="2"/>
  <c r="O88" s="1"/>
  <c r="O89"/>
  <c r="K99" i="4"/>
  <c r="D99" s="1"/>
  <c r="C74" i="7"/>
  <c r="G75"/>
  <c r="V70" i="4"/>
  <c r="I87" i="8" s="1"/>
  <c r="H77" i="3"/>
  <c r="V77" s="1"/>
  <c r="V74"/>
  <c r="V40" i="4"/>
  <c r="L39" i="3"/>
  <c r="H49" i="8"/>
  <c r="H48" s="1"/>
  <c r="J38" i="3"/>
  <c r="X40"/>
  <c r="H79" i="9"/>
  <c r="L35" i="3" s="1"/>
  <c r="Z35" s="1"/>
  <c r="U80" i="4"/>
  <c r="H87" i="9"/>
  <c r="AB85" i="3"/>
  <c r="J118" i="9"/>
  <c r="I89" i="8"/>
  <c r="I52" i="4"/>
  <c r="I51" s="1"/>
  <c r="L54" i="1"/>
  <c r="L51" i="4"/>
  <c r="I66"/>
  <c r="D66" s="1"/>
  <c r="I60"/>
  <c r="I59" s="1"/>
  <c r="C61" i="1"/>
  <c r="L59" i="4"/>
  <c r="C51" i="7"/>
  <c r="L62" i="1"/>
  <c r="I27" i="4"/>
  <c r="D27" s="1"/>
  <c r="L26"/>
  <c r="D37" i="7"/>
  <c r="D180" s="1"/>
  <c r="D179" s="1"/>
  <c r="D90"/>
  <c r="D87" s="1"/>
  <c r="E180"/>
  <c r="O110" i="2"/>
  <c r="C107" i="7"/>
  <c r="G107" s="1"/>
  <c r="S25" i="4"/>
  <c r="F33" i="8"/>
  <c r="C6" i="5"/>
  <c r="E75" i="3"/>
  <c r="C77"/>
  <c r="N46" i="2"/>
  <c r="L46"/>
  <c r="M95" i="4"/>
  <c r="F95" s="1"/>
  <c r="E41" i="7" s="1"/>
  <c r="Q86" i="4"/>
  <c r="H121" i="3"/>
  <c r="N72" i="2"/>
  <c r="C46" i="3"/>
  <c r="E47" s="1"/>
  <c r="C108" i="7"/>
  <c r="G108" s="1"/>
  <c r="G109"/>
  <c r="C52"/>
  <c r="G52" s="1"/>
  <c r="G53"/>
  <c r="D125" i="2"/>
  <c r="O125" s="1"/>
  <c r="O126"/>
  <c r="D199"/>
  <c r="O200"/>
  <c r="C43" i="7"/>
  <c r="G43" s="1"/>
  <c r="G44"/>
  <c r="X32" i="3"/>
  <c r="J27"/>
  <c r="Y37"/>
  <c r="Y67"/>
  <c r="H62" i="9"/>
  <c r="U67" i="4"/>
  <c r="U62" s="1"/>
  <c r="I98" i="9"/>
  <c r="I97" s="1"/>
  <c r="X82" i="3"/>
  <c r="J81"/>
  <c r="C101" i="7"/>
  <c r="G101" s="1"/>
  <c r="L125" i="1"/>
  <c r="L82"/>
  <c r="L79" i="4"/>
  <c r="I76"/>
  <c r="D76" s="1"/>
  <c r="L78" i="1"/>
  <c r="L75" i="4"/>
  <c r="I72"/>
  <c r="D72" s="1"/>
  <c r="L74" i="1"/>
  <c r="L71" i="4"/>
  <c r="I34"/>
  <c r="D34" s="1"/>
  <c r="F35" i="7"/>
  <c r="E187"/>
  <c r="D77" i="8"/>
  <c r="D108" s="1"/>
  <c r="D109" s="1"/>
  <c r="D140" s="1"/>
  <c r="P162" i="2"/>
  <c r="P35"/>
  <c r="P27" s="1"/>
  <c r="E34" i="3"/>
  <c r="L27" i="2"/>
  <c r="N27"/>
  <c r="D98" i="4"/>
  <c r="C42" i="7" s="1"/>
  <c r="G42" s="1"/>
  <c r="T54" i="4"/>
  <c r="T47" s="1"/>
  <c r="G35" i="8" s="1"/>
  <c r="E34"/>
  <c r="E124" s="1"/>
  <c r="G141" i="3"/>
  <c r="G53" i="5"/>
  <c r="H22"/>
  <c r="G134" i="3"/>
  <c r="H25"/>
  <c r="V26"/>
  <c r="H112"/>
  <c r="S17" i="12"/>
  <c r="S25" s="1"/>
  <c r="U12"/>
  <c r="U17" s="1"/>
  <c r="U25" s="1"/>
  <c r="Q92" i="4"/>
  <c r="D39" i="8"/>
  <c r="D36" s="1"/>
  <c r="D22" s="1"/>
  <c r="F29" i="7"/>
  <c r="H50" i="1"/>
  <c r="K57"/>
  <c r="N54" i="4"/>
  <c r="I57" i="1"/>
  <c r="O74" i="2"/>
  <c r="C60" i="7"/>
  <c r="G60" s="1"/>
  <c r="G61"/>
  <c r="K99" i="1"/>
  <c r="H87"/>
  <c r="I99"/>
  <c r="E97" i="7"/>
  <c r="C81" i="3"/>
  <c r="C80" s="1"/>
  <c r="C79" s="1"/>
  <c r="F86" i="7"/>
  <c r="R86" i="4"/>
  <c r="I121" i="3"/>
  <c r="I26"/>
  <c r="W27"/>
  <c r="H71" i="9"/>
  <c r="L42" i="3" s="1"/>
  <c r="Z42" s="1"/>
  <c r="U74" i="4"/>
  <c r="U71" s="1"/>
  <c r="I59" i="9"/>
  <c r="V61" i="4"/>
  <c r="V59" s="1"/>
  <c r="I75" i="9"/>
  <c r="M43" i="3" s="1"/>
  <c r="AA43" s="1"/>
  <c r="V76" i="4"/>
  <c r="V75" s="1"/>
  <c r="K68" i="3"/>
  <c r="Y68" s="1"/>
  <c r="G117" i="8"/>
  <c r="G114" s="1"/>
  <c r="G94"/>
  <c r="O85" i="3"/>
  <c r="L120" i="9"/>
  <c r="O70" i="3"/>
  <c r="AC70" s="1"/>
  <c r="K97" i="8"/>
  <c r="K120"/>
  <c r="G94" i="7"/>
  <c r="C100" i="1"/>
  <c r="L101"/>
  <c r="L90"/>
  <c r="C96" i="7"/>
  <c r="G96" s="1"/>
  <c r="C119"/>
  <c r="I82" i="4"/>
  <c r="D82" s="1"/>
  <c r="I78"/>
  <c r="D78" s="1"/>
  <c r="I74"/>
  <c r="D74" s="1"/>
  <c r="I57"/>
  <c r="L55"/>
  <c r="L58" i="1"/>
  <c r="I45" i="4"/>
  <c r="D45" s="1"/>
  <c r="I42"/>
  <c r="D42" s="1"/>
  <c r="I36"/>
  <c r="D36" s="1"/>
  <c r="I32"/>
  <c r="D32" s="1"/>
  <c r="D162" i="2"/>
  <c r="O162" s="1"/>
  <c r="O163"/>
  <c r="E14" i="5"/>
  <c r="G14"/>
  <c r="H14" s="1"/>
  <c r="I14" s="1"/>
  <c r="J14" s="1"/>
  <c r="K14" s="1"/>
  <c r="L14" s="1"/>
  <c r="M14" s="1"/>
  <c r="N14" s="1"/>
  <c r="O14" s="1"/>
  <c r="P14" s="1"/>
  <c r="Q14" s="1"/>
  <c r="R14" s="1"/>
  <c r="S14" s="1"/>
  <c r="T14" s="1"/>
  <c r="U14" s="1"/>
  <c r="L65" i="1"/>
  <c r="L62" i="4"/>
  <c r="C58" i="7"/>
  <c r="G10" i="5"/>
  <c r="H10" s="1"/>
  <c r="I10" s="1"/>
  <c r="J10" s="1"/>
  <c r="K10" s="1"/>
  <c r="L10" s="1"/>
  <c r="M10" s="1"/>
  <c r="N10" s="1"/>
  <c r="O10" s="1"/>
  <c r="P10" s="1"/>
  <c r="Q10" s="1"/>
  <c r="R10" s="1"/>
  <c r="S10" s="1"/>
  <c r="T10" s="1"/>
  <c r="U10" s="1"/>
  <c r="E10"/>
  <c r="F55" i="7"/>
  <c r="E35" i="3"/>
  <c r="F93" i="4"/>
  <c r="K94"/>
  <c r="D94" s="1"/>
  <c r="C40" i="7" s="1"/>
  <c r="G40" s="1"/>
  <c r="O42" i="2"/>
  <c r="D47"/>
  <c r="O48"/>
  <c r="D209"/>
  <c r="O222"/>
  <c r="O209" s="1"/>
  <c r="K32" i="3"/>
  <c r="T28" i="4"/>
  <c r="T26" s="1"/>
  <c r="H55" i="9"/>
  <c r="L37" i="3" s="1"/>
  <c r="U57" i="4"/>
  <c r="U55" s="1"/>
  <c r="L67" i="3"/>
  <c r="H91" i="8"/>
  <c r="G25" i="3"/>
  <c r="G103" s="1"/>
  <c r="G94"/>
  <c r="G65"/>
  <c r="G112"/>
  <c r="U41" i="4"/>
  <c r="U39" s="1"/>
  <c r="Y39" i="3"/>
  <c r="K40"/>
  <c r="Y40" s="1"/>
  <c r="G56" i="8"/>
  <c r="G55" s="1"/>
  <c r="G61" s="1"/>
  <c r="L82" i="3"/>
  <c r="H96" i="9"/>
  <c r="H95" i="8" s="1"/>
  <c r="I49" i="4"/>
  <c r="D49" s="1"/>
  <c r="I80"/>
  <c r="I69"/>
  <c r="D69" s="1"/>
  <c r="I64"/>
  <c r="I28"/>
  <c r="D28" s="1"/>
  <c r="I44"/>
  <c r="D44" s="1"/>
  <c r="I40"/>
  <c r="L39"/>
  <c r="L42" i="1"/>
  <c r="I30" i="4"/>
  <c r="D30" s="1"/>
  <c r="H26" i="9"/>
  <c r="U58" i="4"/>
  <c r="U54" s="1"/>
  <c r="E80" i="7"/>
  <c r="E38" i="3"/>
  <c r="D26" i="8"/>
  <c r="L73" i="2"/>
  <c r="J26"/>
  <c r="G54" i="9"/>
  <c r="E25" i="4"/>
  <c r="M86" s="1"/>
  <c r="F25"/>
  <c r="G109" i="3"/>
  <c r="D39" i="2"/>
  <c r="O40"/>
  <c r="S93" i="4"/>
  <c r="H39" i="10"/>
  <c r="H35" s="1"/>
  <c r="R92" i="4"/>
  <c r="E37" i="8"/>
  <c r="E36" s="1"/>
  <c r="W47" i="3"/>
  <c r="E77" i="8" l="1"/>
  <c r="E108" s="1"/>
  <c r="E109" s="1"/>
  <c r="E140" s="1"/>
  <c r="X62" i="3"/>
  <c r="G213" i="10"/>
  <c r="J58" i="3"/>
  <c r="I204" i="10"/>
  <c r="H200"/>
  <c r="K64" i="3"/>
  <c r="Y64" s="1"/>
  <c r="K52"/>
  <c r="Y52" s="1"/>
  <c r="I53" i="10"/>
  <c r="G107" i="8"/>
  <c r="G106" s="1"/>
  <c r="J121" i="9"/>
  <c r="I98" i="8"/>
  <c r="M73" i="3"/>
  <c r="AA73" s="1"/>
  <c r="I31" i="10"/>
  <c r="H29"/>
  <c r="H27" s="1"/>
  <c r="J42" i="9"/>
  <c r="V42" i="4"/>
  <c r="G125" i="10"/>
  <c r="G72" s="1"/>
  <c r="J75" i="3"/>
  <c r="F105" i="8"/>
  <c r="Y34" i="3"/>
  <c r="K33"/>
  <c r="Y33" s="1"/>
  <c r="I52" i="9"/>
  <c r="U52" i="4"/>
  <c r="U51" s="1"/>
  <c r="H51" i="9"/>
  <c r="L34" i="3" s="1"/>
  <c r="G26" i="10"/>
  <c r="G47" i="9"/>
  <c r="G88" i="8" s="1"/>
  <c r="G85" s="1"/>
  <c r="M92" i="4"/>
  <c r="D79" i="7"/>
  <c r="D110" s="1"/>
  <c r="D111" s="1"/>
  <c r="D142" s="1"/>
  <c r="U79" i="4"/>
  <c r="U47" s="1"/>
  <c r="H35" i="8" s="1"/>
  <c r="W74" i="3"/>
  <c r="I122" i="8"/>
  <c r="F104"/>
  <c r="F103" s="1"/>
  <c r="F102" s="1"/>
  <c r="J80"/>
  <c r="J81"/>
  <c r="F24" i="9"/>
  <c r="F77" i="8"/>
  <c r="H46" i="3"/>
  <c r="D214" i="2"/>
  <c r="D230"/>
  <c r="O231"/>
  <c r="O214" s="1"/>
  <c r="I231" i="10"/>
  <c r="H230"/>
  <c r="H214"/>
  <c r="L223"/>
  <c r="J42" i="8"/>
  <c r="J41" s="1"/>
  <c r="K210" i="10"/>
  <c r="X61" i="3"/>
  <c r="J59"/>
  <c r="X59" s="1"/>
  <c r="I207" i="10"/>
  <c r="K61" i="3"/>
  <c r="H205" i="10"/>
  <c r="I49" i="3"/>
  <c r="I148" i="10"/>
  <c r="H147"/>
  <c r="G67" i="8"/>
  <c r="F65"/>
  <c r="F68" s="1"/>
  <c r="I141" i="10"/>
  <c r="G66" i="8"/>
  <c r="H140" i="10"/>
  <c r="H125" s="1"/>
  <c r="M69" i="3"/>
  <c r="AA69" s="1"/>
  <c r="J126" i="9"/>
  <c r="I119" i="8"/>
  <c r="I92"/>
  <c r="K56" i="9"/>
  <c r="W56" i="4"/>
  <c r="W73"/>
  <c r="K73" i="9"/>
  <c r="J57" i="8"/>
  <c r="K49" i="9"/>
  <c r="W49" i="4"/>
  <c r="D27" i="1"/>
  <c r="F27" s="1"/>
  <c r="F28"/>
  <c r="L27" i="9"/>
  <c r="O28" i="3"/>
  <c r="AC28" s="1"/>
  <c r="X27" i="4"/>
  <c r="K28" i="8" s="1"/>
  <c r="K82" i="9"/>
  <c r="W82" i="4"/>
  <c r="L72" i="2"/>
  <c r="J115" i="10"/>
  <c r="H74" i="8"/>
  <c r="K71" i="3"/>
  <c r="Y71" s="1"/>
  <c r="G99" i="8"/>
  <c r="G90" s="1"/>
  <c r="X71" i="3"/>
  <c r="J66"/>
  <c r="I123" i="9"/>
  <c r="H122"/>
  <c r="I77" i="3"/>
  <c r="W77" s="1"/>
  <c r="W66"/>
  <c r="I118" i="8"/>
  <c r="V85" i="4"/>
  <c r="I110" i="9"/>
  <c r="I108" s="1"/>
  <c r="M72" i="3" s="1"/>
  <c r="J111" i="9"/>
  <c r="H96" i="8"/>
  <c r="L72" i="3"/>
  <c r="Z72" s="1"/>
  <c r="I62" i="4"/>
  <c r="M50" i="1"/>
  <c r="C7" i="5" s="1"/>
  <c r="D7" s="1"/>
  <c r="I55" i="4"/>
  <c r="L125" i="9"/>
  <c r="M125" s="1"/>
  <c r="N125" s="1"/>
  <c r="O125" s="1"/>
  <c r="P125" s="1"/>
  <c r="Q125" s="1"/>
  <c r="L127"/>
  <c r="K101" i="8"/>
  <c r="M104" i="9"/>
  <c r="L123" i="8"/>
  <c r="L86" i="9"/>
  <c r="K93" i="8"/>
  <c r="L83" i="9"/>
  <c r="X83" i="4"/>
  <c r="M77" i="9"/>
  <c r="Y77" i="4"/>
  <c r="L78" i="9"/>
  <c r="X78" i="4"/>
  <c r="L72" i="9"/>
  <c r="X72" i="4"/>
  <c r="M69" i="9"/>
  <c r="Y69" i="4"/>
  <c r="L65" i="9"/>
  <c r="X65" i="4"/>
  <c r="L63" i="9"/>
  <c r="X63" i="4"/>
  <c r="L66" i="9"/>
  <c r="X66" i="4"/>
  <c r="L64" i="9"/>
  <c r="X64" i="4"/>
  <c r="L68" i="9"/>
  <c r="O41" i="3"/>
  <c r="AC41" s="1"/>
  <c r="K64" i="8"/>
  <c r="K63" s="1"/>
  <c r="K121"/>
  <c r="X68" i="4"/>
  <c r="K71" i="8"/>
  <c r="K70" s="1"/>
  <c r="K86"/>
  <c r="M60" i="9"/>
  <c r="Y60" i="4"/>
  <c r="L53" i="9"/>
  <c r="X53" i="4"/>
  <c r="L48" i="9"/>
  <c r="X48" i="4"/>
  <c r="L50" i="9"/>
  <c r="X50" i="4"/>
  <c r="M45" i="9"/>
  <c r="Y45" i="4"/>
  <c r="L43" i="9"/>
  <c r="X43" i="4"/>
  <c r="L44" i="9"/>
  <c r="X44" i="4"/>
  <c r="L46" i="9"/>
  <c r="X46" i="4"/>
  <c r="L38" i="9"/>
  <c r="X38" i="4"/>
  <c r="K32" i="8" s="1"/>
  <c r="K116"/>
  <c r="L32" i="9"/>
  <c r="X32" i="4"/>
  <c r="L30" i="9"/>
  <c r="O30" i="3"/>
  <c r="AC30" s="1"/>
  <c r="X30" i="4"/>
  <c r="K30" i="8" s="1"/>
  <c r="K81"/>
  <c r="L34" i="9"/>
  <c r="X34" i="4"/>
  <c r="J82" i="8"/>
  <c r="J83"/>
  <c r="X31" i="4"/>
  <c r="K31" i="8" s="1"/>
  <c r="K82"/>
  <c r="K115"/>
  <c r="L31" i="9"/>
  <c r="O31" i="3"/>
  <c r="AC31" s="1"/>
  <c r="L29" i="9"/>
  <c r="X29" i="4"/>
  <c r="K29" i="8" s="1"/>
  <c r="O29" i="3"/>
  <c r="AC29" s="1"/>
  <c r="K80" i="8"/>
  <c r="M33" i="9"/>
  <c r="Y33" i="4"/>
  <c r="L111" i="1"/>
  <c r="X36" i="4"/>
  <c r="L83" i="3"/>
  <c r="Z83" s="1"/>
  <c r="J201" i="10"/>
  <c r="W80" i="3"/>
  <c r="I79"/>
  <c r="W79" s="1"/>
  <c r="F108" i="8"/>
  <c r="F109" s="1"/>
  <c r="F140" s="1"/>
  <c r="L37" i="10"/>
  <c r="K36"/>
  <c r="K43"/>
  <c r="J42"/>
  <c r="L48" i="3"/>
  <c r="Z48" s="1"/>
  <c r="U94" i="4"/>
  <c r="H38" i="8" s="1"/>
  <c r="J48" i="10"/>
  <c r="L54"/>
  <c r="N53" i="3"/>
  <c r="AB53" s="1"/>
  <c r="L61" i="10"/>
  <c r="N50" i="3"/>
  <c r="AB50" s="1"/>
  <c r="L65" i="10"/>
  <c r="N55" i="3"/>
  <c r="AB55" s="1"/>
  <c r="K66" i="10"/>
  <c r="M56" i="3"/>
  <c r="AA56" s="1"/>
  <c r="K60" i="10"/>
  <c r="M51" i="3"/>
  <c r="AA51" s="1"/>
  <c r="J59" i="10"/>
  <c r="J58" s="1"/>
  <c r="L67"/>
  <c r="N57" i="3"/>
  <c r="AB57" s="1"/>
  <c r="K62"/>
  <c r="Y62" s="1"/>
  <c r="I103" i="10"/>
  <c r="D73" i="2"/>
  <c r="D72" s="1"/>
  <c r="O72" s="1"/>
  <c r="J110" i="10"/>
  <c r="K127"/>
  <c r="J126"/>
  <c r="K178"/>
  <c r="J177"/>
  <c r="J162" s="1"/>
  <c r="K183"/>
  <c r="K206"/>
  <c r="M86" i="3"/>
  <c r="Z86"/>
  <c r="L84"/>
  <c r="Z84" s="1"/>
  <c r="M60"/>
  <c r="Z60"/>
  <c r="K163" i="10"/>
  <c r="J60" i="8"/>
  <c r="J51"/>
  <c r="P72" i="2"/>
  <c r="I89" i="10"/>
  <c r="H73" i="8"/>
  <c r="H72" s="1"/>
  <c r="H75" s="1"/>
  <c r="H88" i="10"/>
  <c r="T99" i="4"/>
  <c r="H73" i="10"/>
  <c r="H72" s="1"/>
  <c r="J84"/>
  <c r="H59" i="8"/>
  <c r="H58" s="1"/>
  <c r="I81" i="10"/>
  <c r="H52" i="8"/>
  <c r="H50" s="1"/>
  <c r="H53" s="1"/>
  <c r="I74" i="10"/>
  <c r="M225"/>
  <c r="L222"/>
  <c r="K44" i="8"/>
  <c r="L212" i="10"/>
  <c r="AA54" i="3"/>
  <c r="N54"/>
  <c r="K209" i="10"/>
  <c r="V81" i="4"/>
  <c r="W37"/>
  <c r="W35"/>
  <c r="I79"/>
  <c r="I39"/>
  <c r="I26" s="1"/>
  <c r="C183" i="7"/>
  <c r="G31"/>
  <c r="C186"/>
  <c r="G34"/>
  <c r="I128" i="3"/>
  <c r="J4" i="5"/>
  <c r="I49"/>
  <c r="I17"/>
  <c r="C185" i="7"/>
  <c r="G33"/>
  <c r="E26" i="3"/>
  <c r="E36"/>
  <c r="E33"/>
  <c r="E82"/>
  <c r="D40" i="4"/>
  <c r="D39" s="1"/>
  <c r="D64"/>
  <c r="D80"/>
  <c r="D79" s="1"/>
  <c r="D57"/>
  <c r="D55" s="1"/>
  <c r="F37" i="7"/>
  <c r="C112" i="3"/>
  <c r="E8" i="13" s="1"/>
  <c r="T25" i="4"/>
  <c r="G33" i="8"/>
  <c r="G27" s="1"/>
  <c r="G84"/>
  <c r="G78" s="1"/>
  <c r="G77" s="1"/>
  <c r="C30" i="7"/>
  <c r="D26" i="4"/>
  <c r="C81" i="7"/>
  <c r="J86" i="4"/>
  <c r="E86" s="1"/>
  <c r="C32" i="7"/>
  <c r="C83"/>
  <c r="G83" s="1"/>
  <c r="G95" i="3"/>
  <c r="G88" s="1"/>
  <c r="G108"/>
  <c r="G150"/>
  <c r="G87"/>
  <c r="G152"/>
  <c r="M67"/>
  <c r="I91" i="8"/>
  <c r="Z37" i="3"/>
  <c r="L32"/>
  <c r="U28" i="4"/>
  <c r="U26" s="1"/>
  <c r="F92"/>
  <c r="E39" i="7"/>
  <c r="G7" i="5"/>
  <c r="H7" s="1"/>
  <c r="I7" s="1"/>
  <c r="J7" s="1"/>
  <c r="K7" s="1"/>
  <c r="L7" s="1"/>
  <c r="M7" s="1"/>
  <c r="N7" s="1"/>
  <c r="O7" s="1"/>
  <c r="P7" s="1"/>
  <c r="Q7" s="1"/>
  <c r="R7" s="1"/>
  <c r="S7" s="1"/>
  <c r="T7" s="1"/>
  <c r="U7" s="1"/>
  <c r="E7"/>
  <c r="C116" i="7"/>
  <c r="G116" s="1"/>
  <c r="G119"/>
  <c r="C99" i="1"/>
  <c r="L100"/>
  <c r="L100" i="8"/>
  <c r="AC85" i="3"/>
  <c r="J59" i="9"/>
  <c r="W61" i="4"/>
  <c r="W59" s="1"/>
  <c r="I71" i="9"/>
  <c r="M42" i="3" s="1"/>
  <c r="AA42" s="1"/>
  <c r="V74" i="4"/>
  <c r="V71" s="1"/>
  <c r="I25" i="3"/>
  <c r="W26"/>
  <c r="I112"/>
  <c r="K50" i="1"/>
  <c r="I50"/>
  <c r="N47" i="4"/>
  <c r="E90" i="7"/>
  <c r="H28" i="1"/>
  <c r="V25" i="3"/>
  <c r="H103"/>
  <c r="X81"/>
  <c r="J80"/>
  <c r="J98" i="9"/>
  <c r="J97" s="1"/>
  <c r="L40" i="3"/>
  <c r="Z40" s="1"/>
  <c r="H56" i="8"/>
  <c r="H55" s="1"/>
  <c r="F41" i="7"/>
  <c r="D6" i="5"/>
  <c r="C5"/>
  <c r="C50" s="1"/>
  <c r="C59" i="11" s="1"/>
  <c r="F27" i="8"/>
  <c r="F34"/>
  <c r="F124" s="1"/>
  <c r="D36" i="7"/>
  <c r="D28" s="1"/>
  <c r="D126"/>
  <c r="L68" i="3"/>
  <c r="Z68" s="1"/>
  <c r="H94" i="8"/>
  <c r="H117"/>
  <c r="H114" s="1"/>
  <c r="I79" i="9"/>
  <c r="M35" i="3" s="1"/>
  <c r="AA35" s="1"/>
  <c r="V80" i="4"/>
  <c r="V79" s="1"/>
  <c r="X38" i="3"/>
  <c r="J36"/>
  <c r="X36" s="1"/>
  <c r="W40" i="4"/>
  <c r="W70"/>
  <c r="J87" i="8" s="1"/>
  <c r="G74" i="7"/>
  <c r="C77"/>
  <c r="G77" s="1"/>
  <c r="E93" i="4"/>
  <c r="L92"/>
  <c r="G25" i="2"/>
  <c r="H25" s="1"/>
  <c r="H26"/>
  <c r="K126" i="3"/>
  <c r="L119"/>
  <c r="K81"/>
  <c r="Y82"/>
  <c r="E66"/>
  <c r="C90"/>
  <c r="E27"/>
  <c r="D62" i="4"/>
  <c r="H84" i="9"/>
  <c r="E26" i="8"/>
  <c r="E21" s="1"/>
  <c r="D71" i="4"/>
  <c r="D75"/>
  <c r="E179" i="7"/>
  <c r="D60" i="4"/>
  <c r="D59" s="1"/>
  <c r="D52"/>
  <c r="D51" s="1"/>
  <c r="H58" i="9"/>
  <c r="H54" s="1"/>
  <c r="H47" s="1"/>
  <c r="G84"/>
  <c r="C121" i="3"/>
  <c r="N86" i="4"/>
  <c r="J25" i="2"/>
  <c r="L26"/>
  <c r="N26"/>
  <c r="D45" i="8"/>
  <c r="D113" s="1"/>
  <c r="D112" s="1"/>
  <c r="D136" s="1"/>
  <c r="D139" s="1"/>
  <c r="D138" s="1"/>
  <c r="D150" s="1"/>
  <c r="D153" s="1"/>
  <c r="D152" s="1"/>
  <c r="D155" s="1"/>
  <c r="D156" s="1"/>
  <c r="D21"/>
  <c r="F80" i="7"/>
  <c r="I96" i="8"/>
  <c r="Z82" i="3"/>
  <c r="L81"/>
  <c r="V41" i="4"/>
  <c r="V39" s="1"/>
  <c r="G78" i="3"/>
  <c r="G113" s="1"/>
  <c r="G110"/>
  <c r="G105"/>
  <c r="G92" s="1"/>
  <c r="G90"/>
  <c r="Z67"/>
  <c r="I55" i="9"/>
  <c r="M37" i="3" s="1"/>
  <c r="V57" i="4"/>
  <c r="V55" s="1"/>
  <c r="K27" i="3"/>
  <c r="Y32"/>
  <c r="D46" i="2"/>
  <c r="O47"/>
  <c r="G8" i="5"/>
  <c r="H8" s="1"/>
  <c r="I8" s="1"/>
  <c r="J8" s="1"/>
  <c r="K8" s="1"/>
  <c r="L8" s="1"/>
  <c r="M8" s="1"/>
  <c r="N8" s="1"/>
  <c r="O8" s="1"/>
  <c r="P8" s="1"/>
  <c r="Q8" s="1"/>
  <c r="R8" s="1"/>
  <c r="S8" s="1"/>
  <c r="T8" s="1"/>
  <c r="U8" s="1"/>
  <c r="E8"/>
  <c r="C57" i="7"/>
  <c r="G58"/>
  <c r="M120" i="9"/>
  <c r="P70" i="3"/>
  <c r="AD70" s="1"/>
  <c r="L97" i="8"/>
  <c r="L120"/>
  <c r="P85" i="3"/>
  <c r="J75" i="9"/>
  <c r="N43" i="3" s="1"/>
  <c r="AB43" s="1"/>
  <c r="W76" i="4"/>
  <c r="W75" s="1"/>
  <c r="M39" i="3"/>
  <c r="I49" i="8"/>
  <c r="I48" s="1"/>
  <c r="F97" i="7"/>
  <c r="E92"/>
  <c r="K87" i="1"/>
  <c r="I87"/>
  <c r="Q102" i="4"/>
  <c r="H122" i="3"/>
  <c r="H123" s="1"/>
  <c r="H124"/>
  <c r="H125" s="1"/>
  <c r="H132"/>
  <c r="H21" i="5"/>
  <c r="H37" s="1"/>
  <c r="P26" i="2"/>
  <c r="C13" i="5"/>
  <c r="M82" i="3"/>
  <c r="I96" i="9"/>
  <c r="I95" i="8" s="1"/>
  <c r="I62" i="9"/>
  <c r="V67" i="4"/>
  <c r="V62" s="1"/>
  <c r="V58" s="1"/>
  <c r="X27" i="3"/>
  <c r="O199" i="2"/>
  <c r="C156" i="7"/>
  <c r="G156" s="1"/>
  <c r="C45" i="3"/>
  <c r="E48"/>
  <c r="E49"/>
  <c r="S86" i="4"/>
  <c r="J121" i="3"/>
  <c r="C50" i="7"/>
  <c r="G51"/>
  <c r="C57" i="1"/>
  <c r="L58" i="4"/>
  <c r="L61" i="1"/>
  <c r="K118" i="9"/>
  <c r="J89" i="8"/>
  <c r="I87" i="9"/>
  <c r="Z39" i="3"/>
  <c r="C70" i="7"/>
  <c r="G70" s="1"/>
  <c r="G67"/>
  <c r="G16" i="5"/>
  <c r="H16" s="1"/>
  <c r="I16" s="1"/>
  <c r="J16" s="1"/>
  <c r="K16" s="1"/>
  <c r="L16" s="1"/>
  <c r="M16" s="1"/>
  <c r="N16" s="1"/>
  <c r="O16" s="1"/>
  <c r="P16" s="1"/>
  <c r="Q16" s="1"/>
  <c r="R16" s="1"/>
  <c r="S16" s="1"/>
  <c r="T16" s="1"/>
  <c r="U16" s="1"/>
  <c r="E16"/>
  <c r="K38" i="3"/>
  <c r="G25" i="9"/>
  <c r="G34" i="8"/>
  <c r="G124" s="1"/>
  <c r="I71" i="4"/>
  <c r="I75"/>
  <c r="K66" i="3"/>
  <c r="M28" i="1"/>
  <c r="M27" s="1"/>
  <c r="I58" i="4"/>
  <c r="I39" i="9"/>
  <c r="I26" s="1"/>
  <c r="C94" i="3"/>
  <c r="E22" i="8"/>
  <c r="I122" i="3"/>
  <c r="I123" s="1"/>
  <c r="I124"/>
  <c r="I125" s="1"/>
  <c r="R102" i="4"/>
  <c r="I39" i="10"/>
  <c r="I35" s="1"/>
  <c r="S92" i="4"/>
  <c r="F37" i="8"/>
  <c r="F36" s="1"/>
  <c r="X47" i="3"/>
  <c r="D35" i="2"/>
  <c r="O39"/>
  <c r="G15" i="5"/>
  <c r="E15"/>
  <c r="AA72" i="3" l="1"/>
  <c r="G25" i="10"/>
  <c r="T93" i="4"/>
  <c r="K47" i="3"/>
  <c r="Y47" s="1"/>
  <c r="H26" i="10"/>
  <c r="N69" i="3"/>
  <c r="AB69" s="1"/>
  <c r="K126" i="9"/>
  <c r="J119" i="8"/>
  <c r="J92"/>
  <c r="I140" i="10"/>
  <c r="J141"/>
  <c r="H66" i="8"/>
  <c r="H65" s="1"/>
  <c r="H68" s="1"/>
  <c r="J148" i="10"/>
  <c r="I147"/>
  <c r="H67" i="8"/>
  <c r="J207" i="10"/>
  <c r="I205"/>
  <c r="L61" i="3"/>
  <c r="J231" i="10"/>
  <c r="I230"/>
  <c r="I214"/>
  <c r="O230" i="2"/>
  <c r="O213" s="1"/>
  <c r="D213"/>
  <c r="C106" i="7"/>
  <c r="V46" i="3"/>
  <c r="H45"/>
  <c r="H94"/>
  <c r="W42" i="4"/>
  <c r="K42" i="9"/>
  <c r="J31" i="10"/>
  <c r="I29"/>
  <c r="J98" i="8"/>
  <c r="K121" i="9"/>
  <c r="N73" i="3"/>
  <c r="AB73" s="1"/>
  <c r="L52"/>
  <c r="Z52" s="1"/>
  <c r="H107" i="8"/>
  <c r="H106" s="1"/>
  <c r="J53" i="10"/>
  <c r="J204"/>
  <c r="I200"/>
  <c r="I199" s="1"/>
  <c r="H154" i="8" s="1"/>
  <c r="L64" i="3"/>
  <c r="Z64" s="1"/>
  <c r="I27" i="10"/>
  <c r="H88" i="8"/>
  <c r="H85" s="1"/>
  <c r="H61"/>
  <c r="I52" i="10"/>
  <c r="I47" s="1"/>
  <c r="I46" s="1"/>
  <c r="U95" i="4" s="1"/>
  <c r="H39" i="8" s="1"/>
  <c r="G104"/>
  <c r="J200" i="10"/>
  <c r="G65" i="8"/>
  <c r="G68" s="1"/>
  <c r="G105"/>
  <c r="K75" i="3"/>
  <c r="W49"/>
  <c r="I46"/>
  <c r="Y61"/>
  <c r="K59"/>
  <c r="Y59" s="1"/>
  <c r="M223" i="10"/>
  <c r="K42" i="8"/>
  <c r="K41" s="1"/>
  <c r="L210" i="10"/>
  <c r="H213"/>
  <c r="K58" i="3"/>
  <c r="L33"/>
  <c r="Z33" s="1"/>
  <c r="Z34"/>
  <c r="J52" i="9"/>
  <c r="V52" i="4"/>
  <c r="V51" s="1"/>
  <c r="I51" i="9"/>
  <c r="M34" i="3" s="1"/>
  <c r="AA34" s="1"/>
  <c r="J74"/>
  <c r="X74" s="1"/>
  <c r="X75"/>
  <c r="H199" i="10"/>
  <c r="G154" i="8" s="1"/>
  <c r="J49" i="3"/>
  <c r="X58"/>
  <c r="X56" i="4"/>
  <c r="L56" i="9"/>
  <c r="X73" i="4"/>
  <c r="L73" i="9"/>
  <c r="K57" i="8"/>
  <c r="L49" i="9"/>
  <c r="X49" i="4"/>
  <c r="Y27"/>
  <c r="L28" i="8" s="1"/>
  <c r="M27" i="9"/>
  <c r="P28" i="3"/>
  <c r="AD28" s="1"/>
  <c r="K79" i="8"/>
  <c r="X82" i="4"/>
  <c r="L82" i="9"/>
  <c r="K115" i="10"/>
  <c r="I74" i="8"/>
  <c r="J123" i="9"/>
  <c r="I122"/>
  <c r="I84" s="1"/>
  <c r="L71" i="3"/>
  <c r="H99" i="8"/>
  <c r="H90" s="1"/>
  <c r="X66" i="3"/>
  <c r="J77"/>
  <c r="X77" s="1"/>
  <c r="J110" i="9"/>
  <c r="J108" s="1"/>
  <c r="J118" i="8"/>
  <c r="K111" i="9"/>
  <c r="W85" i="4"/>
  <c r="E45" i="8"/>
  <c r="E113" s="1"/>
  <c r="E112" s="1"/>
  <c r="E136" s="1"/>
  <c r="E139" s="1"/>
  <c r="E138" s="1"/>
  <c r="E150" s="1"/>
  <c r="E153" s="1"/>
  <c r="E152" s="1"/>
  <c r="E155" s="1"/>
  <c r="E156" s="1"/>
  <c r="M127" i="9"/>
  <c r="L101" i="8"/>
  <c r="M123"/>
  <c r="N104" i="9"/>
  <c r="G24"/>
  <c r="L93" i="8"/>
  <c r="M86" i="9"/>
  <c r="M83"/>
  <c r="Y83" i="4"/>
  <c r="M78" i="9"/>
  <c r="Y78" i="4"/>
  <c r="N77" i="9"/>
  <c r="Z77" i="4"/>
  <c r="Y72"/>
  <c r="M72" i="9"/>
  <c r="V54" i="4"/>
  <c r="V47" s="1"/>
  <c r="I35" i="8" s="1"/>
  <c r="P41" i="3"/>
  <c r="AD41" s="1"/>
  <c r="Y68" i="4"/>
  <c r="L71" i="8"/>
  <c r="L70" s="1"/>
  <c r="L86"/>
  <c r="M68" i="9"/>
  <c r="L64" i="8"/>
  <c r="L63" s="1"/>
  <c r="L121"/>
  <c r="M64" i="9"/>
  <c r="Y64" i="4"/>
  <c r="M66" i="9"/>
  <c r="Y66" i="4"/>
  <c r="M63" i="9"/>
  <c r="Y63" i="4"/>
  <c r="M65" i="9"/>
  <c r="Y65" i="4"/>
  <c r="Z69"/>
  <c r="N69" i="9"/>
  <c r="L38" i="3"/>
  <c r="J26"/>
  <c r="N60" i="9"/>
  <c r="Z60" i="4"/>
  <c r="Y53"/>
  <c r="M53" i="9"/>
  <c r="M50"/>
  <c r="Y50" i="4"/>
  <c r="Y48"/>
  <c r="M48" i="9"/>
  <c r="M46"/>
  <c r="Y46" i="4"/>
  <c r="M44" i="9"/>
  <c r="Y44" i="4"/>
  <c r="M43" i="9"/>
  <c r="Y43" i="4"/>
  <c r="N45" i="9"/>
  <c r="Z45" i="4"/>
  <c r="Y34"/>
  <c r="M34" i="9"/>
  <c r="P30" i="3"/>
  <c r="AD30" s="1"/>
  <c r="Y30" i="4"/>
  <c r="L30" i="8" s="1"/>
  <c r="M30" i="9"/>
  <c r="L81" i="8"/>
  <c r="Y32" i="4"/>
  <c r="M32" i="9"/>
  <c r="Y38" i="4"/>
  <c r="L32" i="8" s="1"/>
  <c r="M38" i="9"/>
  <c r="L83" i="8"/>
  <c r="L116"/>
  <c r="K83"/>
  <c r="Z33" i="4"/>
  <c r="N33" i="9"/>
  <c r="M29"/>
  <c r="P29" i="3"/>
  <c r="AD29" s="1"/>
  <c r="Y29" i="4"/>
  <c r="L29" i="8" s="1"/>
  <c r="M31" i="9"/>
  <c r="L115" i="8"/>
  <c r="P31" i="3"/>
  <c r="AD31" s="1"/>
  <c r="Y31" i="4"/>
  <c r="L31" i="8" s="1"/>
  <c r="Y36" i="4"/>
  <c r="P25" i="2"/>
  <c r="O73"/>
  <c r="M83" i="3"/>
  <c r="AA83" s="1"/>
  <c r="K201" i="10"/>
  <c r="L62" i="3"/>
  <c r="Z62" s="1"/>
  <c r="M37" i="10"/>
  <c r="L36"/>
  <c r="K42"/>
  <c r="L43"/>
  <c r="M48" i="3"/>
  <c r="AA48" s="1"/>
  <c r="V94" i="4"/>
  <c r="I38" i="8" s="1"/>
  <c r="K48" i="10"/>
  <c r="M54"/>
  <c r="O53" i="3"/>
  <c r="AC53" s="1"/>
  <c r="M67" i="10"/>
  <c r="O57" i="3"/>
  <c r="AC57" s="1"/>
  <c r="L66" i="10"/>
  <c r="N56" i="3"/>
  <c r="AB56" s="1"/>
  <c r="M65" i="10"/>
  <c r="O55" i="3"/>
  <c r="AC55" s="1"/>
  <c r="M61" i="10"/>
  <c r="O50" i="3"/>
  <c r="AC50" s="1"/>
  <c r="K59" i="10"/>
  <c r="K58" s="1"/>
  <c r="L60"/>
  <c r="N51" i="3"/>
  <c r="AB51" s="1"/>
  <c r="J103" i="10"/>
  <c r="K110"/>
  <c r="L127"/>
  <c r="K126"/>
  <c r="L178"/>
  <c r="K177"/>
  <c r="K162" s="1"/>
  <c r="L183"/>
  <c r="N86" i="3"/>
  <c r="AA86"/>
  <c r="M84"/>
  <c r="AA84" s="1"/>
  <c r="N60"/>
  <c r="AA60"/>
  <c r="L163" i="10"/>
  <c r="K60" i="8"/>
  <c r="K51"/>
  <c r="J89" i="10"/>
  <c r="I73" i="8"/>
  <c r="U99" i="4"/>
  <c r="I88" i="10"/>
  <c r="I73" s="1"/>
  <c r="K84"/>
  <c r="I59" i="8"/>
  <c r="I58" s="1"/>
  <c r="J81" i="10"/>
  <c r="I52" i="8"/>
  <c r="I50" s="1"/>
  <c r="J74" i="10"/>
  <c r="I53" i="8"/>
  <c r="J52" i="10"/>
  <c r="J47" s="1"/>
  <c r="J46" s="1"/>
  <c r="V95" i="4" s="1"/>
  <c r="I39" i="8" s="1"/>
  <c r="AB54" i="3"/>
  <c r="N225" i="10"/>
  <c r="M222"/>
  <c r="L44" i="8"/>
  <c r="M212" i="10"/>
  <c r="O54" i="3"/>
  <c r="L209" i="10"/>
  <c r="W81" i="4"/>
  <c r="X37"/>
  <c r="X35"/>
  <c r="D58"/>
  <c r="D54" s="1"/>
  <c r="D47" s="1"/>
  <c r="C37" i="7" s="1"/>
  <c r="J128" i="3"/>
  <c r="J49" i="5"/>
  <c r="K4"/>
  <c r="J17"/>
  <c r="I54" i="4"/>
  <c r="I47" s="1"/>
  <c r="Z38" i="3"/>
  <c r="J122" i="8"/>
  <c r="U25" i="4"/>
  <c r="H33" i="8"/>
  <c r="H84"/>
  <c r="H78" s="1"/>
  <c r="H77" s="1"/>
  <c r="Y38" i="3"/>
  <c r="K36"/>
  <c r="Y36" s="1"/>
  <c r="M68"/>
  <c r="AA68" s="1"/>
  <c r="I117" i="8"/>
  <c r="I114" s="1"/>
  <c r="I94"/>
  <c r="N72" i="3"/>
  <c r="AB72" s="1"/>
  <c r="J96" i="8"/>
  <c r="L118" i="9"/>
  <c r="K89" i="8"/>
  <c r="M40" i="3"/>
  <c r="AA40" s="1"/>
  <c r="I56" i="8"/>
  <c r="I55" s="1"/>
  <c r="D13" i="5"/>
  <c r="C12"/>
  <c r="I22"/>
  <c r="H134" i="3"/>
  <c r="H141"/>
  <c r="H53" i="5"/>
  <c r="K75" i="9"/>
  <c r="O43" i="3" s="1"/>
  <c r="AC43" s="1"/>
  <c r="X76" i="4"/>
  <c r="X75" s="1"/>
  <c r="Q85" i="3"/>
  <c r="N120" i="9"/>
  <c r="Q70" i="3"/>
  <c r="AE70" s="1"/>
  <c r="M97" i="8"/>
  <c r="M120"/>
  <c r="J55" i="9"/>
  <c r="N37" i="3" s="1"/>
  <c r="W57" i="4"/>
  <c r="W55" s="1"/>
  <c r="W41"/>
  <c r="L25" i="2"/>
  <c r="N25"/>
  <c r="E36" i="7"/>
  <c r="E126"/>
  <c r="Y81" i="3"/>
  <c r="K80"/>
  <c r="D39" i="7"/>
  <c r="D38" s="1"/>
  <c r="D22" s="1"/>
  <c r="E92" i="4"/>
  <c r="E102" s="1"/>
  <c r="K39" i="9"/>
  <c r="X40" i="4"/>
  <c r="D47" i="7"/>
  <c r="D115" s="1"/>
  <c r="D114" s="1"/>
  <c r="D138" s="1"/>
  <c r="D141" s="1"/>
  <c r="D140" s="1"/>
  <c r="D152" s="1"/>
  <c r="D155" s="1"/>
  <c r="D154" s="1"/>
  <c r="D157" s="1"/>
  <c r="D158" s="1"/>
  <c r="D23"/>
  <c r="G6" i="5"/>
  <c r="E6"/>
  <c r="E5" s="1"/>
  <c r="D5"/>
  <c r="N82" i="3"/>
  <c r="J96" i="9"/>
  <c r="J95" i="8" s="1"/>
  <c r="X80" i="3"/>
  <c r="J79"/>
  <c r="X79" s="1"/>
  <c r="V103"/>
  <c r="H90"/>
  <c r="H27" i="1"/>
  <c r="K28"/>
  <c r="N25" i="4"/>
  <c r="I28" i="1"/>
  <c r="I103" i="3"/>
  <c r="W25"/>
  <c r="K59" i="9"/>
  <c r="X61" i="4"/>
  <c r="X59" s="1"/>
  <c r="M100" i="8"/>
  <c r="C97" i="7"/>
  <c r="L99" i="1"/>
  <c r="C87"/>
  <c r="L87" s="1"/>
  <c r="C122" i="3"/>
  <c r="C123" s="1"/>
  <c r="C124"/>
  <c r="C125" s="1"/>
  <c r="D6" i="11"/>
  <c r="Z32" i="3"/>
  <c r="L27"/>
  <c r="AA67"/>
  <c r="C184" i="7"/>
  <c r="G32"/>
  <c r="G81"/>
  <c r="C182"/>
  <c r="G30"/>
  <c r="W39" i="4"/>
  <c r="F26" i="8"/>
  <c r="F21" s="1"/>
  <c r="M33" i="3"/>
  <c r="AA33" s="1"/>
  <c r="G26" i="8"/>
  <c r="G21" s="1"/>
  <c r="C152" i="3"/>
  <c r="C87"/>
  <c r="C95"/>
  <c r="C88" s="1"/>
  <c r="C108"/>
  <c r="C8" i="13" s="1"/>
  <c r="C150" i="3"/>
  <c r="Y66"/>
  <c r="J87" i="9"/>
  <c r="C50" i="1"/>
  <c r="L54" i="4"/>
  <c r="L57" i="1"/>
  <c r="C55" i="7"/>
  <c r="G55" s="1"/>
  <c r="G50"/>
  <c r="C44" i="3"/>
  <c r="C104" s="1"/>
  <c r="E45" s="1"/>
  <c r="C109"/>
  <c r="C65"/>
  <c r="J25"/>
  <c r="X26"/>
  <c r="J112"/>
  <c r="J62" i="9"/>
  <c r="W67" i="4"/>
  <c r="W62" s="1"/>
  <c r="W58" s="1"/>
  <c r="AA82" i="3"/>
  <c r="F92" i="7"/>
  <c r="M38" i="3"/>
  <c r="AA39"/>
  <c r="AD85"/>
  <c r="G57" i="7"/>
  <c r="C63"/>
  <c r="G63" s="1"/>
  <c r="K95" i="4"/>
  <c r="D95" s="1"/>
  <c r="C41" i="7" s="1"/>
  <c r="G41" s="1"/>
  <c r="O46" i="2"/>
  <c r="K26" i="3"/>
  <c r="Y27"/>
  <c r="M36"/>
  <c r="AA37"/>
  <c r="Z81"/>
  <c r="L80"/>
  <c r="K86" i="4"/>
  <c r="F86" s="1"/>
  <c r="M119" i="3"/>
  <c r="L126"/>
  <c r="X70" i="4"/>
  <c r="K87" i="8" s="1"/>
  <c r="J79" i="9"/>
  <c r="N35" i="3" s="1"/>
  <c r="AB35" s="1"/>
  <c r="W80" i="4"/>
  <c r="W79" s="1"/>
  <c r="K98" i="9"/>
  <c r="K97" s="1"/>
  <c r="F90" i="7"/>
  <c r="G90"/>
  <c r="E87"/>
  <c r="J71" i="9"/>
  <c r="N42" i="3" s="1"/>
  <c r="AB42" s="1"/>
  <c r="W74" i="4"/>
  <c r="W71" s="1"/>
  <c r="N39" i="3"/>
  <c r="J58" i="9"/>
  <c r="J49" i="8"/>
  <c r="J48" s="1"/>
  <c r="E38" i="7"/>
  <c r="F39"/>
  <c r="M32" i="3"/>
  <c r="V28" i="4"/>
  <c r="V26" s="1"/>
  <c r="N67" i="3"/>
  <c r="J91" i="8"/>
  <c r="C35" i="7"/>
  <c r="C181" s="1"/>
  <c r="C86"/>
  <c r="G86" s="1"/>
  <c r="T86" i="4"/>
  <c r="K121" i="3"/>
  <c r="I25" i="4"/>
  <c r="I58" i="9"/>
  <c r="I54" s="1"/>
  <c r="I47" s="1"/>
  <c r="I88" i="8" s="1"/>
  <c r="I85" s="1"/>
  <c r="J39" i="9"/>
  <c r="J26" s="1"/>
  <c r="L36" i="3"/>
  <c r="Z36" s="1"/>
  <c r="H25" i="9"/>
  <c r="H24" s="1"/>
  <c r="H15" i="5"/>
  <c r="D27" i="2"/>
  <c r="O35"/>
  <c r="F22" i="8"/>
  <c r="J122" i="3"/>
  <c r="J123" s="1"/>
  <c r="J124"/>
  <c r="J125" s="1"/>
  <c r="S102" i="4"/>
  <c r="L47" i="3"/>
  <c r="U93" i="4"/>
  <c r="I26" i="10"/>
  <c r="J39"/>
  <c r="J35" s="1"/>
  <c r="T92" i="4"/>
  <c r="G37" i="8"/>
  <c r="G36" s="1"/>
  <c r="Y58" i="3" l="1"/>
  <c r="K49"/>
  <c r="N223" i="10"/>
  <c r="L42" i="8"/>
  <c r="M210" i="10"/>
  <c r="G103" i="8"/>
  <c r="G102" s="1"/>
  <c r="G108" s="1"/>
  <c r="G109" s="1"/>
  <c r="G140" s="1"/>
  <c r="M64" i="3"/>
  <c r="AA64" s="1"/>
  <c r="K204" i="10"/>
  <c r="K31"/>
  <c r="J29"/>
  <c r="H44" i="3"/>
  <c r="H109"/>
  <c r="V45"/>
  <c r="H65"/>
  <c r="G106" i="7"/>
  <c r="C105"/>
  <c r="I213" i="10"/>
  <c r="L58" i="3"/>
  <c r="Z61"/>
  <c r="L59"/>
  <c r="Z59" s="1"/>
  <c r="K207" i="10"/>
  <c r="M61" i="3"/>
  <c r="J205" i="10"/>
  <c r="J199" s="1"/>
  <c r="I154" i="8" s="1"/>
  <c r="H105"/>
  <c r="L75" i="3"/>
  <c r="I125" i="10"/>
  <c r="I72" s="1"/>
  <c r="I25" s="1"/>
  <c r="J27"/>
  <c r="AA38" i="3"/>
  <c r="M81"/>
  <c r="L41" i="8"/>
  <c r="H104"/>
  <c r="H103" s="1"/>
  <c r="H102" s="1"/>
  <c r="I72"/>
  <c r="I75" s="1"/>
  <c r="K200" i="10"/>
  <c r="L82" i="8"/>
  <c r="X49" i="3"/>
  <c r="J46"/>
  <c r="K52" i="9"/>
  <c r="J51"/>
  <c r="N34" i="3" s="1"/>
  <c r="AB34" s="1"/>
  <c r="W52" i="4"/>
  <c r="W51" s="1"/>
  <c r="I45" i="3"/>
  <c r="W46"/>
  <c r="I94"/>
  <c r="Y75"/>
  <c r="K74"/>
  <c r="M52"/>
  <c r="AA52" s="1"/>
  <c r="K53" i="10"/>
  <c r="I107" i="8"/>
  <c r="I106" s="1"/>
  <c r="K98"/>
  <c r="L121" i="9"/>
  <c r="O73" i="3"/>
  <c r="AC73" s="1"/>
  <c r="X42" i="4"/>
  <c r="L42" i="9"/>
  <c r="H87" i="3"/>
  <c r="H152"/>
  <c r="H150"/>
  <c r="V94"/>
  <c r="H95"/>
  <c r="H88" s="1"/>
  <c r="H108"/>
  <c r="K231" i="10"/>
  <c r="J230"/>
  <c r="J214"/>
  <c r="K148"/>
  <c r="J147"/>
  <c r="I67" i="8"/>
  <c r="K141" i="10"/>
  <c r="J140"/>
  <c r="J125" s="1"/>
  <c r="I66" i="8"/>
  <c r="I65" s="1"/>
  <c r="I68" s="1"/>
  <c r="L126" i="9"/>
  <c r="K119" i="8"/>
  <c r="K92"/>
  <c r="O69" i="3"/>
  <c r="AC69" s="1"/>
  <c r="H25" i="10"/>
  <c r="M62" i="3"/>
  <c r="AA62" s="1"/>
  <c r="L79" i="8"/>
  <c r="M56" i="9"/>
  <c r="Y56" i="4"/>
  <c r="J54" i="9"/>
  <c r="J47" s="1"/>
  <c r="Y73" i="4"/>
  <c r="L57" i="8"/>
  <c r="M73" i="9"/>
  <c r="M49"/>
  <c r="Y49" i="4"/>
  <c r="N27" i="9"/>
  <c r="Q28" i="3"/>
  <c r="AE28" s="1"/>
  <c r="Z27" i="4"/>
  <c r="M28" i="8" s="1"/>
  <c r="F45"/>
  <c r="F113" s="1"/>
  <c r="F112" s="1"/>
  <c r="F136" s="1"/>
  <c r="F139" s="1"/>
  <c r="F138" s="1"/>
  <c r="F150" s="1"/>
  <c r="F153" s="1"/>
  <c r="F152" s="1"/>
  <c r="F155" s="1"/>
  <c r="F156" s="1"/>
  <c r="Y82" i="4"/>
  <c r="M82" i="9"/>
  <c r="L115" i="10"/>
  <c r="J74" i="8"/>
  <c r="Z71" i="3"/>
  <c r="L66"/>
  <c r="Z66" s="1"/>
  <c r="K123" i="9"/>
  <c r="J122"/>
  <c r="I99" i="8"/>
  <c r="I90" s="1"/>
  <c r="M71" i="3"/>
  <c r="L111" i="9"/>
  <c r="K110"/>
  <c r="K108" s="1"/>
  <c r="K118" i="8"/>
  <c r="X85" i="4"/>
  <c r="N127" i="9"/>
  <c r="M101" i="8"/>
  <c r="O104" i="9"/>
  <c r="N123" i="8"/>
  <c r="N86" i="9"/>
  <c r="M93" i="8"/>
  <c r="N83" i="9"/>
  <c r="Z83" i="4"/>
  <c r="O77" i="9"/>
  <c r="AA77" i="4"/>
  <c r="N78" i="9"/>
  <c r="Z78" i="4"/>
  <c r="N72" i="9"/>
  <c r="Z72" i="4"/>
  <c r="O69" i="9"/>
  <c r="AA69" i="4"/>
  <c r="N68" i="9"/>
  <c r="M64" i="8"/>
  <c r="M63" s="1"/>
  <c r="M121"/>
  <c r="Q41" i="3"/>
  <c r="AE41" s="1"/>
  <c r="Z68" i="4"/>
  <c r="M71" i="8"/>
  <c r="M70" s="1"/>
  <c r="M86"/>
  <c r="N65" i="9"/>
  <c r="Z65" i="4"/>
  <c r="N63" i="9"/>
  <c r="Z63" i="4"/>
  <c r="N66" i="9"/>
  <c r="Z66" i="4"/>
  <c r="N64" i="9"/>
  <c r="Z64" i="4"/>
  <c r="O60" i="9"/>
  <c r="AA60" i="4"/>
  <c r="N53" i="9"/>
  <c r="Z53" i="4"/>
  <c r="N50" i="9"/>
  <c r="Z50" i="4"/>
  <c r="N48" i="9"/>
  <c r="Z48" i="4"/>
  <c r="O45" i="9"/>
  <c r="AA45" i="4"/>
  <c r="N43" i="9"/>
  <c r="Z43" i="4"/>
  <c r="N44" i="9"/>
  <c r="Z44" i="4"/>
  <c r="N46" i="9"/>
  <c r="Z46" i="4"/>
  <c r="Q31" i="3"/>
  <c r="AE31" s="1"/>
  <c r="Z31" i="4"/>
  <c r="M31" i="8" s="1"/>
  <c r="M115"/>
  <c r="N31" i="9"/>
  <c r="N29"/>
  <c r="Z29" i="4"/>
  <c r="Q29" i="3"/>
  <c r="AE29" s="1"/>
  <c r="O33" i="9"/>
  <c r="AA33" i="4"/>
  <c r="N30" i="9"/>
  <c r="Q30" i="3"/>
  <c r="AE30" s="1"/>
  <c r="Z30" i="4"/>
  <c r="M30" i="8" s="1"/>
  <c r="L80"/>
  <c r="N38" i="9"/>
  <c r="Z38" i="4"/>
  <c r="M32" i="8" s="1"/>
  <c r="M116"/>
  <c r="N32" i="9"/>
  <c r="Z32" i="4"/>
  <c r="N34" i="9"/>
  <c r="Z34" i="4"/>
  <c r="Z36"/>
  <c r="L201" i="10"/>
  <c r="N83" i="3"/>
  <c r="AB83" s="1"/>
  <c r="N37" i="10"/>
  <c r="M36"/>
  <c r="N48" i="3"/>
  <c r="AB48" s="1"/>
  <c r="W94" i="4"/>
  <c r="J38" i="8" s="1"/>
  <c r="M43" i="10"/>
  <c r="L42"/>
  <c r="L48"/>
  <c r="N54"/>
  <c r="P53" i="3"/>
  <c r="AD53" s="1"/>
  <c r="M60" i="10"/>
  <c r="O51" i="3"/>
  <c r="AC51" s="1"/>
  <c r="L59" i="10"/>
  <c r="L58" s="1"/>
  <c r="M66"/>
  <c r="O56" i="3"/>
  <c r="AC56" s="1"/>
  <c r="N67" i="10"/>
  <c r="P57" i="3"/>
  <c r="AD57" s="1"/>
  <c r="N61" i="10"/>
  <c r="P50" i="3"/>
  <c r="AD50" s="1"/>
  <c r="N65" i="10"/>
  <c r="P55" i="3"/>
  <c r="AD55" s="1"/>
  <c r="K103" i="10"/>
  <c r="L110"/>
  <c r="M127"/>
  <c r="L126"/>
  <c r="M178"/>
  <c r="L177"/>
  <c r="L162" s="1"/>
  <c r="M183"/>
  <c r="AB86" i="3"/>
  <c r="N84"/>
  <c r="AB84" s="1"/>
  <c r="O86"/>
  <c r="O60"/>
  <c r="AB60"/>
  <c r="M163" i="10"/>
  <c r="L60" i="8"/>
  <c r="L51"/>
  <c r="K89" i="10"/>
  <c r="J73" i="8"/>
  <c r="J72" s="1"/>
  <c r="J75" s="1"/>
  <c r="H108"/>
  <c r="H109" s="1"/>
  <c r="H140" s="1"/>
  <c r="I104"/>
  <c r="J88" i="10"/>
  <c r="J73" s="1"/>
  <c r="J72" s="1"/>
  <c r="V99" i="4"/>
  <c r="L84" i="10"/>
  <c r="J59" i="8"/>
  <c r="J58" s="1"/>
  <c r="K81" i="10"/>
  <c r="I61" i="8"/>
  <c r="K74" i="10"/>
  <c r="J52" i="8"/>
  <c r="J50" s="1"/>
  <c r="J53" s="1"/>
  <c r="K52" i="10"/>
  <c r="K47" s="1"/>
  <c r="K46" s="1"/>
  <c r="W95" i="4" s="1"/>
  <c r="J39" i="8" s="1"/>
  <c r="AC54" i="3"/>
  <c r="O225" i="10"/>
  <c r="M44" i="8"/>
  <c r="N222" i="10"/>
  <c r="N212"/>
  <c r="P54" i="3"/>
  <c r="M209" i="10"/>
  <c r="X81" i="4"/>
  <c r="Y37"/>
  <c r="Y35"/>
  <c r="K128" i="3"/>
  <c r="L4" i="5"/>
  <c r="K49"/>
  <c r="K17"/>
  <c r="W54" i="4"/>
  <c r="W47" s="1"/>
  <c r="J35" i="8" s="1"/>
  <c r="K122"/>
  <c r="V25" i="4"/>
  <c r="I33" i="8"/>
  <c r="I84"/>
  <c r="I78" s="1"/>
  <c r="I77" s="1"/>
  <c r="D5" i="11"/>
  <c r="F102" i="4"/>
  <c r="J25" i="9"/>
  <c r="AB67" i="3"/>
  <c r="N32"/>
  <c r="W28" i="4"/>
  <c r="W26" s="1"/>
  <c r="AB39" i="3"/>
  <c r="F87" i="7"/>
  <c r="G87"/>
  <c r="E79"/>
  <c r="O82" i="3"/>
  <c r="K96" i="9"/>
  <c r="K95" i="8" s="1"/>
  <c r="K79" i="9"/>
  <c r="O35" i="3" s="1"/>
  <c r="AC35" s="1"/>
  <c r="X80" i="4"/>
  <c r="X79" s="1"/>
  <c r="Z80" i="3"/>
  <c r="L79"/>
  <c r="AA81"/>
  <c r="M80"/>
  <c r="K62" i="9"/>
  <c r="K58" s="1"/>
  <c r="X67" i="4"/>
  <c r="X62" s="1"/>
  <c r="J103" i="3"/>
  <c r="X25"/>
  <c r="E62"/>
  <c r="E64"/>
  <c r="E83"/>
  <c r="C91"/>
  <c r="E59"/>
  <c r="E74"/>
  <c r="E63"/>
  <c r="C105"/>
  <c r="C92" s="1"/>
  <c r="E46"/>
  <c r="N68"/>
  <c r="AB68" s="1"/>
  <c r="J94" i="8"/>
  <c r="J117"/>
  <c r="J114" s="1"/>
  <c r="L26" i="3"/>
  <c r="Z27"/>
  <c r="D75" i="11"/>
  <c r="D74" s="1"/>
  <c r="D7"/>
  <c r="D9" s="1"/>
  <c r="G97" i="7"/>
  <c r="C92"/>
  <c r="N100" i="8"/>
  <c r="O39" i="3"/>
  <c r="K49" i="8"/>
  <c r="K48" s="1"/>
  <c r="K27" i="1"/>
  <c r="I27"/>
  <c r="D50" i="5"/>
  <c r="D40"/>
  <c r="D57" s="1"/>
  <c r="D65" i="11" s="1"/>
  <c r="G5" i="5"/>
  <c r="H6"/>
  <c r="Y80" i="3"/>
  <c r="K79"/>
  <c r="Y79" s="1"/>
  <c r="F126" i="7"/>
  <c r="AB37" i="3"/>
  <c r="R70"/>
  <c r="AF70" s="1"/>
  <c r="O120" i="9"/>
  <c r="N97" i="8"/>
  <c r="N120"/>
  <c r="R85" i="3"/>
  <c r="C51" i="5"/>
  <c r="C60" i="11" s="1"/>
  <c r="C18" i="5"/>
  <c r="C52" s="1"/>
  <c r="C61" i="11" s="1"/>
  <c r="U86" i="4"/>
  <c r="L121" i="3"/>
  <c r="D25" i="4"/>
  <c r="L86" s="1"/>
  <c r="I25" i="9"/>
  <c r="I24" s="1"/>
  <c r="K26"/>
  <c r="C180" i="7"/>
  <c r="G37"/>
  <c r="C187"/>
  <c r="G35"/>
  <c r="O67" i="3"/>
  <c r="K91" i="8"/>
  <c r="M27" i="3"/>
  <c r="AA32"/>
  <c r="E22" i="7"/>
  <c r="F38"/>
  <c r="K71" i="9"/>
  <c r="O42" i="3" s="1"/>
  <c r="AC42" s="1"/>
  <c r="X74" i="4"/>
  <c r="X71" s="1"/>
  <c r="L98" i="9"/>
  <c r="L97" s="1"/>
  <c r="Y70" i="4"/>
  <c r="L87" i="8" s="1"/>
  <c r="L122"/>
  <c r="M126" i="3"/>
  <c r="N119"/>
  <c r="K25"/>
  <c r="Y26"/>
  <c r="K112"/>
  <c r="N40"/>
  <c r="AB40" s="1"/>
  <c r="J56" i="8"/>
  <c r="J55" s="1"/>
  <c r="J61" s="1"/>
  <c r="C78" i="3"/>
  <c r="C113" s="1"/>
  <c r="C110"/>
  <c r="B8" i="13" s="1"/>
  <c r="C90" i="7"/>
  <c r="C87" s="1"/>
  <c r="L47" i="4"/>
  <c r="C28" i="1"/>
  <c r="L50"/>
  <c r="K87" i="9"/>
  <c r="L59"/>
  <c r="Y61" i="4"/>
  <c r="Y59" s="1"/>
  <c r="W103" i="3"/>
  <c r="I90"/>
  <c r="AB82"/>
  <c r="N81"/>
  <c r="E50" i="5"/>
  <c r="E59" i="11" s="1"/>
  <c r="E40" i="5"/>
  <c r="E57" s="1"/>
  <c r="E65" i="11" s="1"/>
  <c r="Y40" i="4"/>
  <c r="F36" i="7"/>
  <c r="E28"/>
  <c r="X41" i="4"/>
  <c r="X39" s="1"/>
  <c r="K55" i="9"/>
  <c r="O37" i="3" s="1"/>
  <c r="X57" i="4"/>
  <c r="X55" s="1"/>
  <c r="AE85" i="3"/>
  <c r="L75" i="9"/>
  <c r="P43" i="3" s="1"/>
  <c r="AD43" s="1"/>
  <c r="Y76" i="4"/>
  <c r="Y75" s="1"/>
  <c r="I132" i="3"/>
  <c r="I21" i="5"/>
  <c r="I37" s="1"/>
  <c r="G13"/>
  <c r="E13"/>
  <c r="E12" s="1"/>
  <c r="D12"/>
  <c r="O72" i="3"/>
  <c r="AC72" s="1"/>
  <c r="K96" i="8"/>
  <c r="M118" i="9"/>
  <c r="L89" i="8"/>
  <c r="H27"/>
  <c r="H34"/>
  <c r="H124" s="1"/>
  <c r="J88"/>
  <c r="J85" s="1"/>
  <c r="AA36" i="3"/>
  <c r="N33"/>
  <c r="AB33" s="1"/>
  <c r="C29" i="7"/>
  <c r="C80"/>
  <c r="X58" i="4"/>
  <c r="G22" i="8"/>
  <c r="G45"/>
  <c r="G113" s="1"/>
  <c r="G112" s="1"/>
  <c r="G136" s="1"/>
  <c r="G139" s="1"/>
  <c r="G138" s="1"/>
  <c r="G150" s="1"/>
  <c r="G153" s="1"/>
  <c r="G152" s="1"/>
  <c r="G155" s="1"/>
  <c r="G156" s="1"/>
  <c r="K122" i="3"/>
  <c r="K123" s="1"/>
  <c r="K124"/>
  <c r="K125" s="1"/>
  <c r="T102" i="4"/>
  <c r="M47" i="3"/>
  <c r="V93" i="4"/>
  <c r="J26" i="10"/>
  <c r="K39"/>
  <c r="K35" s="1"/>
  <c r="U92" i="4"/>
  <c r="H37" i="8"/>
  <c r="H36" s="1"/>
  <c r="Z47" i="3"/>
  <c r="D26" i="2"/>
  <c r="O27"/>
  <c r="K93" i="4"/>
  <c r="I15" i="5"/>
  <c r="K27" i="10" l="1"/>
  <c r="M126" i="9"/>
  <c r="L92" i="8"/>
  <c r="P69" i="3"/>
  <c r="AD69" s="1"/>
  <c r="L119" i="8"/>
  <c r="L148" i="10"/>
  <c r="J67" i="8"/>
  <c r="K147" i="10"/>
  <c r="J213"/>
  <c r="M58" i="3"/>
  <c r="Y42" i="4"/>
  <c r="M42" i="9"/>
  <c r="L53" i="10"/>
  <c r="J107" i="8"/>
  <c r="J106" s="1"/>
  <c r="N52" i="3"/>
  <c r="AB52" s="1"/>
  <c r="Y74"/>
  <c r="K77"/>
  <c r="Y77" s="1"/>
  <c r="I87"/>
  <c r="I108"/>
  <c r="I152"/>
  <c r="I95"/>
  <c r="I88" s="1"/>
  <c r="W94"/>
  <c r="I150"/>
  <c r="I65"/>
  <c r="I109"/>
  <c r="I44"/>
  <c r="W45"/>
  <c r="J45"/>
  <c r="X46"/>
  <c r="J94"/>
  <c r="AA61"/>
  <c r="M59"/>
  <c r="AA59" s="1"/>
  <c r="L49"/>
  <c r="Z58"/>
  <c r="G105" i="7"/>
  <c r="C104"/>
  <c r="G104" s="1"/>
  <c r="H78" i="3"/>
  <c r="V65"/>
  <c r="H110"/>
  <c r="N64"/>
  <c r="AB64" s="1"/>
  <c r="L204" i="10"/>
  <c r="Y49" i="3"/>
  <c r="K46"/>
  <c r="L141" i="10"/>
  <c r="K140"/>
  <c r="K125" s="1"/>
  <c r="J66" i="8"/>
  <c r="I105"/>
  <c r="I103" s="1"/>
  <c r="I102" s="1"/>
  <c r="I108" s="1"/>
  <c r="I109" s="1"/>
  <c r="I140" s="1"/>
  <c r="M75" i="3"/>
  <c r="L231" i="10"/>
  <c r="K230"/>
  <c r="K214"/>
  <c r="M121" i="9"/>
  <c r="L98" i="8"/>
  <c r="P73" i="3"/>
  <c r="AD73" s="1"/>
  <c r="L52" i="9"/>
  <c r="K51"/>
  <c r="O34" i="3" s="1"/>
  <c r="X52" i="4"/>
  <c r="X51" s="1"/>
  <c r="L74" i="3"/>
  <c r="Z74" s="1"/>
  <c r="Z75"/>
  <c r="L207" i="10"/>
  <c r="N61" i="3"/>
  <c r="K205" i="10"/>
  <c r="K199" s="1"/>
  <c r="J154" i="8" s="1"/>
  <c r="V44" i="3"/>
  <c r="H104"/>
  <c r="L31" i="10"/>
  <c r="K29"/>
  <c r="O223"/>
  <c r="M42" i="8"/>
  <c r="M41" s="1"/>
  <c r="N210" i="10"/>
  <c r="L77" i="3"/>
  <c r="Z77" s="1"/>
  <c r="Z56" i="4"/>
  <c r="N56" i="9"/>
  <c r="Z73" i="4"/>
  <c r="N73" i="9"/>
  <c r="M57" i="8"/>
  <c r="N49" i="9"/>
  <c r="Z49" i="4"/>
  <c r="R28" i="3"/>
  <c r="AF28" s="1"/>
  <c r="AA27" i="4"/>
  <c r="N28" i="8" s="1"/>
  <c r="O27" i="9"/>
  <c r="M79" i="8"/>
  <c r="N82" i="9"/>
  <c r="Z82" i="4"/>
  <c r="M115" i="10"/>
  <c r="K74" i="8"/>
  <c r="L123" i="9"/>
  <c r="K122"/>
  <c r="AA71" i="3"/>
  <c r="M66"/>
  <c r="N71"/>
  <c r="AB71" s="1"/>
  <c r="J99" i="8"/>
  <c r="J90" s="1"/>
  <c r="J84" i="9"/>
  <c r="J24" s="1"/>
  <c r="M111"/>
  <c r="L110"/>
  <c r="L108" s="1"/>
  <c r="L96" i="8" s="1"/>
  <c r="L118"/>
  <c r="Y85" i="4"/>
  <c r="O127" i="9"/>
  <c r="N101" i="8"/>
  <c r="O123"/>
  <c r="P104" i="9"/>
  <c r="N93" i="8"/>
  <c r="O86" i="9"/>
  <c r="O83"/>
  <c r="AA83" i="4"/>
  <c r="O78" i="9"/>
  <c r="AA78" i="4"/>
  <c r="P77" i="9"/>
  <c r="AB77" i="4"/>
  <c r="AA72"/>
  <c r="O72" i="9"/>
  <c r="X54" i="4"/>
  <c r="X47" s="1"/>
  <c r="K35" i="8" s="1"/>
  <c r="AA68" i="4"/>
  <c r="N71" i="8"/>
  <c r="N70" s="1"/>
  <c r="N86"/>
  <c r="O68" i="9"/>
  <c r="R41" i="3"/>
  <c r="AF41" s="1"/>
  <c r="N64" i="8"/>
  <c r="N63" s="1"/>
  <c r="N121"/>
  <c r="AB69" i="4"/>
  <c r="P69" i="9"/>
  <c r="O64"/>
  <c r="AA64" i="4"/>
  <c r="O66" i="9"/>
  <c r="AA66" i="4"/>
  <c r="O63" i="9"/>
  <c r="AA63" i="4"/>
  <c r="O65" i="9"/>
  <c r="AA65" i="4"/>
  <c r="AB60"/>
  <c r="P60" i="9"/>
  <c r="AA53" i="4"/>
  <c r="O53" i="9"/>
  <c r="AA48" i="4"/>
  <c r="O48" i="9"/>
  <c r="O50"/>
  <c r="AA50" i="4"/>
  <c r="O46" i="9"/>
  <c r="AA46" i="4"/>
  <c r="O44" i="9"/>
  <c r="AA44" i="4"/>
  <c r="O43" i="9"/>
  <c r="AA43" i="4"/>
  <c r="P45" i="9"/>
  <c r="AB45" i="4"/>
  <c r="AA34"/>
  <c r="O34" i="9"/>
  <c r="AA32" i="4"/>
  <c r="O32" i="9"/>
  <c r="AA38" i="4"/>
  <c r="N32" i="8" s="1"/>
  <c r="O38" i="9"/>
  <c r="N116" i="8"/>
  <c r="AB33" i="4"/>
  <c r="P33" i="9"/>
  <c r="M80" i="8"/>
  <c r="M29"/>
  <c r="O31" i="9"/>
  <c r="R31" i="3"/>
  <c r="AF31" s="1"/>
  <c r="N115" i="8"/>
  <c r="AA31" i="4"/>
  <c r="N31" i="8" s="1"/>
  <c r="M83"/>
  <c r="M81"/>
  <c r="M82"/>
  <c r="AA30" i="4"/>
  <c r="N30" i="8" s="1"/>
  <c r="O30" i="9"/>
  <c r="R30" i="3"/>
  <c r="AF30" s="1"/>
  <c r="O29" i="9"/>
  <c r="AA29" i="4"/>
  <c r="R29" i="3"/>
  <c r="AF29" s="1"/>
  <c r="AA36" i="4"/>
  <c r="M201" i="10"/>
  <c r="O83" i="3"/>
  <c r="AC83" s="1"/>
  <c r="N36" i="10"/>
  <c r="O37"/>
  <c r="M42"/>
  <c r="N43"/>
  <c r="O48" i="3"/>
  <c r="AC48" s="1"/>
  <c r="X94" i="4"/>
  <c r="K38" i="8" s="1"/>
  <c r="M48" i="10"/>
  <c r="O54"/>
  <c r="Q53" i="3"/>
  <c r="AE53" s="1"/>
  <c r="O65" i="10"/>
  <c r="Q55" i="3"/>
  <c r="AE55" s="1"/>
  <c r="O61" i="10"/>
  <c r="Q50" i="3"/>
  <c r="AE50" s="1"/>
  <c r="O67" i="10"/>
  <c r="Q57" i="3"/>
  <c r="AE57" s="1"/>
  <c r="M59" i="10"/>
  <c r="M58" s="1"/>
  <c r="N60"/>
  <c r="P51" i="3"/>
  <c r="AD51" s="1"/>
  <c r="N66" i="10"/>
  <c r="P56" i="3"/>
  <c r="AD56" s="1"/>
  <c r="L103" i="10"/>
  <c r="M110"/>
  <c r="N127"/>
  <c r="M126"/>
  <c r="N178"/>
  <c r="M177"/>
  <c r="N183"/>
  <c r="M162"/>
  <c r="AC86" i="3"/>
  <c r="O84"/>
  <c r="AC84" s="1"/>
  <c r="P86"/>
  <c r="N206" i="10"/>
  <c r="P60" i="3"/>
  <c r="AC60"/>
  <c r="N163" i="10"/>
  <c r="M60" i="8"/>
  <c r="M51"/>
  <c r="L89" i="10"/>
  <c r="K73" i="8"/>
  <c r="K72" s="1"/>
  <c r="K75" s="1"/>
  <c r="J25" i="10"/>
  <c r="W99" i="4"/>
  <c r="K88" i="10"/>
  <c r="K73" s="1"/>
  <c r="K72" s="1"/>
  <c r="M84"/>
  <c r="L81"/>
  <c r="K59" i="8"/>
  <c r="K58" s="1"/>
  <c r="L74" i="10"/>
  <c r="K52" i="8"/>
  <c r="K50" s="1"/>
  <c r="K53" s="1"/>
  <c r="L52" i="10"/>
  <c r="L47" s="1"/>
  <c r="L46" s="1"/>
  <c r="X95" i="4" s="1"/>
  <c r="K39" i="8" s="1"/>
  <c r="AD54" i="3"/>
  <c r="Q54"/>
  <c r="N209" i="10"/>
  <c r="P225"/>
  <c r="O212"/>
  <c r="N44" i="8"/>
  <c r="Y81" i="4"/>
  <c r="Z37"/>
  <c r="Z35"/>
  <c r="L128" i="3"/>
  <c r="L49" i="5"/>
  <c r="M4"/>
  <c r="L17"/>
  <c r="P72" i="3"/>
  <c r="AD72" s="1"/>
  <c r="N118" i="9"/>
  <c r="M89" i="8"/>
  <c r="D51" i="5"/>
  <c r="D18"/>
  <c r="H13"/>
  <c r="G12"/>
  <c r="L55" i="9"/>
  <c r="P37" i="3" s="1"/>
  <c r="Y57" i="4"/>
  <c r="Y55" s="1"/>
  <c r="M39" i="9"/>
  <c r="Y41" i="4"/>
  <c r="Z40"/>
  <c r="P39" i="3"/>
  <c r="L49" i="8"/>
  <c r="L48" s="1"/>
  <c r="O68" i="3"/>
  <c r="AC68" s="1"/>
  <c r="K117" i="8"/>
  <c r="K114" s="1"/>
  <c r="K94"/>
  <c r="K103" i="3"/>
  <c r="Y25"/>
  <c r="P82"/>
  <c r="L96" i="9"/>
  <c r="L95" i="8" s="1"/>
  <c r="L71" i="9"/>
  <c r="P42" i="3" s="1"/>
  <c r="AD42" s="1"/>
  <c r="Y74" i="4"/>
  <c r="Y71" s="1"/>
  <c r="M26" i="3"/>
  <c r="AA27"/>
  <c r="P67"/>
  <c r="L91" i="8"/>
  <c r="AF85" i="3"/>
  <c r="I6" i="5"/>
  <c r="H5"/>
  <c r="G91" i="7"/>
  <c r="G92"/>
  <c r="L62" i="9"/>
  <c r="Y67" i="4"/>
  <c r="Y62" s="1"/>
  <c r="Y58" s="1"/>
  <c r="Y54" s="1"/>
  <c r="L79" i="9"/>
  <c r="P35" i="3" s="1"/>
  <c r="AD35" s="1"/>
  <c r="Y80" i="4"/>
  <c r="F79" i="7"/>
  <c r="E110"/>
  <c r="AB32" i="3"/>
  <c r="N27"/>
  <c r="V86" i="4"/>
  <c r="M121" i="3"/>
  <c r="Y39" i="4"/>
  <c r="C179" i="7"/>
  <c r="Z79" i="3"/>
  <c r="N38"/>
  <c r="G29" i="7"/>
  <c r="C79"/>
  <c r="C110" s="1"/>
  <c r="C111" s="1"/>
  <c r="C142" s="1"/>
  <c r="G80"/>
  <c r="E18" i="5"/>
  <c r="E51"/>
  <c r="E60" i="11" s="1"/>
  <c r="I141" i="3"/>
  <c r="I53" i="5"/>
  <c r="J22"/>
  <c r="I134" i="3"/>
  <c r="M75" i="9"/>
  <c r="Q43" i="3" s="1"/>
  <c r="AE43" s="1"/>
  <c r="Z76" i="4"/>
  <c r="Z75" s="1"/>
  <c r="AC37" i="3"/>
  <c r="E23" i="7"/>
  <c r="F28"/>
  <c r="E47"/>
  <c r="AB81" i="3"/>
  <c r="N80"/>
  <c r="M59" i="9"/>
  <c r="Z61" i="4"/>
  <c r="Z59" s="1"/>
  <c r="L87" i="9"/>
  <c r="L25" i="4"/>
  <c r="C27" i="1"/>
  <c r="L27" s="1"/>
  <c r="L28"/>
  <c r="O119" i="3"/>
  <c r="N126"/>
  <c r="Z70" i="4"/>
  <c r="M87" i="8" s="1"/>
  <c r="M98" i="9"/>
  <c r="M97" s="1"/>
  <c r="AC67" i="3"/>
  <c r="W25" i="4"/>
  <c r="J33" i="8"/>
  <c r="I86" i="4"/>
  <c r="D86" s="1"/>
  <c r="S85" i="3"/>
  <c r="P120" i="9"/>
  <c r="S70" i="3"/>
  <c r="AG70" s="1"/>
  <c r="O97" i="8"/>
  <c r="O120"/>
  <c r="G50" i="5"/>
  <c r="G129" i="3" s="1"/>
  <c r="G144" s="1"/>
  <c r="G147" s="1"/>
  <c r="G40" i="5"/>
  <c r="G57" s="1"/>
  <c r="C129" i="3"/>
  <c r="C144" s="1"/>
  <c r="C147" s="1"/>
  <c r="D59" i="11"/>
  <c r="AC39" i="3"/>
  <c r="O100" i="8"/>
  <c r="L25" i="3"/>
  <c r="Z26"/>
  <c r="L112"/>
  <c r="X103"/>
  <c r="J90"/>
  <c r="O40"/>
  <c r="AC40" s="1"/>
  <c r="K56" i="8"/>
  <c r="K55" s="1"/>
  <c r="K61" s="1"/>
  <c r="AA80" i="3"/>
  <c r="M79"/>
  <c r="AA79" s="1"/>
  <c r="O81"/>
  <c r="AC82"/>
  <c r="O32"/>
  <c r="X28" i="4"/>
  <c r="X26" s="1"/>
  <c r="B38" i="11"/>
  <c r="D77"/>
  <c r="D78" s="1"/>
  <c r="D80" s="1"/>
  <c r="K108"/>
  <c r="D28"/>
  <c r="I27" i="8"/>
  <c r="I34"/>
  <c r="I124" s="1"/>
  <c r="H26"/>
  <c r="H21" s="1"/>
  <c r="L39" i="9"/>
  <c r="L26" s="1"/>
  <c r="K84"/>
  <c r="K54"/>
  <c r="K47" s="1"/>
  <c r="N66" i="3"/>
  <c r="J84" i="8"/>
  <c r="J78" s="1"/>
  <c r="J77" s="1"/>
  <c r="J15" i="5"/>
  <c r="D93" i="4"/>
  <c r="K92"/>
  <c r="D25" i="2"/>
  <c r="O25" s="1"/>
  <c r="O26"/>
  <c r="H22" i="8"/>
  <c r="L122" i="3"/>
  <c r="L123" s="1"/>
  <c r="L124"/>
  <c r="L125" s="1"/>
  <c r="U102" i="4"/>
  <c r="N47" i="3"/>
  <c r="W93" i="4"/>
  <c r="K26" i="10"/>
  <c r="L39"/>
  <c r="L35" s="1"/>
  <c r="V92" i="4"/>
  <c r="I37" i="8"/>
  <c r="I36" s="1"/>
  <c r="AA47" i="3"/>
  <c r="P223" i="10" l="1"/>
  <c r="N42" i="8"/>
  <c r="O210" i="10"/>
  <c r="M31"/>
  <c r="L29"/>
  <c r="AB61" i="3"/>
  <c r="N59"/>
  <c r="AB59" s="1"/>
  <c r="M52" i="9"/>
  <c r="L51"/>
  <c r="P34" i="3" s="1"/>
  <c r="AD34" s="1"/>
  <c r="Y52" i="4"/>
  <c r="Y51" s="1"/>
  <c r="M231" i="10"/>
  <c r="L230"/>
  <c r="L214"/>
  <c r="K94" i="3"/>
  <c r="K45"/>
  <c r="Y46"/>
  <c r="O64"/>
  <c r="AC64" s="1"/>
  <c r="L200" i="10"/>
  <c r="M204"/>
  <c r="V78" i="3"/>
  <c r="H113"/>
  <c r="Z49"/>
  <c r="L46"/>
  <c r="M53" i="10"/>
  <c r="O52" i="3"/>
  <c r="AC52" s="1"/>
  <c r="K107" i="8"/>
  <c r="K106" s="1"/>
  <c r="L27" i="10"/>
  <c r="K88" i="8"/>
  <c r="K85" s="1"/>
  <c r="N83"/>
  <c r="Y79" i="4"/>
  <c r="N41" i="8"/>
  <c r="O222" i="10"/>
  <c r="J104" i="8"/>
  <c r="H105" i="3"/>
  <c r="V104"/>
  <c r="H91"/>
  <c r="M207" i="10"/>
  <c r="O61" i="3"/>
  <c r="L205" i="10"/>
  <c r="O33" i="3"/>
  <c r="AC33" s="1"/>
  <c r="AC34"/>
  <c r="N121" i="9"/>
  <c r="M98" i="8"/>
  <c r="Q73" i="3"/>
  <c r="AE73" s="1"/>
  <c r="K213" i="10"/>
  <c r="N58" i="3"/>
  <c r="M74"/>
  <c r="AA74" s="1"/>
  <c r="AA75"/>
  <c r="J65" i="8"/>
  <c r="J68" s="1"/>
  <c r="M141" i="10"/>
  <c r="K66" i="8"/>
  <c r="L140" i="10"/>
  <c r="J87" i="3"/>
  <c r="J108"/>
  <c r="X94"/>
  <c r="J95"/>
  <c r="J88" s="1"/>
  <c r="J150"/>
  <c r="J152"/>
  <c r="J65"/>
  <c r="J44"/>
  <c r="X45"/>
  <c r="J109"/>
  <c r="W44"/>
  <c r="I104"/>
  <c r="I78"/>
  <c r="I110"/>
  <c r="W65"/>
  <c r="N42" i="9"/>
  <c r="Z42" i="4"/>
  <c r="AA58" i="3"/>
  <c r="M49"/>
  <c r="J105" i="8"/>
  <c r="N75" i="3"/>
  <c r="M148" i="10"/>
  <c r="K67" i="8"/>
  <c r="L147" i="10"/>
  <c r="N126" i="9"/>
  <c r="M119" i="8"/>
  <c r="Q69" i="3"/>
  <c r="AE69" s="1"/>
  <c r="M92" i="8"/>
  <c r="N62" i="3"/>
  <c r="AB62" s="1"/>
  <c r="AA56" i="4"/>
  <c r="O56" i="9"/>
  <c r="O73"/>
  <c r="N57" i="8"/>
  <c r="AA73" i="4"/>
  <c r="O49" i="9"/>
  <c r="AA49" i="4"/>
  <c r="N79" i="8"/>
  <c r="P27" i="9"/>
  <c r="S28" i="3"/>
  <c r="AG28" s="1"/>
  <c r="AB27" i="4"/>
  <c r="O28" i="8" s="1"/>
  <c r="O82" i="9"/>
  <c r="AA82" i="4"/>
  <c r="N115" i="10"/>
  <c r="L74" i="8"/>
  <c r="M123" i="9"/>
  <c r="L122"/>
  <c r="L84" s="1"/>
  <c r="M77" i="3"/>
  <c r="AA77" s="1"/>
  <c r="AA66"/>
  <c r="O71"/>
  <c r="K99" i="8"/>
  <c r="K90" s="1"/>
  <c r="N111" i="9"/>
  <c r="M110"/>
  <c r="M108" s="1"/>
  <c r="M118" i="8"/>
  <c r="Z85" i="4"/>
  <c r="P127" i="9"/>
  <c r="O101" i="8"/>
  <c r="Q104" i="9"/>
  <c r="Q123" i="8" s="1"/>
  <c r="P123"/>
  <c r="P86" i="9"/>
  <c r="O93" i="8"/>
  <c r="P83" i="9"/>
  <c r="AB83" i="4"/>
  <c r="Y47"/>
  <c r="L35" i="8" s="1"/>
  <c r="Q77" i="9"/>
  <c r="AD77" i="4" s="1"/>
  <c r="AC77"/>
  <c r="P78" i="9"/>
  <c r="AB78" i="4"/>
  <c r="P72" i="9"/>
  <c r="AB72" i="4"/>
  <c r="Q69" i="9"/>
  <c r="AD69" i="4" s="1"/>
  <c r="AC69"/>
  <c r="P65" i="9"/>
  <c r="AB65" i="4"/>
  <c r="P63" i="9"/>
  <c r="AB63" i="4"/>
  <c r="P66" i="9"/>
  <c r="AB66" i="4"/>
  <c r="P64" i="9"/>
  <c r="AB64" i="4"/>
  <c r="P68" i="9"/>
  <c r="S41" i="3"/>
  <c r="AG41" s="1"/>
  <c r="O64" i="8"/>
  <c r="O63" s="1"/>
  <c r="O121"/>
  <c r="AB68" i="4"/>
  <c r="O71" i="8"/>
  <c r="O70" s="1"/>
  <c r="O86"/>
  <c r="Q60" i="9"/>
  <c r="AD60" i="4" s="1"/>
  <c r="AC60"/>
  <c r="P53" i="9"/>
  <c r="AB53" i="4"/>
  <c r="P50" i="9"/>
  <c r="AB50" i="4"/>
  <c r="P48" i="9"/>
  <c r="AB48" i="4"/>
  <c r="Q45" i="9"/>
  <c r="AD45" i="4" s="1"/>
  <c r="AC45"/>
  <c r="P43" i="9"/>
  <c r="AB43" i="4"/>
  <c r="P44" i="9"/>
  <c r="AB44" i="4"/>
  <c r="P46" i="9"/>
  <c r="AB46" i="4"/>
  <c r="N80" i="8"/>
  <c r="N29"/>
  <c r="P30" i="9"/>
  <c r="S30" i="3"/>
  <c r="AG30" s="1"/>
  <c r="AB30" i="4"/>
  <c r="O30" i="8" s="1"/>
  <c r="N81"/>
  <c r="P29" i="9"/>
  <c r="S29" i="3"/>
  <c r="AG29" s="1"/>
  <c r="AB29" i="4"/>
  <c r="AB31"/>
  <c r="O31" i="8" s="1"/>
  <c r="O115"/>
  <c r="P31" i="9"/>
  <c r="S31" i="3"/>
  <c r="AG31" s="1"/>
  <c r="Q33" i="9"/>
  <c r="AC33" i="4"/>
  <c r="P38" i="9"/>
  <c r="AB38" i="4"/>
  <c r="O32" i="8" s="1"/>
  <c r="O116"/>
  <c r="P32" i="9"/>
  <c r="AB32" i="4"/>
  <c r="P34" i="9"/>
  <c r="AB34" i="4"/>
  <c r="N82" i="8"/>
  <c r="AB36" i="4"/>
  <c r="P83" i="3"/>
  <c r="AD83" s="1"/>
  <c r="N201" i="10"/>
  <c r="P37"/>
  <c r="O36"/>
  <c r="P48" i="3"/>
  <c r="AD48" s="1"/>
  <c r="Y94" i="4"/>
  <c r="L38" i="8" s="1"/>
  <c r="O43" i="10"/>
  <c r="N42"/>
  <c r="N48"/>
  <c r="P54"/>
  <c r="R53" i="3"/>
  <c r="AF53" s="1"/>
  <c r="P67" i="10"/>
  <c r="R57" i="3"/>
  <c r="AF57" s="1"/>
  <c r="P61" i="10"/>
  <c r="R50" i="3"/>
  <c r="AF50" s="1"/>
  <c r="P65" i="10"/>
  <c r="R55" i="3"/>
  <c r="AF55" s="1"/>
  <c r="O66" i="10"/>
  <c r="Q56" i="3"/>
  <c r="AE56" s="1"/>
  <c r="O60" i="10"/>
  <c r="Q51" i="3"/>
  <c r="AE51" s="1"/>
  <c r="N59" i="10"/>
  <c r="N58" s="1"/>
  <c r="M103"/>
  <c r="N110"/>
  <c r="O127"/>
  <c r="N126"/>
  <c r="O178"/>
  <c r="N177"/>
  <c r="N162" s="1"/>
  <c r="O183"/>
  <c r="AD86" i="3"/>
  <c r="P84"/>
  <c r="AD84" s="1"/>
  <c r="O206" i="10"/>
  <c r="Q86" i="3"/>
  <c r="Q60"/>
  <c r="AD60"/>
  <c r="O163" i="10"/>
  <c r="N60" i="8"/>
  <c r="N51"/>
  <c r="L73"/>
  <c r="L72" s="1"/>
  <c r="L75" s="1"/>
  <c r="M89" i="10"/>
  <c r="K25"/>
  <c r="L88"/>
  <c r="L73" s="1"/>
  <c r="X99" i="4"/>
  <c r="K104" i="8"/>
  <c r="N84" i="10"/>
  <c r="L59" i="8"/>
  <c r="L58" s="1"/>
  <c r="M81" i="10"/>
  <c r="M74"/>
  <c r="L52" i="8"/>
  <c r="L50" s="1"/>
  <c r="L53" s="1"/>
  <c r="M52" i="10"/>
  <c r="M47" s="1"/>
  <c r="M46" s="1"/>
  <c r="Y95" i="4" s="1"/>
  <c r="L39" i="8" s="1"/>
  <c r="Q225" i="10"/>
  <c r="P222"/>
  <c r="O44" i="8"/>
  <c r="P212" i="10"/>
  <c r="AE54" i="3"/>
  <c r="R54"/>
  <c r="O209" i="10"/>
  <c r="Z81" i="4"/>
  <c r="AA37"/>
  <c r="AA35"/>
  <c r="H45" i="8"/>
  <c r="H113" s="1"/>
  <c r="H112" s="1"/>
  <c r="H136" s="1"/>
  <c r="H139" s="1"/>
  <c r="H138" s="1"/>
  <c r="H150" s="1"/>
  <c r="H153" s="1"/>
  <c r="H152" s="1"/>
  <c r="H155" s="1"/>
  <c r="H156" s="1"/>
  <c r="M128" i="3"/>
  <c r="N4" i="5"/>
  <c r="M49"/>
  <c r="M17"/>
  <c r="O38" i="3"/>
  <c r="AC38" s="1"/>
  <c r="M122" i="8"/>
  <c r="I26"/>
  <c r="I21" s="1"/>
  <c r="M26" i="9"/>
  <c r="P32" i="3"/>
  <c r="Y28" i="4"/>
  <c r="Y26" s="1"/>
  <c r="L84" i="8" s="1"/>
  <c r="L78" s="1"/>
  <c r="L103" i="3"/>
  <c r="Z25"/>
  <c r="Q100" i="8"/>
  <c r="P100"/>
  <c r="Q120" i="9"/>
  <c r="T70" i="3"/>
  <c r="AH70" s="1"/>
  <c r="P97" i="8"/>
  <c r="P120"/>
  <c r="U85" i="3"/>
  <c r="T85"/>
  <c r="N121"/>
  <c r="W86" i="4"/>
  <c r="Q82" i="3"/>
  <c r="M96" i="9"/>
  <c r="M95" i="8" s="1"/>
  <c r="M87" i="9"/>
  <c r="Q39" i="3"/>
  <c r="M49" i="8"/>
  <c r="M48" s="1"/>
  <c r="AB80" i="3"/>
  <c r="N79"/>
  <c r="AB79" s="1"/>
  <c r="F47" i="7"/>
  <c r="E115"/>
  <c r="N75" i="9"/>
  <c r="R43" i="3" s="1"/>
  <c r="AF43" s="1"/>
  <c r="AA76" i="4"/>
  <c r="AA75" s="1"/>
  <c r="AB27" i="3"/>
  <c r="P40"/>
  <c r="AD40" s="1"/>
  <c r="L56" i="8"/>
  <c r="L55" s="1"/>
  <c r="I5" i="5"/>
  <c r="J6"/>
  <c r="Q67" i="3"/>
  <c r="M91" i="8"/>
  <c r="M71" i="9"/>
  <c r="Q42" i="3" s="1"/>
  <c r="AE42" s="1"/>
  <c r="Z74" i="4"/>
  <c r="Z71" s="1"/>
  <c r="AD82" i="3"/>
  <c r="P81"/>
  <c r="Y103"/>
  <c r="K90"/>
  <c r="P38"/>
  <c r="AD38" s="1"/>
  <c r="AD39"/>
  <c r="AD37"/>
  <c r="I13" i="5"/>
  <c r="H12"/>
  <c r="C130" i="3"/>
  <c r="C131" s="1"/>
  <c r="C143" s="1"/>
  <c r="D60" i="11"/>
  <c r="G79" i="7"/>
  <c r="K25" i="9"/>
  <c r="K24" s="1"/>
  <c r="P33" i="3"/>
  <c r="AD33" s="1"/>
  <c r="AB66"/>
  <c r="X25" i="4"/>
  <c r="K33" i="8"/>
  <c r="D26" i="11"/>
  <c r="D29" s="1"/>
  <c r="B28"/>
  <c r="AC32" i="3"/>
  <c r="O27"/>
  <c r="AC81"/>
  <c r="O80"/>
  <c r="AG85"/>
  <c r="J27" i="8"/>
  <c r="J34"/>
  <c r="J124" s="1"/>
  <c r="N98" i="9"/>
  <c r="N97" s="1"/>
  <c r="AA70" i="4"/>
  <c r="N87" i="8" s="1"/>
  <c r="O126" i="3"/>
  <c r="P119"/>
  <c r="P68"/>
  <c r="AD68" s="1"/>
  <c r="L94" i="8"/>
  <c r="L117"/>
  <c r="L114" s="1"/>
  <c r="N59" i="9"/>
  <c r="AA61" i="4"/>
  <c r="AA59" s="1"/>
  <c r="J132" i="3"/>
  <c r="J21" i="5"/>
  <c r="J37" s="1"/>
  <c r="E39"/>
  <c r="E52"/>
  <c r="E61" i="11" s="1"/>
  <c r="AB38" i="3"/>
  <c r="N36"/>
  <c r="AB36" s="1"/>
  <c r="C36" i="7"/>
  <c r="C126"/>
  <c r="G126" s="1"/>
  <c r="F110"/>
  <c r="E111"/>
  <c r="G110"/>
  <c r="M79" i="9"/>
  <c r="Q35" i="3" s="1"/>
  <c r="AE35" s="1"/>
  <c r="Z80" i="4"/>
  <c r="Z79" s="1"/>
  <c r="M62" i="9"/>
  <c r="Z67" i="4"/>
  <c r="Z62" s="1"/>
  <c r="H50" i="5"/>
  <c r="H129" i="3" s="1"/>
  <c r="H144" s="1"/>
  <c r="H147" s="1"/>
  <c r="H40" i="5"/>
  <c r="H57" s="1"/>
  <c r="AD67" i="3"/>
  <c r="M25"/>
  <c r="AA26"/>
  <c r="M112"/>
  <c r="AA40" i="4"/>
  <c r="Z41"/>
  <c r="M55" i="9"/>
  <c r="Q37" i="3" s="1"/>
  <c r="Z57" i="4"/>
  <c r="Z55" s="1"/>
  <c r="G51" i="5"/>
  <c r="G130" i="3" s="1"/>
  <c r="G131" s="1"/>
  <c r="G143" s="1"/>
  <c r="G18" i="5"/>
  <c r="D39"/>
  <c r="D52"/>
  <c r="D61" i="11" s="1"/>
  <c r="Q72" i="3"/>
  <c r="AE72" s="1"/>
  <c r="M96" i="8"/>
  <c r="O118" i="9"/>
  <c r="N89" i="8"/>
  <c r="Z58" i="4"/>
  <c r="O36" i="3"/>
  <c r="AC36" s="1"/>
  <c r="K84" i="8"/>
  <c r="K78" s="1"/>
  <c r="K77" s="1"/>
  <c r="L58" i="9"/>
  <c r="L54" s="1"/>
  <c r="L47" s="1"/>
  <c r="L88" i="8" s="1"/>
  <c r="L85" s="1"/>
  <c r="Z39" i="4"/>
  <c r="I22" i="8"/>
  <c r="M122" i="3"/>
  <c r="M123" s="1"/>
  <c r="M124"/>
  <c r="M125" s="1"/>
  <c r="V102" i="4"/>
  <c r="O47" i="3"/>
  <c r="X93" i="4"/>
  <c r="L26" i="10"/>
  <c r="M39"/>
  <c r="M35" s="1"/>
  <c r="W92" i="4"/>
  <c r="J37" i="8"/>
  <c r="J36" s="1"/>
  <c r="AB47" i="3"/>
  <c r="D92" i="4"/>
  <c r="D102" s="1"/>
  <c r="C39" i="7"/>
  <c r="K15" i="5"/>
  <c r="O82" i="8" l="1"/>
  <c r="O81"/>
  <c r="O126" i="9"/>
  <c r="N92" i="8"/>
  <c r="R69" i="3"/>
  <c r="AF69" s="1"/>
  <c r="N119" i="8"/>
  <c r="AB75" i="3"/>
  <c r="N74"/>
  <c r="AA49"/>
  <c r="M46"/>
  <c r="I113"/>
  <c r="W78"/>
  <c r="J78"/>
  <c r="J110"/>
  <c r="X65"/>
  <c r="K65" i="8"/>
  <c r="K68" s="1"/>
  <c r="N207" i="10"/>
  <c r="M205"/>
  <c r="P61" i="3"/>
  <c r="J103" i="8"/>
  <c r="J102" s="1"/>
  <c r="J108" s="1"/>
  <c r="J109" s="1"/>
  <c r="J140" s="1"/>
  <c r="P52" i="3"/>
  <c r="AD52" s="1"/>
  <c r="L107" i="8"/>
  <c r="L106" s="1"/>
  <c r="N53" i="10"/>
  <c r="L199"/>
  <c r="K154" i="8" s="1"/>
  <c r="Y94" i="3"/>
  <c r="K95"/>
  <c r="K88" s="1"/>
  <c r="K150"/>
  <c r="K87"/>
  <c r="K152"/>
  <c r="K108"/>
  <c r="L213" i="10"/>
  <c r="O58" i="3"/>
  <c r="N52" i="9"/>
  <c r="M51"/>
  <c r="Q34" i="3" s="1"/>
  <c r="AE34" s="1"/>
  <c r="Z52" i="4"/>
  <c r="Z51" s="1"/>
  <c r="N31" i="10"/>
  <c r="M29"/>
  <c r="M27" s="1"/>
  <c r="N200"/>
  <c r="O75" i="3"/>
  <c r="K105" i="8"/>
  <c r="K103" s="1"/>
  <c r="K102" s="1"/>
  <c r="K108" s="1"/>
  <c r="K109" s="1"/>
  <c r="K140" s="1"/>
  <c r="N148" i="10"/>
  <c r="L67" i="8"/>
  <c r="M147" i="10"/>
  <c r="AA42" i="4"/>
  <c r="O42" i="9"/>
  <c r="I105" i="3"/>
  <c r="I91"/>
  <c r="W104"/>
  <c r="X44"/>
  <c r="J104"/>
  <c r="L125" i="10"/>
  <c r="L72" s="1"/>
  <c r="L25" s="1"/>
  <c r="O62" i="3"/>
  <c r="AC62" s="1"/>
  <c r="N141" i="10"/>
  <c r="M140"/>
  <c r="L66" i="8"/>
  <c r="AB58" i="3"/>
  <c r="N49"/>
  <c r="N98" i="8"/>
  <c r="O121" i="9"/>
  <c r="R73" i="3"/>
  <c r="AF73" s="1"/>
  <c r="AC61"/>
  <c r="O59"/>
  <c r="AC59" s="1"/>
  <c r="H92"/>
  <c r="V105"/>
  <c r="L94"/>
  <c r="Z46"/>
  <c r="L45"/>
  <c r="P64"/>
  <c r="AD64" s="1"/>
  <c r="N204" i="10"/>
  <c r="K44" i="3"/>
  <c r="Y45"/>
  <c r="K109"/>
  <c r="K65"/>
  <c r="N231" i="10"/>
  <c r="M230"/>
  <c r="M214"/>
  <c r="Q223"/>
  <c r="O42" i="8"/>
  <c r="O41" s="1"/>
  <c r="P210" i="10"/>
  <c r="M200"/>
  <c r="M199" s="1"/>
  <c r="L154" i="8" s="1"/>
  <c r="Z54" i="4"/>
  <c r="P56" i="9"/>
  <c r="AB56" i="4"/>
  <c r="P73" i="9"/>
  <c r="AB73" i="4"/>
  <c r="O57" i="8"/>
  <c r="P49" i="9"/>
  <c r="AB49" i="4"/>
  <c r="AC27"/>
  <c r="P28" i="8" s="1"/>
  <c r="Q27" i="9"/>
  <c r="T28" i="3"/>
  <c r="AH28" s="1"/>
  <c r="O79" i="8"/>
  <c r="P82" i="9"/>
  <c r="AB82" i="4"/>
  <c r="O115" i="10"/>
  <c r="O110" s="1"/>
  <c r="M74" i="8"/>
  <c r="N123" i="9"/>
  <c r="M122"/>
  <c r="AC71" i="3"/>
  <c r="O66"/>
  <c r="AC66" s="1"/>
  <c r="L99" i="8"/>
  <c r="L90" s="1"/>
  <c r="P71" i="3"/>
  <c r="O111" i="9"/>
  <c r="AA85" i="4"/>
  <c r="N110" i="9"/>
  <c r="N108" s="1"/>
  <c r="R72" i="3" s="1"/>
  <c r="AF72" s="1"/>
  <c r="N118" i="8"/>
  <c r="Q127" i="9"/>
  <c r="P101" i="8"/>
  <c r="P93"/>
  <c r="Q86" i="9"/>
  <c r="Q93" i="8" s="1"/>
  <c r="Q83" i="9"/>
  <c r="AD83" i="4" s="1"/>
  <c r="AC83"/>
  <c r="Q78" i="9"/>
  <c r="AD78" i="4" s="1"/>
  <c r="AC78"/>
  <c r="AC72"/>
  <c r="Q72" i="9"/>
  <c r="AD72" i="4" s="1"/>
  <c r="T41" i="3"/>
  <c r="AH41" s="1"/>
  <c r="AC68" i="4"/>
  <c r="P71" i="8"/>
  <c r="P70" s="1"/>
  <c r="P86"/>
  <c r="Q68" i="9"/>
  <c r="P64" i="8"/>
  <c r="P63" s="1"/>
  <c r="P121"/>
  <c r="Q64" i="9"/>
  <c r="AD64" i="4" s="1"/>
  <c r="AC64"/>
  <c r="Q66" i="9"/>
  <c r="AD66" i="4" s="1"/>
  <c r="AC66"/>
  <c r="Q63" i="9"/>
  <c r="AD63" i="4" s="1"/>
  <c r="AC63"/>
  <c r="Q65" i="9"/>
  <c r="AD65" i="4" s="1"/>
  <c r="AC65"/>
  <c r="N122" i="8"/>
  <c r="AC53" i="4"/>
  <c r="Q53" i="9"/>
  <c r="AD53" i="4" s="1"/>
  <c r="AC48"/>
  <c r="Q48" i="9"/>
  <c r="AD48" i="4" s="1"/>
  <c r="Q50" i="9"/>
  <c r="AD50" i="4" s="1"/>
  <c r="AC50"/>
  <c r="Q46" i="9"/>
  <c r="AD46" i="4" s="1"/>
  <c r="AC46"/>
  <c r="Q44" i="9"/>
  <c r="AD44" i="4" s="1"/>
  <c r="AC44"/>
  <c r="Q43" i="9"/>
  <c r="AD43" i="4" s="1"/>
  <c r="AC43"/>
  <c r="AD33"/>
  <c r="Q31" i="9"/>
  <c r="P115" i="8"/>
  <c r="T31" i="3"/>
  <c r="AH31" s="1"/>
  <c r="AC31" i="4"/>
  <c r="P31" i="8" s="1"/>
  <c r="O29"/>
  <c r="O80"/>
  <c r="Q29" i="9"/>
  <c r="AC29" i="4"/>
  <c r="T29" i="3"/>
  <c r="AH29" s="1"/>
  <c r="AC34" i="4"/>
  <c r="Q34" i="9"/>
  <c r="AD34" i="4" s="1"/>
  <c r="AC32"/>
  <c r="Q32" i="9"/>
  <c r="AD32" i="4" s="1"/>
  <c r="AC38"/>
  <c r="P32" i="8" s="1"/>
  <c r="Q38" i="9"/>
  <c r="P83" i="8"/>
  <c r="P116"/>
  <c r="T30" i="3"/>
  <c r="AH30" s="1"/>
  <c r="AC30" i="4"/>
  <c r="P30" i="8" s="1"/>
  <c r="Q30" i="9"/>
  <c r="P81" i="8"/>
  <c r="I45"/>
  <c r="I113" s="1"/>
  <c r="I112" s="1"/>
  <c r="I136" s="1"/>
  <c r="I139" s="1"/>
  <c r="I138" s="1"/>
  <c r="I150" s="1"/>
  <c r="I153" s="1"/>
  <c r="I152" s="1"/>
  <c r="I155" s="1"/>
  <c r="I156" s="1"/>
  <c r="O83"/>
  <c r="AD36" i="4"/>
  <c r="AC36"/>
  <c r="Q83" i="3"/>
  <c r="AE83" s="1"/>
  <c r="O201" i="10"/>
  <c r="Q37"/>
  <c r="P36"/>
  <c r="O42"/>
  <c r="P43"/>
  <c r="Q48" i="3"/>
  <c r="AE48" s="1"/>
  <c r="Z94" i="4"/>
  <c r="M38" i="8" s="1"/>
  <c r="O48" i="10"/>
  <c r="Q54"/>
  <c r="S53" i="3"/>
  <c r="AG53" s="1"/>
  <c r="P66" i="10"/>
  <c r="R56" i="3"/>
  <c r="AF56" s="1"/>
  <c r="Q65" i="10"/>
  <c r="S55" i="3"/>
  <c r="AG55" s="1"/>
  <c r="Q61" i="10"/>
  <c r="S50" i="3"/>
  <c r="AG50" s="1"/>
  <c r="Q67" i="10"/>
  <c r="S57" i="3"/>
  <c r="AG57" s="1"/>
  <c r="O59" i="10"/>
  <c r="O58" s="1"/>
  <c r="P60"/>
  <c r="R51" i="3"/>
  <c r="AF51" s="1"/>
  <c r="N103" i="10"/>
  <c r="P127"/>
  <c r="O126"/>
  <c r="P178"/>
  <c r="O177"/>
  <c r="O162" s="1"/>
  <c r="P183"/>
  <c r="AE86" i="3"/>
  <c r="Q84"/>
  <c r="AE84" s="1"/>
  <c r="R86"/>
  <c r="P206" i="10"/>
  <c r="AE60" i="3"/>
  <c r="R60"/>
  <c r="P163" i="10"/>
  <c r="L61" i="8"/>
  <c r="O60"/>
  <c r="O51"/>
  <c r="Y99" i="4"/>
  <c r="M88" i="10"/>
  <c r="M73" s="1"/>
  <c r="N89"/>
  <c r="M73" i="8"/>
  <c r="M72" s="1"/>
  <c r="M75" s="1"/>
  <c r="O84" i="10"/>
  <c r="M59" i="8"/>
  <c r="M58" s="1"/>
  <c r="N81" i="10"/>
  <c r="M52" i="8"/>
  <c r="M50" s="1"/>
  <c r="N74" i="10"/>
  <c r="M53" i="8"/>
  <c r="N52" i="10"/>
  <c r="N47" s="1"/>
  <c r="N46" s="1"/>
  <c r="Z95" i="4" s="1"/>
  <c r="M39" i="8" s="1"/>
  <c r="AF54" i="3"/>
  <c r="R225" i="10"/>
  <c r="Q222"/>
  <c r="P44" i="8"/>
  <c r="Q212" i="10"/>
  <c r="S54" i="3"/>
  <c r="P209" i="10"/>
  <c r="P36" i="3"/>
  <c r="AA81" i="4"/>
  <c r="AB37"/>
  <c r="AB35"/>
  <c r="J26" i="8"/>
  <c r="J21" s="1"/>
  <c r="Z47" i="4"/>
  <c r="M35" i="8" s="1"/>
  <c r="N128" i="3"/>
  <c r="N49" i="5"/>
  <c r="O4"/>
  <c r="N17"/>
  <c r="N96" i="8"/>
  <c r="P118" i="9"/>
  <c r="O89" i="8"/>
  <c r="D41" i="5"/>
  <c r="D56"/>
  <c r="G146" i="3"/>
  <c r="G148"/>
  <c r="AE37"/>
  <c r="AB40" i="4"/>
  <c r="Q40" i="3"/>
  <c r="AE40" s="1"/>
  <c r="M56" i="8"/>
  <c r="M55" s="1"/>
  <c r="M61" s="1"/>
  <c r="N79" i="9"/>
  <c r="R35" i="3" s="1"/>
  <c r="AF35" s="1"/>
  <c r="AA80" i="4"/>
  <c r="AA79" s="1"/>
  <c r="F111" i="7"/>
  <c r="E142"/>
  <c r="G111"/>
  <c r="E41" i="5"/>
  <c r="E56"/>
  <c r="R39" i="3"/>
  <c r="N49" i="8"/>
  <c r="N48" s="1"/>
  <c r="R82" i="3"/>
  <c r="N96" i="9"/>
  <c r="N95" i="8" s="1"/>
  <c r="AC80" i="3"/>
  <c r="O79"/>
  <c r="AC79" s="1"/>
  <c r="O26"/>
  <c r="AC27"/>
  <c r="K27" i="8"/>
  <c r="K34"/>
  <c r="K124" s="1"/>
  <c r="H51" i="5"/>
  <c r="H130" i="3" s="1"/>
  <c r="H131" s="1"/>
  <c r="H143" s="1"/>
  <c r="H18" i="5"/>
  <c r="AD81" i="3"/>
  <c r="P80"/>
  <c r="N71" i="9"/>
  <c r="R42" i="3" s="1"/>
  <c r="AF42" s="1"/>
  <c r="AA74" i="4"/>
  <c r="AA71" s="1"/>
  <c r="R67" i="3"/>
  <c r="N91" i="8"/>
  <c r="I50" i="5"/>
  <c r="I129" i="3" s="1"/>
  <c r="I144" s="1"/>
  <c r="I147" s="1"/>
  <c r="I40" i="5"/>
  <c r="I57" s="1"/>
  <c r="E114" i="7"/>
  <c r="F115"/>
  <c r="AE39" i="3"/>
  <c r="N87" i="9"/>
  <c r="Q81" i="3"/>
  <c r="AE82"/>
  <c r="AI85"/>
  <c r="Q32"/>
  <c r="Z28" i="4"/>
  <c r="Z26" s="1"/>
  <c r="L25" i="9"/>
  <c r="L24" s="1"/>
  <c r="N26" i="3"/>
  <c r="M58" i="9"/>
  <c r="M54" s="1"/>
  <c r="M47" s="1"/>
  <c r="M88" i="8" s="1"/>
  <c r="M85" s="1"/>
  <c r="G39" i="5"/>
  <c r="G52"/>
  <c r="N55" i="9"/>
  <c r="R37" i="3" s="1"/>
  <c r="AA57" i="4"/>
  <c r="AA55" s="1"/>
  <c r="AA41"/>
  <c r="M103" i="3"/>
  <c r="AA25"/>
  <c r="N62" i="9"/>
  <c r="AA67" i="4"/>
  <c r="AA62" s="1"/>
  <c r="G36" i="7"/>
  <c r="C28"/>
  <c r="K22" i="5"/>
  <c r="J134" i="3"/>
  <c r="J141"/>
  <c r="J53" i="5"/>
  <c r="O59" i="9"/>
  <c r="AB61" i="4"/>
  <c r="AB59" s="1"/>
  <c r="Q119" i="3"/>
  <c r="P126"/>
  <c r="AB70" i="4"/>
  <c r="O87" i="8" s="1"/>
  <c r="O98" i="9"/>
  <c r="O97" s="1"/>
  <c r="X86" i="4"/>
  <c r="O121" i="3"/>
  <c r="Y25" i="4"/>
  <c r="L33" i="8"/>
  <c r="C146" i="3"/>
  <c r="C148"/>
  <c r="J13" i="5"/>
  <c r="I12"/>
  <c r="AE67" i="3"/>
  <c r="K6" i="5"/>
  <c r="J5"/>
  <c r="J50" s="1"/>
  <c r="J129" i="3" s="1"/>
  <c r="O75" i="9"/>
  <c r="S43" i="3" s="1"/>
  <c r="AG43" s="1"/>
  <c r="AB76" i="4"/>
  <c r="AB75" s="1"/>
  <c r="Q68" i="3"/>
  <c r="AE68" s="1"/>
  <c r="M117" i="8"/>
  <c r="M114" s="1"/>
  <c r="M94"/>
  <c r="AH85" i="3"/>
  <c r="U70"/>
  <c r="AI70" s="1"/>
  <c r="Q97" i="8"/>
  <c r="Q120"/>
  <c r="Z103" i="3"/>
  <c r="L90"/>
  <c r="AD32"/>
  <c r="P27"/>
  <c r="N39" i="9"/>
  <c r="N26" s="1"/>
  <c r="AA58" i="4"/>
  <c r="L77" i="8"/>
  <c r="AD36" i="3"/>
  <c r="L15" i="5"/>
  <c r="C38" i="7"/>
  <c r="G39"/>
  <c r="J45" i="8"/>
  <c r="J113" s="1"/>
  <c r="J112" s="1"/>
  <c r="J136" s="1"/>
  <c r="J139" s="1"/>
  <c r="J138" s="1"/>
  <c r="J150" s="1"/>
  <c r="J153" s="1"/>
  <c r="J152" s="1"/>
  <c r="J155" s="1"/>
  <c r="J156" s="1"/>
  <c r="N122" i="3"/>
  <c r="N123" s="1"/>
  <c r="N124"/>
  <c r="N125" s="1"/>
  <c r="W102" i="4"/>
  <c r="N39" i="10"/>
  <c r="N35" s="1"/>
  <c r="X92" i="4"/>
  <c r="K37" i="8"/>
  <c r="K36" s="1"/>
  <c r="AC47" i="3"/>
  <c r="Y93" i="4" l="1"/>
  <c r="Y92" s="1"/>
  <c r="P47" i="3"/>
  <c r="M26" i="10"/>
  <c r="O231"/>
  <c r="N230"/>
  <c r="N214"/>
  <c r="Y44" i="3"/>
  <c r="K104"/>
  <c r="M125" i="10"/>
  <c r="M72" s="1"/>
  <c r="P62" i="3"/>
  <c r="AD62" s="1"/>
  <c r="J105"/>
  <c r="J91"/>
  <c r="X104"/>
  <c r="W105"/>
  <c r="I92"/>
  <c r="O31" i="10"/>
  <c r="N29"/>
  <c r="O49" i="3"/>
  <c r="AC58"/>
  <c r="M94"/>
  <c r="M45"/>
  <c r="AA46"/>
  <c r="AB74"/>
  <c r="N77"/>
  <c r="AB77" s="1"/>
  <c r="N27" i="10"/>
  <c r="J22" i="8"/>
  <c r="AA39" i="4"/>
  <c r="Q33" i="3"/>
  <c r="AE33" s="1"/>
  <c r="L104" i="8"/>
  <c r="P82"/>
  <c r="R223" i="10"/>
  <c r="P42" i="8"/>
  <c r="P41" s="1"/>
  <c r="Q210" i="10"/>
  <c r="M213"/>
  <c r="P58" i="3"/>
  <c r="K78"/>
  <c r="K110"/>
  <c r="Y65"/>
  <c r="Q64"/>
  <c r="AE64" s="1"/>
  <c r="O204" i="10"/>
  <c r="L44" i="3"/>
  <c r="Z45"/>
  <c r="L65"/>
  <c r="L109"/>
  <c r="Z94"/>
  <c r="L95"/>
  <c r="L88" s="1"/>
  <c r="L150"/>
  <c r="L87"/>
  <c r="L108"/>
  <c r="L152"/>
  <c r="O98" i="8"/>
  <c r="P121" i="9"/>
  <c r="S73" i="3"/>
  <c r="AG73" s="1"/>
  <c r="AB49"/>
  <c r="N46"/>
  <c r="N94" s="1"/>
  <c r="L65" i="8"/>
  <c r="L68" s="1"/>
  <c r="N140" i="10"/>
  <c r="M66" i="8"/>
  <c r="O141" i="10"/>
  <c r="P42" i="9"/>
  <c r="AB42" i="4"/>
  <c r="L105" i="8"/>
  <c r="P75" i="3"/>
  <c r="O148" i="10"/>
  <c r="M67" i="8"/>
  <c r="N147" i="10"/>
  <c r="O74" i="3"/>
  <c r="AC74" s="1"/>
  <c r="AC75"/>
  <c r="O52" i="9"/>
  <c r="N51"/>
  <c r="R34" i="3" s="1"/>
  <c r="AA52" i="4"/>
  <c r="AA51" s="1"/>
  <c r="O53" i="10"/>
  <c r="M107" i="8"/>
  <c r="M106" s="1"/>
  <c r="Q52" i="3"/>
  <c r="AE52" s="1"/>
  <c r="AD61"/>
  <c r="P59"/>
  <c r="AD59" s="1"/>
  <c r="O207" i="10"/>
  <c r="Q61" i="3"/>
  <c r="N205" i="10"/>
  <c r="N199" s="1"/>
  <c r="M154" i="8" s="1"/>
  <c r="J113" i="3"/>
  <c r="X78"/>
  <c r="P126" i="9"/>
  <c r="S69" i="3"/>
  <c r="AG69" s="1"/>
  <c r="O92" i="8"/>
  <c r="O119"/>
  <c r="Q62" i="3"/>
  <c r="AE62" s="1"/>
  <c r="AA54" i="4"/>
  <c r="AA47" s="1"/>
  <c r="N35" i="8" s="1"/>
  <c r="P79"/>
  <c r="AC56" i="4"/>
  <c r="Q56" i="9"/>
  <c r="AD56" i="4" s="1"/>
  <c r="Q73" i="9"/>
  <c r="P57" i="8"/>
  <c r="AC73" i="4"/>
  <c r="M25" i="9"/>
  <c r="Q49"/>
  <c r="AD49" i="4" s="1"/>
  <c r="AC49"/>
  <c r="O77" i="3"/>
  <c r="AC77" s="1"/>
  <c r="U28"/>
  <c r="AI28" s="1"/>
  <c r="AD27" i="4"/>
  <c r="Q28" i="8" s="1"/>
  <c r="Q82" i="9"/>
  <c r="AD82" i="4" s="1"/>
  <c r="AC82"/>
  <c r="P115" i="10"/>
  <c r="N74" i="8"/>
  <c r="O123" i="9"/>
  <c r="N122"/>
  <c r="AD71" i="3"/>
  <c r="P66"/>
  <c r="M99" i="8"/>
  <c r="M90" s="1"/>
  <c r="Q71" i="3"/>
  <c r="AE71" s="1"/>
  <c r="M84" i="9"/>
  <c r="P111"/>
  <c r="AB85" i="4"/>
  <c r="O110" i="9"/>
  <c r="O108" s="1"/>
  <c r="O96" i="8" s="1"/>
  <c r="O118"/>
  <c r="Q101"/>
  <c r="U41" i="3"/>
  <c r="AI41" s="1"/>
  <c r="Q64" i="8"/>
  <c r="Q63" s="1"/>
  <c r="Q121"/>
  <c r="AD68" i="4"/>
  <c r="Q71" i="8"/>
  <c r="Q70" s="1"/>
  <c r="Q86"/>
  <c r="U30" i="3"/>
  <c r="AI30" s="1"/>
  <c r="AD30" i="4"/>
  <c r="Q30" i="8" s="1"/>
  <c r="P80"/>
  <c r="P29"/>
  <c r="AD31" i="4"/>
  <c r="Q31" i="8" s="1"/>
  <c r="Q115"/>
  <c r="U31" i="3"/>
  <c r="AI31" s="1"/>
  <c r="AD38" i="4"/>
  <c r="Q32" i="8" s="1"/>
  <c r="Q116"/>
  <c r="AD29" i="4"/>
  <c r="U29" i="3"/>
  <c r="AI29" s="1"/>
  <c r="P201" i="10"/>
  <c r="R83" i="3"/>
  <c r="AF83" s="1"/>
  <c r="R37" i="10"/>
  <c r="R36" s="1"/>
  <c r="Q36"/>
  <c r="R48" i="3"/>
  <c r="AF48" s="1"/>
  <c r="AA94" i="4"/>
  <c r="N38" i="8" s="1"/>
  <c r="Q43" i="10"/>
  <c r="P42"/>
  <c r="P48"/>
  <c r="R54"/>
  <c r="U53" i="3" s="1"/>
  <c r="T53"/>
  <c r="AH53" s="1"/>
  <c r="Q60" i="10"/>
  <c r="S51" i="3"/>
  <c r="AG51" s="1"/>
  <c r="P59" i="10"/>
  <c r="P58" s="1"/>
  <c r="R67"/>
  <c r="U57" i="3" s="1"/>
  <c r="T57"/>
  <c r="AH57" s="1"/>
  <c r="R61" i="10"/>
  <c r="U50" i="3" s="1"/>
  <c r="T50"/>
  <c r="AH50" s="1"/>
  <c r="R65" i="10"/>
  <c r="U55" i="3" s="1"/>
  <c r="T55"/>
  <c r="AH55" s="1"/>
  <c r="Q66" i="10"/>
  <c r="S56" i="3"/>
  <c r="AG56" s="1"/>
  <c r="O103" i="10"/>
  <c r="P110"/>
  <c r="Q127"/>
  <c r="P126"/>
  <c r="Q178"/>
  <c r="P177"/>
  <c r="P162" s="1"/>
  <c r="R183"/>
  <c r="Q183"/>
  <c r="AF86" i="3"/>
  <c r="R84"/>
  <c r="AF84" s="1"/>
  <c r="Q206" i="10"/>
  <c r="S86" i="3"/>
  <c r="AF60"/>
  <c r="S60"/>
  <c r="R163" i="10"/>
  <c r="Q163"/>
  <c r="Q60" i="8"/>
  <c r="P60"/>
  <c r="P51"/>
  <c r="Q51"/>
  <c r="N88" i="10"/>
  <c r="N73" s="1"/>
  <c r="Z99" i="4"/>
  <c r="M104" i="8"/>
  <c r="O89" i="10"/>
  <c r="N73" i="8"/>
  <c r="N72" s="1"/>
  <c r="N75" s="1"/>
  <c r="P84" i="10"/>
  <c r="N59" i="8"/>
  <c r="N58" s="1"/>
  <c r="O81" i="10"/>
  <c r="N52" i="8"/>
  <c r="N50" s="1"/>
  <c r="N53" s="1"/>
  <c r="O74" i="10"/>
  <c r="AG54" i="3"/>
  <c r="R222" i="10"/>
  <c r="Q44" i="8"/>
  <c r="R212" i="10"/>
  <c r="T54" i="3"/>
  <c r="Q209" i="10"/>
  <c r="AB81" i="4"/>
  <c r="Q38" i="3"/>
  <c r="AE38" s="1"/>
  <c r="AD37" i="4"/>
  <c r="AC37"/>
  <c r="AD35"/>
  <c r="AC35"/>
  <c r="O128" i="3"/>
  <c r="P4" i="5"/>
  <c r="O49"/>
  <c r="O17"/>
  <c r="O122" i="8"/>
  <c r="P26" i="3"/>
  <c r="AD27"/>
  <c r="P75" i="9"/>
  <c r="T43" i="3" s="1"/>
  <c r="AH43" s="1"/>
  <c r="AC76" i="4"/>
  <c r="AC75" s="1"/>
  <c r="K5" i="5"/>
  <c r="K50" s="1"/>
  <c r="K129" i="3" s="1"/>
  <c r="L6" i="5"/>
  <c r="K13"/>
  <c r="J12"/>
  <c r="Y86" i="4"/>
  <c r="P121" i="3"/>
  <c r="S82"/>
  <c r="O96" i="9"/>
  <c r="O95" i="8" s="1"/>
  <c r="P59" i="9"/>
  <c r="AC61" i="4"/>
  <c r="AC59" s="1"/>
  <c r="C23" i="7"/>
  <c r="G28"/>
  <c r="R40" i="3"/>
  <c r="AF40" s="1"/>
  <c r="N56" i="8"/>
  <c r="N55" s="1"/>
  <c r="AA103" i="3"/>
  <c r="M90"/>
  <c r="AB41" i="4"/>
  <c r="AB39" s="1"/>
  <c r="O55" i="9"/>
  <c r="S37" i="3" s="1"/>
  <c r="AB57" i="4"/>
  <c r="AB55" s="1"/>
  <c r="R32" i="3"/>
  <c r="AA28" i="4"/>
  <c r="AA26" s="1"/>
  <c r="R68" i="3"/>
  <c r="AF68" s="1"/>
  <c r="N94" i="8"/>
  <c r="N117"/>
  <c r="N114" s="1"/>
  <c r="S67" i="3"/>
  <c r="O91" i="8"/>
  <c r="O71" i="9"/>
  <c r="S42" i="3" s="1"/>
  <c r="AG42" s="1"/>
  <c r="AB74" i="4"/>
  <c r="AB71" s="1"/>
  <c r="H146" i="3"/>
  <c r="H148"/>
  <c r="O25"/>
  <c r="AC26"/>
  <c r="O112"/>
  <c r="AF82"/>
  <c r="R81"/>
  <c r="E58" i="5"/>
  <c r="E66" i="11" s="1"/>
  <c r="E64"/>
  <c r="E59" i="5"/>
  <c r="E67" i="11" s="1"/>
  <c r="F142" i="7"/>
  <c r="G142"/>
  <c r="O79" i="9"/>
  <c r="S35" i="3" s="1"/>
  <c r="AG35" s="1"/>
  <c r="AB80" i="4"/>
  <c r="AB79" s="1"/>
  <c r="G156" i="3"/>
  <c r="G154"/>
  <c r="D59" i="5"/>
  <c r="D67" i="11" s="1"/>
  <c r="D58" i="5"/>
  <c r="D66" i="11" s="1"/>
  <c r="D64"/>
  <c r="S72" i="3"/>
  <c r="AG72" s="1"/>
  <c r="Q118" i="9"/>
  <c r="P89" i="8"/>
  <c r="Q66" i="3"/>
  <c r="J144"/>
  <c r="J147" s="1"/>
  <c r="N84" i="9"/>
  <c r="K26" i="8"/>
  <c r="K21" s="1"/>
  <c r="N58" i="9"/>
  <c r="N54" s="1"/>
  <c r="N47" s="1"/>
  <c r="N88" i="8" s="1"/>
  <c r="N85" s="1"/>
  <c r="O39" i="9"/>
  <c r="O26" s="1"/>
  <c r="Z25" i="4"/>
  <c r="M33" i="8"/>
  <c r="I51" i="5"/>
  <c r="I130" i="3" s="1"/>
  <c r="I131" s="1"/>
  <c r="I143" s="1"/>
  <c r="I18" i="5"/>
  <c r="C154" i="3"/>
  <c r="C156"/>
  <c r="L27" i="8"/>
  <c r="L34"/>
  <c r="L124" s="1"/>
  <c r="Q98" i="9"/>
  <c r="Q97" s="1"/>
  <c r="P98"/>
  <c r="P97" s="1"/>
  <c r="AC70" i="4"/>
  <c r="P87" i="8" s="1"/>
  <c r="Q126" i="3"/>
  <c r="R119"/>
  <c r="S39"/>
  <c r="O49" i="8"/>
  <c r="O48" s="1"/>
  <c r="K132" i="3"/>
  <c r="K21" i="5"/>
  <c r="K37" s="1"/>
  <c r="O62" i="9"/>
  <c r="AB67" i="4"/>
  <c r="AB62" s="1"/>
  <c r="AB58" s="1"/>
  <c r="AB54" s="1"/>
  <c r="AF37" i="3"/>
  <c r="G41" i="5"/>
  <c r="G56"/>
  <c r="N25" i="3"/>
  <c r="AB26"/>
  <c r="N112"/>
  <c r="AE32"/>
  <c r="Q27"/>
  <c r="AE81"/>
  <c r="Q80"/>
  <c r="O87" i="9"/>
  <c r="F114" i="7"/>
  <c r="E138"/>
  <c r="AF67" i="3"/>
  <c r="AD80"/>
  <c r="P79"/>
  <c r="AD79" s="1"/>
  <c r="H52" i="5"/>
  <c r="H39"/>
  <c r="AF39" i="3"/>
  <c r="AC40" i="4"/>
  <c r="M84" i="8"/>
  <c r="M78" s="1"/>
  <c r="J40" i="5"/>
  <c r="J57" s="1"/>
  <c r="Q36" i="3"/>
  <c r="AE36" s="1"/>
  <c r="K22" i="8"/>
  <c r="O122" i="3"/>
  <c r="O123" s="1"/>
  <c r="O124"/>
  <c r="O125" s="1"/>
  <c r="X102" i="4"/>
  <c r="Q47" i="3"/>
  <c r="Z93" i="4"/>
  <c r="N26" i="10"/>
  <c r="O39"/>
  <c r="O35" s="1"/>
  <c r="L37" i="8"/>
  <c r="L36" s="1"/>
  <c r="AD47" i="3"/>
  <c r="C22" i="7"/>
  <c r="G38"/>
  <c r="C47"/>
  <c r="M15" i="5"/>
  <c r="AB94" i="3" l="1"/>
  <c r="N108"/>
  <c r="N87"/>
  <c r="N152"/>
  <c r="M65" i="8"/>
  <c r="M68" s="1"/>
  <c r="AI55" i="3"/>
  <c r="M25" i="10"/>
  <c r="Q126" i="9"/>
  <c r="T69" i="3"/>
  <c r="AH69" s="1"/>
  <c r="P119" i="8"/>
  <c r="P92"/>
  <c r="AE61" i="3"/>
  <c r="Q59"/>
  <c r="AE59" s="1"/>
  <c r="P53" i="10"/>
  <c r="R52" i="3"/>
  <c r="AF52" s="1"/>
  <c r="N107" i="8"/>
  <c r="N106" s="1"/>
  <c r="R33" i="3"/>
  <c r="AF33" s="1"/>
  <c r="AF34"/>
  <c r="M105" i="8"/>
  <c r="M103" s="1"/>
  <c r="M102" s="1"/>
  <c r="Q75" i="3"/>
  <c r="P148" i="10"/>
  <c r="O147"/>
  <c r="N67" i="8"/>
  <c r="Q42" i="9"/>
  <c r="AD42" i="4" s="1"/>
  <c r="AC42"/>
  <c r="Q121" i="9"/>
  <c r="P98" i="8"/>
  <c r="T73" i="3"/>
  <c r="AH73" s="1"/>
  <c r="R64"/>
  <c r="AF64" s="1"/>
  <c r="P204" i="10"/>
  <c r="O200"/>
  <c r="Y78" i="3"/>
  <c r="K113"/>
  <c r="L103" i="8"/>
  <c r="L102" s="1"/>
  <c r="L108" s="1"/>
  <c r="L109" s="1"/>
  <c r="L140" s="1"/>
  <c r="M87" i="3"/>
  <c r="M108"/>
  <c r="M152"/>
  <c r="AA94"/>
  <c r="M95"/>
  <c r="M88" s="1"/>
  <c r="M150"/>
  <c r="AC49"/>
  <c r="O46"/>
  <c r="P31" i="10"/>
  <c r="O29"/>
  <c r="O27" s="1"/>
  <c r="Y104" i="3"/>
  <c r="K105"/>
  <c r="K91"/>
  <c r="P231" i="10"/>
  <c r="O230"/>
  <c r="O214"/>
  <c r="N150" i="3"/>
  <c r="N95"/>
  <c r="N88" s="1"/>
  <c r="P39" i="9"/>
  <c r="R38" i="3"/>
  <c r="AF38" s="1"/>
  <c r="P122" i="8"/>
  <c r="O52" i="10"/>
  <c r="O47" s="1"/>
  <c r="O46" s="1"/>
  <c r="AA95" i="4" s="1"/>
  <c r="N39" i="8" s="1"/>
  <c r="P207" i="10"/>
  <c r="O205"/>
  <c r="R61" i="3"/>
  <c r="P52" i="9"/>
  <c r="AB52" i="4"/>
  <c r="AB51" s="1"/>
  <c r="O51" i="9"/>
  <c r="S34" i="3" s="1"/>
  <c r="AG34" s="1"/>
  <c r="P74"/>
  <c r="AD74" s="1"/>
  <c r="AD75"/>
  <c r="P141" i="10"/>
  <c r="O140"/>
  <c r="O125" s="1"/>
  <c r="N66" i="8"/>
  <c r="N65" s="1"/>
  <c r="N68" s="1"/>
  <c r="N125" i="10"/>
  <c r="N72" s="1"/>
  <c r="N25" s="1"/>
  <c r="N45" i="3"/>
  <c r="AB46"/>
  <c r="L78"/>
  <c r="L110"/>
  <c r="Z65"/>
  <c r="Z44"/>
  <c r="L104"/>
  <c r="P49"/>
  <c r="AD58"/>
  <c r="Q42" i="8"/>
  <c r="Q41" s="1"/>
  <c r="R210" i="10"/>
  <c r="M65" i="3"/>
  <c r="M109"/>
  <c r="M44"/>
  <c r="AA45"/>
  <c r="X105"/>
  <c r="J92"/>
  <c r="N213" i="10"/>
  <c r="Q58" i="3"/>
  <c r="M24" i="9"/>
  <c r="Q79" i="8"/>
  <c r="AD73" i="4"/>
  <c r="Q57" i="8"/>
  <c r="N61"/>
  <c r="Q115" i="10"/>
  <c r="Q110" s="1"/>
  <c r="O74" i="8"/>
  <c r="P77" i="3"/>
  <c r="AD77" s="1"/>
  <c r="AD66"/>
  <c r="P123" i="9"/>
  <c r="O122"/>
  <c r="M77" i="8"/>
  <c r="R71" i="3"/>
  <c r="N99" i="8"/>
  <c r="N90" s="1"/>
  <c r="Q111" i="9"/>
  <c r="P110"/>
  <c r="P108" s="1"/>
  <c r="P118" i="8"/>
  <c r="AC85" i="4"/>
  <c r="K45" i="8"/>
  <c r="K113" s="1"/>
  <c r="K112" s="1"/>
  <c r="K136" s="1"/>
  <c r="K139" s="1"/>
  <c r="K138" s="1"/>
  <c r="K150" s="1"/>
  <c r="K153" s="1"/>
  <c r="K152" s="1"/>
  <c r="K155" s="1"/>
  <c r="K156" s="1"/>
  <c r="Q80"/>
  <c r="Q29"/>
  <c r="Q83"/>
  <c r="Q82"/>
  <c r="Q81"/>
  <c r="AI57" i="3"/>
  <c r="Q201" i="10"/>
  <c r="S83" i="3"/>
  <c r="AG83" s="1"/>
  <c r="Q42" i="10"/>
  <c r="R43"/>
  <c r="R42" s="1"/>
  <c r="S48" i="3"/>
  <c r="AG48" s="1"/>
  <c r="AB94" i="4"/>
  <c r="O38" i="8" s="1"/>
  <c r="AI50" i="3"/>
  <c r="R48" i="10"/>
  <c r="Q48"/>
  <c r="AI53" i="3"/>
  <c r="Q59" i="10"/>
  <c r="Q58" s="1"/>
  <c r="R60"/>
  <c r="T51" i="3"/>
  <c r="AH51" s="1"/>
  <c r="R66" i="10"/>
  <c r="T56" i="3"/>
  <c r="AH56" s="1"/>
  <c r="P103" i="10"/>
  <c r="R62" i="3"/>
  <c r="AF62" s="1"/>
  <c r="R127" i="10"/>
  <c r="R126" s="1"/>
  <c r="Q126"/>
  <c r="R178"/>
  <c r="R177" s="1"/>
  <c r="Q177"/>
  <c r="R162"/>
  <c r="Q162"/>
  <c r="R206"/>
  <c r="U86" i="3" s="1"/>
  <c r="T86"/>
  <c r="AG86"/>
  <c r="S84"/>
  <c r="AG84" s="1"/>
  <c r="T60"/>
  <c r="AG60"/>
  <c r="O73" i="8"/>
  <c r="O72" s="1"/>
  <c r="O75" s="1"/>
  <c r="P89" i="10"/>
  <c r="AA99" i="4"/>
  <c r="N104" i="8"/>
  <c r="O88" i="10"/>
  <c r="O73" s="1"/>
  <c r="O72" s="1"/>
  <c r="Q84"/>
  <c r="O59" i="8"/>
  <c r="O58" s="1"/>
  <c r="P81" i="10"/>
  <c r="O52" i="8"/>
  <c r="O50" s="1"/>
  <c r="O53" s="1"/>
  <c r="P74" i="10"/>
  <c r="P52"/>
  <c r="P47" s="1"/>
  <c r="P46" s="1"/>
  <c r="AB95" i="4" s="1"/>
  <c r="O39" i="8" s="1"/>
  <c r="U54" i="3"/>
  <c r="R209" i="10"/>
  <c r="AH54" i="3"/>
  <c r="AD81" i="4"/>
  <c r="AC81"/>
  <c r="AB47"/>
  <c r="O35" i="8" s="1"/>
  <c r="L26"/>
  <c r="L21" s="1"/>
  <c r="P128" i="3"/>
  <c r="P49" i="5"/>
  <c r="Q4"/>
  <c r="P17"/>
  <c r="AA25" i="4"/>
  <c r="N33" i="8"/>
  <c r="N84"/>
  <c r="N78" s="1"/>
  <c r="AD40" i="4"/>
  <c r="H56" i="5"/>
  <c r="H41"/>
  <c r="F138" i="7"/>
  <c r="E141"/>
  <c r="S68" i="3"/>
  <c r="AG68" s="1"/>
  <c r="O117" i="8"/>
  <c r="O114" s="1"/>
  <c r="O94"/>
  <c r="AE80" i="3"/>
  <c r="Q79"/>
  <c r="AE79" s="1"/>
  <c r="Q26"/>
  <c r="AE27"/>
  <c r="N103"/>
  <c r="AB25"/>
  <c r="S40"/>
  <c r="AG40" s="1"/>
  <c r="O56" i="8"/>
  <c r="O55" s="1"/>
  <c r="K141" i="3"/>
  <c r="K144" s="1"/>
  <c r="K147" s="1"/>
  <c r="K53" i="5"/>
  <c r="L22"/>
  <c r="K134" i="3"/>
  <c r="K40" i="5"/>
  <c r="K57" s="1"/>
  <c r="AG39" i="3"/>
  <c r="T82"/>
  <c r="P96" i="9"/>
  <c r="P95" i="8" s="1"/>
  <c r="I52" i="5"/>
  <c r="I39"/>
  <c r="M27" i="8"/>
  <c r="M34"/>
  <c r="M124" s="1"/>
  <c r="T72" i="3"/>
  <c r="AH72" s="1"/>
  <c r="P96" i="8"/>
  <c r="Q89"/>
  <c r="P79" i="9"/>
  <c r="T35" i="3" s="1"/>
  <c r="AH35" s="1"/>
  <c r="AC80" i="4"/>
  <c r="AC79" s="1"/>
  <c r="AF81" i="3"/>
  <c r="R80"/>
  <c r="O103"/>
  <c r="AC25"/>
  <c r="AG67"/>
  <c r="AF32"/>
  <c r="R27"/>
  <c r="P55" i="9"/>
  <c r="T37" i="3" s="1"/>
  <c r="AC57" i="4"/>
  <c r="AC55" s="1"/>
  <c r="AD41"/>
  <c r="AC41"/>
  <c r="T39" i="3"/>
  <c r="P49" i="8"/>
  <c r="P48" s="1"/>
  <c r="J18" i="5"/>
  <c r="J51"/>
  <c r="J130" i="3" s="1"/>
  <c r="J131" s="1"/>
  <c r="J143" s="1"/>
  <c r="M6" i="5"/>
  <c r="L5"/>
  <c r="L50" s="1"/>
  <c r="L129" i="3" s="1"/>
  <c r="Q75" i="9"/>
  <c r="U43" i="3" s="1"/>
  <c r="AI43" s="1"/>
  <c r="AD76" i="4"/>
  <c r="AD75" s="1"/>
  <c r="P25" i="3"/>
  <c r="AD26"/>
  <c r="P112"/>
  <c r="AC39" i="4"/>
  <c r="R36" i="3"/>
  <c r="AF36" s="1"/>
  <c r="O58" i="9"/>
  <c r="O54" s="1"/>
  <c r="O47" s="1"/>
  <c r="N25"/>
  <c r="N24" s="1"/>
  <c r="S33" i="3"/>
  <c r="AG33" s="1"/>
  <c r="O84" i="9"/>
  <c r="Q87"/>
  <c r="P87"/>
  <c r="G59" i="5"/>
  <c r="G58"/>
  <c r="P62" i="9"/>
  <c r="P58" s="1"/>
  <c r="AC67" i="4"/>
  <c r="AC62" s="1"/>
  <c r="AC58" s="1"/>
  <c r="S119" i="3"/>
  <c r="R126"/>
  <c r="AD70" i="4"/>
  <c r="Q87" i="8" s="1"/>
  <c r="U82" i="3"/>
  <c r="Q96" i="9"/>
  <c r="Q95" i="8" s="1"/>
  <c r="I148" i="3"/>
  <c r="I146"/>
  <c r="Z86" i="4"/>
  <c r="Q121" i="3"/>
  <c r="AE66"/>
  <c r="H156"/>
  <c r="H154"/>
  <c r="P71" i="9"/>
  <c r="T42" i="3" s="1"/>
  <c r="AH42" s="1"/>
  <c r="AC74" i="4"/>
  <c r="AC71" s="1"/>
  <c r="T67" i="3"/>
  <c r="P91" i="8"/>
  <c r="S32" i="3"/>
  <c r="AB28" i="4"/>
  <c r="AB26" s="1"/>
  <c r="AG37" i="3"/>
  <c r="Q59" i="9"/>
  <c r="AD61" i="4"/>
  <c r="AD59" s="1"/>
  <c r="S81" i="3"/>
  <c r="AG82"/>
  <c r="L13" i="5"/>
  <c r="K12"/>
  <c r="P26" i="9"/>
  <c r="N15" i="5"/>
  <c r="G47" i="7"/>
  <c r="C115"/>
  <c r="L22" i="8"/>
  <c r="L45"/>
  <c r="L113" s="1"/>
  <c r="L112" s="1"/>
  <c r="L136" s="1"/>
  <c r="L139" s="1"/>
  <c r="L138" s="1"/>
  <c r="L150" s="1"/>
  <c r="L153" s="1"/>
  <c r="L152" s="1"/>
  <c r="L155" s="1"/>
  <c r="L156" s="1"/>
  <c r="P122" i="3"/>
  <c r="P123" s="1"/>
  <c r="P124"/>
  <c r="P125" s="1"/>
  <c r="Y102" i="4"/>
  <c r="P39" i="10"/>
  <c r="P35" s="1"/>
  <c r="Z92" i="4"/>
  <c r="M37" i="8"/>
  <c r="M36" s="1"/>
  <c r="AE47" i="3"/>
  <c r="Q122" i="8" l="1"/>
  <c r="R47" i="3"/>
  <c r="O26" i="10"/>
  <c r="O25" s="1"/>
  <c r="AA93" i="4"/>
  <c r="AA44" i="3"/>
  <c r="M104"/>
  <c r="M78"/>
  <c r="M110"/>
  <c r="AA65"/>
  <c r="AD49"/>
  <c r="P46"/>
  <c r="Q52" i="9"/>
  <c r="P51"/>
  <c r="T34" i="3" s="1"/>
  <c r="AH34" s="1"/>
  <c r="AC52" i="4"/>
  <c r="AC51" s="1"/>
  <c r="Q231" i="10"/>
  <c r="P230"/>
  <c r="P214"/>
  <c r="Y105" i="3"/>
  <c r="K92"/>
  <c r="O94"/>
  <c r="O45"/>
  <c r="AC46"/>
  <c r="S64"/>
  <c r="AG64" s="1"/>
  <c r="Q204" i="10"/>
  <c r="Q98" i="8"/>
  <c r="U73" i="3"/>
  <c r="AI73" s="1"/>
  <c r="N105" i="8"/>
  <c r="R75" i="3"/>
  <c r="AE75"/>
  <c r="Q74"/>
  <c r="Q53" i="10"/>
  <c r="S52" i="3"/>
  <c r="AG52" s="1"/>
  <c r="O107" i="8"/>
  <c r="O106" s="1"/>
  <c r="U69" i="3"/>
  <c r="AI69" s="1"/>
  <c r="Q92" i="8"/>
  <c r="Q119"/>
  <c r="N103"/>
  <c r="N102" s="1"/>
  <c r="M108"/>
  <c r="M109" s="1"/>
  <c r="M140" s="1"/>
  <c r="AE58" i="3"/>
  <c r="Q49"/>
  <c r="L105"/>
  <c r="L91"/>
  <c r="Z104"/>
  <c r="L113"/>
  <c r="Z78"/>
  <c r="N44"/>
  <c r="AB45"/>
  <c r="N65"/>
  <c r="N109"/>
  <c r="P140" i="10"/>
  <c r="Q141"/>
  <c r="O66" i="8"/>
  <c r="AF61" i="3"/>
  <c r="R59"/>
  <c r="AF59" s="1"/>
  <c r="Q207" i="10"/>
  <c r="P205"/>
  <c r="S61" i="3"/>
  <c r="O213" i="10"/>
  <c r="R58" i="3"/>
  <c r="Q31" i="10"/>
  <c r="P29"/>
  <c r="P27" s="1"/>
  <c r="O199"/>
  <c r="N154" i="8" s="1"/>
  <c r="Q148" i="10"/>
  <c r="O67" i="8"/>
  <c r="P147" i="10"/>
  <c r="P200"/>
  <c r="P199" s="1"/>
  <c r="O154" i="8" s="1"/>
  <c r="O88"/>
  <c r="O85" s="1"/>
  <c r="N77"/>
  <c r="P74"/>
  <c r="Q123" i="9"/>
  <c r="Q122" s="1"/>
  <c r="P122"/>
  <c r="AF71" i="3"/>
  <c r="R66"/>
  <c r="AF66" s="1"/>
  <c r="S71"/>
  <c r="AG71" s="1"/>
  <c r="O99" i="8"/>
  <c r="O90" s="1"/>
  <c r="AD85" i="4"/>
  <c r="Q110" i="9"/>
  <c r="Q108" s="1"/>
  <c r="U72" i="3" s="1"/>
  <c r="AI72" s="1"/>
  <c r="Q118" i="8"/>
  <c r="S66" i="3"/>
  <c r="AG66" s="1"/>
  <c r="S38"/>
  <c r="T83"/>
  <c r="AH83" s="1"/>
  <c r="R201" i="10"/>
  <c r="U83" i="3" s="1"/>
  <c r="T48"/>
  <c r="AH48" s="1"/>
  <c r="AC94" i="4"/>
  <c r="P38" i="8" s="1"/>
  <c r="U48" i="3"/>
  <c r="AI48" s="1"/>
  <c r="AD94" i="4"/>
  <c r="Q38" i="8" s="1"/>
  <c r="U56" i="3"/>
  <c r="AI56" s="1"/>
  <c r="R59" i="10"/>
  <c r="R58" s="1"/>
  <c r="U51" i="3"/>
  <c r="AI51" s="1"/>
  <c r="R103" i="10"/>
  <c r="Q103"/>
  <c r="AI86" i="3"/>
  <c r="U84"/>
  <c r="AH86"/>
  <c r="T84"/>
  <c r="AH84" s="1"/>
  <c r="U60"/>
  <c r="AH60"/>
  <c r="O61" i="8"/>
  <c r="O104"/>
  <c r="P88" i="10"/>
  <c r="P73" s="1"/>
  <c r="AB99" i="4"/>
  <c r="P73" i="8"/>
  <c r="Q89" i="10"/>
  <c r="R84"/>
  <c r="P59" i="8"/>
  <c r="P58" s="1"/>
  <c r="Q81" i="10"/>
  <c r="Q74"/>
  <c r="P52" i="8"/>
  <c r="P50" s="1"/>
  <c r="P53" s="1"/>
  <c r="Q52" i="10"/>
  <c r="Q47" s="1"/>
  <c r="Q46" s="1"/>
  <c r="AC95" i="4" s="1"/>
  <c r="P39" i="8" s="1"/>
  <c r="AI54" i="3"/>
  <c r="AC54" i="4"/>
  <c r="AC47" s="1"/>
  <c r="P35" i="8" s="1"/>
  <c r="P54" i="9"/>
  <c r="P47" s="1"/>
  <c r="M26" i="8"/>
  <c r="M21" s="1"/>
  <c r="Q128" i="3"/>
  <c r="R4" i="5"/>
  <c r="Q49"/>
  <c r="Q17"/>
  <c r="AB25" i="4"/>
  <c r="O33" i="8"/>
  <c r="O84"/>
  <c r="O78" s="1"/>
  <c r="M13" i="5"/>
  <c r="L12"/>
  <c r="AG81" i="3"/>
  <c r="S80"/>
  <c r="U39"/>
  <c r="Q49" i="8"/>
  <c r="Q48" s="1"/>
  <c r="T32" i="3"/>
  <c r="AC28" i="4"/>
  <c r="AC26" s="1"/>
  <c r="P84" i="8" s="1"/>
  <c r="P78" s="1"/>
  <c r="U67" i="3"/>
  <c r="Q91" i="8"/>
  <c r="Q84" i="9"/>
  <c r="Q71"/>
  <c r="U42" i="3" s="1"/>
  <c r="AI42" s="1"/>
  <c r="AD74" i="4"/>
  <c r="AD71" s="1"/>
  <c r="I154" i="3"/>
  <c r="I156"/>
  <c r="AI82"/>
  <c r="U81"/>
  <c r="S126"/>
  <c r="T119"/>
  <c r="Q62" i="9"/>
  <c r="Q58" s="1"/>
  <c r="AD67" i="4"/>
  <c r="AD62" s="1"/>
  <c r="T68" i="3"/>
  <c r="AH68" s="1"/>
  <c r="P94" i="8"/>
  <c r="P117"/>
  <c r="P114" s="1"/>
  <c r="P103" i="3"/>
  <c r="AD25"/>
  <c r="M5" i="5"/>
  <c r="M50" s="1"/>
  <c r="M129" i="3" s="1"/>
  <c r="N6" i="5"/>
  <c r="J39"/>
  <c r="J52"/>
  <c r="AH37" i="3"/>
  <c r="AC103"/>
  <c r="O90"/>
  <c r="Q96" i="8"/>
  <c r="I41" i="5"/>
  <c r="I56"/>
  <c r="L132" i="3"/>
  <c r="L21" i="5"/>
  <c r="L37" s="1"/>
  <c r="AB103" i="3"/>
  <c r="N90"/>
  <c r="Q25"/>
  <c r="AE26"/>
  <c r="Q112"/>
  <c r="E140" i="7"/>
  <c r="F141"/>
  <c r="AA86" i="4"/>
  <c r="R121" i="3"/>
  <c r="O25" i="9"/>
  <c r="O24" s="1"/>
  <c r="AD39" i="4"/>
  <c r="P25" i="9"/>
  <c r="K51" i="5"/>
  <c r="K130" i="3" s="1"/>
  <c r="K131" s="1"/>
  <c r="K143" s="1"/>
  <c r="K18" i="5"/>
  <c r="AG32" i="3"/>
  <c r="S27"/>
  <c r="AH67"/>
  <c r="T40"/>
  <c r="AH40" s="1"/>
  <c r="P56" i="8"/>
  <c r="P55" s="1"/>
  <c r="U68" i="3"/>
  <c r="AI68" s="1"/>
  <c r="Q117" i="8"/>
  <c r="Q114" s="1"/>
  <c r="Q94"/>
  <c r="J146" i="3"/>
  <c r="J148"/>
  <c r="T38"/>
  <c r="AH38" s="1"/>
  <c r="AH39"/>
  <c r="Q55" i="9"/>
  <c r="U37" i="3" s="1"/>
  <c r="AD57" i="4"/>
  <c r="AD55" s="1"/>
  <c r="R26" i="3"/>
  <c r="AF27"/>
  <c r="AF80"/>
  <c r="R79"/>
  <c r="AF79" s="1"/>
  <c r="Q79" i="9"/>
  <c r="U35" i="3" s="1"/>
  <c r="AI35" s="1"/>
  <c r="AD80" i="4"/>
  <c r="AD79" s="1"/>
  <c r="AH82" i="3"/>
  <c r="H58" i="5"/>
  <c r="H59"/>
  <c r="N27" i="8"/>
  <c r="N34"/>
  <c r="N124" s="1"/>
  <c r="AD58" i="4"/>
  <c r="Q39" i="9"/>
  <c r="Q26" s="1"/>
  <c r="M22" i="8"/>
  <c r="M45"/>
  <c r="M113" s="1"/>
  <c r="M112" s="1"/>
  <c r="M136" s="1"/>
  <c r="M139" s="1"/>
  <c r="M138" s="1"/>
  <c r="M150" s="1"/>
  <c r="M153" s="1"/>
  <c r="M152" s="1"/>
  <c r="M155" s="1"/>
  <c r="M156" s="1"/>
  <c r="Q122" i="3"/>
  <c r="Q123" s="1"/>
  <c r="Q124"/>
  <c r="Q125" s="1"/>
  <c r="Z102" i="4"/>
  <c r="R39" i="10"/>
  <c r="R35" s="1"/>
  <c r="Q39"/>
  <c r="Q35" s="1"/>
  <c r="AA92" i="4"/>
  <c r="N37" i="8"/>
  <c r="N36" s="1"/>
  <c r="AF47" i="3"/>
  <c r="C114" i="7"/>
  <c r="G115"/>
  <c r="O15" i="5"/>
  <c r="T33" i="3" l="1"/>
  <c r="AH33" s="1"/>
  <c r="T81"/>
  <c r="N108" i="8"/>
  <c r="N109" s="1"/>
  <c r="N140" s="1"/>
  <c r="S47" i="3"/>
  <c r="P26" i="10"/>
  <c r="AB93" i="4"/>
  <c r="P61" i="8"/>
  <c r="R31" i="10"/>
  <c r="R29" s="1"/>
  <c r="R27" s="1"/>
  <c r="Q29"/>
  <c r="Q27" s="1"/>
  <c r="O65" i="8"/>
  <c r="O68" s="1"/>
  <c r="P125" i="10"/>
  <c r="AB65" i="3"/>
  <c r="N78"/>
  <c r="N110"/>
  <c r="N104"/>
  <c r="AB44"/>
  <c r="AE49"/>
  <c r="Q46"/>
  <c r="S62"/>
  <c r="AG62" s="1"/>
  <c r="AE74"/>
  <c r="Q77"/>
  <c r="AE77" s="1"/>
  <c r="AF75"/>
  <c r="R74"/>
  <c r="AF74" s="1"/>
  <c r="R204" i="10"/>
  <c r="Q200"/>
  <c r="T64" i="3"/>
  <c r="AH64" s="1"/>
  <c r="AC94"/>
  <c r="O95"/>
  <c r="O88" s="1"/>
  <c r="O150"/>
  <c r="O87"/>
  <c r="O108"/>
  <c r="O152"/>
  <c r="P213" i="10"/>
  <c r="S58" i="3"/>
  <c r="Q51" i="9"/>
  <c r="U34" i="3" s="1"/>
  <c r="AI34" s="1"/>
  <c r="AD52" i="4"/>
  <c r="AD51" s="1"/>
  <c r="M105" i="3"/>
  <c r="M91"/>
  <c r="AA104"/>
  <c r="P72" i="10"/>
  <c r="O105" i="8"/>
  <c r="O103" s="1"/>
  <c r="O102" s="1"/>
  <c r="S75" i="3"/>
  <c r="R148" i="10"/>
  <c r="P67" i="8"/>
  <c r="Q147" i="10"/>
  <c r="AF58" i="3"/>
  <c r="R49"/>
  <c r="AG61"/>
  <c r="S59"/>
  <c r="AG59" s="1"/>
  <c r="R207" i="10"/>
  <c r="Q205"/>
  <c r="T61" i="3"/>
  <c r="Q140" i="10"/>
  <c r="Q125" s="1"/>
  <c r="R141"/>
  <c r="P66" i="8"/>
  <c r="P65" s="1"/>
  <c r="P68" s="1"/>
  <c r="L92" i="3"/>
  <c r="Z105"/>
  <c r="R53" i="10"/>
  <c r="T52" i="3"/>
  <c r="AH52" s="1"/>
  <c r="P107" i="8"/>
  <c r="P106" s="1"/>
  <c r="O44" i="3"/>
  <c r="AC45"/>
  <c r="O65"/>
  <c r="O109"/>
  <c r="R231" i="10"/>
  <c r="Q230"/>
  <c r="Q214"/>
  <c r="P45" i="3"/>
  <c r="AD46"/>
  <c r="P94"/>
  <c r="M113"/>
  <c r="AA78"/>
  <c r="AD54" i="4"/>
  <c r="AD47" s="1"/>
  <c r="Q35" i="8" s="1"/>
  <c r="P72"/>
  <c r="P75" s="1"/>
  <c r="Q74"/>
  <c r="R110" i="10"/>
  <c r="U71" i="3"/>
  <c r="Q99" i="8"/>
  <c r="R77" i="3"/>
  <c r="AF77" s="1"/>
  <c r="T71"/>
  <c r="P99" i="8"/>
  <c r="P90" s="1"/>
  <c r="P84" i="9"/>
  <c r="P24" s="1"/>
  <c r="O77" i="8"/>
  <c r="P88"/>
  <c r="P85" s="1"/>
  <c r="AG38" i="3"/>
  <c r="S36"/>
  <c r="AG36" s="1"/>
  <c r="Q54" i="9"/>
  <c r="Q47" s="1"/>
  <c r="AI83" i="3"/>
  <c r="P25" i="10"/>
  <c r="AI84" i="3"/>
  <c r="AI60"/>
  <c r="AC99" i="4"/>
  <c r="P104" i="8"/>
  <c r="Q88" i="10"/>
  <c r="Q73" s="1"/>
  <c r="Q72" s="1"/>
  <c r="R89"/>
  <c r="Q73" i="8"/>
  <c r="Q72" s="1"/>
  <c r="Q75" s="1"/>
  <c r="Q59"/>
  <c r="Q58" s="1"/>
  <c r="R81" i="10"/>
  <c r="Q52" i="8"/>
  <c r="Q50" s="1"/>
  <c r="R74" i="10"/>
  <c r="Q53" i="8"/>
  <c r="R52" i="10"/>
  <c r="R47" s="1"/>
  <c r="R46" s="1"/>
  <c r="AD95" i="4" s="1"/>
  <c r="Q39" i="8" s="1"/>
  <c r="N26"/>
  <c r="N21" s="1"/>
  <c r="R128" i="3"/>
  <c r="R49" i="5"/>
  <c r="S4"/>
  <c r="R17"/>
  <c r="AH81" i="3"/>
  <c r="T80"/>
  <c r="J154"/>
  <c r="J156"/>
  <c r="K146"/>
  <c r="K148"/>
  <c r="Q103"/>
  <c r="AE25"/>
  <c r="J41" i="5"/>
  <c r="J56"/>
  <c r="AD103" i="3"/>
  <c r="P90"/>
  <c r="U119"/>
  <c r="U126" s="1"/>
  <c r="T126"/>
  <c r="U80"/>
  <c r="AI81"/>
  <c r="U66"/>
  <c r="AI67"/>
  <c r="AH32"/>
  <c r="T27"/>
  <c r="AI39"/>
  <c r="N13" i="5"/>
  <c r="M12"/>
  <c r="AB86" i="4"/>
  <c r="S121" i="3"/>
  <c r="T36"/>
  <c r="AH36" s="1"/>
  <c r="AC25" i="4"/>
  <c r="P33" i="8"/>
  <c r="R25" i="3"/>
  <c r="AF26"/>
  <c r="R112"/>
  <c r="AI37"/>
  <c r="S26"/>
  <c r="AG27"/>
  <c r="K39" i="5"/>
  <c r="K52"/>
  <c r="F140" i="7"/>
  <c r="E152"/>
  <c r="M22" i="5"/>
  <c r="L134" i="3"/>
  <c r="L40" i="5"/>
  <c r="L57" s="1"/>
  <c r="L141" i="3"/>
  <c r="L144" s="1"/>
  <c r="L147" s="1"/>
  <c r="L53" i="5"/>
  <c r="I58"/>
  <c r="I59"/>
  <c r="O6"/>
  <c r="N5"/>
  <c r="N50" s="1"/>
  <c r="N129" i="3" s="1"/>
  <c r="U40"/>
  <c r="AI40" s="1"/>
  <c r="Q56" i="8"/>
  <c r="Q55" s="1"/>
  <c r="U32" i="3"/>
  <c r="AD28" i="4"/>
  <c r="AD26" s="1"/>
  <c r="Q84" i="8" s="1"/>
  <c r="Q78" s="1"/>
  <c r="AG80" i="3"/>
  <c r="S79"/>
  <c r="AG79" s="1"/>
  <c r="L51" i="5"/>
  <c r="L130" i="3" s="1"/>
  <c r="L131" s="1"/>
  <c r="L143" s="1"/>
  <c r="L18" i="5"/>
  <c r="O27" i="8"/>
  <c r="O34"/>
  <c r="O124" s="1"/>
  <c r="U33" i="3"/>
  <c r="AI33" s="1"/>
  <c r="Q90" i="8"/>
  <c r="P15" i="5"/>
  <c r="G114" i="7"/>
  <c r="C138"/>
  <c r="N22" i="8"/>
  <c r="R122" i="3"/>
  <c r="R123" s="1"/>
  <c r="R124"/>
  <c r="R125" s="1"/>
  <c r="AA102" i="4"/>
  <c r="AB92"/>
  <c r="O37" i="8"/>
  <c r="O36" s="1"/>
  <c r="AG47" i="3"/>
  <c r="T47" l="1"/>
  <c r="Q26" i="10"/>
  <c r="AC93" i="4"/>
  <c r="AD93"/>
  <c r="U47" i="3"/>
  <c r="R26" i="10"/>
  <c r="R230"/>
  <c r="R214"/>
  <c r="O110" i="3"/>
  <c r="AC65"/>
  <c r="O78"/>
  <c r="O104"/>
  <c r="AC44"/>
  <c r="AF49"/>
  <c r="R46"/>
  <c r="T75"/>
  <c r="P105" i="8"/>
  <c r="P103" s="1"/>
  <c r="P102" s="1"/>
  <c r="R147" i="10"/>
  <c r="U75" i="3" s="1"/>
  <c r="Q67" i="8"/>
  <c r="AA105" i="3"/>
  <c r="M92"/>
  <c r="Q199" i="10"/>
  <c r="P154" i="8" s="1"/>
  <c r="N91" i="3"/>
  <c r="AB104"/>
  <c r="N105"/>
  <c r="AB78"/>
  <c r="N113"/>
  <c r="O108" i="8"/>
  <c r="O109" s="1"/>
  <c r="O140" s="1"/>
  <c r="AD94" i="3"/>
  <c r="P95"/>
  <c r="P88" s="1"/>
  <c r="P87"/>
  <c r="P108"/>
  <c r="P152"/>
  <c r="P150"/>
  <c r="P44"/>
  <c r="AD45"/>
  <c r="P65"/>
  <c r="P109"/>
  <c r="Q213" i="10"/>
  <c r="T58" i="3"/>
  <c r="U52"/>
  <c r="AI52" s="1"/>
  <c r="Q107" i="8"/>
  <c r="Q106" s="1"/>
  <c r="R140" i="10"/>
  <c r="R125" s="1"/>
  <c r="Q66" i="8"/>
  <c r="Q65" s="1"/>
  <c r="Q68" s="1"/>
  <c r="AH61" i="3"/>
  <c r="T59"/>
  <c r="AH59" s="1"/>
  <c r="R205" i="10"/>
  <c r="U61" i="3"/>
  <c r="S74"/>
  <c r="AG75"/>
  <c r="AG58"/>
  <c r="S49"/>
  <c r="U64"/>
  <c r="AI64" s="1"/>
  <c r="R200" i="10"/>
  <c r="R199" s="1"/>
  <c r="Q154" i="8" s="1"/>
  <c r="Q94" i="3"/>
  <c r="Q45"/>
  <c r="AE46"/>
  <c r="T62"/>
  <c r="AH62" s="1"/>
  <c r="P77" i="8"/>
  <c r="AH71" i="3"/>
  <c r="T66"/>
  <c r="AH66" s="1"/>
  <c r="AI71"/>
  <c r="Q88" i="8"/>
  <c r="Q85" s="1"/>
  <c r="Q25" i="10"/>
  <c r="Q61" i="8"/>
  <c r="R88" i="10"/>
  <c r="R73" s="1"/>
  <c r="R72" s="1"/>
  <c r="R25" s="1"/>
  <c r="AD99" i="4"/>
  <c r="Q104" i="8"/>
  <c r="AI75" i="3"/>
  <c r="U74"/>
  <c r="N45" i="8"/>
  <c r="N113" s="1"/>
  <c r="N112" s="1"/>
  <c r="N136" s="1"/>
  <c r="N139" s="1"/>
  <c r="N138" s="1"/>
  <c r="N150" s="1"/>
  <c r="N153" s="1"/>
  <c r="N152" s="1"/>
  <c r="N155" s="1"/>
  <c r="N156" s="1"/>
  <c r="Q25" i="9"/>
  <c r="Q24" s="1"/>
  <c r="S128" i="3"/>
  <c r="T4" i="5"/>
  <c r="S49"/>
  <c r="S17"/>
  <c r="Q77" i="8"/>
  <c r="L39" i="5"/>
  <c r="L52"/>
  <c r="M132" i="3"/>
  <c r="M21" i="5"/>
  <c r="M37" s="1"/>
  <c r="K41"/>
  <c r="K56"/>
  <c r="S25" i="3"/>
  <c r="AG26"/>
  <c r="S112"/>
  <c r="P27" i="8"/>
  <c r="P34"/>
  <c r="P124" s="1"/>
  <c r="O13" i="5"/>
  <c r="N12"/>
  <c r="AI80" i="3"/>
  <c r="U79"/>
  <c r="AE103"/>
  <c r="Q90"/>
  <c r="U38"/>
  <c r="AD25" i="4"/>
  <c r="Q33" i="8"/>
  <c r="L146" i="3"/>
  <c r="L148"/>
  <c r="AI32"/>
  <c r="U27"/>
  <c r="O5" i="5"/>
  <c r="O50" s="1"/>
  <c r="O129" i="3" s="1"/>
  <c r="P6" i="5"/>
  <c r="E155" i="7"/>
  <c r="F152"/>
  <c r="R103" i="3"/>
  <c r="AF25"/>
  <c r="AC86" i="4"/>
  <c r="T121" i="3"/>
  <c r="M51" i="5"/>
  <c r="M130" i="3" s="1"/>
  <c r="M131" s="1"/>
  <c r="M143" s="1"/>
  <c r="M18" i="5"/>
  <c r="T26" i="3"/>
  <c r="AH27"/>
  <c r="J59" i="5"/>
  <c r="J58"/>
  <c r="K156" i="3"/>
  <c r="K154"/>
  <c r="AH80"/>
  <c r="T79"/>
  <c r="AH79" s="1"/>
  <c r="O26" i="8"/>
  <c r="O21" s="1"/>
  <c r="O22"/>
  <c r="O45"/>
  <c r="O113" s="1"/>
  <c r="O112" s="1"/>
  <c r="O136" s="1"/>
  <c r="O139" s="1"/>
  <c r="O138" s="1"/>
  <c r="O150" s="1"/>
  <c r="O153" s="1"/>
  <c r="O152" s="1"/>
  <c r="O155" s="1"/>
  <c r="O156" s="1"/>
  <c r="S122" i="3"/>
  <c r="S123" s="1"/>
  <c r="S124"/>
  <c r="S125" s="1"/>
  <c r="AB102" i="4"/>
  <c r="AD92"/>
  <c r="Q37" i="8"/>
  <c r="Q36" s="1"/>
  <c r="AI47" i="3"/>
  <c r="AC92" i="4"/>
  <c r="P37" i="8"/>
  <c r="P36" s="1"/>
  <c r="AH47" i="3"/>
  <c r="G138" i="7"/>
  <c r="C141"/>
  <c r="Q15" i="5"/>
  <c r="P108" i="8" l="1"/>
  <c r="P109" s="1"/>
  <c r="P140" s="1"/>
  <c r="Q95" i="3"/>
  <c r="Q88" s="1"/>
  <c r="Q87"/>
  <c r="Q108"/>
  <c r="Q152"/>
  <c r="AE94"/>
  <c r="Q150"/>
  <c r="AG74"/>
  <c r="S77"/>
  <c r="AG77" s="1"/>
  <c r="P78"/>
  <c r="P110"/>
  <c r="AD65"/>
  <c r="AD44"/>
  <c r="P104"/>
  <c r="AB105"/>
  <c r="N92"/>
  <c r="R94"/>
  <c r="R45"/>
  <c r="AF46"/>
  <c r="AC78"/>
  <c r="O113"/>
  <c r="R213" i="10"/>
  <c r="U58" i="3"/>
  <c r="AE45"/>
  <c r="Q65"/>
  <c r="Q109"/>
  <c r="Q44"/>
  <c r="AG49"/>
  <c r="S46"/>
  <c r="AI61"/>
  <c r="U59"/>
  <c r="AI59" s="1"/>
  <c r="T49"/>
  <c r="AH58"/>
  <c r="T74"/>
  <c r="AH75"/>
  <c r="O91"/>
  <c r="AC104"/>
  <c r="O105"/>
  <c r="Q105" i="8"/>
  <c r="Q103" s="1"/>
  <c r="Q102" s="1"/>
  <c r="U62" i="3"/>
  <c r="AI62" s="1"/>
  <c r="AI66"/>
  <c r="U77"/>
  <c r="T128"/>
  <c r="T49" i="5"/>
  <c r="U4"/>
  <c r="T17"/>
  <c r="P26" i="8"/>
  <c r="P21" s="1"/>
  <c r="T25" i="3"/>
  <c r="AH26"/>
  <c r="T112"/>
  <c r="M146"/>
  <c r="AF103"/>
  <c r="R90"/>
  <c r="E154" i="7"/>
  <c r="F155"/>
  <c r="AD86" i="4"/>
  <c r="U121" i="3"/>
  <c r="N18" i="5"/>
  <c r="N51"/>
  <c r="N130" i="3" s="1"/>
  <c r="N131" s="1"/>
  <c r="N143" s="1"/>
  <c r="S103"/>
  <c r="AG25"/>
  <c r="L56" i="5"/>
  <c r="L41"/>
  <c r="AI79" i="3"/>
  <c r="M52" i="5"/>
  <c r="M39"/>
  <c r="Q6"/>
  <c r="P5"/>
  <c r="P50" s="1"/>
  <c r="P129" i="3" s="1"/>
  <c r="AI27"/>
  <c r="L156"/>
  <c r="L154"/>
  <c r="Q27" i="8"/>
  <c r="Q34"/>
  <c r="Q124" s="1"/>
  <c r="AI38" i="3"/>
  <c r="U36"/>
  <c r="AI36" s="1"/>
  <c r="P13" i="5"/>
  <c r="O12"/>
  <c r="K59"/>
  <c r="K58"/>
  <c r="M141" i="3"/>
  <c r="M144" s="1"/>
  <c r="M147" s="1"/>
  <c r="M53" i="5"/>
  <c r="N22"/>
  <c r="M134" i="3"/>
  <c r="M40" i="5"/>
  <c r="M57" s="1"/>
  <c r="R15"/>
  <c r="C140" i="7"/>
  <c r="G141"/>
  <c r="P22" i="8"/>
  <c r="P45"/>
  <c r="P113" s="1"/>
  <c r="P112" s="1"/>
  <c r="P136" s="1"/>
  <c r="P139" s="1"/>
  <c r="P138" s="1"/>
  <c r="P150" s="1"/>
  <c r="P153" s="1"/>
  <c r="P152" s="1"/>
  <c r="P155" s="1"/>
  <c r="P156" s="1"/>
  <c r="T122" i="3"/>
  <c r="T123" s="1"/>
  <c r="T124"/>
  <c r="T125" s="1"/>
  <c r="AC102" i="4"/>
  <c r="U122" i="3"/>
  <c r="U124"/>
  <c r="U125" s="1"/>
  <c r="AD102" i="4"/>
  <c r="Q108" i="8" l="1"/>
  <c r="Q109" s="1"/>
  <c r="Q140" s="1"/>
  <c r="Q22"/>
  <c r="S94" i="3"/>
  <c r="S45"/>
  <c r="AG46"/>
  <c r="AE44"/>
  <c r="Q104"/>
  <c r="Q78"/>
  <c r="Q110"/>
  <c r="AE65"/>
  <c r="AI58"/>
  <c r="U49"/>
  <c r="R87"/>
  <c r="R108"/>
  <c r="R152"/>
  <c r="AF94"/>
  <c r="R95"/>
  <c r="R88" s="1"/>
  <c r="R150"/>
  <c r="AC105"/>
  <c r="O92"/>
  <c r="AH74"/>
  <c r="T77"/>
  <c r="AH77" s="1"/>
  <c r="AH49"/>
  <c r="T46"/>
  <c r="AI74"/>
  <c r="R65"/>
  <c r="R109"/>
  <c r="R44"/>
  <c r="AF45"/>
  <c r="AD104"/>
  <c r="P105"/>
  <c r="P91"/>
  <c r="AD78"/>
  <c r="P113"/>
  <c r="U123"/>
  <c r="U128"/>
  <c r="U49" i="5"/>
  <c r="U17"/>
  <c r="N132" i="3"/>
  <c r="N21" i="5"/>
  <c r="N37" s="1"/>
  <c r="Q13"/>
  <c r="P12"/>
  <c r="Q5"/>
  <c r="Q50" s="1"/>
  <c r="Q129" i="3" s="1"/>
  <c r="R6" i="5"/>
  <c r="N146" i="3"/>
  <c r="T103"/>
  <c r="AH25"/>
  <c r="Q26" i="8"/>
  <c r="U26" i="3"/>
  <c r="O18" i="5"/>
  <c r="O51"/>
  <c r="O130" i="3" s="1"/>
  <c r="O131" s="1"/>
  <c r="O143" s="1"/>
  <c r="M56" i="5"/>
  <c r="M41"/>
  <c r="L59"/>
  <c r="L58"/>
  <c r="AG103" i="3"/>
  <c r="S90"/>
  <c r="N52" i="5"/>
  <c r="N39"/>
  <c r="F154" i="7"/>
  <c r="E157"/>
  <c r="M148" i="3"/>
  <c r="G140" i="7"/>
  <c r="C152"/>
  <c r="S15" i="5"/>
  <c r="P92" i="3" l="1"/>
  <c r="AD105"/>
  <c r="AE104"/>
  <c r="Q105"/>
  <c r="Q91"/>
  <c r="S87"/>
  <c r="S108"/>
  <c r="S152"/>
  <c r="AG94"/>
  <c r="S95"/>
  <c r="S88" s="1"/>
  <c r="S150"/>
  <c r="R104"/>
  <c r="AF44"/>
  <c r="AF65"/>
  <c r="R78"/>
  <c r="R110"/>
  <c r="T45"/>
  <c r="AH46"/>
  <c r="T94"/>
  <c r="AI49"/>
  <c r="U46"/>
  <c r="AE78"/>
  <c r="Q113"/>
  <c r="AG45"/>
  <c r="S65"/>
  <c r="S109"/>
  <c r="S44"/>
  <c r="AI77"/>
  <c r="F157" i="7"/>
  <c r="E158"/>
  <c r="F158" s="1"/>
  <c r="N56" i="5"/>
  <c r="M154" i="3"/>
  <c r="M156"/>
  <c r="M58" i="5"/>
  <c r="M59"/>
  <c r="O39"/>
  <c r="O52"/>
  <c r="Q21" i="8"/>
  <c r="Q45"/>
  <c r="Q113" s="1"/>
  <c r="Q112" s="1"/>
  <c r="Q136" s="1"/>
  <c r="Q139" s="1"/>
  <c r="Q138" s="1"/>
  <c r="Q150" s="1"/>
  <c r="Q153" s="1"/>
  <c r="Q152" s="1"/>
  <c r="Q155" s="1"/>
  <c r="Q156" s="1"/>
  <c r="AH103" i="3"/>
  <c r="T90"/>
  <c r="R13" i="5"/>
  <c r="Q12"/>
  <c r="O146" i="3"/>
  <c r="U25"/>
  <c r="AI26"/>
  <c r="U112"/>
  <c r="U94"/>
  <c r="S6" i="5"/>
  <c r="R5"/>
  <c r="R50" s="1"/>
  <c r="R129" i="3" s="1"/>
  <c r="P51" i="5"/>
  <c r="P130" i="3" s="1"/>
  <c r="P131" s="1"/>
  <c r="P143" s="1"/>
  <c r="P18" i="5"/>
  <c r="O22"/>
  <c r="N134" i="3"/>
  <c r="N40" i="5"/>
  <c r="N57" s="1"/>
  <c r="N141" i="3"/>
  <c r="N144" s="1"/>
  <c r="N53" i="5"/>
  <c r="T15"/>
  <c r="G152" i="7"/>
  <c r="C155"/>
  <c r="R105" i="3" l="1"/>
  <c r="AF104"/>
  <c r="R91"/>
  <c r="Q92"/>
  <c r="AE105"/>
  <c r="AG44"/>
  <c r="S104"/>
  <c r="AG65"/>
  <c r="S78"/>
  <c r="S110"/>
  <c r="AI46"/>
  <c r="U45"/>
  <c r="AH94"/>
  <c r="T150"/>
  <c r="T87"/>
  <c r="T108"/>
  <c r="T152"/>
  <c r="T95"/>
  <c r="T88" s="1"/>
  <c r="T65"/>
  <c r="T109"/>
  <c r="T44"/>
  <c r="AH45"/>
  <c r="AF78"/>
  <c r="R113"/>
  <c r="N147"/>
  <c r="N148"/>
  <c r="U87"/>
  <c r="AI94"/>
  <c r="U95"/>
  <c r="U88" s="1"/>
  <c r="U150"/>
  <c r="U108"/>
  <c r="U152"/>
  <c r="Q18" i="5"/>
  <c r="Q51"/>
  <c r="Q130" i="3" s="1"/>
  <c r="Q131" s="1"/>
  <c r="Q143" s="1"/>
  <c r="O132"/>
  <c r="O21" i="5"/>
  <c r="O37" s="1"/>
  <c r="P146" i="3"/>
  <c r="S5" i="5"/>
  <c r="S50" s="1"/>
  <c r="S129" i="3" s="1"/>
  <c r="T6" i="5"/>
  <c r="U103" i="3"/>
  <c r="AI25"/>
  <c r="S13" i="5"/>
  <c r="R12"/>
  <c r="R51" s="1"/>
  <c r="R130" i="3" s="1"/>
  <c r="R131" s="1"/>
  <c r="R143" s="1"/>
  <c r="R146" s="1"/>
  <c r="O56" i="5"/>
  <c r="N41"/>
  <c r="P52"/>
  <c r="P39"/>
  <c r="N58"/>
  <c r="N59"/>
  <c r="C154" i="7"/>
  <c r="G155"/>
  <c r="U15" i="5"/>
  <c r="U44" i="3" l="1"/>
  <c r="U65"/>
  <c r="U109"/>
  <c r="AI45"/>
  <c r="T104"/>
  <c r="AH44"/>
  <c r="T110"/>
  <c r="AH65"/>
  <c r="T78"/>
  <c r="AG78"/>
  <c r="S113"/>
  <c r="S91"/>
  <c r="AG104"/>
  <c r="S105"/>
  <c r="AF105"/>
  <c r="R92"/>
  <c r="P56" i="5"/>
  <c r="U6"/>
  <c r="U5" s="1"/>
  <c r="U50" s="1"/>
  <c r="U129" i="3" s="1"/>
  <c r="T5" i="5"/>
  <c r="T50" s="1"/>
  <c r="T129" i="3" s="1"/>
  <c r="O141"/>
  <c r="O144" s="1"/>
  <c r="O53" i="5"/>
  <c r="P22"/>
  <c r="O134" i="3"/>
  <c r="O40" i="5"/>
  <c r="T13"/>
  <c r="S12"/>
  <c r="AI103" i="3"/>
  <c r="U90"/>
  <c r="Q52" i="5"/>
  <c r="Q39"/>
  <c r="R18"/>
  <c r="Q146" i="3"/>
  <c r="N154"/>
  <c r="N156"/>
  <c r="G154" i="7"/>
  <c r="C157"/>
  <c r="S92" i="3" l="1"/>
  <c r="AG105"/>
  <c r="AI65"/>
  <c r="U78"/>
  <c r="U110"/>
  <c r="AH78"/>
  <c r="T113"/>
  <c r="T105"/>
  <c r="AH104"/>
  <c r="T91"/>
  <c r="AI44"/>
  <c r="U104"/>
  <c r="Q56" i="5"/>
  <c r="S51"/>
  <c r="S130" i="3" s="1"/>
  <c r="S131" s="1"/>
  <c r="S143" s="1"/>
  <c r="S18" i="5"/>
  <c r="O57"/>
  <c r="O41"/>
  <c r="P132" i="3"/>
  <c r="P21" i="5"/>
  <c r="P37" s="1"/>
  <c r="O147" i="3"/>
  <c r="O148"/>
  <c r="R52" i="5"/>
  <c r="R39"/>
  <c r="U13"/>
  <c r="U12" s="1"/>
  <c r="T12"/>
  <c r="T51" s="1"/>
  <c r="T130" i="3" s="1"/>
  <c r="T131" s="1"/>
  <c r="T143" s="1"/>
  <c r="T146" s="1"/>
  <c r="G157" i="7"/>
  <c r="C158"/>
  <c r="G158" s="1"/>
  <c r="U105" i="3" l="1"/>
  <c r="U91"/>
  <c r="AI104"/>
  <c r="T92"/>
  <c r="AH105"/>
  <c r="U113"/>
  <c r="AI78"/>
  <c r="U18" i="5"/>
  <c r="U51"/>
  <c r="U130" i="3" s="1"/>
  <c r="U131" s="1"/>
  <c r="U143" s="1"/>
  <c r="O154"/>
  <c r="O156"/>
  <c r="R56" i="5"/>
  <c r="O58"/>
  <c r="O59"/>
  <c r="S146" i="3"/>
  <c r="T18" i="5"/>
  <c r="Q22"/>
  <c r="P134" i="3"/>
  <c r="P40" i="5"/>
  <c r="P141" i="3"/>
  <c r="P144" s="1"/>
  <c r="P53" i="5"/>
  <c r="S52"/>
  <c r="S39"/>
  <c r="U92" i="3" l="1"/>
  <c r="AI105"/>
  <c r="P147"/>
  <c r="P148"/>
  <c r="T52" i="5"/>
  <c r="T39"/>
  <c r="U39"/>
  <c r="U52"/>
  <c r="S56"/>
  <c r="P57"/>
  <c r="P41"/>
  <c r="Q132" i="3"/>
  <c r="Q21" i="5"/>
  <c r="Q37" s="1"/>
  <c r="U146" i="3"/>
  <c r="T56" i="5" l="1"/>
  <c r="P59"/>
  <c r="P58"/>
  <c r="U56"/>
  <c r="Q141" i="3"/>
  <c r="Q144" s="1"/>
  <c r="Q53" i="5"/>
  <c r="R22"/>
  <c r="Q134" i="3"/>
  <c r="Q40" i="5"/>
  <c r="P156" i="3"/>
  <c r="P154"/>
  <c r="Q57" i="5" l="1"/>
  <c r="Q41"/>
  <c r="R132" i="3"/>
  <c r="R21" i="5"/>
  <c r="R37" s="1"/>
  <c r="Q147" i="3"/>
  <c r="Q148"/>
  <c r="Q154" l="1"/>
  <c r="Q156"/>
  <c r="S22" i="5"/>
  <c r="R134" i="3"/>
  <c r="R40" i="5"/>
  <c r="R141" i="3"/>
  <c r="R144" s="1"/>
  <c r="R53" i="5"/>
  <c r="Q59"/>
  <c r="Q58"/>
  <c r="R147" i="3" l="1"/>
  <c r="R148"/>
  <c r="R57" i="5"/>
  <c r="R41"/>
  <c r="S132" i="3"/>
  <c r="S21" i="5"/>
  <c r="S37" s="1"/>
  <c r="S141" i="3" l="1"/>
  <c r="S144" s="1"/>
  <c r="S53" i="5"/>
  <c r="T22"/>
  <c r="S134" i="3"/>
  <c r="S40" i="5"/>
  <c r="R156" i="3"/>
  <c r="R154"/>
  <c r="R58" i="5"/>
  <c r="R59"/>
  <c r="S57" l="1"/>
  <c r="S41"/>
  <c r="T132" i="3"/>
  <c r="T21" i="5"/>
  <c r="T37" s="1"/>
  <c r="S147" i="3"/>
  <c r="S148"/>
  <c r="S156" l="1"/>
  <c r="S154"/>
  <c r="U22" i="5"/>
  <c r="T134" i="3"/>
  <c r="T40" i="5"/>
  <c r="T141" i="3"/>
  <c r="T144" s="1"/>
  <c r="T53" i="5"/>
  <c r="S59"/>
  <c r="S58"/>
  <c r="T147" i="3" l="1"/>
  <c r="T148"/>
  <c r="T57" i="5"/>
  <c r="T41"/>
  <c r="U21"/>
  <c r="U37" s="1"/>
  <c r="U132" i="3"/>
  <c r="T156" l="1"/>
  <c r="T154"/>
  <c r="U134"/>
  <c r="U141"/>
  <c r="U144" s="1"/>
  <c r="U53" i="5"/>
  <c r="U40"/>
  <c r="T59"/>
  <c r="T58"/>
  <c r="U57" l="1"/>
  <c r="U41"/>
  <c r="U147" i="3"/>
  <c r="U148"/>
  <c r="U156" l="1"/>
  <c r="U154"/>
  <c r="U58" i="5"/>
  <c r="U59"/>
</calcChain>
</file>

<file path=xl/comments1.xml><?xml version="1.0" encoding="utf-8"?>
<comments xmlns="http://schemas.openxmlformats.org/spreadsheetml/2006/main">
  <authors>
    <author>minhacienda</author>
    <author>avalenzu</author>
    <author>Un usuario de Microsoft Office satisfecho</author>
  </authors>
  <commentList>
    <comment ref="B8" authorId="0">
      <text>
        <r>
          <rPr>
            <b/>
            <sz val="8"/>
            <color indexed="81"/>
            <rFont val="Tahoma"/>
          </rPr>
          <t>avlenzu:</t>
        </r>
        <r>
          <rPr>
            <sz val="8"/>
            <color indexed="81"/>
            <rFont val="Tahoma"/>
          </rPr>
          <t xml:space="preserve">
DIGITAR EL NOMBRE DEL MUNICIPIO</t>
        </r>
      </text>
    </comment>
    <comment ref="B10" authorId="1">
      <text>
        <r>
          <rPr>
            <b/>
            <sz val="8"/>
            <color indexed="81"/>
            <rFont val="Tahoma"/>
          </rPr>
          <t>avalenzu:</t>
        </r>
        <r>
          <rPr>
            <sz val="8"/>
            <color indexed="81"/>
            <rFont val="Tahoma"/>
          </rPr>
          <t xml:space="preserve">
- ESCOGER DE LA LISTA LA VIGENCIA FISCAL PARA LA CUAL SE REPORTA INFORMACION.</t>
        </r>
      </text>
    </comment>
    <comment ref="E10" authorId="1">
      <text>
        <r>
          <rPr>
            <b/>
            <sz val="8"/>
            <color indexed="81"/>
            <rFont val="Tahoma"/>
          </rPr>
          <t>avalenzu:</t>
        </r>
        <r>
          <rPr>
            <sz val="8"/>
            <color indexed="81"/>
            <rFont val="Tahoma"/>
          </rPr>
          <t xml:space="preserve">
- ESCOGER DE LA LISTA EL NUMERO DEL MES QUE SE REPORTA INFORMACION, DONDE ENERO ES 1, FEBRERO 2, …. DICIEMBRE 12. 
- SI ES AÑO COMPLETO ESCOGER EL CERO (0) </t>
        </r>
      </text>
    </comment>
    <comment ref="B12" authorId="1">
      <text>
        <r>
          <rPr>
            <b/>
            <sz val="8"/>
            <color indexed="81"/>
            <rFont val="Tahoma"/>
          </rPr>
          <t>avalenzu:</t>
        </r>
        <r>
          <rPr>
            <sz val="8"/>
            <color indexed="81"/>
            <rFont val="Tahoma"/>
          </rPr>
          <t xml:space="preserve">
- ESCOGER DE LA LISTA LA CATEGORIA DEL MUNICIPIO CORRESPONSIENTE PARA LA VIGENCIA FISCAL QUE SE REPORTA INFORMACION.
- LA CATEGORIA ESPECIAL = 0
</t>
        </r>
      </text>
    </comment>
    <comment ref="B17" authorId="1">
      <text>
        <r>
          <rPr>
            <b/>
            <sz val="8"/>
            <color indexed="81"/>
            <rFont val="Tahoma"/>
          </rPr>
          <t>avalenzu:</t>
        </r>
        <r>
          <rPr>
            <sz val="8"/>
            <color indexed="81"/>
            <rFont val="Tahoma"/>
          </rPr>
          <t xml:space="preserve">
ESTE CAMPO ES OBLIGATORIO</t>
        </r>
      </text>
    </comment>
    <comment ref="I21" authorId="1">
      <text>
        <r>
          <rPr>
            <b/>
            <sz val="8"/>
            <color indexed="81"/>
            <rFont val="Tahoma"/>
          </rPr>
          <t>avalenzu:</t>
        </r>
        <r>
          <rPr>
            <sz val="8"/>
            <color indexed="81"/>
            <rFont val="Tahoma"/>
          </rPr>
          <t xml:space="preserve">
ESTE CAMPO ES OBLIGATORIO.
POR FAVOR DIGITE LA FECHA (DIA-MES-AÑO)  EN QUE INICIA EL PROCESO DE  ANALISIS DE LA INFORMACION.
RECUERDE QUE COMO MINIMO LA FECHA DEBE SER LA DEL AÑO ANTERIOR AL QUE SE ESCOGIO EN LA CELDA B10, PERO NO IGUAL.
POR EJEMPLO SI EN LA CELDA B10  ESCOGIO 2005, AQUI COMO MINIMO DEBE INICIAR CON ELAÑO 2004 O ANTERIORES</t>
        </r>
      </text>
    </comment>
    <comment ref="A22" authorId="1">
      <text>
        <r>
          <rPr>
            <b/>
            <sz val="8"/>
            <color indexed="81"/>
            <rFont val="Tahoma"/>
          </rPr>
          <t>avalenzu:</t>
        </r>
        <r>
          <rPr>
            <sz val="8"/>
            <color indexed="81"/>
            <rFont val="Tahoma"/>
          </rPr>
          <t xml:space="preserve">
- HACER CLIC CON EL MOUSE EN EL CUADRO DEL FRENTE Y SELECCIONAR OPCION</t>
        </r>
      </text>
    </comment>
    <comment ref="D22" authorId="1">
      <text>
        <r>
          <rPr>
            <b/>
            <sz val="8"/>
            <color indexed="81"/>
            <rFont val="Tahoma"/>
          </rPr>
          <t>avalenzu:</t>
        </r>
        <r>
          <rPr>
            <sz val="8"/>
            <color indexed="81"/>
            <rFont val="Tahoma"/>
          </rPr>
          <t xml:space="preserve">
- ESTE CAMPO ES OBLIGATORIO
- ESCOGER DE LA LISTA SI CUANDO LA E.T ESTA EN LEY 550/99.
- ESCOGER NO CUANDO E.T ADELANTA PROCESO DISTINTO A LEY 550/99</t>
        </r>
      </text>
    </comment>
    <comment ref="C25" authorId="1">
      <text>
        <r>
          <rPr>
            <b/>
            <sz val="8"/>
            <color indexed="81"/>
            <rFont val="Tahoma"/>
          </rPr>
          <t>avalenzu:</t>
        </r>
        <r>
          <rPr>
            <sz val="8"/>
            <color indexed="81"/>
            <rFont val="Tahoma"/>
          </rPr>
          <t xml:space="preserve">
LA INFORMACION DE ESTA COLUMNA SE DIGITA EN LA HOJA "INGRESOS PROYECCIONES"</t>
        </r>
      </text>
    </comment>
    <comment ref="D25" authorId="1">
      <text>
        <r>
          <rPr>
            <b/>
            <sz val="8"/>
            <color indexed="81"/>
            <rFont val="Tahoma"/>
          </rPr>
          <t>avalenzu:</t>
        </r>
        <r>
          <rPr>
            <sz val="8"/>
            <color indexed="81"/>
            <rFont val="Tahoma"/>
          </rPr>
          <t xml:space="preserve">
DIGITAR TODA LA INFORMACION EN MILLONES DE PESOS</t>
        </r>
      </text>
    </comment>
    <comment ref="J25" authorId="1">
      <text>
        <r>
          <rPr>
            <b/>
            <sz val="8"/>
            <color indexed="81"/>
            <rFont val="Tahoma"/>
          </rPr>
          <t>avalenzu:</t>
        </r>
        <r>
          <rPr>
            <sz val="8"/>
            <color indexed="81"/>
            <rFont val="Tahoma"/>
          </rPr>
          <t xml:space="preserve">
ESTA INFORMACION CORRESPONDE A LA EJECUCION DE INGRESOS ACUMULADOS HASTA EL MISMO MES DEL AÑO ANTERIOR AL QUE SE REPORTA INFORMACION</t>
        </r>
      </text>
    </comment>
    <comment ref="M25" authorId="1">
      <text>
        <r>
          <rPr>
            <b/>
            <sz val="8"/>
            <color indexed="81"/>
            <rFont val="Tahoma"/>
          </rPr>
          <t>avalenzu:</t>
        </r>
        <r>
          <rPr>
            <sz val="8"/>
            <color indexed="81"/>
            <rFont val="Tahoma"/>
          </rPr>
          <t xml:space="preserve">
- ESTA INFORMACION CORRESPONDE A LA DEL CIERRE DE LA VIGENCIA ANTERIOR A LA QUE SE ESCOGIO EN LA CELDA B10 Y SE DEBE DIGITAR EN LA COLUMNA CORRESPONDIENTE EN LA HOJA INGRESOS PROYECCIONES.
RECUERDE QUE LA VIGENCIA DE INICIO DEL ANALISIS, DEBE SER POR LO MENOS DE TRES VIGENCIAS ANTERIORES A LA ACTUAL Y EN TODO CASO, LA FECHA DE INICIO  NO PUEDE SER IGUAL A LA DE LA VIGENCIA ACTUAL. COMO MINIMO PUEDE SER LA VIGENCIA ANTERIOR.
POR EJEMPLO: SI EN LA CELDA B10 SE ESCOGIO 2005, EN ESTA COLUMNA SE RELACIONA LA INFORMACION DEL VIGENCIA 2004. PARA ELLO DEBE IR A LA HOJA INGRESOS PROYECCIONES Y DIGITAR EN LA COLUMNA CORRESPONDIENTE PARA EL 2004, LA INFORMACION DE INGRESOS.
EN ESTE CASO DEL EJEMPLO, EN LA CELDA I21 COMO MINIMO SE DEBE INDICAR QUE SE INICIA DESDE EL 2004 PARA QUE APAREZCAN RESULTADOS EN ESTA COLUMNA. </t>
        </r>
      </text>
    </comment>
    <comment ref="A32" authorId="2">
      <text>
        <r>
          <rPr>
            <sz val="8"/>
            <color indexed="81"/>
            <rFont val="Tahoma"/>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6" authorId="2">
      <text>
        <r>
          <rPr>
            <sz val="8"/>
            <color indexed="81"/>
            <rFont val="Tahoma"/>
          </rPr>
          <t xml:space="preserve">En el formato de la Contraloría, este código corresponde al rubro Juegos de Suerte y Azar.   En la medida que la nominación legal es Rifas y Apuestas se utiliza este último nombre para el rubro.
</t>
        </r>
      </text>
    </comment>
    <comment ref="A40" authorId="2">
      <text>
        <r>
          <rPr>
            <sz val="8"/>
            <color indexed="81"/>
            <rFont val="Tahoma"/>
          </rPr>
          <t>La ley establece este tributo como un impuesto.   Por esta razón no se sigue la clasificación de la Contraloría que lo ubica como una tasa.</t>
        </r>
      </text>
    </comment>
    <comment ref="A41" authorId="2">
      <text>
        <r>
          <rPr>
            <sz val="8"/>
            <color indexed="81"/>
            <rFont val="Tahoma"/>
          </rPr>
          <t>En el formato de la Contraloría, este rubro aparece como una participación del nivel central nacional.</t>
        </r>
      </text>
    </comment>
    <comment ref="A50" authorId="2">
      <text>
        <r>
          <rPr>
            <sz val="8"/>
            <color indexed="81"/>
            <rFont val="Tahoma"/>
          </rPr>
          <t xml:space="preserve">Recoge los rubros del Formato de la Contraloría, que van desde el código 11201 hasta el 1120498.
</t>
        </r>
      </text>
    </comment>
    <comment ref="A57" authorId="2">
      <text>
        <r>
          <rPr>
            <sz val="8"/>
            <color indexed="81"/>
            <rFont val="Tahoma"/>
          </rPr>
          <t xml:space="preserve">Recoge los rubros del formato de la Contraloría que van desde 11205 hasta el 11205020498.
</t>
        </r>
      </text>
    </comment>
    <comment ref="A66" authorId="2">
      <text>
        <r>
          <rPr>
            <sz val="8"/>
            <color indexed="81"/>
            <rFont val="Tahoma"/>
          </rPr>
          <t xml:space="preserve">Sumatoria Subsidio Demanda y Subsidio Oferta (Formato CGR)
</t>
        </r>
      </text>
    </comment>
    <comment ref="A72" authorId="2">
      <text>
        <r>
          <rPr>
            <sz val="8"/>
            <color indexed="81"/>
            <rFont val="Tahoma"/>
          </rPr>
          <t xml:space="preserve">Estos rubros (alimentación Escolar y Municipios Ribereños) no aparecen discriminados en el formato de la Contraloría.
</t>
        </r>
      </text>
    </comment>
    <comment ref="A80" authorId="2">
      <text>
        <r>
          <rPr>
            <sz val="8"/>
            <color indexed="81"/>
            <rFont val="Tahoma"/>
          </rPr>
          <t xml:space="preserve">Este rubro en el Formato de la Contraloría, aparece como una participación.
</t>
        </r>
      </text>
    </comment>
    <comment ref="A89" authorId="2">
      <text>
        <r>
          <rPr>
            <sz val="8"/>
            <color indexed="81"/>
            <rFont val="Tahoma"/>
          </rPr>
          <t xml:space="preserve">El  formato de la Contraloría considera este rubro como ingreso corriente.
</t>
        </r>
      </text>
    </comment>
    <comment ref="A178" authorId="1">
      <text>
        <r>
          <rPr>
            <b/>
            <sz val="8"/>
            <color indexed="81"/>
            <rFont val="Tahoma"/>
          </rPr>
          <t>avalenzu:</t>
        </r>
        <r>
          <rPr>
            <sz val="8"/>
            <color indexed="81"/>
            <rFont val="Tahoma"/>
          </rPr>
          <t xml:space="preserve">
ESTA VERSION INCLUYE LOS SIGUIENTES ASPECTOS:
1.- APLICACIÓN ART. 49 LEY 863 DE 2003.
2.- PROYECCION DE LA CAPACIDAD DE PAGO (LEY 819/03) INDEXANDO EJECUCIONES
3.- ANALISIS DE INDICADORES LEY 617/00, LEY 358/97 Y LEY 819/03 EN LA HOJA DE BALANCE FINANCIERO.</t>
        </r>
      </text>
    </comment>
  </commentList>
</comments>
</file>

<file path=xl/comments10.xml><?xml version="1.0" encoding="utf-8"?>
<comments xmlns="http://schemas.openxmlformats.org/spreadsheetml/2006/main">
  <authors>
    <author>avalenzu</author>
    <author>Findeter S. A.</author>
  </authors>
  <commentList>
    <comment ref="C53" authorId="0">
      <text>
        <r>
          <rPr>
            <b/>
            <sz val="8"/>
            <color indexed="81"/>
            <rFont val="Tahoma"/>
          </rPr>
          <t>avalenzu:</t>
        </r>
        <r>
          <rPr>
            <sz val="8"/>
            <color indexed="81"/>
            <rFont val="Tahoma"/>
          </rPr>
          <t xml:space="preserve">
PROYECTAR EL VALOR CORRESPONDIENTE A LA APLICACIÓN DEL ARTICULO 49 DE LA LEY 863/03, TOMANDO COMO BASE EL VALOR CETIFICADO POR EL DNP Y QUE EQUIVALE AL 10% DEL SGP - FORZOSA INVERSION CUANDO LA ENTIDAD NO ESTA EN LEY 550/99 Y AUN ESTANDO EN LEY 550/99 NO TIENE REORIENTADO EL 49% DE OTROS SECTORES.</t>
        </r>
      </text>
    </comment>
    <comment ref="A75" authorId="1">
      <text>
        <r>
          <rPr>
            <sz val="8"/>
            <color indexed="81"/>
            <rFont val="Tahoma"/>
          </rPr>
          <t xml:space="preserve">corresponde a la suma de las siguientes variables del formato CGR: 2231001,2231004 
</t>
        </r>
      </text>
    </comment>
    <comment ref="A80" authorId="1">
      <text>
        <r>
          <rPr>
            <sz val="8"/>
            <color indexed="81"/>
            <rFont val="Tahoma"/>
          </rPr>
          <t xml:space="preserve">Corresponde a la suma de las siguientes variables del formato de la CGR: 231005;2231006;2231010;2231011;2231014;2231098
</t>
        </r>
      </text>
    </comment>
  </commentList>
</comments>
</file>

<file path=xl/comments11.xml><?xml version="1.0" encoding="utf-8"?>
<comments xmlns="http://schemas.openxmlformats.org/spreadsheetml/2006/main">
  <authors>
    <author>avalenzu</author>
    <author>abuitrag</author>
  </authors>
  <commentList>
    <comment ref="C5" authorId="0">
      <text>
        <r>
          <rPr>
            <b/>
            <sz val="8"/>
            <color indexed="81"/>
            <rFont val="Tahoma"/>
          </rPr>
          <t>avalenzu:</t>
        </r>
        <r>
          <rPr>
            <sz val="8"/>
            <color indexed="81"/>
            <rFont val="Tahoma"/>
          </rPr>
          <t xml:space="preserve">
DIGITAR EN MILLONES DE $ EL VALOR DE ICLD PARA LA VIGENCIA.</t>
        </r>
      </text>
    </comment>
    <comment ref="D5" authorId="0">
      <text>
        <r>
          <rPr>
            <b/>
            <sz val="8"/>
            <color indexed="81"/>
            <rFont val="Tahoma"/>
          </rPr>
          <t>avalenzu:</t>
        </r>
        <r>
          <rPr>
            <sz val="8"/>
            <color indexed="81"/>
            <rFont val="Tahoma"/>
          </rPr>
          <t xml:space="preserve">
ESTE VALOR ES AUTOMATICO DE LAS EJECUCIONES Y LA HOJA LEY 617.</t>
        </r>
      </text>
    </comment>
    <comment ref="C6" authorId="0">
      <text>
        <r>
          <rPr>
            <b/>
            <sz val="8"/>
            <color indexed="81"/>
            <rFont val="Tahoma"/>
          </rPr>
          <t>avalenzu:</t>
        </r>
        <r>
          <rPr>
            <sz val="8"/>
            <color indexed="81"/>
            <rFont val="Tahoma"/>
          </rPr>
          <t xml:space="preserve">
DIGITAR EN MILLONES DE $ EL VALOR DE LOS GASTOS DE FUNCIONAMIENTO PARA LA VIGENCIA.</t>
        </r>
      </text>
    </comment>
    <comment ref="D6" authorId="0">
      <text>
        <r>
          <rPr>
            <b/>
            <sz val="8"/>
            <color indexed="81"/>
            <rFont val="Tahoma"/>
          </rPr>
          <t>avalenzu:</t>
        </r>
        <r>
          <rPr>
            <sz val="8"/>
            <color indexed="81"/>
            <rFont val="Tahoma"/>
          </rPr>
          <t xml:space="preserve">
ESTE VALOR ES AUTOMATICO DE LAS EJECUCIONES Y LA HOJA LEY 617.</t>
        </r>
      </text>
    </comment>
    <comment ref="D8" authorId="0">
      <text>
        <r>
          <rPr>
            <b/>
            <sz val="8"/>
            <color indexed="81"/>
            <rFont val="Tahoma"/>
          </rPr>
          <t>avalenzu:</t>
        </r>
        <r>
          <rPr>
            <sz val="8"/>
            <color indexed="81"/>
            <rFont val="Tahoma"/>
          </rPr>
          <t xml:space="preserve">
ESTE DATO ES AUTOMATICO SEGÚN VIGENCIA Y CATEGORIA</t>
        </r>
      </text>
    </comment>
    <comment ref="C16" authorId="0">
      <text>
        <r>
          <rPr>
            <b/>
            <sz val="8"/>
            <color indexed="81"/>
            <rFont val="Tahoma"/>
          </rPr>
          <t>avalenzu:</t>
        </r>
        <r>
          <rPr>
            <sz val="8"/>
            <color indexed="81"/>
            <rFont val="Tahoma"/>
          </rPr>
          <t xml:space="preserve">
DIGITAR LA CATEGORIA PARA ESTA VIGENCIA.</t>
        </r>
      </text>
    </comment>
    <comment ref="D16" authorId="0">
      <text>
        <r>
          <rPr>
            <b/>
            <sz val="8"/>
            <color indexed="81"/>
            <rFont val="Tahoma"/>
          </rPr>
          <t>avalenzu:</t>
        </r>
        <r>
          <rPr>
            <sz val="8"/>
            <color indexed="81"/>
            <rFont val="Tahoma"/>
          </rPr>
          <t xml:space="preserve">
ESTE DATO ES AUTOMATICO SEGÚN CATEGORIA INDICADA EN LA HOJA DE INGRESOS</t>
        </r>
      </text>
    </comment>
    <comment ref="C17" authorId="0">
      <text>
        <r>
          <rPr>
            <b/>
            <sz val="8"/>
            <color indexed="81"/>
            <rFont val="Tahoma"/>
          </rPr>
          <t>avalenzu:</t>
        </r>
        <r>
          <rPr>
            <sz val="8"/>
            <color indexed="81"/>
            <rFont val="Tahoma"/>
          </rPr>
          <t xml:space="preserve">
DIGITAR EL NUMERO DE CONCEJALES </t>
        </r>
      </text>
    </comment>
    <comment ref="D17" authorId="0">
      <text>
        <r>
          <rPr>
            <b/>
            <sz val="8"/>
            <color indexed="81"/>
            <rFont val="Tahoma"/>
          </rPr>
          <t>avalenzu:</t>
        </r>
        <r>
          <rPr>
            <sz val="8"/>
            <color indexed="81"/>
            <rFont val="Tahoma"/>
          </rPr>
          <t xml:space="preserve">
DIGITAR EL NUMERO DE CONCEJALES.</t>
        </r>
      </text>
    </comment>
    <comment ref="C18" authorId="0">
      <text>
        <r>
          <rPr>
            <b/>
            <sz val="8"/>
            <color indexed="81"/>
            <rFont val="Tahoma"/>
          </rPr>
          <t>avalenzu:</t>
        </r>
        <r>
          <rPr>
            <sz val="8"/>
            <color indexed="81"/>
            <rFont val="Tahoma"/>
          </rPr>
          <t xml:space="preserve">
DIGITAR EL NUMERO DE SESIONES MAXIMAS PARA EL AÑO.</t>
        </r>
      </text>
    </comment>
    <comment ref="D18" authorId="0">
      <text>
        <r>
          <rPr>
            <b/>
            <sz val="8"/>
            <color indexed="81"/>
            <rFont val="Tahoma"/>
          </rPr>
          <t>avalenzu:</t>
        </r>
        <r>
          <rPr>
            <sz val="8"/>
            <color indexed="81"/>
            <rFont val="Tahoma"/>
          </rPr>
          <t xml:space="preserve">
DIGITAR EL NUMERO MAXIMO DE SESIONE PARA EL AÑO</t>
        </r>
      </text>
    </comment>
    <comment ref="C19" authorId="0">
      <text>
        <r>
          <rPr>
            <b/>
            <sz val="8"/>
            <color indexed="81"/>
            <rFont val="Tahoma"/>
          </rPr>
          <t>avalenzu:</t>
        </r>
        <r>
          <rPr>
            <sz val="8"/>
            <color indexed="81"/>
            <rFont val="Tahoma"/>
          </rPr>
          <t xml:space="preserve">
DIGITAR EN MILLONES DE $ EL SALARIO DIARIO DEL ALCALDE: EJM: 
=2000000/30/1000000</t>
        </r>
      </text>
    </comment>
    <comment ref="D19" authorId="0">
      <text>
        <r>
          <rPr>
            <b/>
            <sz val="8"/>
            <color indexed="81"/>
            <rFont val="Tahoma"/>
          </rPr>
          <t>avalenzu:</t>
        </r>
        <r>
          <rPr>
            <sz val="8"/>
            <color indexed="81"/>
            <rFont val="Tahoma"/>
          </rPr>
          <t xml:space="preserve">
DIGITAR EN MILLONES DE $ EL SALARIO DIARIO DEL ALCALDE: EJM: 
=2000000/30/1000000</t>
        </r>
      </text>
    </comment>
    <comment ref="C20" authorId="0">
      <text>
        <r>
          <rPr>
            <b/>
            <sz val="8"/>
            <color indexed="81"/>
            <rFont val="Tahoma"/>
          </rPr>
          <t>avalenzu:</t>
        </r>
        <r>
          <rPr>
            <sz val="8"/>
            <color indexed="81"/>
            <rFont val="Tahoma"/>
          </rPr>
          <t xml:space="preserve">
DIGITAR EN MILLONES DE $ EL SALARIO MINIMO DE LA VIGENCIA QUE CORRESPONDE.</t>
        </r>
      </text>
    </comment>
    <comment ref="D20" authorId="0">
      <text>
        <r>
          <rPr>
            <b/>
            <sz val="8"/>
            <color indexed="81"/>
            <rFont val="Tahoma"/>
          </rPr>
          <t>avalenzu:</t>
        </r>
        <r>
          <rPr>
            <sz val="8"/>
            <color indexed="81"/>
            <rFont val="Tahoma"/>
          </rPr>
          <t xml:space="preserve">
DIGITAR EN MILLONES DE $ EL SALARIO MINIMO DE LA VIGENCIA QUE CORRESPONDE.</t>
        </r>
      </text>
    </comment>
    <comment ref="D23" authorId="0">
      <text>
        <r>
          <rPr>
            <b/>
            <sz val="8"/>
            <color indexed="81"/>
            <rFont val="Tahoma"/>
          </rPr>
          <t>avalenzu:</t>
        </r>
        <r>
          <rPr>
            <sz val="8"/>
            <color indexed="81"/>
            <rFont val="Tahoma"/>
          </rPr>
          <t xml:space="preserve">
SELECCIONAR LA OPCION QUE SE ESTABLECIO COMO EL ADICIONAL DE TRASNFERECIA AL CONCEJO CUANDO EN EL AÑO ANTERIOR EL MUNICIPIO NO SUPERO LOS $1,000 MILLONES DE ICLD.</t>
        </r>
      </text>
    </comment>
    <comment ref="C25" authorId="0">
      <text>
        <r>
          <rPr>
            <b/>
            <sz val="8"/>
            <color indexed="81"/>
            <rFont val="Tahoma"/>
          </rPr>
          <t>avalenzu:</t>
        </r>
        <r>
          <rPr>
            <sz val="8"/>
            <color indexed="81"/>
            <rFont val="Tahoma"/>
          </rPr>
          <t xml:space="preserve">
DIGITAR EN MILLONES DE $ EL VALOR DE TRANSFERENCIA REALIZADA.</t>
        </r>
      </text>
    </comment>
    <comment ref="D25" authorId="0">
      <text>
        <r>
          <rPr>
            <b/>
            <sz val="8"/>
            <color indexed="81"/>
            <rFont val="Tahoma"/>
          </rPr>
          <t>avalenzu:</t>
        </r>
        <r>
          <rPr>
            <sz val="8"/>
            <color indexed="81"/>
            <rFont val="Tahoma"/>
          </rPr>
          <t xml:space="preserve">
ESTE VALOR ES AUTOMATICO SEGÚN EJECUCIONES</t>
        </r>
      </text>
    </comment>
    <comment ref="C28" authorId="1">
      <text>
        <r>
          <rPr>
            <b/>
            <sz val="8"/>
            <color indexed="81"/>
            <rFont val="Tahoma"/>
          </rPr>
          <t>avalenzu:</t>
        </r>
        <r>
          <rPr>
            <sz val="8"/>
            <color indexed="81"/>
            <rFont val="Tahoma"/>
          </rPr>
          <t xml:space="preserve">
DIGITAR EL VALOR ADICIONAL PARA GASTOS DEL CONCEJO EN ESTA VIGENCIA.</t>
        </r>
      </text>
    </comment>
    <comment ref="C34" authorId="0">
      <text>
        <r>
          <rPr>
            <b/>
            <sz val="8"/>
            <color indexed="81"/>
            <rFont val="Tahoma"/>
          </rPr>
          <t>avalenzu:</t>
        </r>
        <r>
          <rPr>
            <sz val="8"/>
            <color indexed="81"/>
            <rFont val="Tahoma"/>
          </rPr>
          <t xml:space="preserve">
SELECCIONAR  SI CUANDO EXISTE CONTRALORIA O SELECCIONAR  NO  EN CASO CONTRARIO</t>
        </r>
      </text>
    </comment>
    <comment ref="D34" authorId="0">
      <text>
        <r>
          <rPr>
            <b/>
            <sz val="8"/>
            <color indexed="81"/>
            <rFont val="Tahoma"/>
          </rPr>
          <t>avalenzu:</t>
        </r>
        <r>
          <rPr>
            <sz val="8"/>
            <color indexed="81"/>
            <rFont val="Tahoma"/>
          </rPr>
          <t xml:space="preserve">
SELECCIONAR  SI CUANDO EXISTE CONTRALORIA O SELECCIONAR  NO  EN CASO CONTRARIO</t>
        </r>
      </text>
    </comment>
    <comment ref="C37" authorId="0">
      <text>
        <r>
          <rPr>
            <b/>
            <sz val="8"/>
            <color indexed="81"/>
            <rFont val="Tahoma"/>
          </rPr>
          <t>avalenzu:</t>
        </r>
        <r>
          <rPr>
            <sz val="8"/>
            <color indexed="81"/>
            <rFont val="Tahoma"/>
          </rPr>
          <t xml:space="preserve">
DIGITAR EN MILLONES DE $ EL VALOR DE LA TRANSFERENCIA REALIZADA.</t>
        </r>
      </text>
    </comment>
    <comment ref="C47" authorId="0">
      <text>
        <r>
          <rPr>
            <b/>
            <sz val="8"/>
            <color indexed="81"/>
            <rFont val="Tahoma"/>
          </rPr>
          <t>avalenzu:</t>
        </r>
        <r>
          <rPr>
            <sz val="8"/>
            <color indexed="81"/>
            <rFont val="Tahoma"/>
          </rPr>
          <t xml:space="preserve">
DIGITAR EN MILLONES DE $ EL VALOR DE LA TRANSFERENCIA REALIZADA.</t>
        </r>
      </text>
    </comment>
    <comment ref="C79" authorId="0">
      <text>
        <r>
          <rPr>
            <b/>
            <sz val="8"/>
            <color indexed="81"/>
            <rFont val="Tahoma"/>
          </rPr>
          <t>avalenzu:</t>
        </r>
        <r>
          <rPr>
            <sz val="8"/>
            <color indexed="81"/>
            <rFont val="Tahoma"/>
          </rPr>
          <t xml:space="preserve">
DIGITAR EL PORCENTAJE LIMITE DE GASTOS ESTABLECIDO PARA LA VIGENCIA EN ESTUDIO EN EL PROGRAMA DE SANEAMIENTO FISCAL O ACUERDO DE PASIVOS, INCLUYENDO ORGANOS DE CONTROL</t>
        </r>
      </text>
    </comment>
    <comment ref="D79" authorId="0">
      <text>
        <r>
          <rPr>
            <b/>
            <sz val="8"/>
            <color indexed="81"/>
            <rFont val="Tahoma"/>
          </rPr>
          <t>avalenzu:</t>
        </r>
        <r>
          <rPr>
            <sz val="8"/>
            <color indexed="81"/>
            <rFont val="Tahoma"/>
          </rPr>
          <t xml:space="preserve">
DIGITAR EL PORCENTAJE LIMITE DE GASTOS ESTABLECIDO PARA LA VIGENCIA EN ESTUDIO EN EL PROGRAMA DE SANEAMIENTO FISCAL O ACUERDO DE PASIVOS, INCLUYENDO ORGANOS DE CONTROL</t>
        </r>
      </text>
    </comment>
  </commentList>
</comments>
</file>

<file path=xl/comments12.xml><?xml version="1.0" encoding="utf-8"?>
<comments xmlns="http://schemas.openxmlformats.org/spreadsheetml/2006/main">
  <authors>
    <author>avalenzu</author>
  </authors>
  <commentList>
    <comment ref="C8" authorId="0">
      <text>
        <r>
          <rPr>
            <b/>
            <sz val="8"/>
            <color indexed="81"/>
            <rFont val="Tahoma"/>
          </rPr>
          <t>avalenzu:</t>
        </r>
        <r>
          <rPr>
            <sz val="8"/>
            <color indexed="81"/>
            <rFont val="Tahoma"/>
          </rPr>
          <t xml:space="preserve">
DIGITAR FECHA DE CORTE DE ACREENCIAS SOBRE LA LINEA QUE APARECE DESPUES DE a: ________</t>
        </r>
      </text>
    </comment>
  </commentList>
</comments>
</file>

<file path=xl/comments2.xml><?xml version="1.0" encoding="utf-8"?>
<comments xmlns="http://schemas.openxmlformats.org/spreadsheetml/2006/main">
  <authors>
    <author>avalenzu</author>
    <author>Findeter S. A.</author>
  </authors>
  <commentList>
    <comment ref="E22" authorId="0">
      <text>
        <r>
          <rPr>
            <b/>
            <sz val="8"/>
            <color indexed="81"/>
            <rFont val="Tahoma"/>
          </rPr>
          <t>avalenzu:</t>
        </r>
        <r>
          <rPr>
            <sz val="8"/>
            <color indexed="81"/>
            <rFont val="Tahoma"/>
          </rPr>
          <t xml:space="preserve">
DIGITAR TODA LA INFORMACION EN MILLONES DE PESOS</t>
        </r>
      </text>
    </comment>
    <comment ref="M22" authorId="0">
      <text>
        <r>
          <rPr>
            <b/>
            <sz val="8"/>
            <color indexed="81"/>
            <rFont val="Tahoma"/>
          </rPr>
          <t>avalenzu:</t>
        </r>
        <r>
          <rPr>
            <sz val="8"/>
            <color indexed="81"/>
            <rFont val="Tahoma"/>
          </rPr>
          <t xml:space="preserve">
ESTA INFORMACION CORRESPONDE A LA EJECUCION DE GASTOS ACUMULADOS HASTA EL MISMO MES DEL AÑO ANTERIOR AL QUE SE REPORTA INFORMACION.</t>
        </r>
      </text>
    </comment>
    <comment ref="P22" authorId="0">
      <text>
        <r>
          <rPr>
            <b/>
            <sz val="8"/>
            <color indexed="81"/>
            <rFont val="Tahoma"/>
          </rPr>
          <t>avalenzu:</t>
        </r>
        <r>
          <rPr>
            <sz val="8"/>
            <color indexed="81"/>
            <rFont val="Tahoma"/>
          </rPr>
          <t xml:space="preserve">
DIGITAR EN MILLONES, LA  INFORMACION CORRESPONDE AL CIERRE DE LA VIGENCIA ANTERIOR PARA EFECTOS DEL ANALISIS DE LA CAPICIDAD DE PAGO</t>
        </r>
      </text>
    </comment>
    <comment ref="C53" authorId="0">
      <text>
        <r>
          <rPr>
            <b/>
            <sz val="8"/>
            <color indexed="81"/>
            <rFont val="Tahoma"/>
          </rPr>
          <t>avalenzu:</t>
        </r>
        <r>
          <rPr>
            <sz val="8"/>
            <color indexed="81"/>
            <rFont val="Tahoma"/>
          </rPr>
          <t xml:space="preserve">
REGISTRAR EL VALOR CORRESPONDIENTE A LA APLICACIÓN DEL ARTICULO 49 DE LA LEY 863/03, CETIFICADO POR EL DNP Y QUE EQUIVALE AL 10% DEL SGP - FORZOSA INVERSION CUANDO LA ENTIDAD NO ESTA EN LEY 550/99 Y AUN ESTANDO EN LEY 550/99 NO TIENE REORIENTADO EL 49% DE OTROS SECTORES.</t>
        </r>
      </text>
    </comment>
    <comment ref="C63" authorId="0">
      <text>
        <r>
          <rPr>
            <b/>
            <sz val="8"/>
            <color indexed="81"/>
            <rFont val="Tahoma"/>
          </rPr>
          <t>avalenzu:</t>
        </r>
        <r>
          <rPr>
            <sz val="8"/>
            <color indexed="81"/>
            <rFont val="Tahoma"/>
          </rPr>
          <t xml:space="preserve">
DIGITAR EN MILLONES EL VALOR DEL DEFICIT GENERADO POR LA ENTIDAD EN LEY 550/99, EL CUAL FUE GENERADO CON POSTERIORIDAD AL ACUERDO.</t>
        </r>
      </text>
    </comment>
    <comment ref="C69" authorId="0">
      <text>
        <r>
          <rPr>
            <b/>
            <sz val="8"/>
            <color indexed="81"/>
            <rFont val="Tahoma"/>
          </rPr>
          <t>avalenzu:</t>
        </r>
        <r>
          <rPr>
            <sz val="8"/>
            <color indexed="81"/>
            <rFont val="Tahoma"/>
          </rPr>
          <t xml:space="preserve">
ESTA INFORMACION CORRESPONDE AL DEFICIT DETERMINADO YA SEA EN LEY 617/00 O EN LEY 550/99.</t>
        </r>
      </text>
    </comment>
    <comment ref="C70" authorId="0">
      <text>
        <r>
          <rPr>
            <b/>
            <sz val="8"/>
            <color indexed="81"/>
            <rFont val="Tahoma"/>
          </rPr>
          <t>avalenzu:</t>
        </r>
        <r>
          <rPr>
            <sz val="8"/>
            <color indexed="81"/>
            <rFont val="Tahoma"/>
          </rPr>
          <t xml:space="preserve">
RECUERDE QUE ESTE DEFICIT  GENERADO POR LA ENTIDAD EN LEY 617/00, HACE PARTE DEL INDICADOR DE LEY, 
+++CUANDO LA ENTIDAD ESTA EN LEY 550/99, ESTE DEFICIT NO HACE PARTE DEL INDICADOR PERO SE DEBE REFERENCIAR LA INFORMACION.</t>
        </r>
      </text>
    </comment>
    <comment ref="C71" authorId="0">
      <text>
        <r>
          <rPr>
            <b/>
            <sz val="8"/>
            <color indexed="81"/>
            <rFont val="Tahoma"/>
          </rPr>
          <t>avalenzu:</t>
        </r>
        <r>
          <rPr>
            <sz val="8"/>
            <color indexed="81"/>
            <rFont val="Tahoma"/>
          </rPr>
          <t xml:space="preserve">
RECUERDE QUE ESTE DEFICIT NO HACE PARTE DEL INDICADOR DE LEY 617/00. YA SEA QUE LA ENTIDAD ESTE EN LEY 617/00 O EN LEY 550/99.</t>
        </r>
      </text>
    </comment>
    <comment ref="A75" authorId="1">
      <text>
        <r>
          <rPr>
            <sz val="8"/>
            <color indexed="81"/>
            <rFont val="Tahoma"/>
          </rPr>
          <t xml:space="preserve">corresponde a la suma de las siguientes variables del formato CGR: 2231001,2231004 
</t>
        </r>
      </text>
    </comment>
    <comment ref="A80" authorId="1">
      <text>
        <r>
          <rPr>
            <sz val="8"/>
            <color indexed="81"/>
            <rFont val="Tahoma"/>
          </rPr>
          <t xml:space="preserve">Corresponde a la suma de las siguientes variables del formato de la CGR: 231005;2231006;2231010;2231011;2231014;2231098
</t>
        </r>
      </text>
    </comment>
    <comment ref="J198" authorId="0">
      <text>
        <r>
          <rPr>
            <b/>
            <sz val="8"/>
            <color indexed="81"/>
            <rFont val="Tahoma"/>
          </rPr>
          <t>avalenzu:</t>
        </r>
        <r>
          <rPr>
            <sz val="8"/>
            <color indexed="81"/>
            <rFont val="Tahoma"/>
          </rPr>
          <t xml:space="preserve">
ESTE VALOR SE DEBE DIGITAR EN EL FORMATO DE PASIVO A CANCELAR Y DEUDA</t>
        </r>
      </text>
    </comment>
    <comment ref="K198" authorId="0">
      <text>
        <r>
          <rPr>
            <b/>
            <sz val="8"/>
            <color indexed="81"/>
            <rFont val="Tahoma"/>
          </rPr>
          <t>avalenzu:</t>
        </r>
        <r>
          <rPr>
            <sz val="8"/>
            <color indexed="81"/>
            <rFont val="Tahoma"/>
          </rPr>
          <t xml:space="preserve">
ESTE VALOR SE DEBE DIGITAR EN EL FORMATO DE PASIVO A CANCELAR Y DEUDA</t>
        </r>
      </text>
    </comment>
  </commentList>
</comments>
</file>

<file path=xl/comments3.xml><?xml version="1.0" encoding="utf-8"?>
<comments xmlns="http://schemas.openxmlformats.org/spreadsheetml/2006/main">
  <authors>
    <author>avalenzu</author>
    <author>Un usuario de Microsoft Office satisfecho</author>
  </authors>
  <commentList>
    <comment ref="B23" authorId="0">
      <text>
        <r>
          <rPr>
            <b/>
            <sz val="8"/>
            <color indexed="81"/>
            <rFont val="Tahoma"/>
          </rPr>
          <t>avalenzu:</t>
        </r>
        <r>
          <rPr>
            <sz val="8"/>
            <color indexed="81"/>
            <rFont val="Tahoma"/>
          </rPr>
          <t xml:space="preserve">
ESTOS DATOS SON AUTOMATICOS SEGÚN EJECUCIONES</t>
        </r>
      </text>
    </comment>
    <comment ref="A32" authorId="1">
      <text>
        <r>
          <rPr>
            <sz val="8"/>
            <color indexed="81"/>
            <rFont val="Tahoma"/>
          </rPr>
          <t>Sumatoria de Impuesto de Espectáculos Públicos, Sobretasa Ambiental, Impuesto Rifas y Apuestas, Impuesto Avisos y Tableros, Impuesto Deguello Ganado Menor, Impuesto de Delineación Urbana, Estampillas, Sobretasa Bomberil,  y Otros Ingresos Tributarios (Formato CGR).</t>
        </r>
      </text>
    </comment>
    <comment ref="A35" authorId="1">
      <text>
        <r>
          <rPr>
            <sz val="8"/>
            <color indexed="81"/>
            <rFont val="Tahoma"/>
          </rPr>
          <t xml:space="preserve">Corresponde a la sumatoria de otros ingresos no tributarios y fondos especiales.   Aunque en el formato de la contraloría se identifican con códigos diferentes, aquí se utiliza el código de los "otros  ingresos no tributarios".
</t>
        </r>
      </text>
    </comment>
    <comment ref="A58" authorId="1">
      <text>
        <r>
          <rPr>
            <sz val="8"/>
            <color indexed="81"/>
            <rFont val="Tahoma"/>
          </rPr>
          <t xml:space="preserve">Corresponde a la sumatoria de transferencias a entidades descentralizadas, pagos a particulares, pagos a organismos internacionales y otras transferencias.    Aunque en el formato de la Contraloría tienen códigos diferentes, aquí utilizamos el código de otras transferencias.
</t>
        </r>
      </text>
    </comment>
    <comment ref="A59" authorId="1">
      <text>
        <r>
          <rPr>
            <sz val="8"/>
            <color indexed="81"/>
            <rFont val="Tahoma"/>
          </rPr>
          <t xml:space="preserve">Intereses,  comisiones y otros.  
Deuda Interna y Deuda Externa (Formato CGR)
</t>
        </r>
      </text>
    </comment>
    <comment ref="G118" authorId="0">
      <text>
        <r>
          <rPr>
            <b/>
            <sz val="8"/>
            <color indexed="81"/>
            <rFont val="Tahoma"/>
          </rPr>
          <t>avalenzu:
1,- SE  PUEDE ASUMIR QUE SE MANTIENE LA MISMA CATEGORIA.
2,- SE PUEDE PROYECTAR UNA NUEVA CATEGORIA SEGÚN LA PROYECCION DE ICLD Y LA PROYECCION DEL SML. EN ESTE CASO DIGITE LA CATEGORIA. PROYECTADA. (CATEGORIA ESPECIAL = 0)</t>
        </r>
      </text>
    </comment>
    <comment ref="H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I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J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K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L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M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N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O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P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Q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R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S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T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U118" authorId="0">
      <text>
        <r>
          <rPr>
            <b/>
            <sz val="8"/>
            <color indexed="81"/>
            <rFont val="Tahoma"/>
          </rPr>
          <t>avalenzu:</t>
        </r>
        <r>
          <rPr>
            <sz val="8"/>
            <color indexed="81"/>
            <rFont val="Tahoma"/>
          </rPr>
          <t xml:space="preserve">
1,- SE  PUEDE ASUMIR QUE SE MANTIENE LA MISMA CATEGORIA.
2,- SE PUEDE PROYECTAR UNA NUEVA CATEGORIA SEGÚN LA PROYECCION DE ICLD Y LA PROYECCION DEL SML. EN ESTE CASO DIGITE LA CATEGORIA. PROYECTADA. (CATEGORIA ESPECIAL = 0)</t>
        </r>
      </text>
    </comment>
    <comment ref="C126" authorId="0">
      <text>
        <r>
          <rPr>
            <b/>
            <sz val="8"/>
            <color indexed="81"/>
            <rFont val="Tahoma"/>
          </rPr>
          <t>avalenzu:</t>
        </r>
        <r>
          <rPr>
            <sz val="8"/>
            <color indexed="81"/>
            <rFont val="Tahoma"/>
          </rPr>
          <t xml:space="preserve">
ESTE DATO ES AUTOMATICO SEGÚN VIGENCIA Y CATEGORIA</t>
        </r>
      </text>
    </comment>
    <comment ref="G126" authorId="0">
      <text>
        <r>
          <rPr>
            <b/>
            <sz val="8"/>
            <color indexed="81"/>
            <rFont val="Tahoma"/>
          </rPr>
          <t>avalenzu:</t>
        </r>
        <r>
          <rPr>
            <sz val="8"/>
            <color indexed="81"/>
            <rFont val="Tahoma"/>
          </rPr>
          <t xml:space="preserve">
ESTE DATO ES AUTOMATICO SEGÚN VIGENCIA Y CATEGORIA</t>
        </r>
      </text>
    </comment>
    <comment ref="H126" authorId="0">
      <text>
        <r>
          <rPr>
            <b/>
            <sz val="8"/>
            <color indexed="81"/>
            <rFont val="Tahoma"/>
          </rPr>
          <t>avalenzu:</t>
        </r>
        <r>
          <rPr>
            <sz val="8"/>
            <color indexed="81"/>
            <rFont val="Tahoma"/>
          </rPr>
          <t xml:space="preserve">
ESTE DATO ES AUTOMATICO SEGÚN VIGENCIA Y CATEGORIA</t>
        </r>
      </text>
    </comment>
    <comment ref="I126" authorId="0">
      <text>
        <r>
          <rPr>
            <b/>
            <sz val="8"/>
            <color indexed="81"/>
            <rFont val="Tahoma"/>
          </rPr>
          <t>avalenzu:</t>
        </r>
        <r>
          <rPr>
            <sz val="8"/>
            <color indexed="81"/>
            <rFont val="Tahoma"/>
          </rPr>
          <t xml:space="preserve">
ESTE DATO ES AUTOMATICO SEGÚN VIGENCIA Y CATEGORIA</t>
        </r>
      </text>
    </comment>
    <comment ref="J126" authorId="0">
      <text>
        <r>
          <rPr>
            <b/>
            <sz val="8"/>
            <color indexed="81"/>
            <rFont val="Tahoma"/>
          </rPr>
          <t>avalenzu:</t>
        </r>
        <r>
          <rPr>
            <sz val="8"/>
            <color indexed="81"/>
            <rFont val="Tahoma"/>
          </rPr>
          <t xml:space="preserve">
ESTE DATO ES AUTOMATICO SEGÚN VIGENCIA Y CATEGORIA</t>
        </r>
      </text>
    </comment>
    <comment ref="K126" authorId="0">
      <text>
        <r>
          <rPr>
            <b/>
            <sz val="8"/>
            <color indexed="81"/>
            <rFont val="Tahoma"/>
          </rPr>
          <t>avalenzu:</t>
        </r>
        <r>
          <rPr>
            <sz val="8"/>
            <color indexed="81"/>
            <rFont val="Tahoma"/>
          </rPr>
          <t xml:space="preserve">
ESTE DATO ES AUTOMATICO SEGÚN VIGENCIA Y CATEGORIA</t>
        </r>
      </text>
    </comment>
    <comment ref="L126" authorId="0">
      <text>
        <r>
          <rPr>
            <b/>
            <sz val="8"/>
            <color indexed="81"/>
            <rFont val="Tahoma"/>
          </rPr>
          <t>avalenzu:</t>
        </r>
        <r>
          <rPr>
            <sz val="8"/>
            <color indexed="81"/>
            <rFont val="Tahoma"/>
          </rPr>
          <t xml:space="preserve">
ESTE DATO ES AUTOMATICO SEGÚN VIGENCIA Y CATEGORIA</t>
        </r>
      </text>
    </comment>
    <comment ref="M126" authorId="0">
      <text>
        <r>
          <rPr>
            <b/>
            <sz val="8"/>
            <color indexed="81"/>
            <rFont val="Tahoma"/>
          </rPr>
          <t>avalenzu:</t>
        </r>
        <r>
          <rPr>
            <sz val="8"/>
            <color indexed="81"/>
            <rFont val="Tahoma"/>
          </rPr>
          <t xml:space="preserve">
ESTE DATO ES AUTOMATICO SEGÚN VIGENCIA Y CATEGORIA</t>
        </r>
      </text>
    </comment>
    <comment ref="N126" authorId="0">
      <text>
        <r>
          <rPr>
            <b/>
            <sz val="8"/>
            <color indexed="81"/>
            <rFont val="Tahoma"/>
          </rPr>
          <t>avalenzu:</t>
        </r>
        <r>
          <rPr>
            <sz val="8"/>
            <color indexed="81"/>
            <rFont val="Tahoma"/>
          </rPr>
          <t xml:space="preserve">
ESTE DATO ES AUTOMATICO SEGÚN VIGENCIA Y CATEGORIA</t>
        </r>
      </text>
    </comment>
    <comment ref="O126" authorId="0">
      <text>
        <r>
          <rPr>
            <b/>
            <sz val="8"/>
            <color indexed="81"/>
            <rFont val="Tahoma"/>
          </rPr>
          <t>avalenzu:</t>
        </r>
        <r>
          <rPr>
            <sz val="8"/>
            <color indexed="81"/>
            <rFont val="Tahoma"/>
          </rPr>
          <t xml:space="preserve">
ESTE DATO ES AUTOMATICO SEGÚN VIGENCIA Y CATEGORIA</t>
        </r>
      </text>
    </comment>
    <comment ref="P126" authorId="0">
      <text>
        <r>
          <rPr>
            <b/>
            <sz val="8"/>
            <color indexed="81"/>
            <rFont val="Tahoma"/>
          </rPr>
          <t>avalenzu:</t>
        </r>
        <r>
          <rPr>
            <sz val="8"/>
            <color indexed="81"/>
            <rFont val="Tahoma"/>
          </rPr>
          <t xml:space="preserve">
ESTE DATO ES AUTOMATICO SEGÚN VIGENCIA Y CATEGORIA</t>
        </r>
      </text>
    </comment>
    <comment ref="Q126" authorId="0">
      <text>
        <r>
          <rPr>
            <b/>
            <sz val="8"/>
            <color indexed="81"/>
            <rFont val="Tahoma"/>
          </rPr>
          <t>avalenzu:</t>
        </r>
        <r>
          <rPr>
            <sz val="8"/>
            <color indexed="81"/>
            <rFont val="Tahoma"/>
          </rPr>
          <t xml:space="preserve">
ESTE DATO ES AUTOMATICO SEGÚN VIGENCIA Y CATEGORIA</t>
        </r>
      </text>
    </comment>
    <comment ref="R126" authorId="0">
      <text>
        <r>
          <rPr>
            <b/>
            <sz val="8"/>
            <color indexed="81"/>
            <rFont val="Tahoma"/>
          </rPr>
          <t>avalenzu:</t>
        </r>
        <r>
          <rPr>
            <sz val="8"/>
            <color indexed="81"/>
            <rFont val="Tahoma"/>
          </rPr>
          <t xml:space="preserve">
ESTE DATO ES AUTOMATICO SEGÚN VIGENCIA Y CATEGORIA</t>
        </r>
      </text>
    </comment>
    <comment ref="S126" authorId="0">
      <text>
        <r>
          <rPr>
            <b/>
            <sz val="8"/>
            <color indexed="81"/>
            <rFont val="Tahoma"/>
          </rPr>
          <t>avalenzu:</t>
        </r>
        <r>
          <rPr>
            <sz val="8"/>
            <color indexed="81"/>
            <rFont val="Tahoma"/>
          </rPr>
          <t xml:space="preserve">
ESTE DATO ES AUTOMATICO SEGÚN VIGENCIA Y CATEGORIA</t>
        </r>
      </text>
    </comment>
    <comment ref="T126" authorId="0">
      <text>
        <r>
          <rPr>
            <b/>
            <sz val="8"/>
            <color indexed="81"/>
            <rFont val="Tahoma"/>
          </rPr>
          <t>avalenzu:</t>
        </r>
        <r>
          <rPr>
            <sz val="8"/>
            <color indexed="81"/>
            <rFont val="Tahoma"/>
          </rPr>
          <t xml:space="preserve">
ESTE DATO ES AUTOMATICO SEGÚN VIGENCIA Y CATEGORIA</t>
        </r>
      </text>
    </comment>
    <comment ref="U126" authorId="0">
      <text>
        <r>
          <rPr>
            <b/>
            <sz val="8"/>
            <color indexed="81"/>
            <rFont val="Tahoma"/>
          </rPr>
          <t>avalenzu:</t>
        </r>
        <r>
          <rPr>
            <sz val="8"/>
            <color indexed="81"/>
            <rFont val="Tahoma"/>
          </rPr>
          <t xml:space="preserve">
ESTE DATO ES AUTOMATICO SEGÚN VIGENCIA Y CATEGORIA</t>
        </r>
      </text>
    </comment>
    <comment ref="G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H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I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J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K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L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M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N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O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P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Q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R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S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T128" authorId="0">
      <text>
        <r>
          <rPr>
            <b/>
            <sz val="10"/>
            <color indexed="81"/>
            <rFont val="Tahoma"/>
            <family val="2"/>
          </rPr>
          <t>avalenzu:</t>
        </r>
        <r>
          <rPr>
            <sz val="10"/>
            <color indexed="81"/>
            <rFont val="Tahoma"/>
            <family val="2"/>
          </rPr>
          <t xml:space="preserve">
SE CONSIDERA QUE LA VIGENCIA ACTUAL CORRESPONDE AL AÑO 1  DE LA PROYECCION</t>
        </r>
      </text>
    </comment>
    <comment ref="U128" authorId="0">
      <text>
        <r>
          <rPr>
            <b/>
            <sz val="10"/>
            <color indexed="81"/>
            <rFont val="Tahoma"/>
            <family val="2"/>
          </rPr>
          <t>avalenzu:</t>
        </r>
        <r>
          <rPr>
            <sz val="10"/>
            <color indexed="81"/>
            <rFont val="Tahoma"/>
            <family val="2"/>
          </rPr>
          <t xml:space="preserve">
SE CONSIDERA QUE LA VIGENCIA ACTUAL CORRESPONDE AL AÑO 1  DE LA PROYECCION</t>
        </r>
      </text>
    </comment>
  </commentList>
</comments>
</file>

<file path=xl/comments4.xml><?xml version="1.0" encoding="utf-8"?>
<comments xmlns="http://schemas.openxmlformats.org/spreadsheetml/2006/main">
  <authors>
    <author>avalenzu</author>
    <author>Un usuario de Microsoft Office satisfecho</author>
  </authors>
  <commentList>
    <comment ref="AE22" authorId="0">
      <text>
        <r>
          <rPr>
            <b/>
            <sz val="8"/>
            <color indexed="81"/>
            <rFont val="Tahoma"/>
          </rPr>
          <t>avalenzu:</t>
        </r>
        <r>
          <rPr>
            <sz val="8"/>
            <color indexed="81"/>
            <rFont val="Tahoma"/>
          </rPr>
          <t xml:space="preserve">
DIGITAR LOS PORCENTAJES DE DESTINACION ESPECIFICA QUE TIENE CADA RENTA</t>
        </r>
      </text>
    </comment>
    <comment ref="AF22" authorId="0">
      <text>
        <r>
          <rPr>
            <b/>
            <sz val="8"/>
            <color indexed="81"/>
            <rFont val="Tahoma"/>
          </rPr>
          <t>avalenzu:</t>
        </r>
        <r>
          <rPr>
            <sz val="8"/>
            <color indexed="81"/>
            <rFont val="Tahoma"/>
          </rPr>
          <t xml:space="preserve">
DIGITAR LOS PORCENTAJES DE DESTINACION ESPECIFICA QUE TIENE CADA RENTA</t>
        </r>
      </text>
    </comment>
    <comment ref="AG22" authorId="0">
      <text>
        <r>
          <rPr>
            <b/>
            <sz val="8"/>
            <color indexed="81"/>
            <rFont val="Tahoma"/>
          </rPr>
          <t>avalenzu:</t>
        </r>
        <r>
          <rPr>
            <sz val="8"/>
            <color indexed="81"/>
            <rFont val="Tahoma"/>
          </rPr>
          <t xml:space="preserve">
DIGITAR LOS PORCENTAJES DE DESTINACION ESPECIFICA QUE TIENE CADA RENTA</t>
        </r>
      </text>
    </comment>
    <comment ref="AH22" authorId="0">
      <text>
        <r>
          <rPr>
            <b/>
            <sz val="8"/>
            <color indexed="81"/>
            <rFont val="Tahoma"/>
          </rPr>
          <t>avalenzu:</t>
        </r>
        <r>
          <rPr>
            <sz val="8"/>
            <color indexed="81"/>
            <rFont val="Tahoma"/>
          </rPr>
          <t xml:space="preserve">
DIGITAR LOS PORCENTAJES DE DESTINACION ESPECIFICA QUE TIENE CADA RENTA</t>
        </r>
      </text>
    </comment>
    <comment ref="AI22" authorId="0">
      <text>
        <r>
          <rPr>
            <b/>
            <sz val="8"/>
            <color indexed="81"/>
            <rFont val="Tahoma"/>
          </rPr>
          <t>avalenzu:</t>
        </r>
        <r>
          <rPr>
            <sz val="8"/>
            <color indexed="81"/>
            <rFont val="Tahoma"/>
          </rPr>
          <t xml:space="preserve">
DIGITAR LOS PORCENTAJES DE DESTINACION ESPECIFICA QUE TIENE CADA RENTA</t>
        </r>
      </text>
    </comment>
    <comment ref="AJ22" authorId="0">
      <text>
        <r>
          <rPr>
            <b/>
            <sz val="8"/>
            <color indexed="81"/>
            <rFont val="Tahoma"/>
          </rPr>
          <t>avalenzu:</t>
        </r>
        <r>
          <rPr>
            <sz val="8"/>
            <color indexed="81"/>
            <rFont val="Tahoma"/>
          </rPr>
          <t xml:space="preserve">
DIGITAR LOS PORCENTAJES DE DESTINACION ESPECIFICA QUE TIENE CADA RENTA</t>
        </r>
      </text>
    </comment>
    <comment ref="AK22" authorId="0">
      <text>
        <r>
          <rPr>
            <b/>
            <sz val="8"/>
            <color indexed="81"/>
            <rFont val="Tahoma"/>
          </rPr>
          <t>avalenzu:</t>
        </r>
        <r>
          <rPr>
            <sz val="8"/>
            <color indexed="81"/>
            <rFont val="Tahoma"/>
          </rPr>
          <t xml:space="preserve">
DIGITAR LOS PORCENTAJES DE DESTINACION ESPECIFICA QUE TIENE CADA RENTA</t>
        </r>
      </text>
    </comment>
    <comment ref="AL22" authorId="0">
      <text>
        <r>
          <rPr>
            <b/>
            <sz val="8"/>
            <color indexed="81"/>
            <rFont val="Tahoma"/>
          </rPr>
          <t>avalenzu:</t>
        </r>
        <r>
          <rPr>
            <sz val="8"/>
            <color indexed="81"/>
            <rFont val="Tahoma"/>
          </rPr>
          <t xml:space="preserve">
DIGITAR LOS PORCENTAJES DE DESTINACION ESPECIFICA QUE TIENE CADA RENTA</t>
        </r>
      </text>
    </comment>
    <comment ref="AM22" authorId="0">
      <text>
        <r>
          <rPr>
            <b/>
            <sz val="8"/>
            <color indexed="81"/>
            <rFont val="Tahoma"/>
          </rPr>
          <t>avalenzu:</t>
        </r>
        <r>
          <rPr>
            <sz val="8"/>
            <color indexed="81"/>
            <rFont val="Tahoma"/>
          </rPr>
          <t xml:space="preserve">
DIGITAR LOS PORCENTAJES DE DESTINACION ESPECIFICA QUE TIENE CADA RENTA</t>
        </r>
      </text>
    </comment>
    <comment ref="AN22" authorId="0">
      <text>
        <r>
          <rPr>
            <b/>
            <sz val="8"/>
            <color indexed="81"/>
            <rFont val="Tahoma"/>
          </rPr>
          <t>avalenzu:</t>
        </r>
        <r>
          <rPr>
            <sz val="8"/>
            <color indexed="81"/>
            <rFont val="Tahoma"/>
          </rPr>
          <t xml:space="preserve">
DIGITAR LOS PORCENTAJES DE DESTINACION ESPECIFICA QUE TIENE CADA RENTA</t>
        </r>
      </text>
    </comment>
    <comment ref="AO22" authorId="0">
      <text>
        <r>
          <rPr>
            <b/>
            <sz val="8"/>
            <color indexed="81"/>
            <rFont val="Tahoma"/>
          </rPr>
          <t>avalenzu:</t>
        </r>
        <r>
          <rPr>
            <sz val="8"/>
            <color indexed="81"/>
            <rFont val="Tahoma"/>
          </rPr>
          <t xml:space="preserve">
DIGITAR LOS PORCENTAJES DE DESTINACION ESPECIFICA QUE TIENE CADA RENTA</t>
        </r>
      </text>
    </comment>
    <comment ref="AP22" authorId="0">
      <text>
        <r>
          <rPr>
            <b/>
            <sz val="8"/>
            <color indexed="81"/>
            <rFont val="Tahoma"/>
          </rPr>
          <t>avalenzu:</t>
        </r>
        <r>
          <rPr>
            <sz val="8"/>
            <color indexed="81"/>
            <rFont val="Tahoma"/>
          </rPr>
          <t xml:space="preserve">
DIGITAR LOS PORCENTAJES DE DESTINACION ESPECIFICA QUE TIENE CADA RENTA</t>
        </r>
      </text>
    </comment>
    <comment ref="AQ22" authorId="0">
      <text>
        <r>
          <rPr>
            <b/>
            <sz val="8"/>
            <color indexed="81"/>
            <rFont val="Tahoma"/>
          </rPr>
          <t>avalenzu:</t>
        </r>
        <r>
          <rPr>
            <sz val="8"/>
            <color indexed="81"/>
            <rFont val="Tahoma"/>
          </rPr>
          <t xml:space="preserve">
DIGITAR LOS PORCENTAJES DE DESTINACION ESPECIFICA QUE TIENE CADA RENTA</t>
        </r>
      </text>
    </comment>
    <comment ref="AR22" authorId="0">
      <text>
        <r>
          <rPr>
            <b/>
            <sz val="8"/>
            <color indexed="81"/>
            <rFont val="Tahoma"/>
          </rPr>
          <t>avalenzu:</t>
        </r>
        <r>
          <rPr>
            <sz val="8"/>
            <color indexed="81"/>
            <rFont val="Tahoma"/>
          </rPr>
          <t xml:space="preserve">
DIGITAR LOS PORCENTAJES DE DESTINACION ESPECIFICA QUE TIENE CADA RENTA</t>
        </r>
      </text>
    </comment>
    <comment ref="AS22" authorId="0">
      <text>
        <r>
          <rPr>
            <b/>
            <sz val="8"/>
            <color indexed="81"/>
            <rFont val="Tahoma"/>
          </rPr>
          <t>avalenzu:</t>
        </r>
        <r>
          <rPr>
            <sz val="8"/>
            <color indexed="81"/>
            <rFont val="Tahoma"/>
          </rPr>
          <t xml:space="preserve">
DIGITAR LOS PORCENTAJES DE DESTINACION ESPECIFICA QUE TIENE CADA RENTA</t>
        </r>
      </text>
    </comment>
    <comment ref="G24" authorId="0">
      <text>
        <r>
          <rPr>
            <b/>
            <sz val="8"/>
            <color indexed="81"/>
            <rFont val="Tahoma"/>
          </rPr>
          <t>avalenzu:</t>
        </r>
        <r>
          <rPr>
            <sz val="8"/>
            <color indexed="81"/>
            <rFont val="Tahoma"/>
          </rPr>
          <t xml:space="preserve">
DIGITAR LOS PORCENTAJES DE DESTINACION ESPECIFICA QUE TIENE CADA RENTA</t>
        </r>
      </text>
    </comment>
    <comment ref="A47" authorId="1">
      <text>
        <r>
          <rPr>
            <sz val="8"/>
            <color indexed="81"/>
            <rFont val="Tahoma"/>
          </rPr>
          <t xml:space="preserve">Sumatoria de Otros Impuestos Directos, Otros Impuestos Indirectos, Impuesto Ocupación de Vías, Impuesto de Extracción de Materiales, Impuesto de Pesas y Medidas e Impuesto de Registro Marcas y Herretes (Formato CGR).
</t>
        </r>
      </text>
    </comment>
    <comment ref="A55" authorId="1">
      <text>
        <r>
          <rPr>
            <sz val="8"/>
            <color indexed="81"/>
            <rFont val="Tahoma"/>
          </rPr>
          <t xml:space="preserve">Sumatoria de Otras Tasas y Multas y Otras Contribuciones (Formato CGR)       
</t>
        </r>
      </text>
    </comment>
  </commentList>
</comments>
</file>

<file path=xl/comments5.xml><?xml version="1.0" encoding="utf-8"?>
<comments xmlns="http://schemas.openxmlformats.org/spreadsheetml/2006/main">
  <authors>
    <author>avalenzu</author>
  </authors>
  <commentList>
    <comment ref="G3" authorId="0">
      <text>
        <r>
          <rPr>
            <b/>
            <sz val="10"/>
            <color indexed="81"/>
            <rFont val="Tahoma"/>
            <family val="2"/>
          </rPr>
          <t>avalenzu:</t>
        </r>
        <r>
          <rPr>
            <sz val="10"/>
            <color indexed="81"/>
            <rFont val="Tahoma"/>
            <family val="2"/>
          </rPr>
          <t xml:space="preserve">
SE CONSIDERA QUE LA VIGENCIA ACTUAL CORRESPONDE AL AÑO 1  DE LA PROYECCION</t>
        </r>
      </text>
    </comment>
    <comment ref="E8" authorId="0">
      <text>
        <r>
          <rPr>
            <b/>
            <sz val="8"/>
            <color indexed="81"/>
            <rFont val="Tahoma"/>
          </rPr>
          <t>avalenzu:</t>
        </r>
        <r>
          <rPr>
            <sz val="8"/>
            <color indexed="81"/>
            <rFont val="Tahoma"/>
          </rPr>
          <t xml:space="preserve">
DESCUENTA EL VALOR INDEXADO DE LA TRANSFERENCIA AL FONPET (ART. 49 LEY 863/03).</t>
        </r>
      </text>
    </comment>
    <comment ref="E15" authorId="0">
      <text>
        <r>
          <rPr>
            <b/>
            <sz val="8"/>
            <color indexed="81"/>
            <rFont val="Tahoma"/>
          </rPr>
          <t>avalenzu:</t>
        </r>
        <r>
          <rPr>
            <sz val="8"/>
            <color indexed="81"/>
            <rFont val="Tahoma"/>
          </rPr>
          <t xml:space="preserve">
DESCUENTA EL VALOR INDEXADO DE LA TRANSFERENCIA AL FONPET (ART. 49 LEY 863/03).</t>
        </r>
      </text>
    </comment>
    <comment ref="D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G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H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I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J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K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L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M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N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O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P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Q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R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S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T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U19" authorId="0">
      <text>
        <r>
          <rPr>
            <b/>
            <sz val="8"/>
            <color indexed="81"/>
            <rFont val="Tahoma"/>
          </rPr>
          <t>avalenzu:</t>
        </r>
        <r>
          <rPr>
            <sz val="8"/>
            <color indexed="81"/>
            <rFont val="Tahoma"/>
          </rPr>
          <t xml:space="preserve">
VERIFICAR QUE LA INFLACION ESPERADA QUE ESTA DIGITADA EN ESTE CAMPO, CORRESPONDA A LOS SUPUESTOS OFICIALES MFMP (DIRECCION MACREOECONOMICA DEL MINHACIENDA PARA LA VIGENCIA DE ANALISIS).</t>
        </r>
      </text>
    </comment>
    <comment ref="W19" authorId="0">
      <text>
        <r>
          <rPr>
            <b/>
            <sz val="8"/>
            <color indexed="81"/>
            <rFont val="Tahoma"/>
          </rPr>
          <t>avalenzu:</t>
        </r>
        <r>
          <rPr>
            <sz val="8"/>
            <color indexed="81"/>
            <rFont val="Tahoma"/>
          </rPr>
          <t xml:space="preserve">
TENGA EN CUENTA QUE ESTE INDICE ESTA PROYECTADO CON BASE EN EL ANALISIS DE LA CAPACIDAD DE PAGO PARA EL AÑO 2005. 
SI REQUIERE ANALIZAR AÑOS ANTERIORES AL 2005, SOLICITE AL ADMINISTRADOR DEL SISTEMA EL DESBLOQUEO DE LA CELDA PARA MODIFICAR EL INDICE.</t>
        </r>
      </text>
    </comment>
    <comment ref="D22" authorId="0">
      <text>
        <r>
          <rPr>
            <b/>
            <sz val="9"/>
            <color indexed="81"/>
            <rFont val="Tahoma"/>
            <family val="2"/>
          </rPr>
          <t>avalenzu:</t>
        </r>
        <r>
          <rPr>
            <sz val="9"/>
            <color indexed="81"/>
            <rFont val="Tahoma"/>
            <family val="2"/>
          </rPr>
          <t xml:space="preserve">
DIGITAR EN MILLONES EL VALOR DEL SALDO DE LA DEUDA A DICIEMBRE DEL AÑO ANTERIOR.</t>
        </r>
      </text>
    </comment>
    <comment ref="D23" authorId="0">
      <text>
        <r>
          <rPr>
            <b/>
            <sz val="9"/>
            <color indexed="81"/>
            <rFont val="Tahoma"/>
            <family val="2"/>
          </rPr>
          <t>avalenzu:</t>
        </r>
        <r>
          <rPr>
            <sz val="9"/>
            <color indexed="81"/>
            <rFont val="Tahoma"/>
            <family val="2"/>
          </rPr>
          <t xml:space="preserve">
DIGITAR EN MILLONES EL VALOR DE LOS DESEMBOLSOS DE CREDITOS YA CONTRATADOS Y QUE ESTAN PROGRAMADOS PARA  ESTA VIGENCIA .</t>
        </r>
      </text>
    </comment>
    <comment ref="G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H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I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J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K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L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M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N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O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P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Q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R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S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T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U23" authorId="0">
      <text>
        <r>
          <rPr>
            <b/>
            <sz val="10"/>
            <color indexed="81"/>
            <rFont val="Tahoma"/>
            <family val="2"/>
          </rPr>
          <t>avalenzu:</t>
        </r>
        <r>
          <rPr>
            <sz val="10"/>
            <color indexed="81"/>
            <rFont val="Tahoma"/>
            <family val="2"/>
          </rPr>
          <t xml:space="preserve">
DIGITAR EL VALOR DE LOS DESEMBOLSOS PROYECTADOS DE LA DEUDA YA CONTRATADA</t>
        </r>
        <r>
          <rPr>
            <sz val="8"/>
            <color indexed="81"/>
            <rFont val="Tahoma"/>
          </rPr>
          <t>.</t>
        </r>
      </text>
    </comment>
    <comment ref="D27" authorId="0">
      <text>
        <r>
          <rPr>
            <b/>
            <sz val="9"/>
            <color indexed="81"/>
            <rFont val="Tahoma"/>
            <family val="2"/>
          </rPr>
          <t>avalenzu:</t>
        </r>
        <r>
          <rPr>
            <sz val="9"/>
            <color indexed="81"/>
            <rFont val="Tahoma"/>
            <family val="2"/>
          </rPr>
          <t xml:space="preserve">
DIGITAR EN MILLONES EL VALOR DE LAS AMORTIZACIONES PAGADAS ENTRE ENERO Y HASTA LA FECHA DE ANALISIS.</t>
        </r>
      </text>
    </comment>
    <comment ref="G27" authorId="0">
      <text>
        <r>
          <rPr>
            <b/>
            <sz val="10"/>
            <color indexed="81"/>
            <rFont val="Tahoma"/>
            <family val="2"/>
          </rPr>
          <t>avalenzu:</t>
        </r>
        <r>
          <rPr>
            <sz val="10"/>
            <color indexed="81"/>
            <rFont val="Tahoma"/>
            <family val="2"/>
          </rPr>
          <t xml:space="preserve">
DIGITAR EN MILLONES EL VALOR PROYECTADO DE LAS AMORTIZACIONES</t>
        </r>
      </text>
    </comment>
    <comment ref="H27" authorId="0">
      <text>
        <r>
          <rPr>
            <b/>
            <sz val="10"/>
            <color indexed="81"/>
            <rFont val="Tahoma"/>
            <family val="2"/>
          </rPr>
          <t>avalenzu:</t>
        </r>
        <r>
          <rPr>
            <sz val="10"/>
            <color indexed="81"/>
            <rFont val="Tahoma"/>
            <family val="2"/>
          </rPr>
          <t xml:space="preserve">
DIGITAR EN MILLONES EL VALOR PROYECTADO DE LAS AMORTIZACIONES</t>
        </r>
      </text>
    </comment>
    <comment ref="I27" authorId="0">
      <text>
        <r>
          <rPr>
            <b/>
            <sz val="10"/>
            <color indexed="81"/>
            <rFont val="Tahoma"/>
            <family val="2"/>
          </rPr>
          <t>avalenzu:</t>
        </r>
        <r>
          <rPr>
            <sz val="10"/>
            <color indexed="81"/>
            <rFont val="Tahoma"/>
            <family val="2"/>
          </rPr>
          <t xml:space="preserve">
DIGITAR EN MILLONES EL VALOR PROYECTADO DE LAS AMORTIZACIONES</t>
        </r>
      </text>
    </comment>
    <comment ref="J27" authorId="0">
      <text>
        <r>
          <rPr>
            <b/>
            <sz val="10"/>
            <color indexed="81"/>
            <rFont val="Tahoma"/>
            <family val="2"/>
          </rPr>
          <t>avalenzu:</t>
        </r>
        <r>
          <rPr>
            <sz val="10"/>
            <color indexed="81"/>
            <rFont val="Tahoma"/>
            <family val="2"/>
          </rPr>
          <t xml:space="preserve">
DIGITAR EN MILLONES EL VALOR PROYECTADO DE LAS AMORTIZACIONES</t>
        </r>
      </text>
    </comment>
    <comment ref="K27" authorId="0">
      <text>
        <r>
          <rPr>
            <b/>
            <sz val="10"/>
            <color indexed="81"/>
            <rFont val="Tahoma"/>
            <family val="2"/>
          </rPr>
          <t>avalenzu:</t>
        </r>
        <r>
          <rPr>
            <sz val="10"/>
            <color indexed="81"/>
            <rFont val="Tahoma"/>
            <family val="2"/>
          </rPr>
          <t xml:space="preserve">
DIGITAR EN MILLONES EL VALOR PROYECTADO DE LAS AMORTIZACIONES</t>
        </r>
      </text>
    </comment>
    <comment ref="L27" authorId="0">
      <text>
        <r>
          <rPr>
            <b/>
            <sz val="10"/>
            <color indexed="81"/>
            <rFont val="Tahoma"/>
            <family val="2"/>
          </rPr>
          <t>avalenzu:</t>
        </r>
        <r>
          <rPr>
            <sz val="10"/>
            <color indexed="81"/>
            <rFont val="Tahoma"/>
            <family val="2"/>
          </rPr>
          <t xml:space="preserve">
DIGITAR EN MILLONES EL VALOR PROYECTADO DE LAS AMORTIZACIONES</t>
        </r>
      </text>
    </comment>
    <comment ref="M27" authorId="0">
      <text>
        <r>
          <rPr>
            <b/>
            <sz val="10"/>
            <color indexed="81"/>
            <rFont val="Tahoma"/>
            <family val="2"/>
          </rPr>
          <t>avalenzu:</t>
        </r>
        <r>
          <rPr>
            <sz val="10"/>
            <color indexed="81"/>
            <rFont val="Tahoma"/>
            <family val="2"/>
          </rPr>
          <t xml:space="preserve">
DIGITAR EN MILLONES EL VALOR PROYECTADO DE LAS AMORTIZACIONES</t>
        </r>
      </text>
    </comment>
    <comment ref="N27" authorId="0">
      <text>
        <r>
          <rPr>
            <b/>
            <sz val="10"/>
            <color indexed="81"/>
            <rFont val="Tahoma"/>
            <family val="2"/>
          </rPr>
          <t>avalenzu:</t>
        </r>
        <r>
          <rPr>
            <sz val="10"/>
            <color indexed="81"/>
            <rFont val="Tahoma"/>
            <family val="2"/>
          </rPr>
          <t xml:space="preserve">
DIGITAR EN MILLONES EL VALOR PROYECTADO DE LAS AMORTIZACIONES</t>
        </r>
      </text>
    </comment>
    <comment ref="O27" authorId="0">
      <text>
        <r>
          <rPr>
            <b/>
            <sz val="10"/>
            <color indexed="81"/>
            <rFont val="Tahoma"/>
            <family val="2"/>
          </rPr>
          <t>avalenzu:</t>
        </r>
        <r>
          <rPr>
            <sz val="10"/>
            <color indexed="81"/>
            <rFont val="Tahoma"/>
            <family val="2"/>
          </rPr>
          <t xml:space="preserve">
DIGITAR EN MILLONES EL VALOR PROYECTADO DE LAS AMORTIZACIONES</t>
        </r>
      </text>
    </comment>
    <comment ref="P27" authorId="0">
      <text>
        <r>
          <rPr>
            <b/>
            <sz val="10"/>
            <color indexed="81"/>
            <rFont val="Tahoma"/>
            <family val="2"/>
          </rPr>
          <t>avalenzu:</t>
        </r>
        <r>
          <rPr>
            <sz val="10"/>
            <color indexed="81"/>
            <rFont val="Tahoma"/>
            <family val="2"/>
          </rPr>
          <t xml:space="preserve">
DIGITAR EN MILLONES EL VALOR PROYECTADO DE LAS AMORTIZACIONES</t>
        </r>
      </text>
    </comment>
    <comment ref="Q27" authorId="0">
      <text>
        <r>
          <rPr>
            <b/>
            <sz val="10"/>
            <color indexed="81"/>
            <rFont val="Tahoma"/>
            <family val="2"/>
          </rPr>
          <t>avalenzu:</t>
        </r>
        <r>
          <rPr>
            <sz val="10"/>
            <color indexed="81"/>
            <rFont val="Tahoma"/>
            <family val="2"/>
          </rPr>
          <t xml:space="preserve">
DIGITAR EN MILLONES EL VALOR PROYECTADO DE LAS AMORTIZACIONES</t>
        </r>
      </text>
    </comment>
    <comment ref="R27" authorId="0">
      <text>
        <r>
          <rPr>
            <b/>
            <sz val="10"/>
            <color indexed="81"/>
            <rFont val="Tahoma"/>
            <family val="2"/>
          </rPr>
          <t>avalenzu:</t>
        </r>
        <r>
          <rPr>
            <sz val="10"/>
            <color indexed="81"/>
            <rFont val="Tahoma"/>
            <family val="2"/>
          </rPr>
          <t xml:space="preserve">
DIGITAR EN MILLONES EL VALOR PROYECTADO DE LAS AMORTIZACIONES</t>
        </r>
      </text>
    </comment>
    <comment ref="S27" authorId="0">
      <text>
        <r>
          <rPr>
            <b/>
            <sz val="10"/>
            <color indexed="81"/>
            <rFont val="Tahoma"/>
            <family val="2"/>
          </rPr>
          <t>avalenzu:</t>
        </r>
        <r>
          <rPr>
            <sz val="10"/>
            <color indexed="81"/>
            <rFont val="Tahoma"/>
            <family val="2"/>
          </rPr>
          <t xml:space="preserve">
DIGITAR EN MILLONES EL VALOR PROYECTADO DE LAS AMORTIZACIONES</t>
        </r>
      </text>
    </comment>
    <comment ref="T27" authorId="0">
      <text>
        <r>
          <rPr>
            <b/>
            <sz val="10"/>
            <color indexed="81"/>
            <rFont val="Tahoma"/>
            <family val="2"/>
          </rPr>
          <t>avalenzu:</t>
        </r>
        <r>
          <rPr>
            <sz val="10"/>
            <color indexed="81"/>
            <rFont val="Tahoma"/>
            <family val="2"/>
          </rPr>
          <t xml:space="preserve">
DIGITAR EN MILLONES EL VALOR PROYECTADO DE LAS AMORTIZACIONES</t>
        </r>
      </text>
    </comment>
    <comment ref="U27" authorId="0">
      <text>
        <r>
          <rPr>
            <b/>
            <sz val="10"/>
            <color indexed="81"/>
            <rFont val="Tahoma"/>
            <family val="2"/>
          </rPr>
          <t>avalenzu:</t>
        </r>
        <r>
          <rPr>
            <sz val="10"/>
            <color indexed="81"/>
            <rFont val="Tahoma"/>
            <family val="2"/>
          </rPr>
          <t xml:space="preserve">
DIGITAR EN MILLONES EL VALOR PROYECTADO DE LAS AMORTIZACIONES</t>
        </r>
      </text>
    </comment>
    <comment ref="D28" authorId="0">
      <text>
        <r>
          <rPr>
            <b/>
            <sz val="9"/>
            <color indexed="81"/>
            <rFont val="Tahoma"/>
            <family val="2"/>
          </rPr>
          <t>avalenzu:</t>
        </r>
        <r>
          <rPr>
            <sz val="9"/>
            <color indexed="81"/>
            <rFont val="Tahoma"/>
            <family val="2"/>
          </rPr>
          <t xml:space="preserve">
DIGITAR EN MILLONES EL VALOR DE LAS AMORTIZACIONES PAGADAS ENTRE ENERO Y HASTA LA FECHA DE ANALISIS.</t>
        </r>
      </text>
    </comment>
    <comment ref="G28" authorId="0">
      <text>
        <r>
          <rPr>
            <b/>
            <sz val="10"/>
            <color indexed="81"/>
            <rFont val="Tahoma"/>
            <family val="2"/>
          </rPr>
          <t>avalenzu:</t>
        </r>
        <r>
          <rPr>
            <sz val="10"/>
            <color indexed="81"/>
            <rFont val="Tahoma"/>
            <family val="2"/>
          </rPr>
          <t xml:space="preserve">
DIGITAR EN MILLONES EL VALOR PROYECTADO DE LAS AMORTIZACIONES</t>
        </r>
      </text>
    </comment>
    <comment ref="H28" authorId="0">
      <text>
        <r>
          <rPr>
            <b/>
            <sz val="10"/>
            <color indexed="81"/>
            <rFont val="Tahoma"/>
            <family val="2"/>
          </rPr>
          <t>avalenzu:</t>
        </r>
        <r>
          <rPr>
            <sz val="10"/>
            <color indexed="81"/>
            <rFont val="Tahoma"/>
            <family val="2"/>
          </rPr>
          <t xml:space="preserve">
DIGITAR EN MILLONES EL VALOR PROYECTADO DE LAS AMORTIZACIONES</t>
        </r>
      </text>
    </comment>
    <comment ref="I28" authorId="0">
      <text>
        <r>
          <rPr>
            <b/>
            <sz val="10"/>
            <color indexed="81"/>
            <rFont val="Tahoma"/>
            <family val="2"/>
          </rPr>
          <t>avalenzu:</t>
        </r>
        <r>
          <rPr>
            <sz val="10"/>
            <color indexed="81"/>
            <rFont val="Tahoma"/>
            <family val="2"/>
          </rPr>
          <t xml:space="preserve">
DIGITAR EN MILLONES EL VALOR PROYECTADO DE LAS AMORTIZACIONES</t>
        </r>
      </text>
    </comment>
    <comment ref="J28" authorId="0">
      <text>
        <r>
          <rPr>
            <b/>
            <sz val="10"/>
            <color indexed="81"/>
            <rFont val="Tahoma"/>
            <family val="2"/>
          </rPr>
          <t>avalenzu:</t>
        </r>
        <r>
          <rPr>
            <sz val="10"/>
            <color indexed="81"/>
            <rFont val="Tahoma"/>
            <family val="2"/>
          </rPr>
          <t xml:space="preserve">
DIGITAR EN MILLONES EL VALOR PROYECTADO DE LAS AMORTIZACIONES</t>
        </r>
      </text>
    </comment>
    <comment ref="D30" authorId="0">
      <text>
        <r>
          <rPr>
            <b/>
            <sz val="9"/>
            <color indexed="81"/>
            <rFont val="Tahoma"/>
            <family val="2"/>
          </rPr>
          <t>avalenzu:</t>
        </r>
        <r>
          <rPr>
            <sz val="9"/>
            <color indexed="81"/>
            <rFont val="Tahoma"/>
            <family val="2"/>
          </rPr>
          <t xml:space="preserve">
DIGITAR EN MILLONES EL VALOR DE LOS INTERESES PAGADOS ENTRE ENERO Y HASTA LA FECHA DE ANALISIS.</t>
        </r>
      </text>
    </comment>
    <comment ref="D31" authorId="0">
      <text>
        <r>
          <rPr>
            <b/>
            <sz val="9"/>
            <color indexed="81"/>
            <rFont val="Tahoma"/>
            <family val="2"/>
          </rPr>
          <t>avalenzu:</t>
        </r>
        <r>
          <rPr>
            <sz val="9"/>
            <color indexed="81"/>
            <rFont val="Tahoma"/>
            <family val="2"/>
          </rPr>
          <t xml:space="preserve">
DIGITAR EN MILLONES EL VALOR DE LOS INTERESES POR PAGAR EN EL RESTO DE LA VIGENCIA.</t>
        </r>
      </text>
    </comment>
    <comment ref="I31" authorId="0">
      <text>
        <r>
          <rPr>
            <b/>
            <sz val="10"/>
            <color indexed="81"/>
            <rFont val="Tahoma"/>
            <family val="2"/>
          </rPr>
          <t>avalenzu:</t>
        </r>
        <r>
          <rPr>
            <sz val="10"/>
            <color indexed="81"/>
            <rFont val="Tahoma"/>
            <family val="2"/>
          </rPr>
          <t xml:space="preserve">
DIGITAR EN MILLONES EL VALOR PROYECTADO DE LOS INTERESES</t>
        </r>
      </text>
    </comment>
    <comment ref="J31" authorId="0">
      <text>
        <r>
          <rPr>
            <b/>
            <sz val="10"/>
            <color indexed="81"/>
            <rFont val="Tahoma"/>
            <family val="2"/>
          </rPr>
          <t>avalenzu:</t>
        </r>
        <r>
          <rPr>
            <sz val="10"/>
            <color indexed="81"/>
            <rFont val="Tahoma"/>
            <family val="2"/>
          </rPr>
          <t xml:space="preserve">
DIGITAR EN MILLONES EL VALOR PROYECTADO DE LOS INTERESES</t>
        </r>
      </text>
    </comment>
    <comment ref="K31" authorId="0">
      <text>
        <r>
          <rPr>
            <b/>
            <sz val="10"/>
            <color indexed="81"/>
            <rFont val="Tahoma"/>
            <family val="2"/>
          </rPr>
          <t>avalenzu:</t>
        </r>
        <r>
          <rPr>
            <sz val="10"/>
            <color indexed="81"/>
            <rFont val="Tahoma"/>
            <family val="2"/>
          </rPr>
          <t xml:space="preserve">
DIGITAR EN MILLONES EL VALOR PROYECTADO DE LOS INTERESES</t>
        </r>
      </text>
    </comment>
    <comment ref="L31" authorId="0">
      <text>
        <r>
          <rPr>
            <b/>
            <sz val="10"/>
            <color indexed="81"/>
            <rFont val="Tahoma"/>
            <family val="2"/>
          </rPr>
          <t>avalenzu:</t>
        </r>
        <r>
          <rPr>
            <sz val="10"/>
            <color indexed="81"/>
            <rFont val="Tahoma"/>
            <family val="2"/>
          </rPr>
          <t xml:space="preserve">
DIGITAR EN MILLONES EL VALOR PROYECTADO DE LOS INTERESES</t>
        </r>
      </text>
    </comment>
    <comment ref="M31" authorId="0">
      <text>
        <r>
          <rPr>
            <b/>
            <sz val="10"/>
            <color indexed="81"/>
            <rFont val="Tahoma"/>
            <family val="2"/>
          </rPr>
          <t>avalenzu:</t>
        </r>
        <r>
          <rPr>
            <sz val="10"/>
            <color indexed="81"/>
            <rFont val="Tahoma"/>
            <family val="2"/>
          </rPr>
          <t xml:space="preserve">
DIGITAR EN MILLONES EL VALOR PROYECTADO DE LOS INTERESES</t>
        </r>
      </text>
    </comment>
    <comment ref="N31" authorId="0">
      <text>
        <r>
          <rPr>
            <b/>
            <sz val="10"/>
            <color indexed="81"/>
            <rFont val="Tahoma"/>
            <family val="2"/>
          </rPr>
          <t>avalenzu:</t>
        </r>
        <r>
          <rPr>
            <sz val="10"/>
            <color indexed="81"/>
            <rFont val="Tahoma"/>
            <family val="2"/>
          </rPr>
          <t xml:space="preserve">
DIGITAR EN MILLONES EL VALOR PROYECTADO DE LOS INTERESES</t>
        </r>
      </text>
    </comment>
    <comment ref="O31" authorId="0">
      <text>
        <r>
          <rPr>
            <b/>
            <sz val="10"/>
            <color indexed="81"/>
            <rFont val="Tahoma"/>
            <family val="2"/>
          </rPr>
          <t>avalenzu:</t>
        </r>
        <r>
          <rPr>
            <sz val="10"/>
            <color indexed="81"/>
            <rFont val="Tahoma"/>
            <family val="2"/>
          </rPr>
          <t xml:space="preserve">
DIGITAR EN MILLONES EL VALOR PROYECTADO DE LOS INTERESES</t>
        </r>
      </text>
    </comment>
    <comment ref="P31" authorId="0">
      <text>
        <r>
          <rPr>
            <b/>
            <sz val="10"/>
            <color indexed="81"/>
            <rFont val="Tahoma"/>
            <family val="2"/>
          </rPr>
          <t>avalenzu:</t>
        </r>
        <r>
          <rPr>
            <sz val="10"/>
            <color indexed="81"/>
            <rFont val="Tahoma"/>
            <family val="2"/>
          </rPr>
          <t xml:space="preserve">
DIGITAR EN MILLONES EL VALOR PROYECTADO DE LOS INTERESES</t>
        </r>
      </text>
    </comment>
    <comment ref="Q31" authorId="0">
      <text>
        <r>
          <rPr>
            <b/>
            <sz val="10"/>
            <color indexed="81"/>
            <rFont val="Tahoma"/>
            <family val="2"/>
          </rPr>
          <t>avalenzu:</t>
        </r>
        <r>
          <rPr>
            <sz val="10"/>
            <color indexed="81"/>
            <rFont val="Tahoma"/>
            <family val="2"/>
          </rPr>
          <t xml:space="preserve">
DIGITAR EN MILLONES EL VALOR PROYECTADO DE LOS INTERESES</t>
        </r>
      </text>
    </comment>
    <comment ref="R31" authorId="0">
      <text>
        <r>
          <rPr>
            <b/>
            <sz val="10"/>
            <color indexed="81"/>
            <rFont val="Tahoma"/>
            <family val="2"/>
          </rPr>
          <t>avalenzu:</t>
        </r>
        <r>
          <rPr>
            <sz val="10"/>
            <color indexed="81"/>
            <rFont val="Tahoma"/>
            <family val="2"/>
          </rPr>
          <t xml:space="preserve">
DIGITAR EN MILLONES EL VALOR PROYECTADO DE LOS INTERESES</t>
        </r>
      </text>
    </comment>
    <comment ref="S31" authorId="0">
      <text>
        <r>
          <rPr>
            <b/>
            <sz val="10"/>
            <color indexed="81"/>
            <rFont val="Tahoma"/>
            <family val="2"/>
          </rPr>
          <t>avalenzu:</t>
        </r>
        <r>
          <rPr>
            <sz val="10"/>
            <color indexed="81"/>
            <rFont val="Tahoma"/>
            <family val="2"/>
          </rPr>
          <t xml:space="preserve">
DIGITAR EN MILLONES EL VALOR PROYECTADO DE LOS INTERESES</t>
        </r>
      </text>
    </comment>
    <comment ref="T31" authorId="0">
      <text>
        <r>
          <rPr>
            <b/>
            <sz val="10"/>
            <color indexed="81"/>
            <rFont val="Tahoma"/>
            <family val="2"/>
          </rPr>
          <t>avalenzu:</t>
        </r>
        <r>
          <rPr>
            <sz val="10"/>
            <color indexed="81"/>
            <rFont val="Tahoma"/>
            <family val="2"/>
          </rPr>
          <t xml:space="preserve">
DIGITAR EN MILLONES EL VALOR PROYECTADO DE LOS INTERESES</t>
        </r>
      </text>
    </comment>
    <comment ref="U31" authorId="0">
      <text>
        <r>
          <rPr>
            <b/>
            <sz val="10"/>
            <color indexed="81"/>
            <rFont val="Tahoma"/>
            <family val="2"/>
          </rPr>
          <t>avalenzu:</t>
        </r>
        <r>
          <rPr>
            <sz val="10"/>
            <color indexed="81"/>
            <rFont val="Tahoma"/>
            <family val="2"/>
          </rPr>
          <t xml:space="preserve">
DIGITAR EN MILLONES EL VALOR PROYECTADO DE LOS INTERESES</t>
        </r>
      </text>
    </comment>
    <comment ref="D33" authorId="0">
      <text>
        <r>
          <rPr>
            <b/>
            <sz val="10"/>
            <color indexed="81"/>
            <rFont val="Tahoma"/>
            <family val="2"/>
          </rPr>
          <t>avalenzu:</t>
        </r>
        <r>
          <rPr>
            <sz val="10"/>
            <color indexed="81"/>
            <rFont val="Tahoma"/>
            <family val="2"/>
          </rPr>
          <t xml:space="preserve">
DIGITAR EN MILLONES EL VALOR TOTAL DEL NUEVO CREDITO. </t>
        </r>
      </text>
    </comment>
    <comment ref="G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H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I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J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K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L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M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N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O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P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Q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R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S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T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U33" authorId="0">
      <text>
        <r>
          <rPr>
            <b/>
            <sz val="10"/>
            <color indexed="81"/>
            <rFont val="Tahoma"/>
            <family val="2"/>
          </rPr>
          <t>avalenzu:</t>
        </r>
        <r>
          <rPr>
            <sz val="10"/>
            <color indexed="81"/>
            <rFont val="Tahoma"/>
            <family val="2"/>
          </rPr>
          <t xml:space="preserve">
DIGITAR EN MILLONES EL VALOR PROYECTADO DEL DESEMBOLSO DE UN NUEVO CREDITO. </t>
        </r>
      </text>
    </comment>
    <comment ref="D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G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H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I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J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K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L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M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N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O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P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Q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R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S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T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U34" authorId="0">
      <text>
        <r>
          <rPr>
            <b/>
            <sz val="10"/>
            <color indexed="81"/>
            <rFont val="Tahoma"/>
            <family val="2"/>
          </rPr>
          <t>avalenzu:</t>
        </r>
        <r>
          <rPr>
            <sz val="10"/>
            <color indexed="81"/>
            <rFont val="Tahoma"/>
            <family val="2"/>
          </rPr>
          <t xml:space="preserve">
DIGITAR EN MILLONES EL VALOR PROYECTADO DE LAS AMORTIZACIONES DEL NUEVO CREDITO.</t>
        </r>
      </text>
    </comment>
    <comment ref="D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G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H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I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J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K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L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M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N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O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P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Q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R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S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T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U35" authorId="0">
      <text>
        <r>
          <rPr>
            <b/>
            <sz val="10"/>
            <color indexed="81"/>
            <rFont val="Tahoma"/>
            <family val="2"/>
          </rPr>
          <t>avalenzu:</t>
        </r>
        <r>
          <rPr>
            <sz val="10"/>
            <color indexed="81"/>
            <rFont val="Tahoma"/>
            <family val="2"/>
          </rPr>
          <t xml:space="preserve">
DIGITAR EN MILLONES EL VALOR PROYECTADO DE LOS INTERESES DEL NUEVO CREDITO.</t>
        </r>
      </text>
    </comment>
    <comment ref="B64" authorId="0">
      <text>
        <r>
          <rPr>
            <b/>
            <sz val="8"/>
            <color indexed="81"/>
            <rFont val="Tahoma"/>
          </rPr>
          <t>avalenzu:</t>
        </r>
        <r>
          <rPr>
            <sz val="8"/>
            <color indexed="81"/>
            <rFont val="Tahoma"/>
          </rPr>
          <t xml:space="preserve">
DIGITAR SOBRE LA LINEA  LA VIGENCIA FISCAL DEL CORTE DE CUENTAS POR PAGAR</t>
        </r>
      </text>
    </comment>
    <comment ref="E64" authorId="0">
      <text>
        <r>
          <rPr>
            <b/>
            <sz val="8"/>
            <color indexed="81"/>
            <rFont val="Tahoma"/>
          </rPr>
          <t>avalenzu:</t>
        </r>
        <r>
          <rPr>
            <sz val="8"/>
            <color indexed="81"/>
            <rFont val="Tahoma"/>
          </rPr>
          <t xml:space="preserve">
DIGITAR EN MILLONES EL VALOR DE LAS CUENTAS POR PAGAR SEGÚN SE INDICA EN LA CELDA G64.</t>
        </r>
      </text>
    </comment>
  </commentList>
</comments>
</file>

<file path=xl/comments6.xml><?xml version="1.0" encoding="utf-8"?>
<comments xmlns="http://schemas.openxmlformats.org/spreadsheetml/2006/main">
  <authors>
    <author>avalenzu</author>
  </authors>
  <commentList>
    <comment ref="B26" authorId="0">
      <text>
        <r>
          <rPr>
            <b/>
            <sz val="8"/>
            <color indexed="81"/>
            <rFont val="Tahoma"/>
          </rPr>
          <t>avalenzu:</t>
        </r>
        <r>
          <rPr>
            <sz val="8"/>
            <color indexed="81"/>
            <rFont val="Tahoma"/>
          </rPr>
          <t xml:space="preserve">
SE REQUIERE DILIGENCIAR POR CADA CONCEPTO, TODOS LOS ITEMS QUE SE SOLICITAN SOBRE LA EJECUCION DE ACREENCIAS.</t>
        </r>
      </text>
    </comment>
  </commentList>
</comments>
</file>

<file path=xl/comments7.xml><?xml version="1.0" encoding="utf-8"?>
<comments xmlns="http://schemas.openxmlformats.org/spreadsheetml/2006/main">
  <authors>
    <author>Findeter S. A.</author>
  </authors>
  <commentList>
    <comment ref="A82" authorId="0">
      <text>
        <r>
          <rPr>
            <b/>
            <sz val="8"/>
            <color indexed="81"/>
            <rFont val="Tahoma"/>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color indexed="81"/>
            <rFont val="Tahoma"/>
          </rPr>
          <t xml:space="preserve">
</t>
        </r>
      </text>
    </comment>
    <comment ref="A85" authorId="0">
      <text>
        <r>
          <rPr>
            <b/>
            <sz val="8"/>
            <color indexed="81"/>
            <rFont val="Tahoma"/>
          </rPr>
          <t>En el formato de la Contraloría, este rubro aparece como una participación del nivel central nacional.</t>
        </r>
      </text>
    </comment>
    <comment ref="A95" authorId="0">
      <text>
        <r>
          <rPr>
            <b/>
            <sz val="8"/>
            <color indexed="81"/>
            <rFont val="Tahoma"/>
            <family val="2"/>
          </rPr>
          <t>El  formato de la Contraloría considera este rubro como ingreso corriente.</t>
        </r>
        <r>
          <rPr>
            <sz val="8"/>
            <color indexed="81"/>
            <rFont val="Tahoma"/>
          </rPr>
          <t xml:space="preserve">
</t>
        </r>
      </text>
    </comment>
    <comment ref="A118" authorId="0">
      <text>
        <r>
          <rPr>
            <b/>
            <sz val="8"/>
            <color indexed="81"/>
            <rFont val="Tahoma"/>
          </rPr>
          <t>En el formato de la Contraloría, este rubro aparece como una participación del nivel central nacional.</t>
        </r>
      </text>
    </comment>
  </commentList>
</comments>
</file>

<file path=xl/comments8.xml><?xml version="1.0" encoding="utf-8"?>
<comments xmlns="http://schemas.openxmlformats.org/spreadsheetml/2006/main">
  <authors>
    <author>Findeter S. A.</author>
  </authors>
  <commentList>
    <comment ref="A80" authorId="0">
      <text>
        <r>
          <rPr>
            <b/>
            <sz val="8"/>
            <color indexed="81"/>
            <rFont val="Tahoma"/>
          </rPr>
          <t>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t>
        </r>
        <r>
          <rPr>
            <sz val="8"/>
            <color indexed="81"/>
            <rFont val="Tahoma"/>
          </rPr>
          <t xml:space="preserve">
</t>
        </r>
      </text>
    </comment>
    <comment ref="A83" authorId="0">
      <text>
        <r>
          <rPr>
            <b/>
            <sz val="8"/>
            <color indexed="81"/>
            <rFont val="Tahoma"/>
          </rPr>
          <t>En el formato de la Contraloría, este rubro aparece como una participación del nivel central nacional.</t>
        </r>
      </text>
    </comment>
    <comment ref="A93" authorId="0">
      <text>
        <r>
          <rPr>
            <b/>
            <sz val="8"/>
            <color indexed="81"/>
            <rFont val="Tahoma"/>
            <family val="2"/>
          </rPr>
          <t>El  formato de la Contraloría considera este rubro como ingreso corriente.</t>
        </r>
        <r>
          <rPr>
            <sz val="8"/>
            <color indexed="81"/>
            <rFont val="Tahoma"/>
          </rPr>
          <t xml:space="preserve">
</t>
        </r>
      </text>
    </comment>
    <comment ref="A116" authorId="0">
      <text>
        <r>
          <rPr>
            <b/>
            <sz val="8"/>
            <color indexed="81"/>
            <rFont val="Tahoma"/>
          </rPr>
          <t>En el formato de la Contraloría, este rubro aparece como una participación del nivel central nacional.</t>
        </r>
      </text>
    </comment>
  </commentList>
</comments>
</file>

<file path=xl/comments9.xml><?xml version="1.0" encoding="utf-8"?>
<comments xmlns="http://schemas.openxmlformats.org/spreadsheetml/2006/main">
  <authors>
    <author>Un usuario de Microsoft Office satisfecho</author>
    <author>avalenzu</author>
  </authors>
  <commentList>
    <comment ref="A29" authorId="0">
      <text>
        <r>
          <rPr>
            <sz val="8"/>
            <color indexed="81"/>
            <rFont val="Tahoma"/>
          </rPr>
          <t xml:space="preserve">En el formato de la Contraloría este código pertenece al Impuesto de Vehículos Automotores.   En la medida que en el formato de la Contraloría hay un código diferente para la transferencia que hace el departamento del Impuesto de Vehículos (20%), se asume que este código corresponde al Impuesto de Circulación y tránsito de Servicio Público.
</t>
        </r>
      </text>
    </comment>
    <comment ref="A33" authorId="0">
      <text>
        <r>
          <rPr>
            <sz val="8"/>
            <color indexed="81"/>
            <rFont val="Tahoma"/>
          </rPr>
          <t xml:space="preserve">En el formato de la Contraloría, este código corresponde al rubro Juegos de Suerte y Azar.   En la medida que la nominación legal es Rifas y Apuestas se utiliza este último nombre para el rubro.
</t>
        </r>
      </text>
    </comment>
    <comment ref="A37" authorId="0">
      <text>
        <r>
          <rPr>
            <sz val="8"/>
            <color indexed="81"/>
            <rFont val="Tahoma"/>
          </rPr>
          <t>La ley establece este tributo como un impuesto.   Por esta razón no se sigue la clasificación de la Contraloría que lo ubica como una tasa.</t>
        </r>
      </text>
    </comment>
    <comment ref="A38" authorId="0">
      <text>
        <r>
          <rPr>
            <sz val="8"/>
            <color indexed="81"/>
            <rFont val="Tahoma"/>
          </rPr>
          <t>En el formato de la Contraloría, este rubro aparece como una participación del nivel central nacional.</t>
        </r>
      </text>
    </comment>
    <comment ref="A47" authorId="0">
      <text>
        <r>
          <rPr>
            <sz val="8"/>
            <color indexed="81"/>
            <rFont val="Tahoma"/>
          </rPr>
          <t xml:space="preserve">Recoge los rubros del Formato de la Contraloría, que van desde el código 11201 hasta el 1120498.
</t>
        </r>
      </text>
    </comment>
    <comment ref="A54" authorId="0">
      <text>
        <r>
          <rPr>
            <sz val="8"/>
            <color indexed="81"/>
            <rFont val="Tahoma"/>
          </rPr>
          <t xml:space="preserve">Recoge los rubros del formato de la Contraloría que van desde 11205 hasta el 11205020498.
</t>
        </r>
      </text>
    </comment>
    <comment ref="A63" authorId="0">
      <text>
        <r>
          <rPr>
            <sz val="8"/>
            <color indexed="81"/>
            <rFont val="Tahoma"/>
          </rPr>
          <t xml:space="preserve">Sumatoria Subsidio Demanda y Subsidio Oferta (Formato CGR)
</t>
        </r>
      </text>
    </comment>
    <comment ref="A69" authorId="0">
      <text>
        <r>
          <rPr>
            <sz val="8"/>
            <color indexed="81"/>
            <rFont val="Tahoma"/>
          </rPr>
          <t xml:space="preserve">Estos rubros (alimentación Escolar y Municipios Ribereños) no aparecen discriminados en el formato de la Contraloría.
</t>
        </r>
      </text>
    </comment>
    <comment ref="A77" authorId="0">
      <text>
        <r>
          <rPr>
            <sz val="8"/>
            <color indexed="81"/>
            <rFont val="Tahoma"/>
          </rPr>
          <t xml:space="preserve">Este rubro en el Formato de la Contraloría, aparece como una participación.
</t>
        </r>
      </text>
    </comment>
    <comment ref="A86" authorId="0">
      <text>
        <r>
          <rPr>
            <sz val="8"/>
            <color indexed="81"/>
            <rFont val="Tahoma"/>
          </rPr>
          <t xml:space="preserve">El  formato de la Contraloría considera este rubro como ingreso corriente.
</t>
        </r>
      </text>
    </comment>
    <comment ref="C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D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E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F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G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H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I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J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K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L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M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N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O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P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Q171" authorId="1">
      <text>
        <r>
          <rPr>
            <b/>
            <sz val="8"/>
            <color indexed="81"/>
            <rFont val="Tahoma"/>
          </rPr>
          <t>avalenzu:</t>
        </r>
        <r>
          <rPr>
            <sz val="8"/>
            <color indexed="81"/>
            <rFont val="Tahoma"/>
          </rPr>
          <t xml:space="preserve">
DIGITAR EN MILLONES, EL VALOR QUE CORRESPONDA A LA PARTE DEL AHORRO DE ICLD QUE SE DESTINA AL FONDO DE CONTINGENCIAS.</t>
        </r>
      </text>
    </comment>
    <comment ref="C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D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E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F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G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H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I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J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K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L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M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N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O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P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 ref="Q172" authorId="1">
      <text>
        <r>
          <rPr>
            <b/>
            <sz val="8"/>
            <color indexed="81"/>
            <rFont val="Tahoma"/>
          </rPr>
          <t>avalenzu:</t>
        </r>
        <r>
          <rPr>
            <sz val="8"/>
            <color indexed="81"/>
            <rFont val="Tahoma"/>
          </rPr>
          <t xml:space="preserve">
DIGITAR EN MILLONES, EL VALOR QUE CORRESPONDA A LA PARTE DE LAS RENTAS REORIENTADAS QUE SE DESTINA AL FONDO DE CONTINGENCIAS.</t>
        </r>
      </text>
    </comment>
  </commentList>
</comments>
</file>

<file path=xl/sharedStrings.xml><?xml version="1.0" encoding="utf-8"?>
<sst xmlns="http://schemas.openxmlformats.org/spreadsheetml/2006/main" count="2673" uniqueCount="1376">
  <si>
    <t xml:space="preserve"> INGRESOS DE CAPITAL</t>
  </si>
  <si>
    <t>11205020104</t>
  </si>
  <si>
    <t xml:space="preserve">          Fondo Nacional de Regalías -FNR-</t>
  </si>
  <si>
    <t>309A</t>
  </si>
  <si>
    <t xml:space="preserve">            Cofinanciación</t>
  </si>
  <si>
    <t>112050207</t>
  </si>
  <si>
    <t xml:space="preserve">        Regalías</t>
  </si>
  <si>
    <t>11205020701</t>
  </si>
  <si>
    <t xml:space="preserve">          Regalías Petrolíferas</t>
  </si>
  <si>
    <t>11205020702</t>
  </si>
  <si>
    <t xml:space="preserve">          Regalías Carboníferas</t>
  </si>
  <si>
    <t>11205020703</t>
  </si>
  <si>
    <t xml:space="preserve">          Regalías por Gas Natural</t>
  </si>
  <si>
    <t>11205020704</t>
  </si>
  <si>
    <t xml:space="preserve">          Regalías Niquel</t>
  </si>
  <si>
    <t>11205020708</t>
  </si>
  <si>
    <t xml:space="preserve">          Oro Físico</t>
  </si>
  <si>
    <t>11205020706</t>
  </si>
  <si>
    <t xml:space="preserve">          Explotación Esmeraldas</t>
  </si>
  <si>
    <t>11205020707</t>
  </si>
  <si>
    <t xml:space="preserve">          Salinas</t>
  </si>
  <si>
    <t>310A</t>
  </si>
  <si>
    <t xml:space="preserve">          Otras Regalías</t>
  </si>
  <si>
    <t>121</t>
  </si>
  <si>
    <t xml:space="preserve">  RECURSOS DEL CRÉDITO</t>
  </si>
  <si>
    <t>12101</t>
  </si>
  <si>
    <t xml:space="preserve">    Interno</t>
  </si>
  <si>
    <t>1210101</t>
  </si>
  <si>
    <t xml:space="preserve">      Del Sector Financiero</t>
  </si>
  <si>
    <t>121010101</t>
  </si>
  <si>
    <t xml:space="preserve">        Findeter</t>
  </si>
  <si>
    <t>121010102</t>
  </si>
  <si>
    <t xml:space="preserve">        Fonade</t>
  </si>
  <si>
    <t>121010103</t>
  </si>
  <si>
    <t xml:space="preserve">        Banca Comercial</t>
  </si>
  <si>
    <t>121010104</t>
  </si>
  <si>
    <t xml:space="preserve">        Corporaciones Financieras</t>
  </si>
  <si>
    <t>121010105</t>
  </si>
  <si>
    <t xml:space="preserve">        Institutos de Desarrollo</t>
  </si>
  <si>
    <t>295A</t>
  </si>
  <si>
    <t xml:space="preserve">        Para Financiar Ajuste</t>
  </si>
  <si>
    <t>121010198</t>
  </si>
  <si>
    <t xml:space="preserve">        Otros Recursos del Sector Financiero</t>
  </si>
  <si>
    <t>1210102</t>
  </si>
  <si>
    <t xml:space="preserve">      Del Sector No Financiero</t>
  </si>
  <si>
    <t>12102</t>
  </si>
  <si>
    <t xml:space="preserve">    Externo</t>
  </si>
  <si>
    <t>122</t>
  </si>
  <si>
    <t xml:space="preserve">  RECURSOS DEL BALANCE</t>
  </si>
  <si>
    <t>12201</t>
  </si>
  <si>
    <t xml:space="preserve">    Saldo en Caja y Bancos a Diciembre 31 Vigencia Anterior</t>
  </si>
  <si>
    <t>12202</t>
  </si>
  <si>
    <t xml:space="preserve">    Recuperación de Cartera</t>
  </si>
  <si>
    <t>1220201</t>
  </si>
  <si>
    <t xml:space="preserve">      Ingresos Tributarios</t>
  </si>
  <si>
    <t>1220202</t>
  </si>
  <si>
    <t xml:space="preserve">      Prestamos Concedidos - Capital</t>
  </si>
  <si>
    <t>1220203</t>
  </si>
  <si>
    <t xml:space="preserve">      Prestamos Concedidos - Intereses</t>
  </si>
  <si>
    <t>1220298</t>
  </si>
  <si>
    <t xml:space="preserve">     Otras Recuperaciones</t>
  </si>
  <si>
    <t>12203</t>
  </si>
  <si>
    <t xml:space="preserve">    Reintegros</t>
  </si>
  <si>
    <t>12204</t>
  </si>
  <si>
    <t xml:space="preserve">    Cancelación de Reservas</t>
  </si>
  <si>
    <t>12205</t>
  </si>
  <si>
    <t xml:space="preserve">    Superávit Fiscal</t>
  </si>
  <si>
    <t>12206</t>
  </si>
  <si>
    <t xml:space="preserve">    Venta de Activos</t>
  </si>
  <si>
    <t>12298</t>
  </si>
  <si>
    <t xml:space="preserve">    Otros Recursos del Balance</t>
  </si>
  <si>
    <t>123</t>
  </si>
  <si>
    <t xml:space="preserve">  RENDIMIENTO DE INVERSIONES FINANCIERAS</t>
  </si>
  <si>
    <t>124</t>
  </si>
  <si>
    <t xml:space="preserve">  DONACIONES</t>
  </si>
  <si>
    <t>125</t>
  </si>
  <si>
    <t xml:space="preserve">  EXCEDENTES FINANCIEROS</t>
  </si>
  <si>
    <t>12501</t>
  </si>
  <si>
    <t xml:space="preserve">    Excedente de Establecimientos Públicos</t>
  </si>
  <si>
    <t>12502</t>
  </si>
  <si>
    <t xml:space="preserve">    Utilidad de Empresas Industriales y Comerciales</t>
  </si>
  <si>
    <t>126</t>
  </si>
  <si>
    <t xml:space="preserve">  APROVECHAMIENTOS</t>
  </si>
  <si>
    <t>11205020105</t>
  </si>
  <si>
    <t xml:space="preserve">          Fondo de Ahorro y Estabilización Petrolera -FAEP-</t>
  </si>
  <si>
    <t>128</t>
  </si>
  <si>
    <t xml:space="preserve">  OTROS INGRESOS DE CAPITAL</t>
  </si>
  <si>
    <t>TITULOS GRAFICAS</t>
  </si>
  <si>
    <t>CodigoCategoria</t>
  </si>
  <si>
    <t>Vigencia</t>
  </si>
  <si>
    <t>Categoria</t>
  </si>
  <si>
    <t>SaneaFiscal</t>
  </si>
  <si>
    <t>FechaInicio</t>
  </si>
  <si>
    <t>FechaFin</t>
  </si>
  <si>
    <t>CodigoFormato</t>
  </si>
  <si>
    <t>CodigoEntidad</t>
  </si>
  <si>
    <t>NIT</t>
  </si>
  <si>
    <t>SI</t>
  </si>
  <si>
    <t>17174</t>
  </si>
  <si>
    <t>NO</t>
  </si>
  <si>
    <t>Entidad:</t>
  </si>
  <si>
    <t xml:space="preserve">Opción por la cuál se categorizó en la vigencia anterior </t>
  </si>
  <si>
    <t>Saneamiento fiscal (digite  X si está en saneamiento fiscal)</t>
  </si>
  <si>
    <t>Código      CGR</t>
  </si>
  <si>
    <t>Presupuesto Definitivo</t>
  </si>
  <si>
    <t>Compromisos del mes</t>
  </si>
  <si>
    <t>Compromisos Acumulados al mes</t>
  </si>
  <si>
    <t>Pagos Acumulados al mes</t>
  </si>
  <si>
    <t>Ejecución Acumulada al mismo Mes del Año Anterior</t>
  </si>
  <si>
    <t>Ejecución Acumulada a Diciembre del año anterior (CAPACIDAD DE PAGO)</t>
  </si>
  <si>
    <t>2</t>
  </si>
  <si>
    <t>GASTOS</t>
  </si>
  <si>
    <t>21</t>
  </si>
  <si>
    <t xml:space="preserve"> GASTOS DE FUNCIONAMIENTO</t>
  </si>
  <si>
    <t>211</t>
  </si>
  <si>
    <t xml:space="preserve">  GASTOS DE PERSONAL</t>
  </si>
  <si>
    <t>21101</t>
  </si>
  <si>
    <t xml:space="preserve">   Servicios Personales Asociados a la Nómina</t>
  </si>
  <si>
    <t>21102</t>
  </si>
  <si>
    <t xml:space="preserve">   Servicios Personales Indirectos</t>
  </si>
  <si>
    <t>2110201</t>
  </si>
  <si>
    <t xml:space="preserve">      Honorarios</t>
  </si>
  <si>
    <t>2110202</t>
  </si>
  <si>
    <t xml:space="preserve">      Jornales</t>
  </si>
  <si>
    <t>2110203</t>
  </si>
  <si>
    <t xml:space="preserve">      Personal Supernumerario</t>
  </si>
  <si>
    <t>2110204</t>
  </si>
  <si>
    <t xml:space="preserve">      Remuneración por Servicios Técnicos</t>
  </si>
  <si>
    <t>2110298</t>
  </si>
  <si>
    <t xml:space="preserve">      Otros Servicios Personales Indirectos</t>
  </si>
  <si>
    <t>21103</t>
  </si>
  <si>
    <t xml:space="preserve">   Contribuciones Inherentes a la Nómina</t>
  </si>
  <si>
    <t>2110301</t>
  </si>
  <si>
    <t xml:space="preserve">      Al Sector Público</t>
  </si>
  <si>
    <t>211030101</t>
  </si>
  <si>
    <t xml:space="preserve">        Aportes Previsión Social</t>
  </si>
  <si>
    <t>211030102</t>
  </si>
  <si>
    <t xml:space="preserve">        Aportes Parafiscales</t>
  </si>
  <si>
    <t>2110302</t>
  </si>
  <si>
    <t xml:space="preserve">      Al Sector Privado</t>
  </si>
  <si>
    <t>211030201</t>
  </si>
  <si>
    <t>211030202</t>
  </si>
  <si>
    <t>212</t>
  </si>
  <si>
    <t xml:space="preserve">  GASTOS GENERALES</t>
  </si>
  <si>
    <t>21201</t>
  </si>
  <si>
    <t xml:space="preserve">    Adquisición de Bienes</t>
  </si>
  <si>
    <t>21202</t>
  </si>
  <si>
    <t xml:space="preserve">    Adquisición de Servicios</t>
  </si>
  <si>
    <t>21298</t>
  </si>
  <si>
    <t xml:space="preserve">    Otros Gastos Generales</t>
  </si>
  <si>
    <t>213</t>
  </si>
  <si>
    <t xml:space="preserve">  TRANSFERENCIAS</t>
  </si>
  <si>
    <t>21301</t>
  </si>
  <si>
    <t xml:space="preserve">   Al Sector Público</t>
  </si>
  <si>
    <t>2130101</t>
  </si>
  <si>
    <t xml:space="preserve">      Pagos de Previsión Social</t>
  </si>
  <si>
    <t>21301010101</t>
  </si>
  <si>
    <t xml:space="preserve">          Cesantías (pagos directos)</t>
  </si>
  <si>
    <t>21301010102</t>
  </si>
  <si>
    <t xml:space="preserve">          Pensiones (mesadas)</t>
  </si>
  <si>
    <t>21301010198</t>
  </si>
  <si>
    <t xml:space="preserve">          Otras Prestaciones Sociales</t>
  </si>
  <si>
    <t>2130102</t>
  </si>
  <si>
    <t xml:space="preserve">      Pagos a Otras Entidades del Sector Público</t>
  </si>
  <si>
    <t>213010201</t>
  </si>
  <si>
    <t xml:space="preserve">        Al Nivel Nacional (10% del S.G.P.- Forz. Inv.- Art. 49-Ley 863/03)</t>
  </si>
  <si>
    <t>213010202</t>
  </si>
  <si>
    <t xml:space="preserve">        Departamento (Administración Central)</t>
  </si>
  <si>
    <t>213010203</t>
  </si>
  <si>
    <t xml:space="preserve">        Distrito (Administración Central)</t>
  </si>
  <si>
    <t>213010204</t>
  </si>
  <si>
    <t xml:space="preserve">        Municipios (Administración Central)</t>
  </si>
  <si>
    <t>213010205</t>
  </si>
  <si>
    <t xml:space="preserve">        A Entidades Descentralizadas</t>
  </si>
  <si>
    <t>21302</t>
  </si>
  <si>
    <t xml:space="preserve">   Al Sector Privado</t>
  </si>
  <si>
    <t>2130201</t>
  </si>
  <si>
    <t>21302010101</t>
  </si>
  <si>
    <t>21302010102</t>
  </si>
  <si>
    <t>21302010198</t>
  </si>
  <si>
    <t>2130202</t>
  </si>
  <si>
    <t xml:space="preserve">    Pagos/Déficit Generado Post Acuerdo (Aplica 617/00)</t>
  </si>
  <si>
    <t>21303</t>
  </si>
  <si>
    <t xml:space="preserve">    Pagos a Organismos Internacionales</t>
  </si>
  <si>
    <t>21304</t>
  </si>
  <si>
    <t xml:space="preserve">    Cuota de Auditaje</t>
  </si>
  <si>
    <t>21305</t>
  </si>
  <si>
    <t xml:space="preserve">   Indemnizaciones por Retiros de Personal</t>
  </si>
  <si>
    <t>21306</t>
  </si>
  <si>
    <t xml:space="preserve">   Sentencias y Conciliaciones</t>
  </si>
  <si>
    <t>21398</t>
  </si>
  <si>
    <t xml:space="preserve">   Otras Transferencias (a Bomberos, CAR y otras similares de fuentes propias)</t>
  </si>
  <si>
    <t>217</t>
  </si>
  <si>
    <t xml:space="preserve">   DEFICIT FISCAL (FUNCIONAMIENTO) </t>
  </si>
  <si>
    <t>12A</t>
  </si>
  <si>
    <t xml:space="preserve"> DÉFICIT FISCAL VIGENCIAS 2.001 Y SIGUIENTES</t>
  </si>
  <si>
    <t>13A</t>
  </si>
  <si>
    <t xml:space="preserve"> DEFICIT FISCAL VIGENCIA 2.000 Y ANTERIORES</t>
  </si>
  <si>
    <t>22</t>
  </si>
  <si>
    <t>GASTOS DE INVERSION</t>
  </si>
  <si>
    <t>223</t>
  </si>
  <si>
    <t xml:space="preserve">  CON RECURSOS DEL SGP</t>
  </si>
  <si>
    <t>22310</t>
  </si>
  <si>
    <t xml:space="preserve">   EDUCACION</t>
  </si>
  <si>
    <t>14A</t>
  </si>
  <si>
    <t xml:space="preserve">corresponde a la suma de las siguientes variables del formato CGR: 2231001,2231004 </t>
  </si>
  <si>
    <t xml:space="preserve">      Construcción, reparación y manteniemiento de Planteles para Preescolar, Primaria y Secundaria</t>
  </si>
  <si>
    <t>2231007</t>
  </si>
  <si>
    <t xml:space="preserve">Porcentaje de la Renta que Tiene Destinación Específica Para el </t>
  </si>
  <si>
    <t xml:space="preserve"> 2/1</t>
  </si>
  <si>
    <t xml:space="preserve"> 3/2</t>
  </si>
  <si>
    <t xml:space="preserve"> 4/3 </t>
  </si>
  <si>
    <t xml:space="preserve"> 5/4</t>
  </si>
  <si>
    <t xml:space="preserve"> 6/5</t>
  </si>
  <si>
    <t xml:space="preserve"> 7/6</t>
  </si>
  <si>
    <t xml:space="preserve"> 8/7</t>
  </si>
  <si>
    <t xml:space="preserve"> 9/8</t>
  </si>
  <si>
    <t xml:space="preserve"> 10/9</t>
  </si>
  <si>
    <t xml:space="preserve"> 11/10</t>
  </si>
  <si>
    <t xml:space="preserve"> 12/11</t>
  </si>
  <si>
    <t xml:space="preserve"> 13/12</t>
  </si>
  <si>
    <t xml:space="preserve"> 14/13</t>
  </si>
  <si>
    <t xml:space="preserve"> 15/14</t>
  </si>
  <si>
    <t xml:space="preserve">      Preinversión: Estudios, Proyectos, Diseños y Asesorías</t>
  </si>
  <si>
    <t>2231008</t>
  </si>
  <si>
    <t xml:space="preserve">      Pago Personal Docente</t>
  </si>
  <si>
    <t>2231009</t>
  </si>
  <si>
    <t xml:space="preserve">      Aportes de Seguridad Social del Personal del Sector</t>
  </si>
  <si>
    <t>2231012</t>
  </si>
  <si>
    <t xml:space="preserve">      Subsidio para el Acceso de la Población a Servicios Educativos</t>
  </si>
  <si>
    <t>15A</t>
  </si>
  <si>
    <t>Corresponde a la suma de las siguientes variables del formato de la CGR: 2231005;2231006;2231010;2231011;2231014;2231098</t>
  </si>
  <si>
    <t xml:space="preserve">      Otros Gastos Educación</t>
  </si>
  <si>
    <t>22316</t>
  </si>
  <si>
    <t xml:space="preserve">   SALUD</t>
  </si>
  <si>
    <t>16A</t>
  </si>
  <si>
    <t>corresponde a la suma de las siguientes variables del formato CGR: 2231601,2231603</t>
  </si>
  <si>
    <t xml:space="preserve">      Construcción y mantenimiento de Hospitales y Puestos de Salud</t>
  </si>
  <si>
    <t>2231607</t>
  </si>
  <si>
    <t>2231608</t>
  </si>
  <si>
    <t xml:space="preserve">      Pagos de Personal del Sector</t>
  </si>
  <si>
    <t>2231609</t>
  </si>
  <si>
    <t>2231612</t>
  </si>
  <si>
    <t xml:space="preserve">      Subsidio para el Acceso de la Población a Servicios Medicos</t>
  </si>
  <si>
    <t>17A</t>
  </si>
  <si>
    <t>Corresponde a la suma de las siguientes variables del formato de la CGR: 2231605;2231610;2231611;2231614;2231615;2231698</t>
  </si>
  <si>
    <t xml:space="preserve">      Otros Gastos Salud</t>
  </si>
  <si>
    <t>50A</t>
  </si>
  <si>
    <t xml:space="preserve">  CON RECURSOS DE PARTICIPACIONES DE PROPOSITO GENERAL - SGP</t>
  </si>
  <si>
    <t>51A</t>
  </si>
  <si>
    <t xml:space="preserve">    Pagos de personal y aportes a la seguridad  social</t>
  </si>
  <si>
    <t>52A</t>
  </si>
  <si>
    <t>Variables 2250208 y 2250209 formato CGR</t>
  </si>
  <si>
    <t xml:space="preserve">       Agua Potable y Saneamiento Básico</t>
  </si>
  <si>
    <t>53A</t>
  </si>
  <si>
    <t>Variables 2250608 y 2250609 formato CGR</t>
  </si>
  <si>
    <t xml:space="preserve">       Infraestructura Vial </t>
  </si>
  <si>
    <t>54A</t>
  </si>
  <si>
    <t>Variables 2250808 y  2250809 formato CGR</t>
  </si>
  <si>
    <t xml:space="preserve">       Vivienda</t>
  </si>
  <si>
    <t>55A</t>
  </si>
  <si>
    <t>Variables 2251008 y 2251009 formato CGR</t>
  </si>
  <si>
    <t xml:space="preserve">       Educación</t>
  </si>
  <si>
    <t>56A</t>
  </si>
  <si>
    <t>Variables 2251408 y 2251409 formato CGR</t>
  </si>
  <si>
    <t xml:space="preserve">       Educación Física, Deporte y Recreación</t>
  </si>
  <si>
    <t>57A</t>
  </si>
  <si>
    <t>Variables 2251608 y 2251609 formato CGR</t>
  </si>
  <si>
    <t xml:space="preserve">       Salud</t>
  </si>
  <si>
    <t>58A</t>
  </si>
  <si>
    <t>Variables 2251808 y 2251809  formato CGR</t>
  </si>
  <si>
    <t xml:space="preserve">       Cultura</t>
  </si>
  <si>
    <t>59A</t>
  </si>
  <si>
    <t>Variables 2252008 y 2252009  formato CGR</t>
  </si>
  <si>
    <t xml:space="preserve">       Sector Energético</t>
  </si>
  <si>
    <t>60A</t>
  </si>
  <si>
    <t>Variables 2252208 y 2252209 formato CGR</t>
  </si>
  <si>
    <t xml:space="preserve">       Desarrollo Agropecuario y Minero</t>
  </si>
  <si>
    <t>61A</t>
  </si>
  <si>
    <t>Variables 2252408 y 2252409 formato CGR</t>
  </si>
  <si>
    <t xml:space="preserve">       Infraestructura Urbana</t>
  </si>
  <si>
    <t>62A</t>
  </si>
  <si>
    <t>Variables 2253408 y 2253409 formato CGR</t>
  </si>
  <si>
    <t xml:space="preserve">       Desarrollo de la comunidad</t>
  </si>
  <si>
    <t>63A</t>
  </si>
  <si>
    <t>Variables 2253608 y 2253609 formato CGR</t>
  </si>
  <si>
    <t xml:space="preserve">       Justicia, defensa y seguridad</t>
  </si>
  <si>
    <t>64A</t>
  </si>
  <si>
    <t>Variables 2252608 y 2252609 formato CGR</t>
  </si>
  <si>
    <t xml:space="preserve">       Otros sectores</t>
  </si>
  <si>
    <t>65A</t>
  </si>
  <si>
    <t xml:space="preserve">    Subsidios para el acceso de la población al servicio</t>
  </si>
  <si>
    <t>2250212</t>
  </si>
  <si>
    <t>66A</t>
  </si>
  <si>
    <t>Variables 2250812 y 2250813 formato CGR</t>
  </si>
  <si>
    <t>2251012</t>
  </si>
  <si>
    <t>2251612</t>
  </si>
  <si>
    <t>67A</t>
  </si>
  <si>
    <t xml:space="preserve">        Sector Energético</t>
  </si>
  <si>
    <t>2252212</t>
  </si>
  <si>
    <t>68A</t>
  </si>
  <si>
    <t xml:space="preserve">    Formación Bruta de capital  y otros (construcción, reparación, mantenimiento, asistencia técnica, preinversión, etc)</t>
  </si>
  <si>
    <t>69A</t>
  </si>
  <si>
    <t>Variables 2250201, 2250202, 2250203, 2250204, 2250205, 2250207, 2250211 y 2250298 del  formato CGR</t>
  </si>
  <si>
    <t>70A</t>
  </si>
  <si>
    <t>Variables 2250601, 2250602, 2250603, 2250604, 2250605, 2250607, 2250611, 2250614 y 2250698 del  formato CGR</t>
  </si>
  <si>
    <t>71A</t>
  </si>
  <si>
    <t>Variables 2250801,  2250805, 2250807, 2250811, 2250814 y 2250898 del  formato CGR</t>
  </si>
  <si>
    <t>72A</t>
  </si>
  <si>
    <t>Variables 2251001, 2251004, 2251005, 2251006, 2251007, 2251010, 2251011, 2251014 y 2251098 del  formato CGR</t>
  </si>
  <si>
    <t>73A</t>
  </si>
  <si>
    <t>Variables 2251401, 2251403, 2251405, 2251407, 2251410, 2251411, 2251414 y 2251498 del  formato CGR</t>
  </si>
  <si>
    <t>74A</t>
  </si>
  <si>
    <t>Variables 2251601, 2251603, 2251605, 2251607, 2251610, 2251611, 2251614, 2251615 y 2251698 del  formato CGR</t>
  </si>
  <si>
    <t>75A</t>
  </si>
  <si>
    <t>Variables 2251801, 2251803, 2251805, 2251807, 2251810, 2251811, 2251814 y  2251898 del  formato CGR</t>
  </si>
  <si>
    <t>76A</t>
  </si>
  <si>
    <t>Variables 2252001, 2252003, 2252005, 2252007,  2252011, 2252014 y 2252098 del  formato CGR</t>
  </si>
  <si>
    <t>77A</t>
  </si>
  <si>
    <t>Variables 2252201, 2252203, 2252205, 2252206, 2252207, 2252210, 2252211, 2252214 y 2252215, 2252216, 2252217, 2252218 y 2252298 del  formato CGR</t>
  </si>
  <si>
    <t>78A</t>
  </si>
  <si>
    <t>Variables 2252401,  2252402, 2252403, 2252405, 2252407,  2252411 y 2252498 del  formato CGR</t>
  </si>
  <si>
    <t>79A</t>
  </si>
  <si>
    <t>Variables 2253401,  2253403, 2253405, 2253407, 2253410, 2253411, 2253414, 2253415, 2253416 y 2253498 del  formato CGR</t>
  </si>
  <si>
    <t>80A</t>
  </si>
  <si>
    <t>Variables 2253601,  2253603, 2253605, 2253607, 2253610, 2253611, 2253614, y 2253698 del  formato CGR</t>
  </si>
  <si>
    <t>81A</t>
  </si>
  <si>
    <t>Variables 2255401,  2255403, 2255405, 2255407, 2255410, 2255411, 2255414, 2255416 y 2255498 del  formato CGR</t>
  </si>
  <si>
    <t xml:space="preserve">       Desarrollo Institucional</t>
  </si>
  <si>
    <t>82A</t>
  </si>
  <si>
    <t xml:space="preserve">Variables 2252601,  2252603, 2252605, 2252606, 2252607, 2252611, 2252698, 2252810, 2252811, 2252814, 2252816, 2252817,  2252898, 2253001, 2253003, 2253011, 2253014, 2253098, 2253214, 2253215, 2253216, 2253217, 2255201, 2255203, 2255205, 2255207, 2255211, </t>
  </si>
  <si>
    <t>224</t>
  </si>
  <si>
    <t xml:space="preserve">  CON RECURSOS DE REGALIAS Y FONDOS DE COFINANCIACIÓN</t>
  </si>
  <si>
    <t>18A</t>
  </si>
  <si>
    <t>19A</t>
  </si>
  <si>
    <t>Variables 2240208 y 2240209 formato CGR</t>
  </si>
  <si>
    <t>20A</t>
  </si>
  <si>
    <t>Variables 2240608 y 2240609 formato CGR</t>
  </si>
  <si>
    <t>21A</t>
  </si>
  <si>
    <t>Variables 2240808 y  2240809 formato CGR</t>
  </si>
  <si>
    <t>22A</t>
  </si>
  <si>
    <t>Variables 2241008 y 2241009 formato CGR</t>
  </si>
  <si>
    <t>23A</t>
  </si>
  <si>
    <t>Variables 2241408 y 2241409 formato CGR</t>
  </si>
  <si>
    <t>24A</t>
  </si>
  <si>
    <t>Variables 2241608 y 2241609 formato CGR</t>
  </si>
  <si>
    <t>25A</t>
  </si>
  <si>
    <t>Variables 2241808 y 2241809  formato CGR</t>
  </si>
  <si>
    <t>26A</t>
  </si>
  <si>
    <t>Variables 2242008 y 2242009  formato CGR</t>
  </si>
  <si>
    <t>27A</t>
  </si>
  <si>
    <t>Variables 2242208 y 2242209 formato CGR</t>
  </si>
  <si>
    <t>28A</t>
  </si>
  <si>
    <t>Variables 2242408 y 2242409 formato CGR</t>
  </si>
  <si>
    <t>29A</t>
  </si>
  <si>
    <t>Variables 2243408 y 2243409 formato CGR</t>
  </si>
  <si>
    <t>30A</t>
  </si>
  <si>
    <t>Variables 2243608 y 2243609 formato CGR</t>
  </si>
  <si>
    <t>31A</t>
  </si>
  <si>
    <t>Variables 2242608 y 2242609 formato CGR</t>
  </si>
  <si>
    <t xml:space="preserve">       Otros</t>
  </si>
  <si>
    <t>32A</t>
  </si>
  <si>
    <t>2240212</t>
  </si>
  <si>
    <t>33A</t>
  </si>
  <si>
    <t>Variables 2240812 y 2240813 formato CGR</t>
  </si>
  <si>
    <t>2241012</t>
  </si>
  <si>
    <t>2241612</t>
  </si>
  <si>
    <t>34A</t>
  </si>
  <si>
    <t>2242212</t>
  </si>
  <si>
    <t>35A</t>
  </si>
  <si>
    <t>36A</t>
  </si>
  <si>
    <t>Variables 2240201, 2240202, 2240203, 2240204, 2240205, 2240207, 2240211 y 2240298 del  formato CGR</t>
  </si>
  <si>
    <t>37A</t>
  </si>
  <si>
    <t>Variables 2240601, 2240602, 2240603, 2240604, 2240605, 2240607, 2240611, 2240614 y 2240698 del  formato CGR</t>
  </si>
  <si>
    <t>38A</t>
  </si>
  <si>
    <t>Variables 2240801,  2240805, 2240807, 2240811, 2240814 y 2240898 del  formato CGR</t>
  </si>
  <si>
    <t>39A</t>
  </si>
  <si>
    <t>Variables 2241001, 2241004, 2241005, 2241006, 2241007, 2241010, 2241011, 2241014 y 2241098 del  formato CGR</t>
  </si>
  <si>
    <t>40A</t>
  </si>
  <si>
    <t>Variables 2241401, 2241403, 2241405, 2241407, 2241410, 2241411, 2241414 y 2241498 del  formato CGR</t>
  </si>
  <si>
    <t>41A</t>
  </si>
  <si>
    <t>Variables 2241601, 2241603, 2241605, 2241607, 2241610, 2241611, 2241614, 2241615 y 2241698 del  formato CGR</t>
  </si>
  <si>
    <t>42A</t>
  </si>
  <si>
    <t>Variables 2241801, 2241803, 2241805, 2241807, 2241810, 2241811, 2241814 y  2241898 del  formato CGR</t>
  </si>
  <si>
    <t>43A</t>
  </si>
  <si>
    <t>Variables 2242001, 2242003, 2242005, 2242007,  2242011, 2242014 y 2242098 del  formato CGR</t>
  </si>
  <si>
    <t>44A</t>
  </si>
  <si>
    <t>Variables 2242201, 2242203, 2242205, 2242206, 2242207, 2242210, 2242211, 2242214 y 2242215, 2242216, 2242217, 2242218 y 2242298 del  formato CGR</t>
  </si>
  <si>
    <t>45A</t>
  </si>
  <si>
    <t>Variables 2242401,  2242402, 2242403, 2242405, 2242407,  2242411 y 2242498 del  formato CGR</t>
  </si>
  <si>
    <t>46A</t>
  </si>
  <si>
    <t>Variables 2243401,  2243403, 2243405, 2243407, 2243410, 2243411, 2243414, 2243415, 2243416 y 2243498 del  formato CGR</t>
  </si>
  <si>
    <t>47A</t>
  </si>
  <si>
    <t>Variables 2243601,  2243603, 2243605, 2243607, 2243610, 2243611, 2243614, y 2243698 del  formato CGR</t>
  </si>
  <si>
    <t>48A</t>
  </si>
  <si>
    <t>Variables 2245401,  2245403, 2245405, 2245407, 2245410, 2245411, 2245414, 2245416 y 2245498 del  formato CGR</t>
  </si>
  <si>
    <t>49A</t>
  </si>
  <si>
    <t>Variables 2242601,  2242603, 2242605, 2242606, 2242607, 2242611, 2242698, 2242810, 2242811, 2242814, 2242816, 2242817,  2242898, 2243001, 2243003, 2243011, 2243014, 2243098, 2243214, 2243215, 2243216 y 2243217 del  formato CGR</t>
  </si>
  <si>
    <t>83A</t>
  </si>
  <si>
    <t xml:space="preserve">  CON RECURSOS PROPIOS Y OTROS</t>
  </si>
  <si>
    <t>84A</t>
  </si>
  <si>
    <t>85A</t>
  </si>
  <si>
    <t>Variables 2260208, 2256209, 2270208 y 2270209 formato CGR</t>
  </si>
  <si>
    <t>86A</t>
  </si>
  <si>
    <t>Variables 2260608, 2260609, 2270608 y2270609 formato CGR</t>
  </si>
  <si>
    <t>87A</t>
  </si>
  <si>
    <t>Variables 2260808 y  2260809, 2270808 y 2270809 formato CGR</t>
  </si>
  <si>
    <t>88A</t>
  </si>
  <si>
    <t>Variables 2261008, 2261009, 2271008 y 2271009 formato CGR</t>
  </si>
  <si>
    <t>89A</t>
  </si>
  <si>
    <t>Variables 2261408, 2271408, 2261409 y 2271409 formato CGR</t>
  </si>
  <si>
    <t>90A</t>
  </si>
  <si>
    <t>Variables 2261608, 2261609, 2271608 y 2271609 formato CGR</t>
  </si>
  <si>
    <t>91A</t>
  </si>
  <si>
    <t>Variables 2261808, 2261809, 2271808 y 2271809  formato CGR</t>
  </si>
  <si>
    <t>92A</t>
  </si>
  <si>
    <t>Variables 2262008, 2262009, 2272008 y 2272009  formato CGR</t>
  </si>
  <si>
    <t>93A</t>
  </si>
  <si>
    <t>Variables 2262208, 2262209, 2272208 y 2272209  formato CGR</t>
  </si>
  <si>
    <t>94A</t>
  </si>
  <si>
    <t>Variables 2262408, 2262409, 2272408 y 2272409  formato CGR</t>
  </si>
  <si>
    <t>95A</t>
  </si>
  <si>
    <t>Variables 2263408, 2263409, 2273408 y 2273409  formato CGR</t>
  </si>
  <si>
    <t>96A</t>
  </si>
  <si>
    <t>Variables 2263608, 2263609, 2273608 y 2273609  formato CGR</t>
  </si>
  <si>
    <t>97A</t>
  </si>
  <si>
    <t>Variables 2262608, 2262609, 2272608 y 2272609  formato CGR</t>
  </si>
  <si>
    <t>98A</t>
  </si>
  <si>
    <t>311A</t>
  </si>
  <si>
    <t>Variables 2260212 y 2270212 formato CGR</t>
  </si>
  <si>
    <t>99A</t>
  </si>
  <si>
    <t>Variables 2260812, 2260813, 2270812 y 2270813 formato CGR</t>
  </si>
  <si>
    <t>100A</t>
  </si>
  <si>
    <t>Variables 2261012 y 2271012 formato CGR</t>
  </si>
  <si>
    <t>101A</t>
  </si>
  <si>
    <t>Variables 2261612 y 2271612 formato CGR</t>
  </si>
  <si>
    <t>102A</t>
  </si>
  <si>
    <t>Variables 2262212 y 2272212 formato CGR</t>
  </si>
  <si>
    <t>103A</t>
  </si>
  <si>
    <t>104A</t>
  </si>
  <si>
    <t>Variables 2260201, 2260202, 2260203, 2260204, 2260205, 2260207, 2260211, 2260298, 2270201, 2270202, 2270203, 2270204, 2270205, 2270207, 2270211 y 2270298del  formato CGR</t>
  </si>
  <si>
    <t>105A</t>
  </si>
  <si>
    <t>Variables 2260601, 2260602, 2260603, 2260604, 2260605, 2260607, 2260611, 2260614, 2260698 2260601, 2260602, 2260603, 2260604, 2260605, 2260607, 2260611, 2260614 y 2260698del  formato CGR</t>
  </si>
  <si>
    <t>106A</t>
  </si>
  <si>
    <t>Variables 2260801,  2260805, 2260807, 2260811, 2260814,  2260898, 2270801,  2270805, 2270807, 2270811, 2270814 y 2270898 del  formato CGR</t>
  </si>
  <si>
    <t>107A</t>
  </si>
  <si>
    <t>Variables 2261001, 2261004, 2261005, 2261006, 2261007, 2261010, 2261011, 2261014,  2261098, 2271001, 2271004, 2271005, 2271006, 2271007, 2271010, 2271011, 2271014 y 2271098 del  formato CGR</t>
  </si>
  <si>
    <t>108A</t>
  </si>
  <si>
    <t>Variables 2261401, 2261403, 2261405, 2261407, 2261410, 2261411, 2261414, 2261498, 2271401, 2271403, 2271405, 2271407, 2271410, 2271411, 2271414 y 2271498 del  formato CGR</t>
  </si>
  <si>
    <t>109A</t>
  </si>
  <si>
    <t>Variables 2261601, 2261603, 2261605, 2261607, 2261610, 2261611, 2261614, 2261615, 2261698, 2271601, 2271603, 2271605, 2271607, 2271610, 2271611, 2271614, 2271615 y 2271698 del  formato CGR</t>
  </si>
  <si>
    <t>110A</t>
  </si>
  <si>
    <t>Variables 2261801, 2261803, 2261805, 2261807, 2261810, 2261811, 2261814, 2261898, 2271801, 2271803, 2271805, 2271807, 2271810, 2271811, 2271814 y 2271898 del  formato CGR</t>
  </si>
  <si>
    <t>111A</t>
  </si>
  <si>
    <t>Variables 2262001, 2262003, 2262005, 2262007,  2262011, 2262014, 2262098, 2272001, 2272003, 2272005, 2272007,  2272011, 2272014 y 2272098 del  formato CGR</t>
  </si>
  <si>
    <t>112A</t>
  </si>
  <si>
    <t>Variables 2262201, 2262203, 2262205, 2262206, 2262207, 2262210, 2262211, 2262214 y 2262215, 2262216, 2262217, 2262218, 2262298,  2272201, 2272203, 2272205, 2272206, 2272207, 2272210, 2272211, 2272214 y 2272215, 2272216, 2272217, 2272218 y 2272298 del  for</t>
  </si>
  <si>
    <t>113A</t>
  </si>
  <si>
    <t>Variables 2262401,  2262402, 2262403, 2262405, 2262407,  2262411, 2262498, 2272401,  2272402, 2272403, 2272405, 2272407,  2272411 y 2272498 del  formato CGR</t>
  </si>
  <si>
    <t>114A</t>
  </si>
  <si>
    <t>Variables 2263401,  2263403, 2263405, 2263407, 2263410, 2263411, 2263414, 2263415, 2263416, 2263498, 2273401,  2273403, 2273405, 2273407, 2273410, 2273411, 2273414, 2273415, 2273416 y 2273498 del  formato CGR</t>
  </si>
  <si>
    <t>115A</t>
  </si>
  <si>
    <t>Variables 2263601,  2263603, 2263605, 2263607, 2263610, 2263611, 2263614,  2263698, 2263601,  2263603, 2263605, 2263607, 2263610, 2263611, 2263614, y 2263698  del  formato CGR</t>
  </si>
  <si>
    <t>116A</t>
  </si>
  <si>
    <t>Variables 2265401,  2265403, 2265405, 2265407, 2265410, 2265411, 2265414, 2265416, 2265498, 2275401,  2275403, 2275405, 2275407, 2275410, 2275411, 2275414, 2275416 y 2275498 del  formato CGR</t>
  </si>
  <si>
    <t>117A</t>
  </si>
  <si>
    <t>Variables 2262601,  2262603, 2262605, 2262606, 2262607, 2262611, 2262698, 2262810, 2262811, 2262814, 2262816, 2262817,  2262898, 2263001, 2263003, 2263011, 2263014, 2263098, 2263214, 2263215, 2263216 y 2263217, 2265201, 2265203, 2265205, 2265207, 2265211,</t>
  </si>
  <si>
    <t>228</t>
  </si>
  <si>
    <t xml:space="preserve">  DÉFICIT FISCAL (POR INVERSIÓN)</t>
  </si>
  <si>
    <t>23</t>
  </si>
  <si>
    <t>Corresponde a la suma de las siguientes variables del formato de la CGR:       231, 232</t>
  </si>
  <si>
    <t xml:space="preserve"> SERVICIO DE LA DEUDA</t>
  </si>
  <si>
    <t>296A</t>
  </si>
  <si>
    <t>Corresponde a la suma de las siguientes variables del formato de la CGR:       23101, 23201</t>
  </si>
  <si>
    <t xml:space="preserve">    Deuda Interna</t>
  </si>
  <si>
    <t>297A</t>
  </si>
  <si>
    <t>Corresponde a la suma de las siguientes variables del formato de la CGR:       2310101,2320101</t>
  </si>
  <si>
    <t xml:space="preserve">      Amortización</t>
  </si>
  <si>
    <t>298A</t>
  </si>
  <si>
    <t>Corresponde a la suma de las siguientes variables del formato de la CGR:       2310102, 2320102</t>
  </si>
  <si>
    <t xml:space="preserve">      Intereses</t>
  </si>
  <si>
    <t>299A</t>
  </si>
  <si>
    <t>Corresponde a la suma de las siguientes variables del formato de la CGR:       2310103, 2320103</t>
  </si>
  <si>
    <t xml:space="preserve">      Comisiones y Otros</t>
  </si>
  <si>
    <t>300A</t>
  </si>
  <si>
    <t>Corresponde a la suma de las siguientes variables del formato de la CGR:       2310104,2320104</t>
  </si>
  <si>
    <t xml:space="preserve">      Bonos Pensionales</t>
  </si>
  <si>
    <t>301A</t>
  </si>
  <si>
    <t>Corresponde a la suma de las siguientes variables del formato de la CGR:       23102, 23202</t>
  </si>
  <si>
    <t xml:space="preserve">    Deuda Externa</t>
  </si>
  <si>
    <t>302A</t>
  </si>
  <si>
    <t>Corresponde a la suma de las siguientes variables del formato de la CGR:       2310201, 2320201</t>
  </si>
  <si>
    <t>303A</t>
  </si>
  <si>
    <t xml:space="preserve"> </t>
  </si>
  <si>
    <t>304A</t>
  </si>
  <si>
    <t>Corresponde a la suma de las siguientes variables del formato de la CGR:       2310203, 2320203</t>
  </si>
  <si>
    <t>INFORMACIÓN ADICIONAL</t>
  </si>
  <si>
    <t>Código     CGR</t>
  </si>
  <si>
    <t>CONCEPTO</t>
  </si>
  <si>
    <t>Escenario Financiero (1)</t>
  </si>
  <si>
    <t>Ejecución Acumulada al mismo mes del año anterior</t>
  </si>
  <si>
    <t>(2)/(1)</t>
  </si>
  <si>
    <t>Apropiación Definitiva</t>
  </si>
  <si>
    <t>118A</t>
  </si>
  <si>
    <t>ORGANISMOS DE CONTROL</t>
  </si>
  <si>
    <t>242</t>
  </si>
  <si>
    <t>Transferencias a Concejo</t>
  </si>
  <si>
    <t>243</t>
  </si>
  <si>
    <t xml:space="preserve">Transferencias a Contraloría </t>
  </si>
  <si>
    <t>244</t>
  </si>
  <si>
    <t>Transferencias a Personería</t>
  </si>
  <si>
    <t>Inicial</t>
  </si>
  <si>
    <t>341A</t>
  </si>
  <si>
    <t>TRANSFERENCIAS A RESGUARDOS INDIGENAS</t>
  </si>
  <si>
    <t>241</t>
  </si>
  <si>
    <t>Resguardos Indigenas</t>
  </si>
  <si>
    <t>BALANCE FINANCIERO</t>
  </si>
  <si>
    <t>Departamento:</t>
  </si>
  <si>
    <t>Trimestre (1-4, 0 = Anual):</t>
  </si>
  <si>
    <t>Saneamiento fiscal (digite una X si está en saneamiento fiscal, sino deje en blanco)</t>
  </si>
  <si>
    <t>(millones de pesos)</t>
  </si>
  <si>
    <t>Código CGR</t>
  </si>
  <si>
    <t>Composiciones  Anuales</t>
  </si>
  <si>
    <t>INGRESOS TOTALES</t>
  </si>
  <si>
    <t>INGRESOS CORRIENTES</t>
  </si>
  <si>
    <t>TRIBUTARIOS</t>
  </si>
  <si>
    <t xml:space="preserve">  Otros Ingresos Tributarios</t>
  </si>
  <si>
    <t>NO TRIBUTARIOS</t>
  </si>
  <si>
    <t>127A</t>
  </si>
  <si>
    <t xml:space="preserve">             Ingresos de la propiedad (Tasas, multas, arrendamientos y alquileres, contribuciones)</t>
  </si>
  <si>
    <t xml:space="preserve">             Otros no tributarios (operación comercial, fondos especiales, otros)</t>
  </si>
  <si>
    <t xml:space="preserve">       Transferencias</t>
  </si>
  <si>
    <t xml:space="preserve">         Del Nivel Nacional (SGP- Inversión)</t>
  </si>
  <si>
    <t xml:space="preserve">             Otras (Alimentación Escolar, Municipios Ribereños, Otras transferencias del nivel central nacional)</t>
  </si>
  <si>
    <t>GASTOS  TOTALES</t>
  </si>
  <si>
    <t>131A</t>
  </si>
  <si>
    <t>GASTOS CORRIENTES</t>
  </si>
  <si>
    <t>FUNCIONAMIENTO</t>
  </si>
  <si>
    <t>132A</t>
  </si>
  <si>
    <t>133A</t>
  </si>
  <si>
    <t xml:space="preserve">        Previsión Social (cesantías y otras prestaciones)</t>
  </si>
  <si>
    <t>312A</t>
  </si>
  <si>
    <t xml:space="preserve">        A Entidades  Nacionales (Fonpet y otros)</t>
  </si>
  <si>
    <t>313A</t>
  </si>
  <si>
    <t xml:space="preserve">        A Entidades Departamentales</t>
  </si>
  <si>
    <t>217A</t>
  </si>
  <si>
    <t xml:space="preserve">        A Entidades Municipales</t>
  </si>
  <si>
    <t>314A</t>
  </si>
  <si>
    <t xml:space="preserve">        Cuota de auditaje</t>
  </si>
  <si>
    <t xml:space="preserve">         Indemnizaciones por retiros de personal</t>
  </si>
  <si>
    <t xml:space="preserve">        Sentencias y Conciliaciones</t>
  </si>
  <si>
    <t xml:space="preserve">        Otras Transferencias</t>
  </si>
  <si>
    <t>2320A</t>
  </si>
  <si>
    <t xml:space="preserve"> Intereses y Comisiones de Deuda Pública</t>
  </si>
  <si>
    <t>135A</t>
  </si>
  <si>
    <t xml:space="preserve">           Interna</t>
  </si>
  <si>
    <t>136A</t>
  </si>
  <si>
    <t xml:space="preserve">           Externa</t>
  </si>
  <si>
    <t>137A</t>
  </si>
  <si>
    <t>Gastos operativos en sectores sociales (remuneración al trabajo, prestaciones, subsidios en educación, salud y otros sectores de inversión)</t>
  </si>
  <si>
    <t>Déficit de Vigencias anteriores por funcionamiento</t>
  </si>
  <si>
    <t>Amortización de Bonos Pensionales</t>
  </si>
  <si>
    <t>138A</t>
  </si>
  <si>
    <t>DÉFICIT O AHORRO CORRIENTE</t>
  </si>
  <si>
    <t>INGRESOS DE CAPITAL</t>
  </si>
  <si>
    <t xml:space="preserve">        Cofinanciación (Fondos de Cofinanciación, FNR)</t>
  </si>
  <si>
    <t xml:space="preserve">        Fondo de Ahorro y Estabilización Petrolera (FAEP)</t>
  </si>
  <si>
    <t xml:space="preserve">         Rendimientos Financieros</t>
  </si>
  <si>
    <t xml:space="preserve">         Excedentes Financieros</t>
  </si>
  <si>
    <t xml:space="preserve">         Recursos del balance  </t>
  </si>
  <si>
    <t xml:space="preserve">         Otros recursos de capital  (donaciones, aprovechamientos y otros)</t>
  </si>
  <si>
    <t>139A</t>
  </si>
  <si>
    <t>GASTOS DE CAPITAL</t>
  </si>
  <si>
    <t>140A</t>
  </si>
  <si>
    <t xml:space="preserve">        Formación Bruta de capital (construcción, reparación)</t>
  </si>
  <si>
    <t xml:space="preserve">        Déficit de Vigencias anteriores por inversión</t>
  </si>
  <si>
    <t>142A</t>
  </si>
  <si>
    <t>DÉFICIT O SUPERÁVIT DE CAPITAL</t>
  </si>
  <si>
    <t>143A</t>
  </si>
  <si>
    <t>DÉFICIT O SUPERÁVIT TOTAL</t>
  </si>
  <si>
    <t>144A</t>
  </si>
  <si>
    <t>FINANCIACIÓN</t>
  </si>
  <si>
    <t xml:space="preserve">  Recursos del crédito</t>
  </si>
  <si>
    <t>218A</t>
  </si>
  <si>
    <t xml:space="preserve">        Desembolsos</t>
  </si>
  <si>
    <t xml:space="preserve">        Amortizaciones</t>
  </si>
  <si>
    <t>219A</t>
  </si>
  <si>
    <t>145A</t>
  </si>
  <si>
    <t xml:space="preserve">DÉFICIT O SUPERÁVIT PRIMARIO </t>
  </si>
  <si>
    <t>146A</t>
  </si>
  <si>
    <t>DÉFICIT O SUPERÁVIT PRIMARIO/INTERESES</t>
  </si>
  <si>
    <t>1/ (Ingresos corrientes + ingresos de capital diferentes de desembolsos, capitalizaciones) - (gastos de funcionamiento + inversión + operación comercial)</t>
  </si>
  <si>
    <t>Fuente: DAF con base en información de la Secretaría de Hacienda Municipal.</t>
  </si>
  <si>
    <t>147A</t>
  </si>
  <si>
    <t>RESULTADO PRESUPUESTAL</t>
  </si>
  <si>
    <t>148A</t>
  </si>
  <si>
    <t>149A</t>
  </si>
  <si>
    <t>GASTOS TOTALES</t>
  </si>
  <si>
    <t>150A</t>
  </si>
  <si>
    <t>DEFICIT O SUPERAVIT PRESUPUESTAL</t>
  </si>
  <si>
    <t>DÉFICIT O SUPERÁVIT PRIMARIO / INGRESOS CORRIENTES</t>
  </si>
  <si>
    <t>GASTOS CORRIENTES / INGRESOS CORRIENTES</t>
  </si>
  <si>
    <t>DÉFICIT O AHORRO CORRIENTE / INGRESOS CORRIENTES</t>
  </si>
  <si>
    <t>CUENTAS POR PAGAR VIGENCIA ANTERIOR</t>
  </si>
  <si>
    <t>CUENTAS POR PAGAR / INGRESOS CORRIENTES</t>
  </si>
  <si>
    <t>DÉFICIT O SUPERÁVIT TOTAL / INGRESOS CORRIENTES</t>
  </si>
  <si>
    <t>OPCIONES DE CATEGORIA</t>
  </si>
  <si>
    <t>CATEGORIA DEL MUNICIPIO</t>
  </si>
  <si>
    <t>1,- LIMITES DEL GASTO (LEY 617 DE 2000)</t>
  </si>
  <si>
    <t>ICLD</t>
  </si>
  <si>
    <t>GASTOS DE FUNCIONAMIENTO CON ORG. CONTROL</t>
  </si>
  <si>
    <t>GTOS DE FTO CON ORG. CONTROL . / ICLD</t>
  </si>
  <si>
    <t>GASTOS DE FUNCIONAMIENTO SIN ORG. CONTROL</t>
  </si>
  <si>
    <t>GTOS DE FTO SIN ORG. CONTROL . / ICLD</t>
  </si>
  <si>
    <t>LIMITE LEGAL SEGÚN CATEGORÍA</t>
  </si>
  <si>
    <t>2,- CAPACIDAD DE ENDEUDAMIENTO (LEY 358 DE 1997)</t>
  </si>
  <si>
    <t>INGRESOS CORRIENTES LEY 358</t>
  </si>
  <si>
    <t>GASTOS DE FUNCIONAMIENTO</t>
  </si>
  <si>
    <t>AHORRO OPERACIONAL</t>
  </si>
  <si>
    <t>SALDO DE LA DEUDA VIGENCIA ANTERIOR</t>
  </si>
  <si>
    <t>DESEMBOLSOS DEUDA CONTRATADA V.A.</t>
  </si>
  <si>
    <t>TOTAL DEUDA SIN NUEVO CREDITO</t>
  </si>
  <si>
    <t>AMORTIZACIONES PAGADAS</t>
  </si>
  <si>
    <t>AMORTIZACIONES POR PAGAR RESTO DE VIGENCIA</t>
  </si>
  <si>
    <t>CREDITO NUEVO</t>
  </si>
  <si>
    <t>AMORTIZACIONES EL NUEVO CREDITO</t>
  </si>
  <si>
    <t>INTERESES PAGADOS Y POR PAGAR DEUDA VIGENTE</t>
  </si>
  <si>
    <t>INTERESES DEL NUEVO CREDITO</t>
  </si>
  <si>
    <t>SALDO DEUDA CON NUEVO CREDITO</t>
  </si>
  <si>
    <t>INTERESES / AHORRO OPERACIONAL</t>
  </si>
  <si>
    <t>SALDO DEUDA / INGRESOS CORRIENTES</t>
  </si>
  <si>
    <t>INDICADORES LEY 358/97 INTERESES / AHORRO O.</t>
  </si>
  <si>
    <t>INDICADORES LEY 358/97 DEUDA / ING. CTES.</t>
  </si>
  <si>
    <t>SEMAFORO</t>
  </si>
  <si>
    <t xml:space="preserve">AHORRO PRIMARIO / INTERESES  </t>
  </si>
  <si>
    <t>AHORRO PRIMARIO / SERVICIO DE LA DEUDA</t>
  </si>
  <si>
    <t>3,- ESTADO DE LA ENTIDAD SEGÚN LEY 819/2003</t>
  </si>
  <si>
    <t>4,- ESTADO DE LA ENTIDAD CON SERVICIO DEUDA</t>
  </si>
  <si>
    <t>LEY 617</t>
  </si>
  <si>
    <t>Municipio</t>
  </si>
  <si>
    <t>Saneamiento fiscal (digite una X si está en saneamiento fiscal)</t>
  </si>
  <si>
    <t>RECAUDOS DE LIBRE DESTINACION</t>
  </si>
  <si>
    <t>DESTINACION ESPECIFICA</t>
  </si>
  <si>
    <t>TOTAL FORMATO A</t>
  </si>
  <si>
    <t>Código           CGR</t>
  </si>
  <si>
    <t>PRESUPUESTO DEFINITIVO</t>
  </si>
  <si>
    <t>EJECUCIÓN A MES DE ________</t>
  </si>
  <si>
    <t>Porcentaje de la Renta que Tiene Destinación Específica</t>
  </si>
  <si>
    <t>Soporte Legal de la Destinación</t>
  </si>
  <si>
    <t>ESCENARIO FINANCIERO</t>
  </si>
  <si>
    <t>120A</t>
  </si>
  <si>
    <t xml:space="preserve"> ICLD base para ley 617 DE 2.000</t>
  </si>
  <si>
    <t xml:space="preserve"> COMPUTAN PARA LEY 617</t>
  </si>
  <si>
    <t>NO COMPUTAN PARA LEY 617</t>
  </si>
  <si>
    <t>TOTAL (FORMATO B)</t>
  </si>
  <si>
    <t>Código            CGR</t>
  </si>
  <si>
    <t>EJECUCIÓN A MES</t>
  </si>
  <si>
    <t>GASTOS DE PERSONAL</t>
  </si>
  <si>
    <t>GASTOS GENERALES</t>
  </si>
  <si>
    <t>TRANSFERENCIAS</t>
  </si>
  <si>
    <t>Indemnización por Retiros de Personal</t>
  </si>
  <si>
    <t>DEFICIT FISCAL POR FUNCIONAMIENTO</t>
  </si>
  <si>
    <t>121A</t>
  </si>
  <si>
    <t xml:space="preserve">  PAGOS DE PERSONAL Y APORTES DE SEGURIDAD SOCIAL EN SECTORES DE INVERSIÓN NO AUTORIZADOS </t>
  </si>
  <si>
    <t>CÓDIGO</t>
  </si>
  <si>
    <t>RAZÓN (GF/ICLD)</t>
  </si>
  <si>
    <t>Fuente: DAF con base en información de la Secretaría de Hacienda Departamental.</t>
  </si>
  <si>
    <t xml:space="preserve">MUNICIPIO DE:  </t>
  </si>
  <si>
    <t xml:space="preserve">CAPACIDAD DE ENDEUDAMIENTO             </t>
  </si>
  <si>
    <t>(en millones de $)</t>
  </si>
  <si>
    <t xml:space="preserve">PROYECCION DE LA CAPACIDAD DE ENDEUDAMIENTO      </t>
  </si>
  <si>
    <t>EJECUCIONES</t>
  </si>
  <si>
    <t>VIGENCIA ACTUAL Ley 358/97</t>
  </si>
  <si>
    <t>VIGENCIA ACTUAL Capacidad Real de Pago</t>
  </si>
  <si>
    <t>Proyección Capacidad de Pago ley 358/97 Año</t>
  </si>
  <si>
    <t>VIGENCIA ANTERIOR</t>
  </si>
  <si>
    <t xml:space="preserve">INGRESOS CORRIENTES </t>
  </si>
  <si>
    <t>1.1.1</t>
  </si>
  <si>
    <t xml:space="preserve"> INGRESOS TRIBUTARIOS</t>
  </si>
  <si>
    <t>1.1.2</t>
  </si>
  <si>
    <t xml:space="preserve"> INGRESOS NO TRIBUTARIOS</t>
  </si>
  <si>
    <t>1.1.3</t>
  </si>
  <si>
    <t xml:space="preserve"> TRANSFERENCIAS</t>
  </si>
  <si>
    <t>1.2.1</t>
  </si>
  <si>
    <t xml:space="preserve"> Recursos del Balance</t>
  </si>
  <si>
    <t>n.a.</t>
  </si>
  <si>
    <t>1.2.6</t>
  </si>
  <si>
    <t xml:space="preserve"> Regalías</t>
  </si>
  <si>
    <t>1.2.8</t>
  </si>
  <si>
    <t xml:space="preserve"> Rendimientos Financieros</t>
  </si>
  <si>
    <t>2.1.1</t>
  </si>
  <si>
    <t xml:space="preserve"> GASTOS DE PERSONAL</t>
  </si>
  <si>
    <t>2.1.2</t>
  </si>
  <si>
    <t xml:space="preserve"> GASTOS GENERALES</t>
  </si>
  <si>
    <t>2.1.3</t>
  </si>
  <si>
    <t xml:space="preserve"> TRANSFERENCIAS  (excluye indemnizaciones por programas de ajuste)</t>
  </si>
  <si>
    <t>2.1.4</t>
  </si>
  <si>
    <t xml:space="preserve"> GASTOS DE PERSONAL PRESUPUESTADOS COMO INVERSIÓN </t>
  </si>
  <si>
    <t>151A</t>
  </si>
  <si>
    <t xml:space="preserve"> PAGO DE DÉFICIT DE VIGENCIAS ANTERIORES</t>
  </si>
  <si>
    <t>3</t>
  </si>
  <si>
    <t>AHORRO OPERACIONAL (1-2)</t>
  </si>
  <si>
    <t>152A</t>
  </si>
  <si>
    <t>INFLACION ESPERADA</t>
  </si>
  <si>
    <t>216A</t>
  </si>
  <si>
    <t>SITUACION  DE LA DEUDA SIN NUEVO CREDITO</t>
  </si>
  <si>
    <t>4</t>
  </si>
  <si>
    <t>SALDO  DEUDA           =   ( 4.1 + 4.2 + 4.3 - 4.4 )</t>
  </si>
  <si>
    <t>4.1</t>
  </si>
  <si>
    <t xml:space="preserve"> Saldo Deuda  a 31diciembre de año anterior</t>
  </si>
  <si>
    <t>4.2</t>
  </si>
  <si>
    <t xml:space="preserve"> Créditos Contratados en la presente vigencia </t>
  </si>
  <si>
    <t>4.3</t>
  </si>
  <si>
    <t xml:space="preserve"> Cuentas por pagar a cierre 2001 menos pago del déficit en 2002</t>
  </si>
  <si>
    <t>153A</t>
  </si>
  <si>
    <t xml:space="preserve"> Pasivos contingentes estimados</t>
  </si>
  <si>
    <t>4.4</t>
  </si>
  <si>
    <t xml:space="preserve"> Amortizaciones de la Deuda    = ( 4.4.1 + 4.4.2 )</t>
  </si>
  <si>
    <t>4.4.1</t>
  </si>
  <si>
    <t xml:space="preserve">  Amortizaciones Pagadas </t>
  </si>
  <si>
    <t>4.4.2</t>
  </si>
  <si>
    <t xml:space="preserve">  Amortizaciones por Pagar en el resto de la vigencia</t>
  </si>
  <si>
    <t>5</t>
  </si>
  <si>
    <t>INTERESES DE LA DEUDA VIGENTE   = ( 5.1 + 5.2 )</t>
  </si>
  <si>
    <t>5.1</t>
  </si>
  <si>
    <t>Intereses Pagados a la fecha de corte</t>
  </si>
  <si>
    <t>5.2</t>
  </si>
  <si>
    <t>Intereses por Pagar en el resto de la vigencia</t>
  </si>
  <si>
    <t>6</t>
  </si>
  <si>
    <t>SITUACIÓN DEL NUEVO CREDITO</t>
  </si>
  <si>
    <t>6.1</t>
  </si>
  <si>
    <t>Valor total del Nuevo Crédito</t>
  </si>
  <si>
    <t>6.2</t>
  </si>
  <si>
    <t xml:space="preserve">Amortizaciones del nuevo credito </t>
  </si>
  <si>
    <t>6.3</t>
  </si>
  <si>
    <t>Intereses del nuevo credito</t>
  </si>
  <si>
    <t>7</t>
  </si>
  <si>
    <t>CALCULO INDICADORES</t>
  </si>
  <si>
    <t>7.1</t>
  </si>
  <si>
    <t>SALDO DEUDA CON NUEVO CREDITO = ( 4 + 6.1 - 6.2 )</t>
  </si>
  <si>
    <t>7.2</t>
  </si>
  <si>
    <t>TOTAL INTERESES   = ( 5 + 6.3 )</t>
  </si>
  <si>
    <t>154A</t>
  </si>
  <si>
    <t>SOLVENCIA = INTERESES / AHORRO OPERACIONAL  = ( 7.2 / 3 )</t>
  </si>
  <si>
    <t>155A</t>
  </si>
  <si>
    <t>SOSTENIBILIDAD = SALDO DEUDA / INGRESOS CORRIENTES  = (7.1 / 1 )</t>
  </si>
  <si>
    <t>156A</t>
  </si>
  <si>
    <t>ESTADO ACTUAL DE LA ENTIDAD (SEMÁFORO)</t>
  </si>
  <si>
    <t>Fuente: DAF con base en información de la Secretaría de Hacienda Municipal</t>
  </si>
  <si>
    <t>RESUMEN</t>
  </si>
  <si>
    <t>DEPARTAMENTO O MUNICIPIO DE:</t>
  </si>
  <si>
    <t>CAPACIDAD DE ENDEUDAMIENTO</t>
  </si>
  <si>
    <t>Código</t>
  </si>
  <si>
    <t xml:space="preserve">SALDO DEUDA CON NUEVO CREDITO </t>
  </si>
  <si>
    <t>INTERESES DE LA DEUDA</t>
  </si>
  <si>
    <t>SOLVENCIA = INTERESES / AHORRO OPERACIONAL  = ( 5 / 3 )</t>
  </si>
  <si>
    <t>SOSTENIBILIDAD = SALDO DEUDA / INGRESOS CORRIENTES  = (4 / 1 )</t>
  </si>
  <si>
    <t>Fuente: DAF con base en información de la Secretaría de Hacienda  Municipal.</t>
  </si>
  <si>
    <t>157A</t>
  </si>
  <si>
    <t>Este valor se debe tomar del formato CGN 001-96 así: total pasivo menos deuda pública (Código 22) menos pasivos estimados (código 27) mas provisiones para prestaciones sociales (código 2715) menos obligaciones contraidas (código 0322)</t>
  </si>
  <si>
    <t>158A</t>
  </si>
  <si>
    <t xml:space="preserve">          Gastos   por pasivos de funcionamiento de vigencias anteriores</t>
  </si>
  <si>
    <t>159A</t>
  </si>
  <si>
    <t xml:space="preserve">                 Mesadas Pensionales </t>
  </si>
  <si>
    <t>160A</t>
  </si>
  <si>
    <t xml:space="preserve">                 Servicios Personales</t>
  </si>
  <si>
    <t>161A</t>
  </si>
  <si>
    <t xml:space="preserve">                 Transferencias de nómina </t>
  </si>
  <si>
    <t>162A</t>
  </si>
  <si>
    <t xml:space="preserve">                 Servicios personales indirectos </t>
  </si>
  <si>
    <t>163A</t>
  </si>
  <si>
    <t xml:space="preserve">                 Gastos Generales</t>
  </si>
  <si>
    <t>164A</t>
  </si>
  <si>
    <t xml:space="preserve">                 Indemnizaciones</t>
  </si>
  <si>
    <t>165A</t>
  </si>
  <si>
    <t xml:space="preserve">                 Otros gastos</t>
  </si>
  <si>
    <t>166A</t>
  </si>
  <si>
    <t xml:space="preserve">                 GRUPO 1</t>
  </si>
  <si>
    <t>167A</t>
  </si>
  <si>
    <t xml:space="preserve">                 GRUPO 2</t>
  </si>
  <si>
    <t>168A</t>
  </si>
  <si>
    <t xml:space="preserve">                 GRUPO 4</t>
  </si>
  <si>
    <t>169A</t>
  </si>
  <si>
    <t xml:space="preserve">         Gastos   por pasivos de inversión de vigencias anteriores</t>
  </si>
  <si>
    <t>170A</t>
  </si>
  <si>
    <t xml:space="preserve">                 En Educación</t>
  </si>
  <si>
    <t>171A</t>
  </si>
  <si>
    <t xml:space="preserve">                 En Salud</t>
  </si>
  <si>
    <t>172A</t>
  </si>
  <si>
    <t xml:space="preserve">                 En Agua potable y saneamiento básico</t>
  </si>
  <si>
    <t>173A</t>
  </si>
  <si>
    <t xml:space="preserve">                 En recreación, cultura u deporte</t>
  </si>
  <si>
    <t>174A</t>
  </si>
  <si>
    <t xml:space="preserve">                 En otros sectores</t>
  </si>
  <si>
    <t>175A</t>
  </si>
  <si>
    <t>176A</t>
  </si>
  <si>
    <t>177A</t>
  </si>
  <si>
    <t>DETALLE DE LA EJECUCION DE ACREENCIAS DEL PROGRAMA DE SANEAMIENTO FISCAL</t>
  </si>
  <si>
    <t>PROYECCION DEL PAGO DE LAS ACREENCIAS DEL PROGRAMA DE SANEAMIENTO FISCAL</t>
  </si>
  <si>
    <t xml:space="preserve"> GASTOS   POR PASIVOS DE FUNCIONAMIENTO DE VIGENCIAS ANTERIORES</t>
  </si>
  <si>
    <t xml:space="preserve">               Mesadas Pensionales </t>
  </si>
  <si>
    <t>159A1</t>
  </si>
  <si>
    <t>Déficit Fiscal Vigencia 2001 y siguientes</t>
  </si>
  <si>
    <t>159A2</t>
  </si>
  <si>
    <t>Déficit Fiscal Vigencia 2000 y Anteriores</t>
  </si>
  <si>
    <t xml:space="preserve">              Servicios Personales</t>
  </si>
  <si>
    <t>160A1</t>
  </si>
  <si>
    <t>160A2</t>
  </si>
  <si>
    <t xml:space="preserve">              Transferencias de nómina </t>
  </si>
  <si>
    <t>161A1</t>
  </si>
  <si>
    <t>161A2</t>
  </si>
  <si>
    <t xml:space="preserve">              Servicios personales indirectos </t>
  </si>
  <si>
    <t>162A1</t>
  </si>
  <si>
    <t>162A2</t>
  </si>
  <si>
    <t xml:space="preserve">              Gastos Generales</t>
  </si>
  <si>
    <t>163A1</t>
  </si>
  <si>
    <t>163A2</t>
  </si>
  <si>
    <t xml:space="preserve">               Indemnizaciones</t>
  </si>
  <si>
    <t>164A1</t>
  </si>
  <si>
    <t>164A2</t>
  </si>
  <si>
    <t xml:space="preserve">               Otros gastos</t>
  </si>
  <si>
    <t>165A1</t>
  </si>
  <si>
    <t>165A2</t>
  </si>
  <si>
    <t xml:space="preserve">               GRUPO 1</t>
  </si>
  <si>
    <t>166A1</t>
  </si>
  <si>
    <t>166A2</t>
  </si>
  <si>
    <t xml:space="preserve">               GRUPO 2</t>
  </si>
  <si>
    <t>167A1</t>
  </si>
  <si>
    <t>167A2</t>
  </si>
  <si>
    <t xml:space="preserve">               GRUPO 4</t>
  </si>
  <si>
    <t>168A1</t>
  </si>
  <si>
    <t>168A2</t>
  </si>
  <si>
    <t xml:space="preserve"> GASTOS   POR PASIVOS DE INVERSION DE VIGENCIAS ANTERIORES</t>
  </si>
  <si>
    <t>FUENTES Y USOS</t>
  </si>
  <si>
    <t>Vigencia fiscal</t>
  </si>
  <si>
    <t>Categoría</t>
  </si>
  <si>
    <t>Nit</t>
  </si>
  <si>
    <t>Ley 617 de 2000</t>
  </si>
  <si>
    <t>Ley 136 de 1994</t>
  </si>
  <si>
    <t>Ministerio de Hacienda</t>
  </si>
  <si>
    <t>En millones de pesos</t>
  </si>
  <si>
    <t>Código    CGR</t>
  </si>
  <si>
    <t>Presupuesto Definitivo    (2)</t>
  </si>
  <si>
    <t xml:space="preserve">Ejecución  al mes            </t>
  </si>
  <si>
    <t>(%) Ejecución frente a presupuesto  (3)/(2)</t>
  </si>
  <si>
    <t xml:space="preserve">(%) Ejecución frente a escenario </t>
  </si>
  <si>
    <t>220A</t>
  </si>
  <si>
    <t>1. FUENTES Y USOS DE LOS GASTOS DE FUNCIONAMIENTO</t>
  </si>
  <si>
    <t>221A</t>
  </si>
  <si>
    <t>A. INGRESOS CORRIENTES DE LIBRE DESTINACION</t>
  </si>
  <si>
    <t xml:space="preserve">  Ingresos Tributarios</t>
  </si>
  <si>
    <t>1110201</t>
  </si>
  <si>
    <t xml:space="preserve">    Impuesto Predial Unificado (Incluye Compensación por predial Resguardos Indigenas)</t>
  </si>
  <si>
    <t>1110101</t>
  </si>
  <si>
    <t>134A</t>
  </si>
  <si>
    <t xml:space="preserve">     Impuesto al Transporte de Hidrocarburos</t>
  </si>
  <si>
    <t>8A</t>
  </si>
  <si>
    <t xml:space="preserve">    Otros Tributarios</t>
  </si>
  <si>
    <t>222A</t>
  </si>
  <si>
    <t xml:space="preserve">    Menos Ingresos para el Fondo de Contingencia</t>
  </si>
  <si>
    <t xml:space="preserve">  Ingresos No Tributarios</t>
  </si>
  <si>
    <t>223A</t>
  </si>
  <si>
    <t>B. GASTOS FUNCIONAMIENTO NIVEL CENTRAL CON ICLD Y RECURSOS PROPIOS</t>
  </si>
  <si>
    <t xml:space="preserve">  Gastos de Personal</t>
  </si>
  <si>
    <t xml:space="preserve">  Gastos Generales</t>
  </si>
  <si>
    <t xml:space="preserve">  Transferencias</t>
  </si>
  <si>
    <t xml:space="preserve">  Déficit fiscal por funcionamiento</t>
  </si>
  <si>
    <t>224A</t>
  </si>
  <si>
    <t>C. GASTOS ORGANOS DE CONTROL</t>
  </si>
  <si>
    <t xml:space="preserve">  Concejo</t>
  </si>
  <si>
    <t xml:space="preserve">  Contraloría</t>
  </si>
  <si>
    <t xml:space="preserve">  Personería</t>
  </si>
  <si>
    <t>225A</t>
  </si>
  <si>
    <t>D. AHORRO DE ICLD DISPONIBLE PARA OTROS GASTOS (A-B-C)</t>
  </si>
  <si>
    <t>226A</t>
  </si>
  <si>
    <t>2. FUENTES Y USOS DE SECTORES DE  INVERSION</t>
  </si>
  <si>
    <t>227A</t>
  </si>
  <si>
    <t xml:space="preserve">       EDUCACIÓN</t>
  </si>
  <si>
    <t>228A</t>
  </si>
  <si>
    <t xml:space="preserve">          Ingresos</t>
  </si>
  <si>
    <t xml:space="preserve">            SGP</t>
  </si>
  <si>
    <t>229A</t>
  </si>
  <si>
    <t xml:space="preserve">          Gastos</t>
  </si>
  <si>
    <t>230A</t>
  </si>
  <si>
    <t xml:space="preserve">             Gastos operativos del sector (sueldos, prestaciones, subsidios y otros)</t>
  </si>
  <si>
    <t>231A</t>
  </si>
  <si>
    <t xml:space="preserve">             Formación Bruta de Capital</t>
  </si>
  <si>
    <t>232A</t>
  </si>
  <si>
    <t xml:space="preserve">             Superávit o déficit del sector</t>
  </si>
  <si>
    <t>233A</t>
  </si>
  <si>
    <t xml:space="preserve">       SALUD</t>
  </si>
  <si>
    <t>234A</t>
  </si>
  <si>
    <t>235A</t>
  </si>
  <si>
    <t xml:space="preserve">            Otros  (especificar)</t>
  </si>
  <si>
    <t>236A</t>
  </si>
  <si>
    <t>237A</t>
  </si>
  <si>
    <t>238A</t>
  </si>
  <si>
    <t>239A</t>
  </si>
  <si>
    <t>240A</t>
  </si>
  <si>
    <t xml:space="preserve">       AGUA POTABLE Y SANEAMIENTO BÁSICO</t>
  </si>
  <si>
    <t>241A</t>
  </si>
  <si>
    <t>242A</t>
  </si>
  <si>
    <t>243A</t>
  </si>
  <si>
    <t>244A</t>
  </si>
  <si>
    <t>245A</t>
  </si>
  <si>
    <t>246A</t>
  </si>
  <si>
    <t xml:space="preserve">       RECREACIÓN, CULTURA Y DEPORTE </t>
  </si>
  <si>
    <t>247A</t>
  </si>
  <si>
    <t>248A</t>
  </si>
  <si>
    <t>249A</t>
  </si>
  <si>
    <t>250A</t>
  </si>
  <si>
    <t>251A</t>
  </si>
  <si>
    <t>252A</t>
  </si>
  <si>
    <t xml:space="preserve">       OTROS INGRESOS PARA INVERSION Y TRANSFERIR</t>
  </si>
  <si>
    <t>253A</t>
  </si>
  <si>
    <t>254A</t>
  </si>
  <si>
    <t xml:space="preserve">        Tributarios con Destinación</t>
  </si>
  <si>
    <t xml:space="preserve">             Impuesto Predial Unificado (Incluye Compensación Predial Resguardos Indigenas)</t>
  </si>
  <si>
    <t xml:space="preserve">             Impuesto Circulación y Tránsito Servicios Públicos</t>
  </si>
  <si>
    <t xml:space="preserve">             Impuesto de Industria y Comercio</t>
  </si>
  <si>
    <t xml:space="preserve">             Sobretasa a la Gasolina</t>
  </si>
  <si>
    <t xml:space="preserve">             Impuesto al Transporte de Hidrocarburos</t>
  </si>
  <si>
    <t>255A</t>
  </si>
  <si>
    <t xml:space="preserve">             Otros Ingresos Tributarios</t>
  </si>
  <si>
    <t>256A</t>
  </si>
  <si>
    <t xml:space="preserve">        No Tributarios con destinación </t>
  </si>
  <si>
    <t xml:space="preserve">            S.G.P. Propósito General</t>
  </si>
  <si>
    <t xml:space="preserve">            S.G.P. Municipios Ribereños</t>
  </si>
  <si>
    <t>257A</t>
  </si>
  <si>
    <t xml:space="preserve">        Otros No tributarios con Destinación</t>
  </si>
  <si>
    <t>258A</t>
  </si>
  <si>
    <t xml:space="preserve">        % Venta/Activos para FONPET y 10% del SGP-PPTO-GRAL (Art. 49 Ley 863/03)</t>
  </si>
  <si>
    <t>259A</t>
  </si>
  <si>
    <t xml:space="preserve">        Ingresos de Capital</t>
  </si>
  <si>
    <t xml:space="preserve">            Fondo Nacional de Regalías -FNR-</t>
  </si>
  <si>
    <t>306A</t>
  </si>
  <si>
    <t xml:space="preserve">            Fondo de Ahorro y Estabilización Petrolera -FAEP-</t>
  </si>
  <si>
    <t>1120502010105</t>
  </si>
  <si>
    <t xml:space="preserve">            Regalías</t>
  </si>
  <si>
    <t>260A</t>
  </si>
  <si>
    <t xml:space="preserve">            Recursos del Crédito</t>
  </si>
  <si>
    <t xml:space="preserve">            Recursos del Balance</t>
  </si>
  <si>
    <t>305A</t>
  </si>
  <si>
    <t xml:space="preserve">            Rendimientos de Inversiones Financieras</t>
  </si>
  <si>
    <t xml:space="preserve">            Donaciones</t>
  </si>
  <si>
    <t xml:space="preserve">            Excedentes Financieros</t>
  </si>
  <si>
    <t xml:space="preserve">           Aprovechamientos</t>
  </si>
  <si>
    <t xml:space="preserve">           Otros Recursos de Capital</t>
  </si>
  <si>
    <t>262A</t>
  </si>
  <si>
    <t xml:space="preserve">       GASTOS DE INVERSION Y OTROS</t>
  </si>
  <si>
    <t>263A</t>
  </si>
  <si>
    <t xml:space="preserve">         Inversión</t>
  </si>
  <si>
    <t>264A</t>
  </si>
  <si>
    <t>265A</t>
  </si>
  <si>
    <t>266A</t>
  </si>
  <si>
    <t xml:space="preserve">        Otros Gastos</t>
  </si>
  <si>
    <t xml:space="preserve">             Indemnizaciones +Transf. a Bomberos, CAR y Otras con Rentas de Dest.Esp.</t>
  </si>
  <si>
    <t>267A</t>
  </si>
  <si>
    <t xml:space="preserve">        Superávit o déficit de Inversión</t>
  </si>
  <si>
    <t>268A</t>
  </si>
  <si>
    <t>E. AHORRO DE RDE DE INVERSIÓN  (suma los superávit o déficit sectoriales)</t>
  </si>
  <si>
    <t>269A</t>
  </si>
  <si>
    <t xml:space="preserve">3. FUENTES Y USOS DEL PROGRAMA DE AJUSTE </t>
  </si>
  <si>
    <t>270A</t>
  </si>
  <si>
    <t xml:space="preserve">       EN FUNCIONAMIENTO</t>
  </si>
  <si>
    <t>271A</t>
  </si>
  <si>
    <t xml:space="preserve">         Ingresos</t>
  </si>
  <si>
    <t xml:space="preserve">               Ahorro  de ICLD disponible para otros gastos (D)</t>
  </si>
  <si>
    <t>272A</t>
  </si>
  <si>
    <t xml:space="preserve">                Rentas  Reorientadas </t>
  </si>
  <si>
    <t xml:space="preserve">                  Sobretasa Gasolina</t>
  </si>
  <si>
    <t xml:space="preserve">                   Impuesto al Transporte de Hidrocarburos</t>
  </si>
  <si>
    <t xml:space="preserve">                   Regalías </t>
  </si>
  <si>
    <t xml:space="preserve">                   Recuperación de Cartera</t>
  </si>
  <si>
    <t xml:space="preserve">                   Fondo de Ahorro y Estabilización Petrolera -FAEP-</t>
  </si>
  <si>
    <t xml:space="preserve">                   Rendimientos de Inversiones Financieras</t>
  </si>
  <si>
    <t xml:space="preserve">                   S.G.P. Próposito General (Otros Sectores 49%)</t>
  </si>
  <si>
    <t xml:space="preserve">                   S.G.P. Municipios Ribereños</t>
  </si>
  <si>
    <t>323A</t>
  </si>
  <si>
    <t xml:space="preserve">                 Crédito de ajuste</t>
  </si>
  <si>
    <t>274A</t>
  </si>
  <si>
    <t xml:space="preserve">          Reserva Fondo de Contingencias (sentencias, litigios,conciliaciones potenciales)</t>
  </si>
  <si>
    <t>275A</t>
  </si>
  <si>
    <t xml:space="preserve">          Ahorro disponible después de gastos por pasivos de funcionamiento</t>
  </si>
  <si>
    <t>276A</t>
  </si>
  <si>
    <t xml:space="preserve">      EN INVERSIÓN</t>
  </si>
  <si>
    <t>277A</t>
  </si>
  <si>
    <t xml:space="preserve">                 Ahorro disponible después de gastos por pasivos de funcionamiento</t>
  </si>
  <si>
    <t xml:space="preserve">                 Ahorro de RDE de inversión disponible para otros gastos (E)</t>
  </si>
  <si>
    <t>278A</t>
  </si>
  <si>
    <t xml:space="preserve">         Ahorro disponible después de gastos por pasivos de funcionamiento e inversión</t>
  </si>
  <si>
    <t>279A</t>
  </si>
  <si>
    <t>4. FUENTES Y USOS  EN SERVICIO DE LA DEUDA</t>
  </si>
  <si>
    <t>280A</t>
  </si>
  <si>
    <t xml:space="preserve">                 Ahorro disponible después de gastos por pasivos de funcionamiento e inversión</t>
  </si>
  <si>
    <t xml:space="preserve">         Gastos  por pago de servicio de deuda</t>
  </si>
  <si>
    <t>281A</t>
  </si>
  <si>
    <t>F. AHORRO FINAL SIN INCLUIR FONDO DE CONTINGENCIAS</t>
  </si>
  <si>
    <t>282A</t>
  </si>
  <si>
    <t>G. AHORRO FINAL INCLUYENDO FONDO DE CONTINGENCIAS</t>
  </si>
  <si>
    <t xml:space="preserve">Fuente: DAF con base en información de la Secretaría de Hacienda </t>
  </si>
  <si>
    <t>DETERMINACION DE LOS MONTOS DEL FONDO DE CONTINGENCIAS</t>
  </si>
  <si>
    <t>122A</t>
  </si>
  <si>
    <t>FONDO DE CONTINGENCIAS</t>
  </si>
  <si>
    <t>209A</t>
  </si>
  <si>
    <t>Ingresos Corrientes de Libre Destinación</t>
  </si>
  <si>
    <t xml:space="preserve">    Impuesto al Transporte de Hidrocarburos</t>
  </si>
  <si>
    <t xml:space="preserve">    Otros Ingresos Tributarios</t>
  </si>
  <si>
    <t>123A</t>
  </si>
  <si>
    <t xml:space="preserve">    Ahorro  de ICLD disponible para otros gastos (D)</t>
  </si>
  <si>
    <t>124A</t>
  </si>
  <si>
    <t xml:space="preserve">    Rentas  Reorientadas </t>
  </si>
  <si>
    <t>FUENTES Y USOS PROYECCIONES</t>
  </si>
  <si>
    <t xml:space="preserve">            Otros No tributarios con Destinación</t>
  </si>
  <si>
    <t>261A</t>
  </si>
  <si>
    <t xml:space="preserve">             Indemnizaciones + Transf. a Bomberos, CAR y Otras con Rentas de Dest.Esp.</t>
  </si>
  <si>
    <t>273A</t>
  </si>
  <si>
    <t xml:space="preserve">                   S.G.P. Propósito General (Otros Sectores 49%)</t>
  </si>
  <si>
    <t>SUPUESTOS DE LA PROYECCION</t>
  </si>
  <si>
    <t xml:space="preserve">    Sobretasa Ambiental ( O Participación del predial para las CAR)</t>
  </si>
  <si>
    <t>PORCENTAJE DE RENTAS A REORIENTAR Y FONDO DE CONTINGENCIAS</t>
  </si>
  <si>
    <t>RENTAS REORIENTADAS</t>
  </si>
  <si>
    <t>Sobretasa a la Gasolina</t>
  </si>
  <si>
    <t>Impuesto al Transporte de Hidrocarburos</t>
  </si>
  <si>
    <t>Regalías</t>
  </si>
  <si>
    <t>Recuperación de Cartera</t>
  </si>
  <si>
    <t>S.G.P Propósito General (Otros Sectores 49%)</t>
  </si>
  <si>
    <t>S.G.P Municipios Ribereños</t>
  </si>
  <si>
    <t>Rendimientos de Operaciones Financieras</t>
  </si>
  <si>
    <t>Fondo de Ahorro y Estabilización Petrolera -FAEP-</t>
  </si>
  <si>
    <t>VECTOR RESULTADO</t>
  </si>
  <si>
    <t xml:space="preserve">Municipio de </t>
  </si>
  <si>
    <t>ICLD base para ley 617 DE 2.000</t>
  </si>
  <si>
    <t xml:space="preserve">Gastos base para Ley 617 de 2.000 </t>
  </si>
  <si>
    <t>315A</t>
  </si>
  <si>
    <t>RELACIÓN GF/ICLD</t>
  </si>
  <si>
    <t>316A</t>
  </si>
  <si>
    <t>LÍMITE ESTABLECIDO POR LA LEY 617</t>
  </si>
  <si>
    <t>317A</t>
  </si>
  <si>
    <t>DIFERENCIA</t>
  </si>
  <si>
    <t>Fuente: Cálculos DAF con base en información de la Secretaría de Hacienda Municipal.</t>
  </si>
  <si>
    <t>DATOS  DE LA ENTIDAD</t>
  </si>
  <si>
    <t>Número de Concejales</t>
  </si>
  <si>
    <t>Número de Sesiones</t>
  </si>
  <si>
    <t>Salario diario del Alcalde</t>
  </si>
  <si>
    <t xml:space="preserve">Salario Mínimo </t>
  </si>
  <si>
    <t>TRANSFERENCIAS AL CONCEJO</t>
  </si>
  <si>
    <t>TRANSFERENCIA REALIZADA</t>
  </si>
  <si>
    <t>333A</t>
  </si>
  <si>
    <t>LÍMITE ESTABLECIDO POR LA LEY 617.</t>
  </si>
  <si>
    <t>334A</t>
  </si>
  <si>
    <t>Remuneración Concejales</t>
  </si>
  <si>
    <t>335A</t>
  </si>
  <si>
    <t>336A</t>
  </si>
  <si>
    <t>TIENE CONTRALORIA</t>
  </si>
  <si>
    <t>En millones de $</t>
  </si>
  <si>
    <t>TRANSFERENCIAS A  CONTRALORÍA</t>
  </si>
  <si>
    <t>1. TRANSFERENCIA REALIZADA</t>
  </si>
  <si>
    <t>324A</t>
  </si>
  <si>
    <t>3. DIFERENCIA</t>
  </si>
  <si>
    <t>1/. Toma en cuenta lo establecido por la ley 617 de 2.000, modificada por la ley 716 de 2001 (art. 17)</t>
  </si>
  <si>
    <t>TRANSFERENCIAS A PERSONERIA</t>
  </si>
  <si>
    <t>337A</t>
  </si>
  <si>
    <t>LÍMITE ESTABLECIDO POR LA LEY (__% de los ICLD)</t>
  </si>
  <si>
    <t>338A</t>
  </si>
  <si>
    <t>1/. Toma en cuenta lo establecido por la ley 549  de 1.999.</t>
  </si>
  <si>
    <t>MUNICIPIO DE</t>
  </si>
  <si>
    <t xml:space="preserve">EJECUCIONES VIGENCIA </t>
  </si>
  <si>
    <t>VIGENCIA ACTUAL  Ley 358/97</t>
  </si>
  <si>
    <t>VIGENCIA ACTUAL  Capacidad de Pago Real</t>
  </si>
  <si>
    <t>Fuente: Cálculos DAF con base en información de la Secretaría de Hacienda Municipal</t>
  </si>
  <si>
    <t>339A</t>
  </si>
  <si>
    <t>GASTOS DE FUNCIONAMIENTO (Sector Central + Organismos de Control)</t>
  </si>
  <si>
    <t>NIVEL CENTRAL</t>
  </si>
  <si>
    <t>340A</t>
  </si>
  <si>
    <t>ORGANOS DE CONTROL</t>
  </si>
  <si>
    <t>INGRESOS CORRIENTES DE LIBRE DESTINACIÓN</t>
  </si>
  <si>
    <t>329A</t>
  </si>
  <si>
    <t xml:space="preserve">    RELACIÓN PORCENTUAL (1/2)</t>
  </si>
  <si>
    <t>330A</t>
  </si>
  <si>
    <t>LIMITE ESTABLECIDO EN EL PROGRAMA O ACUERDO</t>
  </si>
  <si>
    <t>331A</t>
  </si>
  <si>
    <t>limite a concejo</t>
  </si>
  <si>
    <t>60 SMLV</t>
  </si>
  <si>
    <t>CATEGORIA</t>
  </si>
  <si>
    <t>% GTO FTO MPIO</t>
  </si>
  <si>
    <t>% CONSEJO</t>
  </si>
  <si>
    <t>% CONTRALORIA</t>
  </si>
  <si>
    <t>PERSONERIA</t>
  </si>
  <si>
    <t>AÑO IPC</t>
  </si>
  <si>
    <t>IPC</t>
  </si>
  <si>
    <t>limite b concejo</t>
  </si>
  <si>
    <t>1,5% DE ICLD</t>
  </si>
  <si>
    <t>contralorias</t>
  </si>
  <si>
    <t>VARIACIÓN DE LAS CUENTAS POR PAGAR</t>
  </si>
  <si>
    <t>DEPARTAMENTO O MUNICIPIO DE</t>
  </si>
  <si>
    <t>FECHA DE ACTUALIZACIÓN:</t>
  </si>
  <si>
    <t>FECHA DE CORTE ESTADO DE INVENTARIO E INVENTARIO DE ACREENCIAS (LEY 550/99):</t>
  </si>
  <si>
    <t>Año: _____________</t>
  </si>
  <si>
    <t>SECTOR</t>
  </si>
  <si>
    <t>Saldo a: ___________  (Fecha de corte Estado de Inventario-Ley 550/99)</t>
  </si>
  <si>
    <t>Valor cancelado al cierre de la primera vigencia de ejecución del Programa</t>
  </si>
  <si>
    <t>Saldo que pasa para la siguiente vigencia</t>
  </si>
  <si>
    <t>Nuevo Déficit generado durante la primera vigencia de ejecución del Programa</t>
  </si>
  <si>
    <t>Saldo acumulado</t>
  </si>
  <si>
    <t>Valor cancelado al cierre de la segunda vigencia de ejecución del Programa</t>
  </si>
  <si>
    <t>Saldo después de pagos</t>
  </si>
  <si>
    <t>Nuevo Déficit generado durante la segunda vigencia de ejecución del Programa</t>
  </si>
  <si>
    <t xml:space="preserve">Saldo acumulado </t>
  </si>
  <si>
    <t>Directamente (sin tener en cuenta orden judicial)</t>
  </si>
  <si>
    <t>A través de fideicomiso (sin tener en cuenta orden judicial y/o crédito de ajuste)</t>
  </si>
  <si>
    <t>Por orden judicial</t>
  </si>
  <si>
    <t>Cruce de cuentas y/o compensaciones</t>
  </si>
  <si>
    <t>Con crédito de ajuste</t>
  </si>
  <si>
    <t>TOTAL</t>
  </si>
  <si>
    <t>A</t>
  </si>
  <si>
    <t>B</t>
  </si>
  <si>
    <t>C=A-B</t>
  </si>
  <si>
    <t>D</t>
  </si>
  <si>
    <t>E=C+D</t>
  </si>
  <si>
    <t>F</t>
  </si>
  <si>
    <t>G=E-F</t>
  </si>
  <si>
    <t>H</t>
  </si>
  <si>
    <t>G+H</t>
  </si>
  <si>
    <t>178A</t>
  </si>
  <si>
    <t>179A</t>
  </si>
  <si>
    <t>MESADAS PENSIONALES</t>
  </si>
  <si>
    <t>180A</t>
  </si>
  <si>
    <t>SERVICIOS PERSONALES</t>
  </si>
  <si>
    <t>181A</t>
  </si>
  <si>
    <t>TRANSFERENCIAS DE NOMINA</t>
  </si>
  <si>
    <t>182A</t>
  </si>
  <si>
    <t>183A</t>
  </si>
  <si>
    <t xml:space="preserve">OTRAS TRANSFERENCIAS </t>
  </si>
  <si>
    <t>184A</t>
  </si>
  <si>
    <t>SUBTOTAL</t>
  </si>
  <si>
    <t>185A</t>
  </si>
  <si>
    <t>INVERSIÓN</t>
  </si>
  <si>
    <t>186A</t>
  </si>
  <si>
    <t>SALUD</t>
  </si>
  <si>
    <t>187A</t>
  </si>
  <si>
    <t>EDUCACIÓN</t>
  </si>
  <si>
    <t>188A</t>
  </si>
  <si>
    <t>AGUA POTABLE</t>
  </si>
  <si>
    <t>189A</t>
  </si>
  <si>
    <t>DEPORTE, RECREACIÓN Y CULTURA</t>
  </si>
  <si>
    <t>190A</t>
  </si>
  <si>
    <t>OTROS SECTORES</t>
  </si>
  <si>
    <t>191A</t>
  </si>
  <si>
    <t>192A</t>
  </si>
  <si>
    <t>1.  TOTAL</t>
  </si>
  <si>
    <t>Millones de $</t>
  </si>
  <si>
    <t>ACREENCIAS NO INCORPORADAS EN EL PROGRAMA DE SANEAMIENTO FISCAL Y FINANCIERO (CAUSADAS CON ANTERIORIDAD A LA FECHA DE CORTE DEL ESTADO DE INVENTARIO-LEY 550 DE 1999)</t>
  </si>
  <si>
    <t xml:space="preserve">Valor </t>
  </si>
  <si>
    <t>Pagos</t>
  </si>
  <si>
    <t>Saldo</t>
  </si>
  <si>
    <t>Por otra razón (Especificar)</t>
  </si>
  <si>
    <t>193A</t>
  </si>
  <si>
    <t>194A</t>
  </si>
  <si>
    <t>195A</t>
  </si>
  <si>
    <t>196A</t>
  </si>
  <si>
    <t>197A</t>
  </si>
  <si>
    <t>198A</t>
  </si>
  <si>
    <t>199A</t>
  </si>
  <si>
    <t>200A</t>
  </si>
  <si>
    <t>201A</t>
  </si>
  <si>
    <t>Fecha de Inicio del Analisis:</t>
  </si>
  <si>
    <t>Fecha de Terminación de las Proyecciones:</t>
  </si>
  <si>
    <t>FORMATO_DAF_VERSION_2.0_AGOSTO_10_2005</t>
  </si>
  <si>
    <t>202A</t>
  </si>
  <si>
    <t>203A</t>
  </si>
  <si>
    <t>204A</t>
  </si>
  <si>
    <t>RECREACIÓN Y CULTURA</t>
  </si>
  <si>
    <t>205A</t>
  </si>
  <si>
    <t>206A</t>
  </si>
  <si>
    <t>207A</t>
  </si>
  <si>
    <t>2.  TOTAL ACREENCIAS NO INCORPORADAS EN EL ACUERDO DE REESTRUCTURACIÓN DE PASIVOS</t>
  </si>
  <si>
    <t>208A</t>
  </si>
  <si>
    <t>SALDO ACTUAL TOTAL</t>
  </si>
  <si>
    <t>CRITERIOS DE VIABILIDAD FINANCIERA DE LOS MUNICIPIOS</t>
  </si>
  <si>
    <t>Déficit o Ahorro Corriente / IC</t>
  </si>
  <si>
    <t>Déficit o Superávit Primario / IC</t>
  </si>
  <si>
    <t>Amortización  Máxima / Saldo</t>
  </si>
  <si>
    <t>Cuentas por Pagar / IC</t>
  </si>
  <si>
    <t>Semáforo Ley 358/99</t>
  </si>
  <si>
    <t>Cumplimiento Ley 617</t>
  </si>
  <si>
    <t>Programa de Ajuste</t>
  </si>
  <si>
    <t>Evaluación</t>
  </si>
  <si>
    <t>Cumple</t>
  </si>
  <si>
    <t>Incumple</t>
  </si>
  <si>
    <t>Nivel de Desempeño</t>
  </si>
  <si>
    <t>CALIFIQUE (1,2,3,4) DE ACUERDO CON LAS CARACTERÍSTICAS SEÑALADAS EN LA TABLA DE ABAJO</t>
  </si>
  <si>
    <t>DESCRIPCIÓN DE LOS CRITERIOS</t>
  </si>
  <si>
    <t>NIVEL DE DESEMPEÑO 1</t>
  </si>
  <si>
    <t>NIVEL DE DESEMPEÑO 2</t>
  </si>
  <si>
    <t>NIVEL DE DESEMPEÑO 3</t>
  </si>
  <si>
    <t>NIVEL DE DESEMPEÑO 4</t>
  </si>
  <si>
    <t>AHORRO CORRIENTE</t>
  </si>
  <si>
    <t>POSITIVO Y MAYOR A 50% DE LOS IC</t>
  </si>
  <si>
    <t>POSITIVO PERO MENOR A 50% DE LOS IC</t>
  </si>
  <si>
    <t>NEGATIVO</t>
  </si>
  <si>
    <t>SUPERÁVIT PRIMARIO</t>
  </si>
  <si>
    <t>POSITIVO Y SUFICIENTE PARA SERVIR INTERESES Y AMORTIZACIONES DE LA DEUDA</t>
  </si>
  <si>
    <t>POSITIVO E INSUFICIENTE PARA SERVIR INTERESES PERO NO PARA SERVIR AMORTIZACIONES D ELA DEUDA</t>
  </si>
  <si>
    <t>POSITIVO PERO INSUFICIENTE PARA PAGAR LOS INTERESES DE LA DEUDA</t>
  </si>
  <si>
    <t>SEMÁFORO LEY 358</t>
  </si>
  <si>
    <t>VERDE</t>
  </si>
  <si>
    <t>ROJO</t>
  </si>
  <si>
    <t xml:space="preserve">CUMPLIMIENTO DE LEY 617 </t>
  </si>
  <si>
    <t>CUMPLE EN EL NIVEL CENTRAL</t>
  </si>
  <si>
    <t>INCUMPLE</t>
  </si>
  <si>
    <t>CUMPLE</t>
  </si>
  <si>
    <t>LEY 715</t>
  </si>
  <si>
    <t>CONCENTRACIÓN DE AMORTIZACIONES DE DEUDA</t>
  </si>
  <si>
    <t>MÁS DEL 15% EN ALGÚN AÑO</t>
  </si>
  <si>
    <t>MÁS DEL 20% EN ALGÚN AÑO</t>
  </si>
  <si>
    <t>SALDO DE CUENTAS POR PAGAR</t>
  </si>
  <si>
    <t>MENOR AL 15% DE LOS IC</t>
  </si>
  <si>
    <t>ENTRE EL 15 Y EL 30% DE LOS IC</t>
  </si>
  <si>
    <t>ENTRE EL 30% Y EL 50% DE LOS IC</t>
  </si>
  <si>
    <t>MAYOR AL 50% DE LOS IC</t>
  </si>
  <si>
    <t>PROGRAMA DE AJUSTE</t>
  </si>
  <si>
    <t>SI Y CUMPLIÉNDOLO</t>
  </si>
  <si>
    <t>SIN PROGRAMA O CON PROGRAMA PERO INCUMPLIÉNDOLO</t>
  </si>
  <si>
    <t>DIRECCIÓN GENERAL DE APOYO FISCAL</t>
  </si>
  <si>
    <t>MINISTERIO DE HACIENDA Y CRÉDITO PÚBLICO</t>
  </si>
  <si>
    <t>Código:</t>
  </si>
  <si>
    <t>Entidad Territorial</t>
  </si>
  <si>
    <t>Vigencia fiscal:</t>
  </si>
  <si>
    <t>Mes (1, 2, - 12, 0 = Anual):</t>
  </si>
  <si>
    <t>Categoría:</t>
  </si>
  <si>
    <t>Nit:</t>
  </si>
  <si>
    <t>Opción por la cuál se categorizó en la vigencia anterior (digite una X sobre la opción respectiva):</t>
  </si>
  <si>
    <t>Ley 617 de 2000:</t>
  </si>
  <si>
    <t>Ley 136 de 1994:</t>
  </si>
  <si>
    <t>MinHacienda:</t>
  </si>
  <si>
    <t>Programa de Saneamiento Fiscal (digite una X si está en saneamiento fiscal, sino deje en blanco)</t>
  </si>
  <si>
    <t>Fecha de Inicio del Convenio:</t>
  </si>
  <si>
    <t>Acuerdo de Reestructuración de Pasivos Ley 550/99 (Escoger opción de la lista)</t>
  </si>
  <si>
    <t>Fecha de Terminación del Convenio:</t>
  </si>
  <si>
    <t>Código  CGR</t>
  </si>
  <si>
    <t>CONCEPTOS</t>
  </si>
  <si>
    <t>Presupuesto Inicial</t>
  </si>
  <si>
    <t xml:space="preserve">Presupuesto Definitivo   </t>
  </si>
  <si>
    <t>Modificaciones Acumuladas</t>
  </si>
  <si>
    <t>Recaudo del mes</t>
  </si>
  <si>
    <t>Recaudos acumulados al mes</t>
  </si>
  <si>
    <t>Ejecución / Presupuesto</t>
  </si>
  <si>
    <t>Recaudos Acumulados al mismo mes del año anterior</t>
  </si>
  <si>
    <t>(%) Incremento</t>
  </si>
  <si>
    <t>(%) Ejecución frente a escenario</t>
  </si>
  <si>
    <t>Recaudos Acumulados a Diciembre del año anterior (CAPACIDAD DE PAGO)</t>
  </si>
  <si>
    <t>1</t>
  </si>
  <si>
    <t>INGRESOS</t>
  </si>
  <si>
    <t>11</t>
  </si>
  <si>
    <t xml:space="preserve"> INGRESOS CORRIENTES</t>
  </si>
  <si>
    <t>111</t>
  </si>
  <si>
    <t xml:space="preserve">  TRIBUTARIOS</t>
  </si>
  <si>
    <t>1110103</t>
  </si>
  <si>
    <t xml:space="preserve">    Impuesto Predial Unificado (Incluye Compensación por predial de Resguardos Indigenas)</t>
  </si>
  <si>
    <t>1110105</t>
  </si>
  <si>
    <t xml:space="preserve">    Sobretasa Ambiental ( O Participación dsel predial para las CAR)</t>
  </si>
  <si>
    <t>307A</t>
  </si>
  <si>
    <t xml:space="preserve">    Impuesto de Circulación y Tránsito Servicio Público</t>
  </si>
  <si>
    <t>1110205</t>
  </si>
  <si>
    <t xml:space="preserve">    Impuesto de Industria y Comercio</t>
  </si>
  <si>
    <t>1110216</t>
  </si>
  <si>
    <t xml:space="preserve">    Sobretasa a la Gasolina</t>
  </si>
  <si>
    <t>1110208</t>
  </si>
  <si>
    <t xml:space="preserve">    Impuesto de Espectáculos Públicos</t>
  </si>
  <si>
    <t>1110211</t>
  </si>
  <si>
    <t xml:space="preserve">    Impuesto sobre Rifas y Apuestas</t>
  </si>
  <si>
    <t>1110206</t>
  </si>
  <si>
    <t xml:space="preserve">    Impuesto de Avisos y Tableros</t>
  </si>
  <si>
    <t>1110212</t>
  </si>
  <si>
    <t xml:space="preserve">    Impuesto de Deguello de Ganado Menor</t>
  </si>
  <si>
    <t>1110207</t>
  </si>
  <si>
    <t xml:space="preserve">    Impuesto de Delineación Urbana</t>
  </si>
  <si>
    <t>1120103</t>
  </si>
  <si>
    <t xml:space="preserve">    Impuesto sobre Servicio de Alumbrado Público</t>
  </si>
  <si>
    <t>11205020810</t>
  </si>
  <si>
    <t xml:space="preserve">    Impuesto al Transporte Hidrocarburos</t>
  </si>
  <si>
    <t>1110217</t>
  </si>
  <si>
    <t xml:space="preserve">  Estampillas</t>
  </si>
  <si>
    <t>111021701</t>
  </si>
  <si>
    <t xml:space="preserve">   Estampilla Pro-Palacio</t>
  </si>
  <si>
    <t>111021702</t>
  </si>
  <si>
    <t xml:space="preserve">   Estampilla Pro-Desarrollo</t>
  </si>
  <si>
    <t>111021703</t>
  </si>
  <si>
    <t xml:space="preserve">   Estampilla Pro-Electrificacion Rural</t>
  </si>
  <si>
    <t>111021704</t>
  </si>
  <si>
    <t xml:space="preserve">   Estampillas Pro-Turismo</t>
  </si>
  <si>
    <t>111021798</t>
  </si>
  <si>
    <t xml:space="preserve">   Otras Estampillas</t>
  </si>
  <si>
    <t>1110215</t>
  </si>
  <si>
    <t xml:space="preserve">    Sobretasa Bomberil</t>
  </si>
  <si>
    <t>308A</t>
  </si>
  <si>
    <t xml:space="preserve">   Otros Ingresos Tributarios</t>
  </si>
  <si>
    <t>112</t>
  </si>
  <si>
    <t xml:space="preserve">  NO TRIBUTARIOS</t>
  </si>
  <si>
    <t>11201</t>
  </si>
  <si>
    <t xml:space="preserve">    Tasas y Multas</t>
  </si>
  <si>
    <t>11202</t>
  </si>
  <si>
    <t xml:space="preserve">    Arrendamientos</t>
  </si>
  <si>
    <t>11203</t>
  </si>
  <si>
    <t xml:space="preserve">    Alquiler de Maquinaria y Equipo</t>
  </si>
  <si>
    <t>11204</t>
  </si>
  <si>
    <t xml:space="preserve">    Contribuciones</t>
  </si>
  <si>
    <t>1120401</t>
  </si>
  <si>
    <t xml:space="preserve">      Contribución por Valorización</t>
  </si>
  <si>
    <t>1120498</t>
  </si>
  <si>
    <t xml:space="preserve">      Otras Contribuciones</t>
  </si>
  <si>
    <t>11205</t>
  </si>
  <si>
    <t xml:space="preserve">   Transferencias</t>
  </si>
  <si>
    <t>1120501</t>
  </si>
  <si>
    <t xml:space="preserve">      Transferencias Corrientes (Para Funcionamiento)</t>
  </si>
  <si>
    <t>1120501010101</t>
  </si>
  <si>
    <t xml:space="preserve">            Sistema General de Participaciones - Propósito General (Libre Destinación)</t>
  </si>
  <si>
    <t>112050108</t>
  </si>
  <si>
    <t xml:space="preserve">        Cuota de Auditaje</t>
  </si>
  <si>
    <t>1120502</t>
  </si>
  <si>
    <t xml:space="preserve">      Transferencias de Capital (Para Inversión)</t>
  </si>
  <si>
    <t>1120502010101</t>
  </si>
  <si>
    <t xml:space="preserve">            Sistema General de Participaciones -Educación-</t>
  </si>
  <si>
    <t>112050201010101</t>
  </si>
  <si>
    <t xml:space="preserve">              S. G. P. Educación - Prestación de Servicios</t>
  </si>
  <si>
    <t>112050201010102</t>
  </si>
  <si>
    <t xml:space="preserve">              S. G. P. Educación - Aportes Patronales (Calidad)</t>
  </si>
  <si>
    <t>1120502010102</t>
  </si>
  <si>
    <t xml:space="preserve">            Sistema General de Participaciones -Salud-</t>
  </si>
  <si>
    <t>112050201010201</t>
  </si>
  <si>
    <t xml:space="preserve">              S. G. P. Salud - Subsidio Demanda</t>
  </si>
  <si>
    <t>112050201010202</t>
  </si>
  <si>
    <t xml:space="preserve">              S. G. P. Salud - Subsidio Oferta</t>
  </si>
  <si>
    <t>112050201010203</t>
  </si>
  <si>
    <t xml:space="preserve">              S. G. P. Salud - Plan de Atención Básica (Pab)</t>
  </si>
  <si>
    <t>112050201010204</t>
  </si>
  <si>
    <t xml:space="preserve">              S. G. P. Salud - Aportes Patronales</t>
  </si>
  <si>
    <t>112050201010205</t>
  </si>
  <si>
    <t xml:space="preserve">              S. G. P. Salud - Prestación de Servicios</t>
  </si>
  <si>
    <t>1120502010103</t>
  </si>
  <si>
    <t xml:space="preserve">            Sistema General de Participaciones Propósito General (Forsoza Inversión)</t>
  </si>
  <si>
    <t>6A</t>
  </si>
  <si>
    <t xml:space="preserve">     Sistema General  de Participaciones-Alimentación Escolar</t>
  </si>
  <si>
    <t>7A</t>
  </si>
  <si>
    <t xml:space="preserve">     Sistema General  de Participaciones-Municipios Ribereños Rio Magdalena</t>
  </si>
  <si>
    <t>1120502010198</t>
  </si>
  <si>
    <t xml:space="preserve">            Otras Transferencias del Nivel Central Nacional</t>
  </si>
  <si>
    <t>11205020102</t>
  </si>
  <si>
    <t xml:space="preserve">          Empresa para la Salud -ETESA-</t>
  </si>
  <si>
    <t>11205020103</t>
  </si>
  <si>
    <t xml:space="preserve">          Fondo de Solidaridad y Garantías -FOSYGA-</t>
  </si>
  <si>
    <t>11205020198</t>
  </si>
  <si>
    <t xml:space="preserve">          Otras Transferencias del Nivel Nacional</t>
  </si>
  <si>
    <t>112050202</t>
  </si>
  <si>
    <t xml:space="preserve">        Del Nivel Departamental</t>
  </si>
  <si>
    <t>1120501020101</t>
  </si>
  <si>
    <t xml:space="preserve">            De Vehículos Automotores</t>
  </si>
  <si>
    <t>11205020806</t>
  </si>
  <si>
    <t xml:space="preserve">          Degüello de Ganado Mayor</t>
  </si>
  <si>
    <t>11205010298</t>
  </si>
  <si>
    <t xml:space="preserve">          Otras Transferencias del Nivel Departamental</t>
  </si>
  <si>
    <t>11206</t>
  </si>
  <si>
    <t xml:space="preserve">    Fondos Especiales</t>
  </si>
  <si>
    <t>1120601</t>
  </si>
  <si>
    <t xml:space="preserve">      Fondos para Previsión Social</t>
  </si>
  <si>
    <t>1120605</t>
  </si>
  <si>
    <t xml:space="preserve">      Fondo de Seguridad (5% Contratos) -Ley 418/97-</t>
  </si>
  <si>
    <t>5A</t>
  </si>
  <si>
    <t xml:space="preserve">      Otros Fondos Especiales</t>
  </si>
  <si>
    <t>11298</t>
  </si>
  <si>
    <t xml:space="preserve">    Otros Ingresos No Tributarios</t>
  </si>
  <si>
    <t>12</t>
  </si>
  <si>
    <t>MUNICIPIO DE CUNDAY</t>
  </si>
  <si>
    <t>ACUERDO</t>
  </si>
  <si>
    <t xml:space="preserve"> Cuentas por pagar al cierre de: 2011</t>
  </si>
</sst>
</file>

<file path=xl/styles.xml><?xml version="1.0" encoding="utf-8"?>
<styleSheet xmlns="http://schemas.openxmlformats.org/spreadsheetml/2006/main">
  <numFmts count="13">
    <numFmt numFmtId="164" formatCode="_ * #,##0.00_ ;_ * \-#,##0.00_ ;_ * &quot;-&quot;??_ ;_ @_ "/>
    <numFmt numFmtId="165" formatCode="#,##0.0"/>
    <numFmt numFmtId="166" formatCode="0.0%"/>
    <numFmt numFmtId="167" formatCode="0.0"/>
    <numFmt numFmtId="168" formatCode="#,##0.0000"/>
    <numFmt numFmtId="169" formatCode="#,##0.000"/>
    <numFmt numFmtId="170" formatCode="_ * #,##0_ ;_ * \-#,##0_ ;_ * &quot;-&quot;??_ ;_ @_ "/>
    <numFmt numFmtId="171" formatCode="0.000"/>
    <numFmt numFmtId="172" formatCode="&quot;Porcentaje Adicional para los Gastos (&quot;\ 0.0%&quot;) de los ICLD&quot;"/>
    <numFmt numFmtId="173" formatCode="&quot;2. LÍMITE ESTABLECIDO POR LA LEY (&quot;\ 0.0%&quot; de los ICLD)&quot;"/>
    <numFmt numFmtId="174" formatCode="&quot;LÍMITE ESTABLECIDO POR LA LEY (% de los ICLD O SMLV)=&quot;\ 0.000"/>
    <numFmt numFmtId="175" formatCode="m/d/yyyy;@"/>
    <numFmt numFmtId="176" formatCode="d/mm/yyyy;@"/>
  </numFmts>
  <fonts count="70">
    <font>
      <sz val="10"/>
      <name val="Arial"/>
    </font>
    <font>
      <sz val="10"/>
      <name val="Arial"/>
    </font>
    <font>
      <b/>
      <sz val="18"/>
      <name val="Arial"/>
      <family val="2"/>
    </font>
    <font>
      <b/>
      <i/>
      <sz val="12"/>
      <name val="Arial"/>
      <family val="2"/>
    </font>
    <font>
      <sz val="10"/>
      <name val="Arial"/>
      <family val="2"/>
    </font>
    <font>
      <sz val="8"/>
      <name val="Arial"/>
      <family val="2"/>
    </font>
    <font>
      <i/>
      <sz val="10"/>
      <name val="Arial"/>
      <family val="2"/>
    </font>
    <font>
      <b/>
      <sz val="10"/>
      <name val="Arial"/>
      <family val="2"/>
    </font>
    <font>
      <b/>
      <sz val="8"/>
      <name val="Arial"/>
      <family val="2"/>
    </font>
    <font>
      <b/>
      <sz val="12"/>
      <name val="Arial"/>
      <family val="2"/>
    </font>
    <font>
      <b/>
      <sz val="9"/>
      <color indexed="8"/>
      <name val="Arial"/>
      <family val="2"/>
    </font>
    <font>
      <b/>
      <sz val="10"/>
      <color indexed="10"/>
      <name val="Arial"/>
      <family val="2"/>
    </font>
    <font>
      <sz val="12"/>
      <name val="Arial"/>
      <family val="2"/>
    </font>
    <font>
      <b/>
      <sz val="9"/>
      <color indexed="8"/>
      <name val="Tahoma"/>
      <family val="2"/>
    </font>
    <font>
      <sz val="8"/>
      <name val="Tahoma"/>
      <family val="2"/>
    </font>
    <font>
      <sz val="9"/>
      <color indexed="8"/>
      <name val="Tahoma"/>
      <family val="2"/>
    </font>
    <font>
      <b/>
      <sz val="9"/>
      <name val="Tahoma"/>
      <family val="2"/>
    </font>
    <font>
      <sz val="9"/>
      <name val="Tahoma"/>
      <family val="2"/>
    </font>
    <font>
      <sz val="9"/>
      <name val="Arial"/>
      <family val="2"/>
    </font>
    <font>
      <b/>
      <sz val="9"/>
      <name val="Arial"/>
      <family val="2"/>
    </font>
    <font>
      <b/>
      <sz val="9"/>
      <color indexed="9"/>
      <name val="Arial"/>
      <family val="2"/>
    </font>
    <font>
      <b/>
      <sz val="11"/>
      <color indexed="9"/>
      <name val="Arial"/>
      <family val="2"/>
    </font>
    <font>
      <b/>
      <sz val="12"/>
      <color indexed="9"/>
      <name val="Arial"/>
      <family val="2"/>
    </font>
    <font>
      <b/>
      <i/>
      <sz val="9"/>
      <color indexed="8"/>
      <name val="Tahoma"/>
      <family val="2"/>
    </font>
    <font>
      <sz val="10"/>
      <name val="Arial"/>
    </font>
    <font>
      <b/>
      <sz val="11"/>
      <name val="Arial"/>
    </font>
    <font>
      <sz val="10"/>
      <color indexed="10"/>
      <name val="Arial"/>
      <family val="2"/>
    </font>
    <font>
      <sz val="8"/>
      <color indexed="81"/>
      <name val="Tahoma"/>
    </font>
    <font>
      <b/>
      <sz val="7"/>
      <name val="Arial"/>
      <family val="2"/>
    </font>
    <font>
      <sz val="7"/>
      <name val="Arial"/>
      <family val="2"/>
    </font>
    <font>
      <b/>
      <sz val="7"/>
      <color indexed="8"/>
      <name val="Arial"/>
      <family val="2"/>
    </font>
    <font>
      <b/>
      <sz val="9"/>
      <color indexed="53"/>
      <name val="Tahoma"/>
      <family val="2"/>
    </font>
    <font>
      <sz val="9"/>
      <name val="Arial"/>
    </font>
    <font>
      <b/>
      <sz val="8"/>
      <name val="Tahoma"/>
      <family val="2"/>
    </font>
    <font>
      <sz val="8"/>
      <name val="Arial"/>
    </font>
    <font>
      <sz val="9"/>
      <color indexed="9"/>
      <name val="Tahoma"/>
      <family val="2"/>
    </font>
    <font>
      <sz val="7"/>
      <color indexed="10"/>
      <name val="Arial"/>
      <family val="2"/>
    </font>
    <font>
      <b/>
      <sz val="8"/>
      <color indexed="81"/>
      <name val="Tahoma"/>
    </font>
    <font>
      <b/>
      <sz val="8"/>
      <color indexed="81"/>
      <name val="Tahoma"/>
      <family val="2"/>
    </font>
    <font>
      <b/>
      <i/>
      <sz val="9"/>
      <name val="Arial"/>
      <family val="2"/>
    </font>
    <font>
      <b/>
      <sz val="10"/>
      <color indexed="8"/>
      <name val="Arial Unicode MS"/>
      <family val="2"/>
    </font>
    <font>
      <sz val="10"/>
      <color indexed="8"/>
      <name val="Arial Unicode MS"/>
      <family val="2"/>
    </font>
    <font>
      <sz val="10"/>
      <name val="Arial Unicode MS"/>
      <family val="2"/>
    </font>
    <font>
      <b/>
      <sz val="10"/>
      <name val="Arial Unicode MS"/>
      <family val="2"/>
    </font>
    <font>
      <b/>
      <sz val="10"/>
      <color indexed="10"/>
      <name val="Arial Unicode MS"/>
      <family val="2"/>
    </font>
    <font>
      <i/>
      <sz val="10"/>
      <name val="Arial Unicode MS"/>
      <family val="2"/>
    </font>
    <font>
      <b/>
      <i/>
      <sz val="10"/>
      <color indexed="8"/>
      <name val="Arial Unicode MS"/>
      <family val="2"/>
    </font>
    <font>
      <b/>
      <sz val="18"/>
      <name val="Arial Unicode MS"/>
      <family val="2"/>
    </font>
    <font>
      <b/>
      <i/>
      <sz val="12"/>
      <name val="Arial Unicode MS"/>
      <family val="2"/>
    </font>
    <font>
      <b/>
      <sz val="8"/>
      <name val="Arial Unicode MS"/>
      <family val="2"/>
    </font>
    <font>
      <sz val="8"/>
      <name val="Arial Unicode MS"/>
      <family val="2"/>
    </font>
    <font>
      <b/>
      <sz val="7"/>
      <name val="Arial Unicode MS"/>
      <family val="2"/>
    </font>
    <font>
      <sz val="10"/>
      <color indexed="10"/>
      <name val="Arial"/>
    </font>
    <font>
      <sz val="10"/>
      <color indexed="10"/>
      <name val="Arial Unicode MS"/>
      <family val="2"/>
    </font>
    <font>
      <b/>
      <sz val="9"/>
      <name val="Arial Unicode MS"/>
      <family val="2"/>
    </font>
    <font>
      <b/>
      <sz val="11"/>
      <color indexed="8"/>
      <name val="Arial"/>
      <family val="2"/>
    </font>
    <font>
      <b/>
      <i/>
      <sz val="12"/>
      <color indexed="8"/>
      <name val="Arial"/>
    </font>
    <font>
      <sz val="11"/>
      <color indexed="8"/>
      <name val="Arial"/>
      <family val="2"/>
    </font>
    <font>
      <sz val="11"/>
      <name val="Arial"/>
      <family val="2"/>
    </font>
    <font>
      <b/>
      <sz val="10"/>
      <color indexed="8"/>
      <name val="Arial"/>
      <family val="2"/>
    </font>
    <font>
      <b/>
      <sz val="11"/>
      <name val="Arial"/>
      <family val="2"/>
    </font>
    <font>
      <b/>
      <sz val="8"/>
      <color indexed="8"/>
      <name val="Arial"/>
      <family val="2"/>
    </font>
    <font>
      <sz val="10"/>
      <color indexed="81"/>
      <name val="Tahoma"/>
      <family val="2"/>
    </font>
    <font>
      <b/>
      <sz val="10"/>
      <color indexed="81"/>
      <name val="Tahoma"/>
      <family val="2"/>
    </font>
    <font>
      <b/>
      <sz val="9"/>
      <color indexed="81"/>
      <name val="Tahoma"/>
      <family val="2"/>
    </font>
    <font>
      <sz val="9"/>
      <color indexed="81"/>
      <name val="Tahoma"/>
      <family val="2"/>
    </font>
    <font>
      <b/>
      <sz val="9"/>
      <color indexed="10"/>
      <name val="Arial"/>
      <family val="2"/>
    </font>
    <font>
      <b/>
      <sz val="8"/>
      <color indexed="10"/>
      <name val="Arial"/>
      <family val="2"/>
    </font>
    <font>
      <sz val="9"/>
      <color indexed="9"/>
      <name val="Arial"/>
      <family val="2"/>
    </font>
    <font>
      <sz val="10"/>
      <color indexed="8"/>
      <name val="Arial"/>
      <family val="2"/>
    </font>
  </fonts>
  <fills count="27">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17"/>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
      <patternFill patternType="solid">
        <fgColor indexed="23"/>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12"/>
        <bgColor indexed="64"/>
      </patternFill>
    </fill>
    <fill>
      <patternFill patternType="solid">
        <fgColor indexed="10"/>
        <bgColor indexed="64"/>
      </patternFill>
    </fill>
  </fills>
  <borders count="88">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42">
    <xf numFmtId="0" fontId="0" fillId="0" borderId="0" xfId="0"/>
    <xf numFmtId="0" fontId="0" fillId="0" borderId="0" xfId="0" applyProtection="1"/>
    <xf numFmtId="0" fontId="3" fillId="0" borderId="0" xfId="0" applyFont="1"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0" fillId="0" borderId="0" xfId="0" applyFill="1" applyBorder="1" applyProtection="1"/>
    <xf numFmtId="3" fontId="0" fillId="0" borderId="1" xfId="0" applyNumberFormat="1" applyFill="1" applyBorder="1" applyProtection="1">
      <protection locked="0"/>
    </xf>
    <xf numFmtId="0" fontId="4" fillId="0" borderId="0" xfId="0" applyFont="1" applyBorder="1" applyProtection="1"/>
    <xf numFmtId="0" fontId="2" fillId="0" borderId="0" xfId="0" applyFont="1" applyFill="1" applyProtection="1"/>
    <xf numFmtId="0" fontId="0" fillId="0" borderId="0" xfId="0" applyFill="1" applyProtection="1"/>
    <xf numFmtId="0" fontId="3" fillId="0" borderId="0" xfId="0" applyFont="1" applyFill="1" applyProtection="1"/>
    <xf numFmtId="0" fontId="0" fillId="0" borderId="0" xfId="0" applyFill="1" applyBorder="1" applyAlignment="1" applyProtection="1">
      <alignment horizontal="right"/>
    </xf>
    <xf numFmtId="0" fontId="7" fillId="0" borderId="0" xfId="0" applyFont="1" applyFill="1" applyProtection="1"/>
    <xf numFmtId="0" fontId="7" fillId="0" borderId="0" xfId="0" applyFont="1" applyProtection="1"/>
    <xf numFmtId="3" fontId="0" fillId="0" borderId="0" xfId="0" applyNumberFormat="1" applyProtection="1"/>
    <xf numFmtId="3" fontId="0" fillId="0" borderId="0" xfId="0" applyNumberFormat="1" applyFill="1" applyProtection="1"/>
    <xf numFmtId="3" fontId="0" fillId="0" borderId="0" xfId="0" applyNumberFormat="1" applyBorder="1" applyProtection="1"/>
    <xf numFmtId="3" fontId="4" fillId="0" borderId="1" xfId="0" applyNumberFormat="1" applyFont="1" applyFill="1" applyBorder="1" applyProtection="1">
      <protection locked="0"/>
    </xf>
    <xf numFmtId="0" fontId="0" fillId="0" borderId="0" xfId="0" applyBorder="1" applyAlignment="1" applyProtection="1">
      <alignment horizontal="right"/>
    </xf>
    <xf numFmtId="3" fontId="7" fillId="2" borderId="2" xfId="0" applyNumberFormat="1" applyFont="1" applyFill="1" applyBorder="1" applyProtection="1"/>
    <xf numFmtId="3" fontId="7" fillId="2" borderId="2" xfId="0" applyNumberFormat="1" applyFont="1" applyFill="1" applyBorder="1" applyProtection="1">
      <protection locked="0"/>
    </xf>
    <xf numFmtId="0" fontId="0" fillId="0" borderId="0" xfId="0" applyAlignment="1" applyProtection="1">
      <alignment horizontal="left"/>
    </xf>
    <xf numFmtId="0" fontId="28" fillId="0" borderId="1" xfId="0" applyNumberFormat="1" applyFont="1" applyBorder="1" applyAlignment="1" applyProtection="1">
      <alignment horizontal="left"/>
    </xf>
    <xf numFmtId="0" fontId="29" fillId="0" borderId="1" xfId="0" applyNumberFormat="1" applyFont="1" applyFill="1" applyBorder="1" applyAlignment="1" applyProtection="1">
      <alignment horizontal="left"/>
    </xf>
    <xf numFmtId="0" fontId="29" fillId="0" borderId="1" xfId="0" applyNumberFormat="1" applyFont="1" applyBorder="1" applyAlignment="1" applyProtection="1">
      <alignment horizontal="left"/>
    </xf>
    <xf numFmtId="0" fontId="28" fillId="0" borderId="3" xfId="0" applyNumberFormat="1" applyFont="1" applyBorder="1" applyAlignment="1" applyProtection="1">
      <alignment horizontal="left"/>
    </xf>
    <xf numFmtId="0" fontId="28" fillId="0" borderId="1" xfId="0" applyNumberFormat="1" applyFont="1" applyFill="1" applyBorder="1" applyAlignment="1" applyProtection="1">
      <alignment horizontal="left"/>
    </xf>
    <xf numFmtId="0" fontId="0" fillId="0" borderId="1" xfId="0" applyBorder="1" applyAlignment="1" applyProtection="1"/>
    <xf numFmtId="0" fontId="0" fillId="0" borderId="3" xfId="0" applyBorder="1" applyAlignment="1" applyProtection="1"/>
    <xf numFmtId="0" fontId="29" fillId="2" borderId="4" xfId="0" applyNumberFormat="1" applyFont="1" applyFill="1" applyBorder="1" applyAlignment="1" applyProtection="1">
      <alignment horizontal="left"/>
    </xf>
    <xf numFmtId="0" fontId="4" fillId="0" borderId="5" xfId="0" applyFont="1" applyFill="1" applyBorder="1" applyProtection="1">
      <protection locked="0"/>
    </xf>
    <xf numFmtId="0" fontId="4" fillId="0" borderId="6" xfId="0" applyFont="1" applyFill="1" applyBorder="1" applyProtection="1">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9" fontId="4" fillId="0" borderId="8" xfId="3" applyFont="1" applyFill="1" applyBorder="1" applyAlignment="1" applyProtection="1">
      <alignment horizontal="center"/>
      <protection locked="0"/>
    </xf>
    <xf numFmtId="170" fontId="13" fillId="2" borderId="9" xfId="2" applyNumberFormat="1" applyFont="1" applyFill="1" applyBorder="1" applyAlignment="1" applyProtection="1">
      <alignment horizontal="center"/>
    </xf>
    <xf numFmtId="9" fontId="13" fillId="2" borderId="9" xfId="3" applyFont="1" applyFill="1" applyBorder="1" applyAlignment="1" applyProtection="1">
      <alignment horizontal="center"/>
    </xf>
    <xf numFmtId="0" fontId="3" fillId="0" borderId="0" xfId="0" applyFont="1" applyAlignment="1" applyProtection="1">
      <alignment horizontal="left"/>
    </xf>
    <xf numFmtId="3" fontId="7" fillId="2" borderId="10" xfId="0" applyNumberFormat="1" applyFont="1" applyFill="1" applyBorder="1" applyProtection="1"/>
    <xf numFmtId="0" fontId="7" fillId="0" borderId="0" xfId="0" applyFont="1" applyAlignment="1" applyProtection="1">
      <alignment horizontal="left"/>
    </xf>
    <xf numFmtId="3" fontId="7" fillId="2" borderId="11" xfId="0" applyNumberFormat="1" applyFont="1" applyFill="1" applyBorder="1" applyProtection="1"/>
    <xf numFmtId="3" fontId="7" fillId="0" borderId="1" xfId="0" applyNumberFormat="1" applyFont="1" applyFill="1" applyBorder="1" applyProtection="1"/>
    <xf numFmtId="3" fontId="0" fillId="0" borderId="0" xfId="0" applyNumberFormat="1" applyFill="1" applyBorder="1" applyProtection="1"/>
    <xf numFmtId="0" fontId="7" fillId="0" borderId="11" xfId="0" applyFont="1" applyBorder="1" applyProtection="1"/>
    <xf numFmtId="0" fontId="7" fillId="0" borderId="11" xfId="0" applyFont="1" applyBorder="1" applyAlignment="1" applyProtection="1"/>
    <xf numFmtId="3" fontId="13" fillId="2" borderId="12" xfId="0" applyNumberFormat="1" applyFont="1" applyFill="1" applyBorder="1" applyAlignment="1" applyProtection="1">
      <alignment horizontal="left"/>
    </xf>
    <xf numFmtId="0" fontId="0" fillId="0" borderId="0" xfId="0" applyFill="1" applyBorder="1" applyAlignment="1" applyProtection="1"/>
    <xf numFmtId="3" fontId="7" fillId="2" borderId="1" xfId="0" applyNumberFormat="1" applyFont="1" applyFill="1" applyBorder="1" applyProtection="1"/>
    <xf numFmtId="9" fontId="0" fillId="0" borderId="0" xfId="3" applyFont="1" applyProtection="1"/>
    <xf numFmtId="9" fontId="0" fillId="0" borderId="0" xfId="3" applyFont="1" applyFill="1" applyBorder="1" applyProtection="1"/>
    <xf numFmtId="9" fontId="0" fillId="0" borderId="0" xfId="3" applyFont="1" applyFill="1" applyProtection="1"/>
    <xf numFmtId="3" fontId="7" fillId="2" borderId="9" xfId="0" applyNumberFormat="1" applyFont="1" applyFill="1" applyBorder="1" applyProtection="1"/>
    <xf numFmtId="0" fontId="0" fillId="0" borderId="0" xfId="0" applyFill="1" applyBorder="1" applyAlignment="1" applyProtection="1">
      <alignment horizontal="center"/>
    </xf>
    <xf numFmtId="0" fontId="3" fillId="0" borderId="0" xfId="0" applyFont="1" applyFill="1" applyBorder="1" applyProtection="1"/>
    <xf numFmtId="0" fontId="7" fillId="0" borderId="0" xfId="0" applyFont="1" applyFill="1" applyBorder="1" applyProtection="1"/>
    <xf numFmtId="0" fontId="7" fillId="0" borderId="0" xfId="0" applyFont="1" applyFill="1" applyBorder="1" applyAlignment="1" applyProtection="1"/>
    <xf numFmtId="0" fontId="4" fillId="0" borderId="0" xfId="0" applyFont="1" applyProtection="1"/>
    <xf numFmtId="3" fontId="4" fillId="0" borderId="1" xfId="0" applyNumberFormat="1" applyFont="1" applyFill="1" applyBorder="1" applyProtection="1"/>
    <xf numFmtId="0" fontId="4" fillId="0" borderId="0" xfId="0" applyFont="1" applyFill="1" applyProtection="1"/>
    <xf numFmtId="3" fontId="4" fillId="0" borderId="3" xfId="0" applyNumberFormat="1" applyFont="1" applyFill="1" applyBorder="1" applyProtection="1"/>
    <xf numFmtId="0" fontId="28" fillId="0" borderId="1" xfId="0" applyFont="1" applyBorder="1" applyProtection="1"/>
    <xf numFmtId="3" fontId="7" fillId="0" borderId="11" xfId="0" applyNumberFormat="1" applyFont="1" applyFill="1" applyBorder="1" applyProtection="1"/>
    <xf numFmtId="9" fontId="7" fillId="0" borderId="11" xfId="3" applyFont="1" applyBorder="1" applyProtection="1"/>
    <xf numFmtId="9" fontId="7" fillId="0" borderId="1" xfId="3" applyFont="1" applyBorder="1" applyProtection="1"/>
    <xf numFmtId="3" fontId="7" fillId="0" borderId="0" xfId="0" applyNumberFormat="1" applyFont="1" applyFill="1" applyBorder="1" applyProtection="1"/>
    <xf numFmtId="9" fontId="0" fillId="0" borderId="1" xfId="3" applyFont="1" applyBorder="1" applyProtection="1"/>
    <xf numFmtId="0" fontId="29" fillId="0" borderId="1" xfId="0" applyFont="1" applyBorder="1" applyProtection="1"/>
    <xf numFmtId="0" fontId="29" fillId="0" borderId="1" xfId="0" applyFont="1" applyFill="1" applyBorder="1" applyProtection="1"/>
    <xf numFmtId="9" fontId="4" fillId="0" borderId="1" xfId="3" applyFont="1" applyBorder="1" applyProtection="1"/>
    <xf numFmtId="0" fontId="28" fillId="0" borderId="1" xfId="0" applyFont="1" applyFill="1" applyBorder="1" applyProtection="1"/>
    <xf numFmtId="0" fontId="29" fillId="0" borderId="1" xfId="0" applyFont="1" applyFill="1" applyBorder="1" applyAlignment="1" applyProtection="1">
      <alignment horizontal="left"/>
    </xf>
    <xf numFmtId="0" fontId="28" fillId="0" borderId="1" xfId="0" applyFont="1" applyFill="1" applyBorder="1" applyAlignment="1" applyProtection="1">
      <alignment horizontal="left"/>
    </xf>
    <xf numFmtId="0" fontId="28" fillId="0" borderId="1" xfId="0" applyFont="1" applyBorder="1" applyAlignment="1" applyProtection="1">
      <alignment horizontal="left"/>
    </xf>
    <xf numFmtId="9" fontId="4" fillId="0" borderId="3" xfId="3" applyFont="1" applyFill="1" applyBorder="1" applyProtection="1"/>
    <xf numFmtId="9" fontId="0" fillId="0" borderId="3" xfId="3" applyFont="1" applyBorder="1" applyProtection="1"/>
    <xf numFmtId="3" fontId="4" fillId="0" borderId="1" xfId="0" applyNumberFormat="1" applyFont="1" applyBorder="1" applyProtection="1"/>
    <xf numFmtId="3" fontId="4" fillId="0" borderId="3" xfId="0" applyNumberFormat="1" applyFont="1" applyBorder="1" applyProtection="1"/>
    <xf numFmtId="9" fontId="0" fillId="0" borderId="0" xfId="3" applyFont="1" applyBorder="1" applyProtection="1"/>
    <xf numFmtId="0" fontId="7" fillId="0" borderId="1" xfId="0" applyFont="1" applyBorder="1" applyAlignment="1" applyProtection="1">
      <alignment horizontal="right" vertical="center" wrapText="1"/>
    </xf>
    <xf numFmtId="0" fontId="7" fillId="0" borderId="11" xfId="0" applyFont="1" applyFill="1" applyBorder="1" applyAlignment="1" applyProtection="1">
      <alignment horizontal="right" vertical="center" wrapText="1"/>
    </xf>
    <xf numFmtId="0" fontId="0" fillId="0" borderId="0" xfId="0" applyNumberFormat="1" applyFill="1" applyBorder="1" applyAlignment="1" applyProtection="1"/>
    <xf numFmtId="0" fontId="0" fillId="0" borderId="1" xfId="0" applyNumberFormat="1" applyBorder="1" applyAlignment="1" applyProtection="1"/>
    <xf numFmtId="0" fontId="0" fillId="0" borderId="0" xfId="0" applyNumberFormat="1" applyFill="1" applyBorder="1" applyProtection="1"/>
    <xf numFmtId="0" fontId="7" fillId="0" borderId="1" xfId="0" applyFont="1" applyFill="1" applyBorder="1" applyAlignment="1" applyProtection="1">
      <alignment horizontal="right" vertical="center" wrapText="1"/>
    </xf>
    <xf numFmtId="3" fontId="4" fillId="0" borderId="0" xfId="0" applyNumberFormat="1" applyFont="1" applyBorder="1" applyProtection="1"/>
    <xf numFmtId="3" fontId="4" fillId="0" borderId="13" xfId="0" applyNumberFormat="1" applyFont="1" applyBorder="1" applyProtection="1">
      <protection locked="0"/>
    </xf>
    <xf numFmtId="3" fontId="0" fillId="0" borderId="3" xfId="0" applyNumberFormat="1" applyFill="1" applyBorder="1" applyProtection="1">
      <protection locked="0"/>
    </xf>
    <xf numFmtId="0" fontId="0" fillId="0" borderId="1" xfId="0" applyBorder="1" applyAlignment="1" applyProtection="1">
      <protection locked="0"/>
    </xf>
    <xf numFmtId="3" fontId="7" fillId="0" borderId="1" xfId="0" applyNumberFormat="1" applyFont="1" applyBorder="1" applyProtection="1">
      <protection locked="0"/>
    </xf>
    <xf numFmtId="0" fontId="0" fillId="0" borderId="3" xfId="0" applyBorder="1" applyProtection="1">
      <protection locked="0"/>
    </xf>
    <xf numFmtId="0" fontId="28" fillId="0" borderId="11" xfId="0" applyFont="1" applyBorder="1" applyAlignment="1" applyProtection="1">
      <alignment horizontal="left"/>
    </xf>
    <xf numFmtId="0" fontId="4" fillId="0" borderId="0" xfId="0" applyFont="1" applyFill="1" applyBorder="1" applyProtection="1"/>
    <xf numFmtId="0" fontId="0" fillId="0" borderId="1" xfId="0" applyFill="1" applyBorder="1" applyProtection="1"/>
    <xf numFmtId="0" fontId="7" fillId="0" borderId="9" xfId="0" applyFont="1" applyFill="1" applyBorder="1" applyAlignment="1" applyProtection="1">
      <alignment horizontal="center" vertical="center" wrapText="1"/>
    </xf>
    <xf numFmtId="3" fontId="11" fillId="2" borderId="10" xfId="0" applyNumberFormat="1" applyFont="1" applyFill="1" applyBorder="1" applyProtection="1"/>
    <xf numFmtId="3" fontId="11" fillId="2" borderId="10" xfId="0" applyNumberFormat="1" applyFont="1" applyFill="1" applyBorder="1" applyAlignment="1" applyProtection="1">
      <alignment horizontal="right"/>
    </xf>
    <xf numFmtId="0" fontId="28" fillId="2" borderId="9" xfId="0" applyFont="1" applyFill="1" applyBorder="1" applyAlignment="1" applyProtection="1">
      <alignment horizontal="left"/>
    </xf>
    <xf numFmtId="0" fontId="29" fillId="2" borderId="10" xfId="0" applyFont="1" applyFill="1" applyBorder="1" applyAlignment="1" applyProtection="1">
      <alignment horizontal="left"/>
    </xf>
    <xf numFmtId="0" fontId="8" fillId="2" borderId="12" xfId="0" applyFont="1" applyFill="1" applyBorder="1" applyAlignment="1" applyProtection="1">
      <alignment horizontal="left"/>
    </xf>
    <xf numFmtId="3" fontId="11" fillId="2" borderId="9" xfId="0" applyNumberFormat="1" applyFont="1" applyFill="1" applyBorder="1" applyProtection="1"/>
    <xf numFmtId="0" fontId="28" fillId="2" borderId="14" xfId="0" applyFont="1" applyFill="1" applyBorder="1" applyAlignment="1" applyProtection="1">
      <alignment horizontal="left"/>
    </xf>
    <xf numFmtId="0" fontId="29" fillId="2" borderId="11" xfId="0" applyFont="1" applyFill="1" applyBorder="1" applyAlignment="1" applyProtection="1">
      <alignment horizontal="left"/>
    </xf>
    <xf numFmtId="0" fontId="5" fillId="2" borderId="14" xfId="0" applyFont="1" applyFill="1" applyBorder="1" applyAlignment="1" applyProtection="1">
      <alignment horizontal="left"/>
    </xf>
    <xf numFmtId="3" fontId="7" fillId="2" borderId="15" xfId="0" applyNumberFormat="1" applyFont="1" applyFill="1" applyBorder="1" applyProtection="1"/>
    <xf numFmtId="0" fontId="28" fillId="2" borderId="13" xfId="0" applyFont="1" applyFill="1" applyBorder="1" applyAlignment="1" applyProtection="1">
      <alignment horizontal="left"/>
    </xf>
    <xf numFmtId="0" fontId="29" fillId="2" borderId="1" xfId="0" applyFont="1" applyFill="1" applyBorder="1" applyAlignment="1" applyProtection="1">
      <alignment horizontal="left"/>
    </xf>
    <xf numFmtId="0" fontId="5" fillId="2" borderId="13" xfId="0" applyFont="1" applyFill="1" applyBorder="1" applyAlignment="1" applyProtection="1">
      <alignment horizontal="left"/>
    </xf>
    <xf numFmtId="3" fontId="0" fillId="2" borderId="1" xfId="0" applyNumberFormat="1" applyFill="1" applyBorder="1" applyProtection="1"/>
    <xf numFmtId="0" fontId="29" fillId="2" borderId="3" xfId="0" applyFont="1" applyFill="1" applyBorder="1" applyAlignment="1" applyProtection="1">
      <alignment horizontal="left"/>
    </xf>
    <xf numFmtId="0" fontId="5" fillId="2" borderId="16" xfId="0" applyFont="1" applyFill="1" applyBorder="1" applyAlignment="1" applyProtection="1">
      <alignment horizontal="left"/>
    </xf>
    <xf numFmtId="3" fontId="7" fillId="2" borderId="3" xfId="0" applyNumberFormat="1" applyFont="1" applyFill="1" applyBorder="1" applyProtection="1"/>
    <xf numFmtId="0" fontId="0" fillId="0" borderId="0" xfId="0" applyBorder="1" applyAlignment="1" applyProtection="1">
      <alignment horizontal="centerContinuous"/>
    </xf>
    <xf numFmtId="9" fontId="7" fillId="2" borderId="9" xfId="3" applyFont="1" applyFill="1" applyBorder="1" applyProtection="1">
      <protection locked="0"/>
    </xf>
    <xf numFmtId="3" fontId="7" fillId="2" borderId="15" xfId="0" applyNumberFormat="1" applyFont="1" applyFill="1" applyBorder="1" applyProtection="1">
      <protection locked="0"/>
    </xf>
    <xf numFmtId="3" fontId="7" fillId="2" borderId="8" xfId="0" applyNumberFormat="1" applyFont="1" applyFill="1" applyBorder="1" applyProtection="1">
      <protection locked="0"/>
    </xf>
    <xf numFmtId="3" fontId="7" fillId="2" borderId="3" xfId="0" applyNumberFormat="1" applyFont="1" applyFill="1" applyBorder="1" applyProtection="1">
      <protection locked="0"/>
    </xf>
    <xf numFmtId="3" fontId="0" fillId="2" borderId="2" xfId="0" applyNumberFormat="1" applyFill="1" applyBorder="1" applyProtection="1">
      <protection locked="0"/>
    </xf>
    <xf numFmtId="0" fontId="9" fillId="0" borderId="0" xfId="0" applyFont="1" applyFill="1" applyProtection="1"/>
    <xf numFmtId="0" fontId="0" fillId="0" borderId="11" xfId="0" applyFill="1" applyBorder="1" applyAlignment="1" applyProtection="1"/>
    <xf numFmtId="0" fontId="28" fillId="0" borderId="11" xfId="0" applyFont="1" applyBorder="1" applyProtection="1"/>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vertical="center"/>
    </xf>
    <xf numFmtId="0" fontId="19" fillId="0" borderId="0" xfId="0" applyFont="1" applyAlignment="1" applyProtection="1">
      <alignment vertical="center"/>
    </xf>
    <xf numFmtId="0" fontId="7" fillId="2"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19" fillId="2" borderId="0" xfId="0" applyFont="1" applyFill="1" applyAlignment="1" applyProtection="1">
      <alignment vertical="center"/>
    </xf>
    <xf numFmtId="0" fontId="5" fillId="2" borderId="0" xfId="0" applyFont="1" applyFill="1" applyAlignment="1" applyProtection="1">
      <alignment horizontal="right" vertical="center" wrapText="1"/>
    </xf>
    <xf numFmtId="0" fontId="4" fillId="2" borderId="8" xfId="0" applyFont="1" applyFill="1" applyBorder="1" applyAlignment="1" applyProtection="1">
      <alignment horizontal="center" vertical="center" wrapText="1"/>
    </xf>
    <xf numFmtId="0" fontId="19" fillId="2" borderId="17"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0" borderId="0" xfId="0" applyFont="1" applyAlignment="1" applyProtection="1">
      <alignment vertical="center"/>
    </xf>
    <xf numFmtId="0" fontId="7" fillId="2" borderId="26"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xf>
    <xf numFmtId="0" fontId="18" fillId="2" borderId="29" xfId="0" applyFont="1" applyFill="1" applyBorder="1" applyAlignment="1" applyProtection="1">
      <alignment vertical="center"/>
    </xf>
    <xf numFmtId="0" fontId="4" fillId="2" borderId="18" xfId="0" applyFont="1" applyFill="1" applyBorder="1" applyAlignment="1" applyProtection="1">
      <alignment horizontal="right" vertical="center" wrapText="1"/>
    </xf>
    <xf numFmtId="1" fontId="4" fillId="2" borderId="18" xfId="0" applyNumberFormat="1" applyFont="1" applyFill="1" applyBorder="1" applyAlignment="1" applyProtection="1">
      <alignment horizontal="right" vertical="center" wrapText="1"/>
    </xf>
    <xf numFmtId="1" fontId="4" fillId="2" borderId="30" xfId="0" applyNumberFormat="1" applyFont="1" applyFill="1" applyBorder="1" applyAlignment="1" applyProtection="1">
      <alignment horizontal="right" vertical="center" wrapText="1"/>
    </xf>
    <xf numFmtId="1" fontId="4" fillId="2" borderId="31" xfId="0" applyNumberFormat="1" applyFont="1" applyFill="1" applyBorder="1" applyAlignment="1" applyProtection="1">
      <alignment horizontal="right" vertical="center"/>
    </xf>
    <xf numFmtId="0" fontId="19" fillId="2" borderId="32" xfId="0" applyFont="1" applyFill="1" applyBorder="1" applyAlignment="1" applyProtection="1">
      <alignment vertical="center"/>
    </xf>
    <xf numFmtId="1" fontId="7" fillId="2" borderId="20" xfId="0" applyNumberFormat="1" applyFont="1" applyFill="1" applyBorder="1" applyAlignment="1" applyProtection="1">
      <alignment horizontal="right" vertical="center" wrapText="1"/>
    </xf>
    <xf numFmtId="1" fontId="7" fillId="2" borderId="21" xfId="0" applyNumberFormat="1" applyFont="1" applyFill="1" applyBorder="1" applyAlignment="1" applyProtection="1">
      <alignment horizontal="right" vertical="center" wrapText="1"/>
    </xf>
    <xf numFmtId="1" fontId="7" fillId="2" borderId="22" xfId="0" applyNumberFormat="1" applyFont="1" applyFill="1" applyBorder="1" applyAlignment="1" applyProtection="1">
      <alignment horizontal="right" vertical="center" wrapText="1"/>
    </xf>
    <xf numFmtId="1" fontId="7" fillId="2" borderId="23" xfId="0" applyNumberFormat="1" applyFont="1" applyFill="1" applyBorder="1" applyAlignment="1" applyProtection="1">
      <alignment horizontal="right" vertical="center" wrapText="1"/>
    </xf>
    <xf numFmtId="1" fontId="7" fillId="2" borderId="24" xfId="0" applyNumberFormat="1" applyFont="1" applyFill="1" applyBorder="1" applyAlignment="1" applyProtection="1">
      <alignment horizontal="right" vertical="center" wrapText="1"/>
    </xf>
    <xf numFmtId="1" fontId="7" fillId="2" borderId="25" xfId="0" applyNumberFormat="1" applyFont="1" applyFill="1" applyBorder="1" applyAlignment="1" applyProtection="1">
      <alignment horizontal="right" vertical="center" wrapText="1"/>
    </xf>
    <xf numFmtId="0" fontId="20" fillId="2" borderId="33" xfId="0" applyFont="1" applyFill="1" applyBorder="1" applyAlignment="1" applyProtection="1">
      <alignment vertical="center"/>
    </xf>
    <xf numFmtId="0" fontId="4" fillId="2" borderId="34" xfId="0" applyFont="1" applyFill="1" applyBorder="1" applyAlignment="1" applyProtection="1">
      <alignment horizontal="right" vertical="center" wrapText="1"/>
    </xf>
    <xf numFmtId="0" fontId="4" fillId="2" borderId="35" xfId="0" applyFont="1" applyFill="1" applyBorder="1" applyAlignment="1" applyProtection="1">
      <alignment horizontal="right" vertical="center" wrapText="1"/>
    </xf>
    <xf numFmtId="0" fontId="4" fillId="2" borderId="36" xfId="0" applyFont="1" applyFill="1" applyBorder="1" applyAlignment="1" applyProtection="1">
      <alignment horizontal="right" vertical="center"/>
    </xf>
    <xf numFmtId="0" fontId="7" fillId="2" borderId="20" xfId="0" applyFont="1" applyFill="1" applyBorder="1" applyAlignment="1" applyProtection="1">
      <alignment horizontal="right" vertical="center" wrapText="1"/>
    </xf>
    <xf numFmtId="0" fontId="7" fillId="2" borderId="21" xfId="0" applyFont="1" applyFill="1" applyBorder="1" applyAlignment="1" applyProtection="1">
      <alignment horizontal="right" vertical="center" wrapText="1"/>
    </xf>
    <xf numFmtId="0" fontId="7" fillId="2" borderId="22" xfId="0" applyFont="1" applyFill="1" applyBorder="1" applyAlignment="1" applyProtection="1">
      <alignment horizontal="right" vertical="center" wrapText="1"/>
    </xf>
    <xf numFmtId="0" fontId="7" fillId="2" borderId="23" xfId="0" applyFont="1" applyFill="1" applyBorder="1" applyAlignment="1" applyProtection="1">
      <alignment horizontal="right" vertical="center" wrapText="1"/>
    </xf>
    <xf numFmtId="0" fontId="7" fillId="2" borderId="24" xfId="0" applyFont="1" applyFill="1" applyBorder="1" applyAlignment="1" applyProtection="1">
      <alignment horizontal="right" vertical="center" wrapText="1"/>
    </xf>
    <xf numFmtId="0" fontId="7" fillId="2" borderId="25" xfId="0" applyFont="1" applyFill="1" applyBorder="1" applyAlignment="1" applyProtection="1">
      <alignment horizontal="right" vertical="center" wrapText="1"/>
    </xf>
    <xf numFmtId="0" fontId="18" fillId="2" borderId="0" xfId="0" applyFont="1" applyFill="1" applyAlignment="1" applyProtection="1">
      <alignment vertical="center"/>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wrapText="1"/>
    </xf>
    <xf numFmtId="0" fontId="7" fillId="2" borderId="21" xfId="0" applyFont="1" applyFill="1" applyBorder="1" applyAlignment="1" applyProtection="1">
      <alignment horizontal="center" vertical="center" wrapText="1"/>
    </xf>
    <xf numFmtId="0" fontId="21" fillId="2" borderId="0" xfId="0" applyFont="1" applyFill="1" applyAlignment="1" applyProtection="1">
      <alignment horizontal="right" vertical="center" wrapText="1"/>
    </xf>
    <xf numFmtId="0" fontId="4" fillId="0" borderId="0" xfId="0" applyFont="1" applyFill="1" applyAlignment="1" applyProtection="1">
      <alignment vertical="center"/>
    </xf>
    <xf numFmtId="0" fontId="18" fillId="2" borderId="33" xfId="0" applyFont="1" applyFill="1" applyBorder="1" applyAlignment="1" applyProtection="1">
      <alignment vertical="center"/>
    </xf>
    <xf numFmtId="0" fontId="4" fillId="2" borderId="20"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18" fillId="2" borderId="37" xfId="0" applyFont="1" applyFill="1" applyBorder="1" applyAlignment="1" applyProtection="1">
      <alignment vertical="center"/>
    </xf>
    <xf numFmtId="0" fontId="19" fillId="2" borderId="32" xfId="0" applyFont="1" applyFill="1" applyBorder="1" applyAlignment="1" applyProtection="1">
      <alignment vertical="center" wrapText="1"/>
    </xf>
    <xf numFmtId="0" fontId="22" fillId="3" borderId="0" xfId="0" applyFont="1" applyFill="1" applyAlignment="1" applyProtection="1">
      <alignment vertical="center"/>
    </xf>
    <xf numFmtId="0" fontId="22" fillId="3" borderId="0" xfId="0" applyFont="1" applyFill="1" applyAlignment="1" applyProtection="1">
      <alignment horizontal="right" vertical="center" wrapText="1"/>
    </xf>
    <xf numFmtId="0" fontId="12" fillId="3" borderId="0" xfId="0" applyFont="1" applyFill="1" applyAlignment="1" applyProtection="1">
      <alignment horizontal="center" vertical="center" wrapText="1"/>
    </xf>
    <xf numFmtId="0" fontId="18" fillId="0" borderId="0" xfId="0" applyFont="1" applyAlignment="1" applyProtection="1">
      <alignment vertical="center"/>
    </xf>
    <xf numFmtId="14" fontId="4" fillId="0" borderId="0" xfId="0" applyNumberFormat="1" applyFont="1" applyAlignment="1" applyProtection="1">
      <alignment horizontal="center" vertical="center" wrapText="1"/>
    </xf>
    <xf numFmtId="0" fontId="7" fillId="2" borderId="38"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1" fontId="4" fillId="0" borderId="40" xfId="0" applyNumberFormat="1"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vertical="center" wrapText="1"/>
      <protection locked="0"/>
    </xf>
    <xf numFmtId="0" fontId="4" fillId="0" borderId="18" xfId="0" applyFont="1" applyFill="1" applyBorder="1" applyAlignment="1" applyProtection="1">
      <alignment horizontal="right" vertical="center" wrapText="1"/>
      <protection locked="0"/>
    </xf>
    <xf numFmtId="0" fontId="4" fillId="0" borderId="40" xfId="0" applyFont="1" applyFill="1" applyBorder="1" applyAlignment="1" applyProtection="1">
      <alignment horizontal="right" vertical="center" wrapText="1"/>
      <protection locked="0"/>
    </xf>
    <xf numFmtId="0" fontId="4" fillId="2" borderId="41" xfId="0" applyFont="1" applyFill="1" applyBorder="1" applyAlignment="1" applyProtection="1">
      <alignment horizontal="right" vertical="center" wrapText="1"/>
      <protection locked="0"/>
    </xf>
    <xf numFmtId="0" fontId="4" fillId="2" borderId="42" xfId="0" applyFont="1" applyFill="1" applyBorder="1" applyAlignment="1" applyProtection="1">
      <alignment horizontal="right" vertical="center" wrapText="1"/>
      <protection locked="0"/>
    </xf>
    <xf numFmtId="0" fontId="4" fillId="2" borderId="34" xfId="0" applyFont="1" applyFill="1" applyBorder="1" applyAlignment="1" applyProtection="1">
      <alignment horizontal="right" vertical="center" wrapText="1"/>
      <protection locked="0"/>
    </xf>
    <xf numFmtId="0" fontId="7" fillId="0" borderId="18" xfId="0" applyFont="1" applyFill="1" applyBorder="1" applyAlignment="1" applyProtection="1">
      <alignment horizontal="right" vertical="center" wrapText="1"/>
      <protection locked="0"/>
    </xf>
    <xf numFmtId="0" fontId="7" fillId="2" borderId="43"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right" vertical="center" wrapText="1"/>
      <protection locked="0"/>
    </xf>
    <xf numFmtId="0" fontId="7" fillId="2" borderId="26" xfId="0" applyFont="1" applyFill="1" applyBorder="1" applyAlignment="1" applyProtection="1">
      <alignment horizontal="center" vertical="center"/>
      <protection locked="0"/>
    </xf>
    <xf numFmtId="0" fontId="4" fillId="0" borderId="18" xfId="0" applyFont="1" applyFill="1" applyBorder="1" applyAlignment="1" applyProtection="1">
      <alignment horizontal="right" vertical="center"/>
      <protection locked="0"/>
    </xf>
    <xf numFmtId="0" fontId="7" fillId="0" borderId="19" xfId="0" applyFont="1" applyFill="1" applyBorder="1" applyAlignment="1" applyProtection="1">
      <alignment horizontal="right" vertical="center" wrapText="1"/>
      <protection locked="0"/>
    </xf>
    <xf numFmtId="0" fontId="7" fillId="0" borderId="44" xfId="0" applyFont="1" applyFill="1" applyBorder="1" applyAlignment="1" applyProtection="1">
      <alignment horizontal="right" vertical="center" wrapText="1"/>
      <protection locked="0"/>
    </xf>
    <xf numFmtId="0" fontId="7" fillId="0" borderId="4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4" fillId="0" borderId="44" xfId="0" applyFont="1" applyFill="1" applyBorder="1" applyAlignment="1" applyProtection="1">
      <alignment horizontal="right" vertical="center" wrapText="1"/>
      <protection locked="0"/>
    </xf>
    <xf numFmtId="0" fontId="4" fillId="0" borderId="48"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right" vertical="center" wrapText="1"/>
      <protection locked="0"/>
    </xf>
    <xf numFmtId="0" fontId="4" fillId="0" borderId="51"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xf>
    <xf numFmtId="0" fontId="26" fillId="0" borderId="0" xfId="0" applyFont="1" applyFill="1" applyBorder="1" applyProtection="1"/>
    <xf numFmtId="0" fontId="4" fillId="0" borderId="0" xfId="0" applyFont="1" applyFill="1" applyBorder="1" applyAlignment="1" applyProtection="1">
      <alignment horizontal="center"/>
    </xf>
    <xf numFmtId="9" fontId="4" fillId="0" borderId="0" xfId="0" applyNumberFormat="1" applyFont="1" applyFill="1" applyBorder="1" applyAlignment="1" applyProtection="1">
      <alignment horizontal="center"/>
    </xf>
    <xf numFmtId="9" fontId="4" fillId="0" borderId="0" xfId="3"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26" fillId="0" borderId="0" xfId="0" applyFont="1" applyFill="1" applyBorder="1" applyAlignment="1" applyProtection="1">
      <alignment horizontal="center" wrapText="1"/>
    </xf>
    <xf numFmtId="49" fontId="19" fillId="2" borderId="9" xfId="0" applyNumberFormat="1" applyFont="1" applyFill="1" applyBorder="1" applyAlignment="1" applyProtection="1">
      <alignment horizontal="center"/>
    </xf>
    <xf numFmtId="49" fontId="19" fillId="2" borderId="9" xfId="0" applyNumberFormat="1" applyFont="1" applyFill="1" applyBorder="1" applyAlignment="1" applyProtection="1">
      <alignment horizontal="center" wrapText="1"/>
    </xf>
    <xf numFmtId="0" fontId="32" fillId="2" borderId="12" xfId="0" applyFont="1" applyFill="1" applyBorder="1" applyProtection="1"/>
    <xf numFmtId="0" fontId="33" fillId="2" borderId="9" xfId="0" applyFont="1" applyFill="1" applyBorder="1" applyAlignment="1" applyProtection="1">
      <alignment horizontal="center" wrapText="1"/>
    </xf>
    <xf numFmtId="0" fontId="33" fillId="2" borderId="4" xfId="0" applyFont="1" applyFill="1" applyBorder="1" applyAlignment="1" applyProtection="1">
      <alignment horizontal="center" wrapText="1"/>
    </xf>
    <xf numFmtId="0" fontId="33" fillId="2" borderId="10" xfId="0" applyFont="1" applyFill="1" applyBorder="1" applyAlignment="1" applyProtection="1">
      <alignment horizontal="center" wrapText="1"/>
    </xf>
    <xf numFmtId="0" fontId="24" fillId="0" borderId="0" xfId="0" applyFont="1" applyFill="1" applyBorder="1" applyProtection="1"/>
    <xf numFmtId="0" fontId="8" fillId="0" borderId="37" xfId="0" applyFont="1" applyFill="1" applyBorder="1" applyProtection="1"/>
    <xf numFmtId="0" fontId="5" fillId="0" borderId="44" xfId="0" applyFont="1" applyFill="1" applyBorder="1" applyAlignment="1" applyProtection="1">
      <alignment wrapText="1"/>
    </xf>
    <xf numFmtId="0" fontId="5" fillId="4" borderId="52" xfId="0" applyFont="1" applyFill="1" applyBorder="1" applyAlignment="1" applyProtection="1">
      <alignment wrapText="1"/>
    </xf>
    <xf numFmtId="0" fontId="5" fillId="0" borderId="53" xfId="0" applyFont="1" applyFill="1" applyBorder="1" applyAlignment="1" applyProtection="1">
      <alignment wrapText="1"/>
    </xf>
    <xf numFmtId="0" fontId="8" fillId="0" borderId="29" xfId="0" applyFont="1" applyFill="1" applyBorder="1" applyProtection="1"/>
    <xf numFmtId="0" fontId="5" fillId="0" borderId="40" xfId="0" applyFont="1" applyFill="1" applyBorder="1" applyAlignment="1" applyProtection="1">
      <alignment wrapText="1"/>
    </xf>
    <xf numFmtId="0" fontId="5" fillId="4" borderId="54" xfId="0" applyFont="1" applyFill="1" applyBorder="1" applyAlignment="1" applyProtection="1">
      <alignment wrapText="1"/>
    </xf>
    <xf numFmtId="0" fontId="5" fillId="0" borderId="55" xfId="0" applyFont="1" applyFill="1" applyBorder="1" applyAlignment="1" applyProtection="1">
      <alignment wrapText="1"/>
    </xf>
    <xf numFmtId="0" fontId="5" fillId="0" borderId="54" xfId="0" applyFont="1" applyFill="1" applyBorder="1" applyAlignment="1" applyProtection="1">
      <alignment wrapText="1"/>
    </xf>
    <xf numFmtId="0" fontId="5" fillId="4" borderId="40" xfId="0" applyFont="1" applyFill="1" applyBorder="1" applyAlignment="1" applyProtection="1">
      <alignment wrapText="1"/>
    </xf>
    <xf numFmtId="0" fontId="24" fillId="0" borderId="0" xfId="0" applyFont="1" applyFill="1" applyBorder="1" applyAlignment="1" applyProtection="1">
      <alignment horizontal="center"/>
    </xf>
    <xf numFmtId="0" fontId="8" fillId="0" borderId="29" xfId="0" applyFont="1" applyFill="1" applyBorder="1" applyAlignment="1" applyProtection="1">
      <alignment wrapText="1"/>
    </xf>
    <xf numFmtId="0" fontId="8" fillId="0" borderId="32" xfId="0" applyFont="1" applyFill="1" applyBorder="1" applyProtection="1"/>
    <xf numFmtId="0" fontId="5" fillId="4" borderId="20" xfId="0" applyFont="1" applyFill="1" applyBorder="1" applyAlignment="1" applyProtection="1">
      <alignment wrapText="1"/>
    </xf>
    <xf numFmtId="0" fontId="5" fillId="0" borderId="56" xfId="0" applyFont="1" applyFill="1" applyBorder="1" applyAlignment="1" applyProtection="1">
      <alignment wrapText="1"/>
    </xf>
    <xf numFmtId="0" fontId="26" fillId="0" borderId="8" xfId="0" applyFont="1" applyFill="1" applyBorder="1" applyAlignment="1" applyProtection="1">
      <alignment horizontal="center" wrapText="1"/>
      <protection locked="0"/>
    </xf>
    <xf numFmtId="0" fontId="5" fillId="0" borderId="20" xfId="0" applyFont="1" applyFill="1" applyBorder="1" applyAlignment="1" applyProtection="1">
      <alignment wrapText="1"/>
      <protection locked="0"/>
    </xf>
    <xf numFmtId="0" fontId="5" fillId="0" borderId="57" xfId="0" applyFont="1" applyFill="1" applyBorder="1" applyAlignment="1" applyProtection="1">
      <alignment wrapText="1"/>
      <protection locked="0"/>
    </xf>
    <xf numFmtId="0" fontId="4" fillId="2" borderId="34" xfId="0" applyFont="1" applyFill="1" applyBorder="1" applyAlignment="1" applyProtection="1">
      <alignment horizontal="right" vertical="center"/>
      <protection locked="0"/>
    </xf>
    <xf numFmtId="0" fontId="4" fillId="2" borderId="51" xfId="0" applyFont="1" applyFill="1" applyBorder="1" applyAlignment="1" applyProtection="1">
      <alignment horizontal="right" vertical="center" wrapText="1"/>
      <protection locked="0"/>
    </xf>
    <xf numFmtId="1" fontId="9" fillId="5" borderId="9" xfId="0" applyNumberFormat="1" applyFont="1" applyFill="1" applyBorder="1" applyAlignment="1" applyProtection="1">
      <alignment horizontal="right" vertical="center" wrapText="1"/>
      <protection locked="0"/>
    </xf>
    <xf numFmtId="9" fontId="0" fillId="0" borderId="11" xfId="3" applyFont="1" applyBorder="1" applyAlignment="1" applyProtection="1">
      <protection locked="0"/>
    </xf>
    <xf numFmtId="9" fontId="0" fillId="0" borderId="58" xfId="3" applyFont="1" applyBorder="1" applyAlignment="1" applyProtection="1">
      <protection locked="0"/>
    </xf>
    <xf numFmtId="0" fontId="17" fillId="0" borderId="0" xfId="0" applyFont="1" applyProtection="1"/>
    <xf numFmtId="0" fontId="16" fillId="2" borderId="0" xfId="0" applyFont="1" applyFill="1" applyBorder="1" applyProtection="1"/>
    <xf numFmtId="0" fontId="35" fillId="2" borderId="0" xfId="0" applyFont="1" applyFill="1" applyBorder="1" applyProtection="1"/>
    <xf numFmtId="0" fontId="35" fillId="0" borderId="0" xfId="0" applyFont="1" applyProtection="1"/>
    <xf numFmtId="3" fontId="13" fillId="2" borderId="9" xfId="0" applyNumberFormat="1" applyFont="1" applyFill="1" applyBorder="1" applyAlignment="1" applyProtection="1">
      <alignment horizontal="center" vertical="center" wrapText="1"/>
    </xf>
    <xf numFmtId="3" fontId="13" fillId="2" borderId="10" xfId="0" applyNumberFormat="1" applyFont="1" applyFill="1" applyBorder="1" applyAlignment="1" applyProtection="1">
      <alignment horizontal="center" vertical="center" wrapText="1"/>
    </xf>
    <xf numFmtId="3" fontId="13" fillId="2" borderId="1" xfId="0" applyNumberFormat="1" applyFont="1" applyFill="1" applyBorder="1" applyAlignment="1" applyProtection="1">
      <alignment horizontal="left"/>
    </xf>
    <xf numFmtId="3" fontId="13" fillId="2" borderId="11" xfId="0" applyNumberFormat="1" applyFont="1" applyFill="1" applyBorder="1" applyAlignment="1" applyProtection="1">
      <alignment horizontal="center"/>
    </xf>
    <xf numFmtId="3" fontId="13" fillId="2" borderId="1" xfId="0" applyNumberFormat="1" applyFont="1" applyFill="1" applyBorder="1" applyAlignment="1" applyProtection="1">
      <alignment horizontal="center"/>
    </xf>
    <xf numFmtId="9" fontId="13" fillId="2" borderId="1" xfId="0" applyNumberFormat="1" applyFont="1" applyFill="1" applyBorder="1" applyAlignment="1" applyProtection="1">
      <alignment horizontal="center"/>
    </xf>
    <xf numFmtId="9" fontId="13" fillId="2" borderId="1" xfId="3" applyFont="1" applyFill="1" applyBorder="1" applyAlignment="1" applyProtection="1">
      <alignment horizontal="center"/>
    </xf>
    <xf numFmtId="3" fontId="13" fillId="2" borderId="3" xfId="0" applyNumberFormat="1" applyFont="1" applyFill="1" applyBorder="1" applyAlignment="1" applyProtection="1">
      <alignment horizontal="left"/>
    </xf>
    <xf numFmtId="9" fontId="13" fillId="2" borderId="3" xfId="3" applyFont="1" applyFill="1" applyBorder="1" applyAlignment="1" applyProtection="1">
      <alignment horizontal="center"/>
    </xf>
    <xf numFmtId="0" fontId="17" fillId="5" borderId="0" xfId="0" applyFont="1" applyFill="1" applyProtection="1"/>
    <xf numFmtId="3" fontId="15" fillId="0" borderId="0" xfId="0" applyNumberFormat="1"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11" xfId="0" applyFont="1" applyFill="1" applyBorder="1" applyProtection="1"/>
    <xf numFmtId="0" fontId="16" fillId="2" borderId="1" xfId="0" applyFont="1" applyFill="1" applyBorder="1" applyProtection="1"/>
    <xf numFmtId="0" fontId="16" fillId="2" borderId="3" xfId="0" applyFont="1" applyFill="1" applyBorder="1" applyProtection="1"/>
    <xf numFmtId="0" fontId="17" fillId="2" borderId="0" xfId="0" applyFont="1" applyFill="1" applyProtection="1"/>
    <xf numFmtId="0" fontId="16" fillId="2" borderId="0" xfId="0" applyFont="1" applyFill="1" applyProtection="1"/>
    <xf numFmtId="0" fontId="16" fillId="2" borderId="9" xfId="0" applyFont="1" applyFill="1" applyBorder="1" applyAlignment="1" applyProtection="1">
      <alignment horizontal="center" vertical="center"/>
    </xf>
    <xf numFmtId="3" fontId="13" fillId="2" borderId="13" xfId="0" applyNumberFormat="1" applyFont="1" applyFill="1" applyBorder="1" applyAlignment="1" applyProtection="1">
      <alignment horizontal="left"/>
    </xf>
    <xf numFmtId="0" fontId="17" fillId="0" borderId="0" xfId="0" applyFont="1" applyFill="1" applyBorder="1" applyProtection="1"/>
    <xf numFmtId="3" fontId="13" fillId="2" borderId="16" xfId="0" applyNumberFormat="1" applyFont="1" applyFill="1" applyBorder="1" applyAlignment="1" applyProtection="1">
      <alignment horizontal="left"/>
    </xf>
    <xf numFmtId="3" fontId="13" fillId="2" borderId="3" xfId="0" applyNumberFormat="1" applyFont="1" applyFill="1" applyBorder="1" applyAlignment="1" applyProtection="1">
      <alignment horizontal="center"/>
    </xf>
    <xf numFmtId="3" fontId="13" fillId="2" borderId="9" xfId="0" applyNumberFormat="1" applyFont="1" applyFill="1" applyBorder="1" applyAlignment="1" applyProtection="1">
      <alignment horizontal="center"/>
    </xf>
    <xf numFmtId="3" fontId="13" fillId="2" borderId="10" xfId="0" applyNumberFormat="1" applyFont="1" applyFill="1" applyBorder="1" applyAlignment="1" applyProtection="1">
      <alignment horizontal="center"/>
    </xf>
    <xf numFmtId="3" fontId="13" fillId="2" borderId="2" xfId="0" applyNumberFormat="1" applyFont="1" applyFill="1" applyBorder="1" applyAlignment="1" applyProtection="1">
      <alignment horizontal="center"/>
    </xf>
    <xf numFmtId="3" fontId="13" fillId="2" borderId="8" xfId="0" applyNumberFormat="1" applyFont="1" applyFill="1" applyBorder="1" applyAlignment="1" applyProtection="1">
      <alignment horizontal="center"/>
    </xf>
    <xf numFmtId="0" fontId="14" fillId="0" borderId="0" xfId="0" applyFont="1" applyProtection="1"/>
    <xf numFmtId="0" fontId="17" fillId="0" borderId="0" xfId="0" applyFont="1" applyFill="1" applyProtection="1"/>
    <xf numFmtId="0" fontId="13" fillId="0" borderId="0" xfId="0" applyFont="1" applyFill="1" applyBorder="1" applyAlignment="1" applyProtection="1">
      <alignment horizontal="center"/>
    </xf>
    <xf numFmtId="3" fontId="13" fillId="0" borderId="0" xfId="0" applyNumberFormat="1" applyFont="1" applyFill="1" applyBorder="1" applyAlignment="1" applyProtection="1">
      <alignment horizontal="left"/>
    </xf>
    <xf numFmtId="0" fontId="23" fillId="0" borderId="0" xfId="0" applyFont="1" applyFill="1" applyBorder="1" applyAlignment="1" applyProtection="1">
      <alignment horizontal="left"/>
    </xf>
    <xf numFmtId="3" fontId="13" fillId="2" borderId="15" xfId="0" applyNumberFormat="1" applyFont="1" applyFill="1" applyBorder="1" applyAlignment="1" applyProtection="1">
      <alignment horizontal="center"/>
    </xf>
    <xf numFmtId="0" fontId="13" fillId="2" borderId="1" xfId="0" applyFont="1" applyFill="1" applyBorder="1" applyAlignment="1" applyProtection="1">
      <alignment horizontal="left"/>
    </xf>
    <xf numFmtId="1" fontId="13" fillId="2" borderId="1" xfId="0" applyNumberFormat="1" applyFont="1" applyFill="1" applyBorder="1" applyAlignment="1" applyProtection="1">
      <alignment horizontal="left"/>
    </xf>
    <xf numFmtId="1" fontId="13" fillId="2" borderId="3" xfId="0" applyNumberFormat="1" applyFont="1" applyFill="1" applyBorder="1" applyAlignment="1" applyProtection="1">
      <alignment horizontal="left"/>
    </xf>
    <xf numFmtId="0" fontId="16" fillId="2" borderId="14" xfId="0" applyFont="1" applyFill="1" applyBorder="1" applyProtection="1"/>
    <xf numFmtId="9" fontId="13" fillId="2" borderId="11" xfId="3" applyNumberFormat="1" applyFont="1" applyFill="1" applyBorder="1" applyAlignment="1" applyProtection="1">
      <alignment horizontal="center"/>
    </xf>
    <xf numFmtId="9" fontId="13" fillId="2" borderId="15" xfId="3" applyNumberFormat="1" applyFont="1" applyFill="1" applyBorder="1" applyAlignment="1" applyProtection="1">
      <alignment horizontal="center"/>
    </xf>
    <xf numFmtId="1" fontId="13" fillId="2" borderId="13" xfId="0" applyNumberFormat="1" applyFont="1" applyFill="1" applyBorder="1" applyAlignment="1" applyProtection="1">
      <alignment horizontal="left"/>
    </xf>
    <xf numFmtId="9" fontId="13" fillId="2" borderId="3" xfId="3" applyNumberFormat="1" applyFont="1" applyFill="1" applyBorder="1" applyAlignment="1" applyProtection="1">
      <alignment horizontal="center"/>
    </xf>
    <xf numFmtId="9" fontId="13" fillId="2" borderId="8" xfId="3" applyNumberFormat="1" applyFont="1" applyFill="1" applyBorder="1" applyAlignment="1" applyProtection="1">
      <alignment horizontal="center"/>
    </xf>
    <xf numFmtId="1" fontId="13" fillId="2" borderId="12" xfId="0" applyNumberFormat="1" applyFont="1" applyFill="1" applyBorder="1" applyAlignment="1" applyProtection="1">
      <alignment horizontal="left"/>
    </xf>
    <xf numFmtId="1" fontId="13" fillId="2" borderId="9" xfId="0" applyNumberFormat="1" applyFont="1" applyFill="1" applyBorder="1" applyAlignment="1" applyProtection="1">
      <alignment horizontal="center" wrapText="1"/>
    </xf>
    <xf numFmtId="1" fontId="13" fillId="2" borderId="8" xfId="0" applyNumberFormat="1" applyFont="1" applyFill="1" applyBorder="1" applyAlignment="1" applyProtection="1">
      <alignment horizontal="center" wrapText="1"/>
    </xf>
    <xf numFmtId="3" fontId="16" fillId="2" borderId="2" xfId="0" applyNumberFormat="1" applyFont="1" applyFill="1" applyBorder="1" applyAlignment="1" applyProtection="1">
      <alignment horizontal="center"/>
    </xf>
    <xf numFmtId="3" fontId="13" fillId="2" borderId="9" xfId="0" applyNumberFormat="1" applyFont="1" applyFill="1" applyBorder="1" applyAlignment="1" applyProtection="1">
      <alignment horizontal="left"/>
    </xf>
    <xf numFmtId="9" fontId="13" fillId="2" borderId="10" xfId="3" applyNumberFormat="1" applyFont="1" applyFill="1" applyBorder="1" applyAlignment="1" applyProtection="1">
      <alignment horizontal="center"/>
    </xf>
    <xf numFmtId="0" fontId="7" fillId="0" borderId="14" xfId="0" applyFont="1" applyBorder="1" applyAlignment="1" applyProtection="1">
      <alignment horizontal="left"/>
    </xf>
    <xf numFmtId="0" fontId="7" fillId="0" borderId="58" xfId="0" applyFont="1" applyBorder="1" applyAlignment="1" applyProtection="1">
      <alignment horizontal="left"/>
    </xf>
    <xf numFmtId="0" fontId="3" fillId="0" borderId="0" xfId="0" applyFont="1" applyBorder="1" applyAlignment="1" applyProtection="1">
      <alignment horizontal="centerContinuous"/>
    </xf>
    <xf numFmtId="0" fontId="0" fillId="0" borderId="59" xfId="0" applyBorder="1" applyAlignment="1" applyProtection="1">
      <alignment horizontal="centerContinuous"/>
    </xf>
    <xf numFmtId="0" fontId="7" fillId="0" borderId="11" xfId="0" applyFont="1" applyFill="1" applyBorder="1" applyAlignment="1" applyProtection="1">
      <alignment horizontal="centerContinuous" vertical="center" wrapText="1"/>
    </xf>
    <xf numFmtId="0" fontId="7" fillId="0" borderId="3" xfId="0" applyFont="1" applyFill="1" applyBorder="1" applyAlignment="1" applyProtection="1">
      <alignment horizontal="centerContinuous" vertical="center" wrapText="1"/>
    </xf>
    <xf numFmtId="0" fontId="7" fillId="0" borderId="14" xfId="0" applyFont="1" applyFill="1" applyBorder="1" applyAlignment="1" applyProtection="1">
      <alignment horizontal="centerContinuous" vertical="center" wrapText="1"/>
    </xf>
    <xf numFmtId="0" fontId="7" fillId="0" borderId="16" xfId="0" applyFont="1" applyFill="1" applyBorder="1" applyAlignment="1" applyProtection="1">
      <alignment horizontal="centerContinuous" vertical="center" wrapText="1"/>
    </xf>
    <xf numFmtId="0" fontId="5" fillId="0" borderId="0" xfId="0" applyFont="1" applyBorder="1" applyAlignment="1" applyProtection="1">
      <alignment horizontal="left"/>
    </xf>
    <xf numFmtId="0" fontId="7" fillId="0" borderId="15" xfId="0" applyFont="1" applyBorder="1" applyAlignment="1" applyProtection="1">
      <alignment horizontal="right"/>
      <protection locked="0"/>
    </xf>
    <xf numFmtId="0" fontId="7" fillId="0" borderId="13" xfId="0" applyFont="1" applyBorder="1" applyAlignment="1" applyProtection="1">
      <alignment horizontal="left"/>
    </xf>
    <xf numFmtId="0" fontId="7" fillId="0" borderId="0" xfId="0" applyFont="1" applyBorder="1" applyAlignment="1" applyProtection="1">
      <alignment horizontal="left"/>
    </xf>
    <xf numFmtId="0" fontId="7" fillId="0" borderId="2" xfId="0" applyFont="1" applyBorder="1" applyAlignment="1" applyProtection="1">
      <alignment horizontal="right"/>
      <protection locked="0"/>
    </xf>
    <xf numFmtId="0" fontId="7" fillId="0" borderId="16" xfId="0" applyFont="1" applyBorder="1" applyAlignment="1" applyProtection="1">
      <alignment horizontal="left"/>
    </xf>
    <xf numFmtId="0" fontId="7" fillId="0" borderId="59" xfId="0" applyFont="1" applyBorder="1" applyAlignment="1" applyProtection="1">
      <alignment horizontal="left"/>
    </xf>
    <xf numFmtId="0" fontId="7" fillId="0" borderId="8" xfId="0" applyFont="1" applyBorder="1" applyAlignment="1" applyProtection="1">
      <alignment horizontal="right"/>
      <protection locked="0"/>
    </xf>
    <xf numFmtId="0" fontId="0" fillId="0" borderId="58" xfId="0" applyBorder="1" applyAlignment="1" applyProtection="1">
      <alignment horizontal="centerContinuous"/>
    </xf>
    <xf numFmtId="0" fontId="0" fillId="0" borderId="0" xfId="0" applyAlignment="1" applyProtection="1">
      <alignment horizontal="centerContinuous"/>
    </xf>
    <xf numFmtId="0" fontId="0" fillId="0" borderId="10" xfId="0" applyBorder="1" applyAlignment="1" applyProtection="1">
      <alignment horizontal="right"/>
      <protection locked="0"/>
    </xf>
    <xf numFmtId="0" fontId="28" fillId="0" borderId="14" xfId="0" applyFont="1" applyBorder="1" applyAlignment="1" applyProtection="1">
      <alignment horizontal="centerContinuous" vertical="center" wrapText="1"/>
    </xf>
    <xf numFmtId="0" fontId="28" fillId="0" borderId="16" xfId="0" applyFont="1" applyBorder="1" applyAlignment="1" applyProtection="1">
      <alignment horizontal="centerContinuous" vertical="center" wrapText="1"/>
    </xf>
    <xf numFmtId="0" fontId="7" fillId="0" borderId="14" xfId="0" applyFont="1" applyBorder="1" applyAlignment="1" applyProtection="1">
      <alignment horizontal="centerContinuous" vertical="center" wrapText="1"/>
    </xf>
    <xf numFmtId="0" fontId="7" fillId="0" borderId="16" xfId="0" applyFont="1" applyBorder="1" applyAlignment="1" applyProtection="1">
      <alignment horizontal="centerContinuous" vertical="center" wrapText="1"/>
    </xf>
    <xf numFmtId="0" fontId="8" fillId="0" borderId="14" xfId="0" applyFont="1" applyBorder="1" applyAlignment="1" applyProtection="1">
      <alignment horizontal="left"/>
    </xf>
    <xf numFmtId="0" fontId="7" fillId="0" borderId="1" xfId="0" applyFont="1" applyFill="1" applyBorder="1" applyAlignment="1" applyProtection="1">
      <alignment horizontal="centerContinuous" vertical="center" wrapText="1"/>
    </xf>
    <xf numFmtId="0" fontId="7" fillId="0" borderId="13" xfId="0" applyFont="1" applyFill="1" applyBorder="1" applyAlignment="1" applyProtection="1">
      <alignment horizontal="centerContinuous" vertical="center" wrapText="1"/>
    </xf>
    <xf numFmtId="0" fontId="0" fillId="0" borderId="16" xfId="0" applyNumberFormat="1" applyBorder="1" applyAlignment="1" applyProtection="1">
      <alignment horizontal="left"/>
    </xf>
    <xf numFmtId="0" fontId="7" fillId="0" borderId="14" xfId="0" applyNumberFormat="1" applyFont="1" applyBorder="1" applyAlignment="1" applyProtection="1">
      <alignment horizontal="left"/>
    </xf>
    <xf numFmtId="0" fontId="0" fillId="0" borderId="13" xfId="0" applyNumberFormat="1" applyBorder="1" applyAlignment="1" applyProtection="1">
      <alignment horizontal="left"/>
    </xf>
    <xf numFmtId="0" fontId="7" fillId="0" borderId="11" xfId="0" applyFont="1" applyBorder="1" applyAlignment="1" applyProtection="1">
      <alignment horizontal="centerContinuous" vertical="center" wrapText="1"/>
    </xf>
    <xf numFmtId="0" fontId="7" fillId="0" borderId="1" xfId="0" applyFont="1" applyBorder="1" applyAlignment="1" applyProtection="1">
      <alignment horizontal="centerContinuous" vertical="center" wrapText="1"/>
    </xf>
    <xf numFmtId="0" fontId="7" fillId="0" borderId="3" xfId="0" applyFont="1" applyBorder="1" applyAlignment="1" applyProtection="1">
      <alignment horizontal="centerContinuous" vertical="center" wrapText="1"/>
    </xf>
    <xf numFmtId="0" fontId="7" fillId="0" borderId="13" xfId="0" applyFont="1" applyBorder="1" applyAlignment="1" applyProtection="1">
      <alignment horizontal="centerContinuous" vertical="center"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0" fontId="7" fillId="2" borderId="11" xfId="0" applyFont="1" applyFill="1" applyBorder="1" applyAlignment="1" applyProtection="1">
      <alignment horizontal="centerContinuous" vertical="center" wrapText="1"/>
    </xf>
    <xf numFmtId="0" fontId="7" fillId="2" borderId="3" xfId="0" applyFont="1" applyFill="1" applyBorder="1" applyAlignment="1" applyProtection="1">
      <alignment horizontal="centerContinuous" vertical="center" wrapText="1"/>
    </xf>
    <xf numFmtId="0" fontId="5" fillId="0" borderId="58" xfId="0" applyFont="1" applyBorder="1" applyAlignment="1" applyProtection="1">
      <alignment horizontal="left"/>
    </xf>
    <xf numFmtId="0" fontId="7" fillId="0" borderId="12"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10" xfId="0" applyFont="1" applyFill="1" applyBorder="1" applyAlignment="1" applyProtection="1">
      <alignment horizontal="left"/>
    </xf>
    <xf numFmtId="3" fontId="13" fillId="2" borderId="11" xfId="0" applyNumberFormat="1" applyFont="1" applyFill="1" applyBorder="1" applyAlignment="1" applyProtection="1">
      <alignment horizontal="centerContinuous" vertical="center" wrapText="1"/>
    </xf>
    <xf numFmtId="3" fontId="13" fillId="2" borderId="3" xfId="0" applyNumberFormat="1" applyFont="1" applyFill="1" applyBorder="1" applyAlignment="1" applyProtection="1">
      <alignment horizontal="centerContinuous" vertical="center" wrapText="1"/>
    </xf>
    <xf numFmtId="0" fontId="16" fillId="0" borderId="14" xfId="0" applyFont="1" applyFill="1" applyBorder="1" applyAlignment="1" applyProtection="1">
      <alignment horizontal="centerContinuous"/>
    </xf>
    <xf numFmtId="0" fontId="16" fillId="0" borderId="15" xfId="0" applyFont="1" applyFill="1" applyBorder="1" applyAlignment="1" applyProtection="1">
      <alignment horizontal="centerContinuous"/>
    </xf>
    <xf numFmtId="0" fontId="16" fillId="0" borderId="60" xfId="0" applyFont="1" applyFill="1" applyBorder="1" applyAlignment="1" applyProtection="1">
      <alignment horizontal="centerContinuous"/>
    </xf>
    <xf numFmtId="0" fontId="16" fillId="0" borderId="0" xfId="0" applyFont="1" applyFill="1" applyBorder="1" applyAlignment="1" applyProtection="1">
      <alignment horizontal="centerContinuous"/>
    </xf>
    <xf numFmtId="0" fontId="14" fillId="5" borderId="52" xfId="0" applyFont="1" applyFill="1" applyBorder="1" applyAlignment="1" applyProtection="1">
      <alignment horizontal="left"/>
    </xf>
    <xf numFmtId="3" fontId="14" fillId="0" borderId="30" xfId="0" applyNumberFormat="1" applyFont="1" applyFill="1" applyBorder="1" applyAlignment="1" applyProtection="1">
      <alignment wrapText="1"/>
    </xf>
    <xf numFmtId="0" fontId="14" fillId="0" borderId="17" xfId="0" applyFont="1" applyBorder="1" applyAlignment="1" applyProtection="1">
      <alignment wrapText="1"/>
    </xf>
    <xf numFmtId="0" fontId="7" fillId="0" borderId="52"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2" borderId="52" xfId="0" applyFont="1" applyFill="1" applyBorder="1" applyAlignment="1" applyProtection="1">
      <alignment horizontal="left" vertical="center"/>
      <protection locked="0"/>
    </xf>
    <xf numFmtId="0" fontId="19" fillId="2" borderId="61" xfId="0" applyFont="1" applyFill="1" applyBorder="1" applyAlignment="1" applyProtection="1">
      <alignment horizontal="centerContinuous" vertical="center" wrapText="1"/>
    </xf>
    <xf numFmtId="0" fontId="19" fillId="2" borderId="49" xfId="0" applyFont="1" applyFill="1" applyBorder="1" applyAlignment="1" applyProtection="1">
      <alignment horizontal="centerContinuous" vertical="center" wrapText="1"/>
    </xf>
    <xf numFmtId="0" fontId="7" fillId="2" borderId="12" xfId="0" applyFont="1" applyFill="1" applyBorder="1" applyAlignment="1" applyProtection="1">
      <alignment horizontal="centerContinuous" vertical="center" wrapText="1"/>
      <protection locked="0"/>
    </xf>
    <xf numFmtId="0" fontId="7" fillId="2" borderId="4" xfId="0" applyFont="1" applyFill="1" applyBorder="1" applyAlignment="1" applyProtection="1">
      <alignment horizontal="centerContinuous" vertical="center" wrapText="1"/>
      <protection locked="0"/>
    </xf>
    <xf numFmtId="0" fontId="7" fillId="2" borderId="59" xfId="0" applyFont="1" applyFill="1" applyBorder="1" applyAlignment="1" applyProtection="1">
      <alignment horizontal="centerContinuous" vertical="center" wrapText="1"/>
      <protection locked="0"/>
    </xf>
    <xf numFmtId="0" fontId="7" fillId="2" borderId="10" xfId="0" applyFont="1" applyFill="1" applyBorder="1" applyAlignment="1" applyProtection="1">
      <alignment horizontal="centerContinuous" vertical="center" wrapText="1"/>
      <protection locked="0"/>
    </xf>
    <xf numFmtId="0" fontId="7" fillId="2" borderId="12" xfId="0" applyFont="1" applyFill="1" applyBorder="1" applyAlignment="1" applyProtection="1">
      <alignment horizontal="centerContinuous" vertical="center" wrapText="1"/>
    </xf>
    <xf numFmtId="0" fontId="7" fillId="2" borderId="4" xfId="0" applyFont="1" applyFill="1" applyBorder="1" applyAlignment="1" applyProtection="1">
      <alignment horizontal="centerContinuous" vertical="center" wrapText="1"/>
    </xf>
    <xf numFmtId="0" fontId="7" fillId="2" borderId="10" xfId="0" applyFont="1" applyFill="1" applyBorder="1" applyAlignment="1" applyProtection="1">
      <alignment horizontal="centerContinuous" vertical="center" wrapText="1"/>
    </xf>
    <xf numFmtId="0" fontId="19" fillId="2" borderId="18" xfId="0" applyFont="1" applyFill="1" applyBorder="1" applyAlignment="1" applyProtection="1">
      <alignment horizontal="centerContinuous" vertical="center" wrapText="1"/>
    </xf>
    <xf numFmtId="0" fontId="19" fillId="2" borderId="50" xfId="0" applyFont="1" applyFill="1" applyBorder="1" applyAlignment="1" applyProtection="1">
      <alignment horizontal="centerContinuous" vertical="center" wrapText="1"/>
    </xf>
    <xf numFmtId="0" fontId="19" fillId="2" borderId="31" xfId="0" applyFont="1" applyFill="1" applyBorder="1" applyAlignment="1" applyProtection="1">
      <alignment horizontal="centerContinuous" vertical="center" wrapText="1"/>
    </xf>
    <xf numFmtId="0" fontId="19" fillId="2" borderId="62" xfId="0" applyFont="1" applyFill="1" applyBorder="1" applyAlignment="1" applyProtection="1">
      <alignment horizontal="centerContinuous" vertical="center" wrapText="1"/>
    </xf>
    <xf numFmtId="0" fontId="19" fillId="2" borderId="30" xfId="0" applyFont="1" applyFill="1" applyBorder="1" applyAlignment="1" applyProtection="1">
      <alignment horizontal="centerContinuous" vertical="center" wrapText="1"/>
    </xf>
    <xf numFmtId="0" fontId="19" fillId="2" borderId="14" xfId="0" applyFont="1" applyFill="1" applyBorder="1" applyAlignment="1" applyProtection="1">
      <alignment horizontal="centerContinuous" vertical="center" wrapText="1"/>
    </xf>
    <xf numFmtId="0" fontId="0" fillId="2" borderId="16" xfId="0" applyFill="1" applyBorder="1" applyAlignment="1" applyProtection="1">
      <alignment horizontal="centerContinuous" vertical="center" wrapText="1"/>
    </xf>
    <xf numFmtId="0" fontId="7" fillId="2" borderId="42" xfId="0" applyFont="1" applyFill="1" applyBorder="1" applyAlignment="1" applyProtection="1">
      <alignment horizontal="centerContinuous" vertical="center" wrapText="1"/>
    </xf>
    <xf numFmtId="0" fontId="7" fillId="2" borderId="34" xfId="0" applyFont="1" applyFill="1" applyBorder="1" applyAlignment="1" applyProtection="1">
      <alignment horizontal="centerContinuous" vertical="center" wrapText="1"/>
    </xf>
    <xf numFmtId="0" fontId="7" fillId="2" borderId="36" xfId="0" applyFont="1" applyFill="1" applyBorder="1" applyAlignment="1" applyProtection="1">
      <alignment horizontal="centerContinuous" vertical="center" wrapText="1"/>
    </xf>
    <xf numFmtId="0" fontId="0" fillId="2" borderId="25" xfId="0" applyFill="1" applyBorder="1" applyAlignment="1" applyProtection="1">
      <alignment horizontal="centerContinuous" vertical="center" wrapText="1"/>
    </xf>
    <xf numFmtId="0" fontId="18" fillId="2" borderId="13" xfId="0" applyFont="1" applyFill="1" applyBorder="1" applyAlignment="1" applyProtection="1">
      <alignment horizontal="centerContinuous" vertical="center" wrapText="1"/>
    </xf>
    <xf numFmtId="0" fontId="18" fillId="2" borderId="13" xfId="0" applyFont="1" applyFill="1" applyBorder="1" applyAlignment="1" applyProtection="1">
      <alignment vertical="center"/>
    </xf>
    <xf numFmtId="0" fontId="19" fillId="0" borderId="40" xfId="0" applyFont="1" applyFill="1" applyBorder="1" applyAlignment="1" applyProtection="1">
      <alignment horizontal="centerContinuous" vertical="center" wrapText="1"/>
    </xf>
    <xf numFmtId="0" fontId="19" fillId="2" borderId="48" xfId="0" applyFont="1" applyFill="1" applyBorder="1" applyAlignment="1" applyProtection="1">
      <alignment horizontal="centerContinuous" vertical="center" wrapText="1"/>
    </xf>
    <xf numFmtId="0" fontId="25" fillId="2" borderId="12" xfId="0" applyFont="1" applyFill="1" applyBorder="1" applyAlignment="1" applyProtection="1">
      <alignment horizontal="centerContinuous" vertical="center" wrapText="1"/>
    </xf>
    <xf numFmtId="0" fontId="25" fillId="2" borderId="4" xfId="0" applyFont="1" applyFill="1" applyBorder="1" applyAlignment="1" applyProtection="1">
      <alignment horizontal="centerContinuous" vertical="center" wrapText="1"/>
    </xf>
    <xf numFmtId="0" fontId="25" fillId="2" borderId="10" xfId="0" applyFont="1" applyFill="1" applyBorder="1" applyAlignment="1" applyProtection="1">
      <alignment horizontal="centerContinuous" vertical="center" wrapText="1"/>
    </xf>
    <xf numFmtId="0" fontId="19" fillId="2" borderId="11" xfId="0" applyFont="1" applyFill="1" applyBorder="1" applyAlignment="1" applyProtection="1">
      <alignment horizontal="centerContinuous" vertical="center"/>
    </xf>
    <xf numFmtId="0" fontId="19" fillId="2" borderId="1" xfId="0" applyFont="1" applyFill="1" applyBorder="1" applyAlignment="1" applyProtection="1">
      <alignment horizontal="centerContinuous" vertical="center"/>
    </xf>
    <xf numFmtId="0" fontId="19" fillId="2" borderId="3" xfId="0" applyFont="1" applyFill="1" applyBorder="1" applyAlignment="1" applyProtection="1">
      <alignment horizontal="centerContinuous" vertical="center"/>
    </xf>
    <xf numFmtId="0" fontId="19" fillId="2" borderId="15" xfId="0" applyFont="1" applyFill="1" applyBorder="1" applyAlignment="1" applyProtection="1">
      <alignment horizontal="centerContinuous" wrapText="1"/>
    </xf>
    <xf numFmtId="0" fontId="19" fillId="2" borderId="2" xfId="0" applyFont="1" applyFill="1" applyBorder="1" applyAlignment="1" applyProtection="1">
      <alignment horizontal="centerContinuous" wrapText="1"/>
    </xf>
    <xf numFmtId="0" fontId="19" fillId="2" borderId="8" xfId="0" applyFont="1" applyFill="1" applyBorder="1" applyAlignment="1" applyProtection="1">
      <alignment horizontal="centerContinuous" wrapText="1"/>
    </xf>
    <xf numFmtId="0" fontId="19" fillId="2" borderId="11" xfId="0" applyFont="1" applyFill="1" applyBorder="1" applyAlignment="1" applyProtection="1">
      <alignment horizontal="centerContinuous" vertical="center" wrapText="1"/>
    </xf>
    <xf numFmtId="0" fontId="19" fillId="2" borderId="1" xfId="0" applyFont="1" applyFill="1" applyBorder="1" applyAlignment="1" applyProtection="1">
      <alignment horizontal="centerContinuous" vertical="center" wrapText="1"/>
    </xf>
    <xf numFmtId="0" fontId="19" fillId="2" borderId="3" xfId="0" applyFont="1" applyFill="1" applyBorder="1" applyAlignment="1" applyProtection="1">
      <alignment horizontal="centerContinuous" vertical="center" wrapText="1"/>
    </xf>
    <xf numFmtId="49" fontId="19" fillId="2" borderId="11" xfId="0" applyNumberFormat="1" applyFont="1" applyFill="1" applyBorder="1" applyAlignment="1" applyProtection="1">
      <alignment horizontal="centerContinuous" wrapText="1"/>
    </xf>
    <xf numFmtId="49" fontId="19" fillId="2" borderId="1" xfId="0" applyNumberFormat="1" applyFont="1" applyFill="1" applyBorder="1" applyAlignment="1" applyProtection="1">
      <alignment horizontal="centerContinuous" wrapText="1"/>
    </xf>
    <xf numFmtId="49" fontId="19" fillId="2" borderId="3" xfId="0" applyNumberFormat="1" applyFont="1" applyFill="1" applyBorder="1" applyAlignment="1" applyProtection="1">
      <alignment horizontal="centerContinuous" wrapText="1"/>
    </xf>
    <xf numFmtId="49" fontId="19" fillId="2" borderId="15" xfId="0" applyNumberFormat="1" applyFont="1" applyFill="1" applyBorder="1" applyAlignment="1" applyProtection="1">
      <alignment horizontal="centerContinuous" vertical="center" wrapText="1"/>
    </xf>
    <xf numFmtId="49" fontId="19" fillId="2" borderId="2" xfId="0" applyNumberFormat="1" applyFont="1" applyFill="1" applyBorder="1" applyAlignment="1" applyProtection="1">
      <alignment horizontal="centerContinuous" vertical="center" wrapText="1"/>
    </xf>
    <xf numFmtId="49" fontId="19" fillId="2" borderId="12" xfId="0" applyNumberFormat="1" applyFont="1" applyFill="1" applyBorder="1" applyAlignment="1" applyProtection="1">
      <alignment horizontal="centerContinuous"/>
    </xf>
    <xf numFmtId="49" fontId="19" fillId="2" borderId="10" xfId="0" applyNumberFormat="1" applyFont="1" applyFill="1" applyBorder="1" applyAlignment="1" applyProtection="1">
      <alignment horizontal="centerContinuous"/>
    </xf>
    <xf numFmtId="49" fontId="19" fillId="2" borderId="11" xfId="0" applyNumberFormat="1" applyFont="1" applyFill="1" applyBorder="1" applyAlignment="1" applyProtection="1">
      <alignment horizontal="centerContinuous" vertical="center" wrapText="1"/>
    </xf>
    <xf numFmtId="0" fontId="7" fillId="0" borderId="0" xfId="0" applyFont="1" applyFill="1" applyBorder="1" applyAlignment="1" applyProtection="1">
      <alignment horizontal="centerContinuous"/>
    </xf>
    <xf numFmtId="49" fontId="19" fillId="2" borderId="58" xfId="0" applyNumberFormat="1" applyFont="1" applyFill="1" applyBorder="1" applyAlignment="1" applyProtection="1">
      <alignment horizontal="centerContinuous"/>
    </xf>
    <xf numFmtId="49" fontId="19" fillId="2" borderId="15" xfId="0" applyNumberFormat="1" applyFont="1" applyFill="1" applyBorder="1" applyAlignment="1" applyProtection="1">
      <alignment horizontal="centerContinuous"/>
    </xf>
    <xf numFmtId="0" fontId="7" fillId="0" borderId="9" xfId="0" applyFont="1" applyBorder="1" applyAlignment="1" applyProtection="1">
      <alignment horizontal="centerContinuous" vertical="center" wrapText="1"/>
    </xf>
    <xf numFmtId="0" fontId="7" fillId="0" borderId="9" xfId="0" applyFont="1" applyFill="1" applyBorder="1" applyAlignment="1" applyProtection="1">
      <alignment horizontal="centerContinuous" vertical="center" wrapText="1"/>
    </xf>
    <xf numFmtId="0" fontId="28" fillId="0" borderId="13" xfId="0" applyFont="1" applyBorder="1" applyAlignment="1" applyProtection="1">
      <alignment horizontal="centerContinuous" vertical="center" wrapText="1"/>
    </xf>
    <xf numFmtId="0" fontId="7" fillId="0" borderId="11" xfId="0" applyFont="1" applyFill="1" applyBorder="1" applyProtection="1"/>
    <xf numFmtId="9" fontId="7" fillId="0" borderId="11" xfId="3" applyFont="1" applyBorder="1" applyProtection="1">
      <protection locked="0"/>
    </xf>
    <xf numFmtId="9" fontId="7" fillId="0" borderId="58" xfId="3" applyFont="1" applyBorder="1" applyProtection="1">
      <protection locked="0"/>
    </xf>
    <xf numFmtId="0" fontId="4" fillId="0" borderId="16" xfId="0" applyFont="1" applyFill="1" applyBorder="1" applyProtection="1"/>
    <xf numFmtId="0" fontId="4" fillId="0" borderId="13" xfId="0" applyFont="1" applyFill="1" applyBorder="1" applyProtection="1"/>
    <xf numFmtId="0" fontId="4" fillId="0" borderId="1" xfId="0" applyFont="1" applyFill="1" applyBorder="1" applyProtection="1"/>
    <xf numFmtId="0" fontId="7" fillId="0" borderId="0" xfId="0" applyFont="1" applyFill="1" applyBorder="1" applyAlignment="1" applyProtection="1">
      <alignment horizontal="centerContinuous" vertical="center" wrapText="1"/>
    </xf>
    <xf numFmtId="3" fontId="4" fillId="0" borderId="0" xfId="0" applyNumberFormat="1" applyFont="1" applyFill="1" applyBorder="1" applyProtection="1"/>
    <xf numFmtId="3" fontId="7" fillId="0" borderId="11" xfId="0" applyNumberFormat="1" applyFont="1" applyBorder="1" applyAlignment="1" applyProtection="1">
      <alignment horizontal="centerContinuous" vertical="center" wrapText="1"/>
    </xf>
    <xf numFmtId="3" fontId="7" fillId="0" borderId="1" xfId="0" applyNumberFormat="1" applyFont="1" applyBorder="1" applyAlignment="1" applyProtection="1">
      <alignment horizontal="centerContinuous" vertical="center" wrapText="1"/>
    </xf>
    <xf numFmtId="3" fontId="7" fillId="0" borderId="3" xfId="0" applyNumberFormat="1" applyFont="1" applyBorder="1" applyAlignment="1" applyProtection="1">
      <alignment horizontal="centerContinuous" vertical="center" wrapText="1"/>
    </xf>
    <xf numFmtId="3" fontId="7" fillId="0" borderId="11" xfId="0" applyNumberFormat="1" applyFont="1" applyFill="1" applyBorder="1" applyAlignment="1" applyProtection="1">
      <alignment horizontal="right" vertical="center" wrapText="1"/>
    </xf>
    <xf numFmtId="9" fontId="0" fillId="0" borderId="1" xfId="0" applyNumberFormat="1" applyFill="1" applyBorder="1" applyProtection="1">
      <protection locked="0"/>
    </xf>
    <xf numFmtId="9" fontId="7" fillId="0" borderId="3" xfId="3" applyFont="1" applyFill="1" applyBorder="1" applyAlignment="1" applyProtection="1">
      <alignment horizontal="centerContinuous" vertical="center" wrapText="1"/>
    </xf>
    <xf numFmtId="0" fontId="30" fillId="0" borderId="1" xfId="0" applyFont="1" applyFill="1" applyBorder="1" applyProtection="1"/>
    <xf numFmtId="0" fontId="30" fillId="0" borderId="3" xfId="0" applyFont="1" applyFill="1" applyBorder="1" applyProtection="1"/>
    <xf numFmtId="0" fontId="8" fillId="0" borderId="1" xfId="0" applyFont="1" applyFill="1" applyBorder="1"/>
    <xf numFmtId="0" fontId="7" fillId="0" borderId="1" xfId="0" applyFont="1" applyFill="1" applyBorder="1" applyProtection="1"/>
    <xf numFmtId="0" fontId="8" fillId="0" borderId="1" xfId="0" applyFont="1" applyBorder="1"/>
    <xf numFmtId="0" fontId="8" fillId="0" borderId="3" xfId="0" applyFont="1" applyBorder="1"/>
    <xf numFmtId="0" fontId="28" fillId="0" borderId="13" xfId="0" applyFont="1" applyFill="1" applyBorder="1" applyAlignment="1">
      <alignment horizontal="left"/>
    </xf>
    <xf numFmtId="0" fontId="30" fillId="0" borderId="1" xfId="0" applyFont="1" applyFill="1" applyBorder="1" applyAlignment="1" applyProtection="1">
      <alignment horizontal="left"/>
    </xf>
    <xf numFmtId="0" fontId="29" fillId="6" borderId="13" xfId="0" applyFont="1" applyFill="1" applyBorder="1" applyAlignment="1">
      <alignment horizontal="left"/>
    </xf>
    <xf numFmtId="0" fontId="7" fillId="2" borderId="9" xfId="0" applyFont="1" applyFill="1" applyBorder="1"/>
    <xf numFmtId="0" fontId="28" fillId="2" borderId="16" xfId="0" applyFont="1" applyFill="1" applyBorder="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0" fillId="5" borderId="0" xfId="0" applyFill="1" applyProtection="1"/>
    <xf numFmtId="0" fontId="0" fillId="5" borderId="0" xfId="0" applyFill="1" applyBorder="1" applyProtection="1">
      <protection locked="0"/>
    </xf>
    <xf numFmtId="0" fontId="0" fillId="5" borderId="0" xfId="0" applyFill="1" applyProtection="1">
      <protection locked="0"/>
    </xf>
    <xf numFmtId="0" fontId="0" fillId="5" borderId="0" xfId="0" applyFill="1" applyBorder="1" applyProtection="1"/>
    <xf numFmtId="0" fontId="0" fillId="5" borderId="54" xfId="0" applyFill="1" applyBorder="1" applyProtection="1">
      <protection locked="0"/>
    </xf>
    <xf numFmtId="0" fontId="0" fillId="5" borderId="52" xfId="0" applyFill="1" applyBorder="1" applyProtection="1">
      <protection locked="0"/>
    </xf>
    <xf numFmtId="0" fontId="0" fillId="5" borderId="0" xfId="0" applyFill="1" applyBorder="1" applyAlignment="1" applyProtection="1">
      <protection locked="0"/>
    </xf>
    <xf numFmtId="0" fontId="0" fillId="5" borderId="0" xfId="0" applyFill="1" applyBorder="1" applyAlignment="1" applyProtection="1">
      <alignment horizontal="right"/>
    </xf>
    <xf numFmtId="0" fontId="0" fillId="5" borderId="63" xfId="0" applyFill="1" applyBorder="1" applyAlignment="1" applyProtection="1">
      <alignment horizontal="center"/>
      <protection locked="0"/>
    </xf>
    <xf numFmtId="0" fontId="0" fillId="5" borderId="0" xfId="0" applyFill="1" applyAlignment="1" applyProtection="1">
      <alignment horizontal="right"/>
    </xf>
    <xf numFmtId="0" fontId="3" fillId="5" borderId="0" xfId="0" applyFont="1" applyFill="1" applyAlignment="1" applyProtection="1">
      <alignment horizontal="left"/>
    </xf>
    <xf numFmtId="0" fontId="3" fillId="5" borderId="0" xfId="0" applyFont="1" applyFill="1" applyBorder="1" applyAlignment="1" applyProtection="1">
      <alignment horizontal="centerContinuous"/>
    </xf>
    <xf numFmtId="0" fontId="0" fillId="5" borderId="0" xfId="0" applyFill="1" applyBorder="1" applyAlignment="1" applyProtection="1">
      <alignment horizontal="centerContinuous"/>
    </xf>
    <xf numFmtId="0" fontId="7" fillId="5" borderId="0" xfId="0" applyFont="1" applyFill="1" applyBorder="1" applyAlignment="1" applyProtection="1">
      <alignment horizontal="left"/>
    </xf>
    <xf numFmtId="0" fontId="7" fillId="5" borderId="0" xfId="0" applyFont="1" applyFill="1" applyBorder="1" applyAlignment="1" applyProtection="1">
      <alignment horizontal="right"/>
      <protection locked="0"/>
    </xf>
    <xf numFmtId="0" fontId="7" fillId="5" borderId="9" xfId="0" applyFont="1" applyFill="1" applyBorder="1" applyAlignment="1" applyProtection="1">
      <alignment horizontal="center" vertical="center" wrapText="1"/>
    </xf>
    <xf numFmtId="0" fontId="4" fillId="5" borderId="0" xfId="0" applyFont="1" applyFill="1" applyProtection="1"/>
    <xf numFmtId="0" fontId="7" fillId="5" borderId="0" xfId="0" applyFont="1" applyFill="1" applyProtection="1"/>
    <xf numFmtId="0" fontId="3" fillId="5" borderId="0" xfId="0" applyFont="1" applyFill="1" applyProtection="1"/>
    <xf numFmtId="0" fontId="0" fillId="5" borderId="0" xfId="0" applyFill="1" applyAlignment="1" applyProtection="1"/>
    <xf numFmtId="3" fontId="0" fillId="5" borderId="0" xfId="0" applyNumberFormat="1" applyFill="1" applyProtection="1"/>
    <xf numFmtId="0" fontId="30" fillId="0" borderId="0" xfId="0" applyFont="1" applyFill="1" applyBorder="1" applyProtection="1"/>
    <xf numFmtId="3" fontId="4" fillId="0" borderId="0" xfId="0" applyNumberFormat="1" applyFont="1" applyFill="1" applyBorder="1" applyProtection="1">
      <protection locked="0"/>
    </xf>
    <xf numFmtId="9" fontId="4" fillId="0" borderId="0" xfId="3" applyFont="1" applyFill="1" applyBorder="1" applyProtection="1"/>
    <xf numFmtId="49" fontId="28" fillId="0" borderId="1" xfId="0" applyNumberFormat="1" applyFont="1" applyFill="1" applyBorder="1" applyAlignment="1" applyProtection="1">
      <alignment horizontal="left"/>
    </xf>
    <xf numFmtId="49" fontId="28" fillId="0" borderId="1" xfId="0" applyNumberFormat="1" applyFont="1" applyBorder="1" applyAlignment="1" applyProtection="1">
      <alignment horizontal="left"/>
    </xf>
    <xf numFmtId="49" fontId="29" fillId="0" borderId="1" xfId="0" applyNumberFormat="1" applyFont="1" applyFill="1" applyBorder="1" applyAlignment="1" applyProtection="1">
      <alignment horizontal="left"/>
    </xf>
    <xf numFmtId="49" fontId="36" fillId="0" borderId="1" xfId="0" applyNumberFormat="1" applyFont="1" applyBorder="1" applyAlignment="1" applyProtection="1">
      <alignment horizontal="left"/>
    </xf>
    <xf numFmtId="49" fontId="36" fillId="0" borderId="1" xfId="0" applyNumberFormat="1" applyFont="1" applyFill="1" applyBorder="1" applyAlignment="1" applyProtection="1">
      <alignment horizontal="left"/>
    </xf>
    <xf numFmtId="49" fontId="0" fillId="0" borderId="3" xfId="0" applyNumberFormat="1" applyBorder="1" applyAlignment="1" applyProtection="1">
      <alignment horizontal="left"/>
    </xf>
    <xf numFmtId="0" fontId="28" fillId="0" borderId="0" xfId="0" applyNumberFormat="1" applyFont="1" applyBorder="1" applyAlignment="1" applyProtection="1">
      <alignment horizontal="left"/>
    </xf>
    <xf numFmtId="49" fontId="8" fillId="0" borderId="1" xfId="0" applyNumberFormat="1" applyFont="1" applyBorder="1" applyAlignment="1" applyProtection="1">
      <alignment horizontal="left"/>
    </xf>
    <xf numFmtId="49" fontId="5" fillId="0" borderId="13" xfId="0" applyNumberFormat="1" applyFont="1" applyFill="1" applyBorder="1" applyAlignment="1" applyProtection="1">
      <alignment horizontal="left"/>
    </xf>
    <xf numFmtId="49" fontId="5" fillId="0" borderId="1" xfId="0" applyNumberFormat="1" applyFont="1" applyBorder="1" applyAlignment="1" applyProtection="1">
      <alignment horizontal="left"/>
    </xf>
    <xf numFmtId="49" fontId="5" fillId="0" borderId="1" xfId="0" applyNumberFormat="1" applyFont="1" applyFill="1" applyBorder="1" applyAlignment="1" applyProtection="1">
      <alignment horizontal="left"/>
    </xf>
    <xf numFmtId="49" fontId="28" fillId="0" borderId="1" xfId="0" applyNumberFormat="1" applyFont="1" applyFill="1" applyBorder="1" applyProtection="1"/>
    <xf numFmtId="49" fontId="28" fillId="0" borderId="1" xfId="0" applyNumberFormat="1" applyFont="1" applyBorder="1" applyProtection="1"/>
    <xf numFmtId="49" fontId="30" fillId="0" borderId="1" xfId="0" applyNumberFormat="1" applyFont="1" applyFill="1" applyBorder="1" applyProtection="1"/>
    <xf numFmtId="49" fontId="30" fillId="0" borderId="3" xfId="0" applyNumberFormat="1" applyFont="1" applyFill="1" applyBorder="1" applyProtection="1"/>
    <xf numFmtId="0" fontId="7" fillId="7" borderId="9" xfId="0" applyFont="1" applyFill="1" applyBorder="1"/>
    <xf numFmtId="49" fontId="17" fillId="0" borderId="0" xfId="0" applyNumberFormat="1" applyFont="1" applyFill="1" applyBorder="1" applyProtection="1"/>
    <xf numFmtId="49" fontId="17" fillId="0" borderId="0" xfId="0" applyNumberFormat="1" applyFont="1" applyAlignment="1" applyProtection="1">
      <alignment horizontal="left"/>
    </xf>
    <xf numFmtId="49" fontId="17" fillId="0" borderId="0" xfId="0" applyNumberFormat="1" applyFont="1" applyProtection="1"/>
    <xf numFmtId="0" fontId="0" fillId="5" borderId="0" xfId="0" applyFill="1" applyAlignment="1" applyProtection="1">
      <alignment vertical="center"/>
    </xf>
    <xf numFmtId="0" fontId="0" fillId="5" borderId="0"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0" xfId="0" applyFill="1" applyBorder="1" applyAlignment="1" applyProtection="1">
      <alignment horizontal="right" vertical="center"/>
    </xf>
    <xf numFmtId="0" fontId="0" fillId="5" borderId="0" xfId="0" applyFill="1" applyAlignment="1" applyProtection="1">
      <alignment horizontal="right" vertical="center"/>
    </xf>
    <xf numFmtId="0" fontId="0" fillId="5" borderId="60" xfId="0" applyFill="1" applyBorder="1" applyAlignment="1" applyProtection="1">
      <alignment vertical="center"/>
      <protection locked="0"/>
    </xf>
    <xf numFmtId="0" fontId="0" fillId="5" borderId="18" xfId="0" applyFill="1" applyBorder="1" applyAlignment="1" applyProtection="1">
      <alignment horizontal="center" vertical="center"/>
      <protection locked="0"/>
    </xf>
    <xf numFmtId="0" fontId="0" fillId="0" borderId="0" xfId="0" applyFill="1" applyProtection="1">
      <protection locked="0"/>
    </xf>
    <xf numFmtId="0" fontId="7" fillId="0" borderId="1" xfId="0" applyFont="1" applyFill="1" applyBorder="1" applyAlignment="1" applyProtection="1">
      <alignment horizontal="center" vertical="center" wrapText="1"/>
    </xf>
    <xf numFmtId="166" fontId="7" fillId="0" borderId="1" xfId="3" applyNumberFormat="1" applyFont="1" applyFill="1" applyBorder="1" applyProtection="1"/>
    <xf numFmtId="3" fontId="0" fillId="0" borderId="1" xfId="0" applyNumberFormat="1" applyFill="1" applyBorder="1" applyProtection="1"/>
    <xf numFmtId="166" fontId="0" fillId="0" borderId="1" xfId="3" applyNumberFormat="1" applyFont="1" applyFill="1" applyBorder="1" applyProtection="1"/>
    <xf numFmtId="166" fontId="4" fillId="0" borderId="1" xfId="3" applyNumberFormat="1" applyFont="1" applyFill="1" applyBorder="1" applyProtection="1"/>
    <xf numFmtId="166" fontId="0" fillId="0" borderId="3" xfId="3" applyNumberFormat="1" applyFont="1" applyFill="1" applyBorder="1" applyProtection="1"/>
    <xf numFmtId="0" fontId="0" fillId="0" borderId="0" xfId="0" applyFill="1" applyAlignment="1" applyProtection="1"/>
    <xf numFmtId="14" fontId="0" fillId="0" borderId="0" xfId="0" applyNumberFormat="1" applyFill="1" applyProtection="1">
      <protection locked="0"/>
    </xf>
    <xf numFmtId="0" fontId="0" fillId="5" borderId="60" xfId="0" applyFill="1" applyBorder="1"/>
    <xf numFmtId="3" fontId="7" fillId="0" borderId="1" xfId="0" applyNumberFormat="1" applyFont="1" applyFill="1" applyBorder="1" applyAlignment="1" applyProtection="1">
      <alignment horizontal="right" vertical="top" wrapText="1"/>
    </xf>
    <xf numFmtId="0" fontId="28" fillId="0" borderId="1" xfId="0" applyFont="1" applyFill="1" applyBorder="1" applyAlignment="1" applyProtection="1">
      <alignment horizontal="centerContinuous" vertical="center" wrapText="1"/>
    </xf>
    <xf numFmtId="49" fontId="0" fillId="0" borderId="1" xfId="0" applyNumberFormat="1" applyFill="1" applyBorder="1"/>
    <xf numFmtId="0" fontId="0" fillId="0" borderId="1" xfId="0" applyFill="1" applyBorder="1"/>
    <xf numFmtId="49" fontId="0" fillId="0" borderId="3" xfId="0" applyNumberFormat="1" applyFill="1" applyBorder="1"/>
    <xf numFmtId="0" fontId="7" fillId="0" borderId="11" xfId="0" applyFont="1" applyBorder="1" applyAlignment="1" applyProtection="1">
      <alignment horizontal="left"/>
    </xf>
    <xf numFmtId="0" fontId="8" fillId="0" borderId="1" xfId="0" applyFont="1" applyBorder="1" applyAlignment="1" applyProtection="1">
      <alignment horizontal="left"/>
    </xf>
    <xf numFmtId="0" fontId="5" fillId="0" borderId="1" xfId="0" applyFont="1" applyBorder="1" applyAlignment="1" applyProtection="1">
      <alignment horizontal="left"/>
    </xf>
    <xf numFmtId="0" fontId="8" fillId="0" borderId="1" xfId="0" applyFont="1" applyFill="1" applyBorder="1" applyAlignment="1" applyProtection="1">
      <alignment horizontal="left"/>
    </xf>
    <xf numFmtId="0" fontId="5" fillId="0" borderId="1" xfId="0" applyFont="1" applyFill="1" applyBorder="1" applyAlignment="1" applyProtection="1">
      <alignment horizontal="left"/>
    </xf>
    <xf numFmtId="0" fontId="7" fillId="0" borderId="1" xfId="0" applyFont="1" applyFill="1" applyBorder="1" applyAlignment="1" applyProtection="1">
      <alignment horizontal="left"/>
    </xf>
    <xf numFmtId="0" fontId="3" fillId="5" borderId="0" xfId="0" applyFont="1" applyFill="1" applyBorder="1" applyAlignment="1" applyProtection="1">
      <alignment horizontal="left"/>
    </xf>
    <xf numFmtId="9" fontId="0" fillId="5" borderId="0" xfId="3" applyFont="1" applyFill="1" applyProtection="1"/>
    <xf numFmtId="0" fontId="7" fillId="5" borderId="14" xfId="0" applyFont="1" applyFill="1" applyBorder="1" applyAlignment="1" applyProtection="1">
      <alignment horizontal="left"/>
    </xf>
    <xf numFmtId="0" fontId="7" fillId="5" borderId="58" xfId="0" applyFont="1" applyFill="1" applyBorder="1" applyAlignment="1" applyProtection="1">
      <alignment horizontal="left"/>
    </xf>
    <xf numFmtId="0" fontId="7" fillId="5" borderId="13" xfId="0" applyFont="1" applyFill="1" applyBorder="1" applyAlignment="1" applyProtection="1">
      <alignment horizontal="left"/>
    </xf>
    <xf numFmtId="0" fontId="0" fillId="5" borderId="0" xfId="0" applyFill="1" applyBorder="1" applyAlignment="1" applyProtection="1"/>
    <xf numFmtId="0" fontId="7" fillId="5" borderId="16" xfId="0" applyFont="1" applyFill="1" applyBorder="1" applyAlignment="1" applyProtection="1">
      <alignment horizontal="left"/>
    </xf>
    <xf numFmtId="0" fontId="7" fillId="5" borderId="59" xfId="0" applyFont="1" applyFill="1" applyBorder="1" applyAlignment="1" applyProtection="1">
      <alignment horizontal="left"/>
    </xf>
    <xf numFmtId="0" fontId="0" fillId="5" borderId="0" xfId="0" applyFill="1" applyAlignment="1" applyProtection="1">
      <alignment horizontal="left"/>
    </xf>
    <xf numFmtId="3" fontId="0" fillId="5" borderId="0" xfId="0" applyNumberFormat="1" applyFill="1" applyBorder="1" applyProtection="1"/>
    <xf numFmtId="0" fontId="19" fillId="0" borderId="12" xfId="0" applyFont="1" applyBorder="1" applyProtection="1"/>
    <xf numFmtId="0" fontId="19" fillId="0" borderId="11" xfId="0" applyFont="1" applyBorder="1" applyAlignment="1" applyProtection="1">
      <alignment horizontal="centerContinuous" vertical="center" wrapText="1"/>
    </xf>
    <xf numFmtId="0" fontId="19" fillId="0" borderId="0" xfId="0" applyNumberFormat="1" applyFont="1" applyBorder="1" applyAlignment="1" applyProtection="1"/>
    <xf numFmtId="0" fontId="18" fillId="0" borderId="0" xfId="0" applyFont="1" applyFill="1" applyBorder="1" applyProtection="1"/>
    <xf numFmtId="0" fontId="18" fillId="0" borderId="0" xfId="0" applyFont="1" applyProtection="1"/>
    <xf numFmtId="0" fontId="18" fillId="0" borderId="0" xfId="0" applyFont="1" applyFill="1" applyProtection="1"/>
    <xf numFmtId="0" fontId="19" fillId="0" borderId="0" xfId="0" applyFont="1" applyProtection="1"/>
    <xf numFmtId="0" fontId="39" fillId="0" borderId="0" xfId="0" applyFont="1" applyProtection="1"/>
    <xf numFmtId="0" fontId="18" fillId="0" borderId="4" xfId="0" applyFont="1" applyBorder="1" applyAlignment="1" applyProtection="1"/>
    <xf numFmtId="0" fontId="18" fillId="0" borderId="10" xfId="0" applyFont="1" applyBorder="1" applyAlignment="1" applyProtection="1"/>
    <xf numFmtId="0" fontId="18" fillId="0" borderId="0" xfId="0" applyFont="1" applyAlignment="1" applyProtection="1">
      <alignment horizontal="right"/>
    </xf>
    <xf numFmtId="0" fontId="18" fillId="0" borderId="9" xfId="0" applyFont="1" applyBorder="1" applyProtection="1"/>
    <xf numFmtId="0" fontId="19" fillId="0" borderId="15" xfId="0" applyFont="1" applyBorder="1" applyAlignment="1" applyProtection="1">
      <alignment horizontal="centerContinuous" vertical="center" wrapText="1"/>
    </xf>
    <xf numFmtId="0" fontId="19" fillId="0" borderId="10" xfId="0" applyNumberFormat="1" applyFont="1" applyBorder="1" applyProtection="1"/>
    <xf numFmtId="3" fontId="19" fillId="0" borderId="9" xfId="0" applyNumberFormat="1" applyFont="1" applyBorder="1" applyProtection="1"/>
    <xf numFmtId="0" fontId="19" fillId="0" borderId="11" xfId="0" applyNumberFormat="1" applyFont="1" applyBorder="1" applyAlignment="1" applyProtection="1"/>
    <xf numFmtId="0" fontId="19" fillId="6" borderId="4" xfId="0" applyFont="1" applyFill="1" applyBorder="1" applyProtection="1"/>
    <xf numFmtId="3" fontId="19" fillId="6" borderId="9" xfId="0" applyNumberFormat="1" applyFont="1" applyFill="1" applyBorder="1" applyProtection="1"/>
    <xf numFmtId="0" fontId="18" fillId="0" borderId="0" xfId="0" applyNumberFormat="1" applyFont="1" applyBorder="1" applyAlignment="1" applyProtection="1"/>
    <xf numFmtId="9" fontId="19" fillId="6" borderId="9" xfId="3" applyFont="1" applyFill="1" applyBorder="1" applyAlignment="1" applyProtection="1"/>
    <xf numFmtId="0" fontId="19" fillId="0" borderId="58" xfId="0" applyNumberFormat="1" applyFont="1" applyBorder="1" applyProtection="1"/>
    <xf numFmtId="3" fontId="19" fillId="0" borderId="11" xfId="0" applyNumberFormat="1" applyFont="1" applyBorder="1" applyProtection="1"/>
    <xf numFmtId="9" fontId="19" fillId="0" borderId="11" xfId="3" applyFont="1" applyBorder="1" applyProtection="1"/>
    <xf numFmtId="0" fontId="18" fillId="0" borderId="0" xfId="0" applyNumberFormat="1" applyFont="1" applyBorder="1" applyProtection="1"/>
    <xf numFmtId="3" fontId="18" fillId="0" borderId="1" xfId="0" applyNumberFormat="1" applyFont="1" applyBorder="1" applyProtection="1"/>
    <xf numFmtId="3" fontId="18" fillId="0" borderId="0" xfId="0" applyNumberFormat="1" applyFont="1" applyBorder="1" applyAlignment="1" applyProtection="1"/>
    <xf numFmtId="9" fontId="18" fillId="0" borderId="1" xfId="3" applyFont="1" applyBorder="1" applyProtection="1"/>
    <xf numFmtId="0" fontId="19" fillId="0" borderId="0" xfId="0" applyNumberFormat="1" applyFont="1" applyBorder="1" applyProtection="1"/>
    <xf numFmtId="0" fontId="19" fillId="0" borderId="0" xfId="0" applyFont="1" applyBorder="1" applyProtection="1"/>
    <xf numFmtId="3" fontId="19" fillId="0" borderId="1" xfId="0" applyNumberFormat="1" applyFont="1" applyBorder="1" applyProtection="1"/>
    <xf numFmtId="9" fontId="19" fillId="0" borderId="1" xfId="3" applyFont="1" applyBorder="1" applyProtection="1"/>
    <xf numFmtId="0" fontId="18" fillId="0" borderId="1" xfId="0" applyFont="1" applyBorder="1" applyProtection="1"/>
    <xf numFmtId="0" fontId="18" fillId="0" borderId="0" xfId="0" applyFont="1" applyBorder="1" applyProtection="1"/>
    <xf numFmtId="9" fontId="19" fillId="0" borderId="0" xfId="0" applyNumberFormat="1" applyFont="1" applyBorder="1" applyAlignment="1" applyProtection="1"/>
    <xf numFmtId="9" fontId="18" fillId="0" borderId="0" xfId="3" applyFont="1" applyBorder="1" applyAlignment="1" applyProtection="1"/>
    <xf numFmtId="9" fontId="19" fillId="0" borderId="0" xfId="3" applyFont="1" applyBorder="1" applyAlignment="1" applyProtection="1"/>
    <xf numFmtId="0" fontId="19" fillId="0" borderId="4" xfId="0" applyFont="1" applyBorder="1" applyProtection="1"/>
    <xf numFmtId="9" fontId="18" fillId="0" borderId="9" xfId="3" applyFont="1" applyBorder="1" applyProtection="1"/>
    <xf numFmtId="0" fontId="19" fillId="6" borderId="58" xfId="0" applyFont="1" applyFill="1" applyBorder="1" applyProtection="1"/>
    <xf numFmtId="3" fontId="19" fillId="0" borderId="0" xfId="0" applyNumberFormat="1" applyFont="1" applyBorder="1" applyAlignment="1" applyProtection="1"/>
    <xf numFmtId="9" fontId="19" fillId="6" borderId="9" xfId="3" applyFont="1" applyFill="1" applyBorder="1" applyProtection="1"/>
    <xf numFmtId="0" fontId="19" fillId="0" borderId="58" xfId="0" applyFont="1" applyBorder="1" applyProtection="1"/>
    <xf numFmtId="0" fontId="18" fillId="0" borderId="13" xfId="0" applyFont="1" applyBorder="1" applyProtection="1"/>
    <xf numFmtId="0" fontId="19" fillId="0" borderId="13" xfId="0" applyFont="1" applyFill="1" applyBorder="1" applyAlignment="1" applyProtection="1">
      <alignment horizontal="justify" vertical="center" wrapText="1"/>
    </xf>
    <xf numFmtId="3" fontId="19" fillId="0" borderId="1" xfId="0" applyNumberFormat="1" applyFont="1" applyFill="1" applyBorder="1" applyProtection="1"/>
    <xf numFmtId="9" fontId="19" fillId="0" borderId="1" xfId="3" applyFont="1" applyFill="1" applyBorder="1" applyProtection="1"/>
    <xf numFmtId="0" fontId="19" fillId="0" borderId="59" xfId="0" applyFont="1" applyFill="1" applyBorder="1" applyProtection="1"/>
    <xf numFmtId="3" fontId="19" fillId="0" borderId="3" xfId="0" applyNumberFormat="1" applyFont="1" applyFill="1" applyBorder="1" applyProtection="1"/>
    <xf numFmtId="9" fontId="19" fillId="0" borderId="3" xfId="3" applyFont="1" applyFill="1" applyBorder="1" applyProtection="1"/>
    <xf numFmtId="0" fontId="19" fillId="0" borderId="9" xfId="0" applyFont="1" applyBorder="1" applyProtection="1"/>
    <xf numFmtId="3" fontId="19" fillId="6" borderId="11" xfId="0" applyNumberFormat="1" applyFont="1" applyFill="1" applyBorder="1" applyProtection="1"/>
    <xf numFmtId="0" fontId="18" fillId="0" borderId="58" xfId="0" applyFont="1" applyBorder="1" applyProtection="1"/>
    <xf numFmtId="3" fontId="18" fillId="0" borderId="11" xfId="0" applyNumberFormat="1" applyFont="1" applyBorder="1" applyProtection="1"/>
    <xf numFmtId="0" fontId="18" fillId="0" borderId="59" xfId="0" applyFont="1" applyBorder="1" applyProtection="1"/>
    <xf numFmtId="3" fontId="18" fillId="0" borderId="3" xfId="0" applyNumberFormat="1" applyFont="1" applyBorder="1" applyProtection="1"/>
    <xf numFmtId="0" fontId="19" fillId="6" borderId="9" xfId="0" applyFont="1" applyFill="1" applyBorder="1" applyProtection="1"/>
    <xf numFmtId="3" fontId="19" fillId="6" borderId="3" xfId="0" applyNumberFormat="1" applyFont="1" applyFill="1" applyBorder="1" applyProtection="1"/>
    <xf numFmtId="9" fontId="18" fillId="0" borderId="9" xfId="3" applyFont="1" applyBorder="1" applyProtection="1">
      <protection locked="0"/>
    </xf>
    <xf numFmtId="0" fontId="19" fillId="0" borderId="11" xfId="0" applyFont="1" applyBorder="1" applyProtection="1"/>
    <xf numFmtId="9" fontId="18" fillId="0" borderId="11" xfId="3" applyFont="1" applyBorder="1" applyProtection="1">
      <protection locked="0"/>
    </xf>
    <xf numFmtId="9" fontId="18" fillId="0" borderId="1" xfId="3" applyFont="1" applyBorder="1" applyProtection="1">
      <protection locked="0"/>
    </xf>
    <xf numFmtId="9" fontId="18" fillId="0" borderId="3" xfId="3" applyFont="1" applyBorder="1" applyProtection="1">
      <protection locked="0"/>
    </xf>
    <xf numFmtId="0" fontId="10" fillId="0" borderId="0" xfId="0" applyFont="1" applyFill="1" applyBorder="1" applyProtection="1"/>
    <xf numFmtId="3" fontId="18" fillId="0" borderId="0" xfId="0" applyNumberFormat="1" applyFont="1" applyBorder="1" applyProtection="1"/>
    <xf numFmtId="9" fontId="18" fillId="0" borderId="0" xfId="3" applyFont="1" applyBorder="1" applyProtection="1">
      <protection locked="0"/>
    </xf>
    <xf numFmtId="9" fontId="18" fillId="0" borderId="1" xfId="0" applyNumberFormat="1" applyFont="1" applyBorder="1" applyProtection="1"/>
    <xf numFmtId="9" fontId="18" fillId="0" borderId="9" xfId="0" applyNumberFormat="1" applyFont="1" applyBorder="1" applyProtection="1"/>
    <xf numFmtId="0" fontId="18" fillId="0" borderId="58" xfId="0" applyFont="1" applyBorder="1" applyAlignment="1" applyProtection="1">
      <alignment wrapText="1"/>
    </xf>
    <xf numFmtId="0" fontId="18" fillId="0" borderId="0" xfId="0" applyFont="1" applyAlignment="1" applyProtection="1">
      <alignment wrapText="1"/>
    </xf>
    <xf numFmtId="0" fontId="19" fillId="0" borderId="0" xfId="0" applyFont="1" applyFill="1" applyBorder="1" applyProtection="1"/>
    <xf numFmtId="0" fontId="18" fillId="0" borderId="11" xfId="0" applyFont="1" applyFill="1" applyBorder="1" applyProtection="1"/>
    <xf numFmtId="0" fontId="18" fillId="0" borderId="15" xfId="0" applyFont="1" applyBorder="1" applyProtection="1"/>
    <xf numFmtId="0" fontId="18" fillId="0" borderId="1" xfId="0" applyFont="1" applyFill="1" applyBorder="1" applyProtection="1"/>
    <xf numFmtId="3" fontId="19" fillId="0" borderId="2" xfId="0" applyNumberFormat="1" applyFont="1" applyBorder="1" applyAlignment="1" applyProtection="1"/>
    <xf numFmtId="3" fontId="19" fillId="0" borderId="1" xfId="0" applyNumberFormat="1" applyFont="1" applyBorder="1" applyAlignment="1" applyProtection="1"/>
    <xf numFmtId="0" fontId="18" fillId="0" borderId="3" xfId="0" applyFont="1" applyFill="1" applyBorder="1" applyProtection="1"/>
    <xf numFmtId="3" fontId="19" fillId="0" borderId="8" xfId="0" applyNumberFormat="1" applyFont="1" applyBorder="1" applyAlignment="1" applyProtection="1"/>
    <xf numFmtId="3" fontId="19" fillId="0" borderId="3" xfId="0" applyNumberFormat="1" applyFont="1" applyBorder="1" applyAlignment="1" applyProtection="1"/>
    <xf numFmtId="9" fontId="18" fillId="0" borderId="11" xfId="3" applyFont="1" applyBorder="1" applyAlignment="1" applyProtection="1">
      <alignment wrapText="1"/>
    </xf>
    <xf numFmtId="166" fontId="18" fillId="0" borderId="1" xfId="3" applyNumberFormat="1" applyFont="1" applyBorder="1" applyProtection="1"/>
    <xf numFmtId="164" fontId="18" fillId="0" borderId="1" xfId="2" applyFont="1" applyBorder="1" applyProtection="1">
      <protection locked="0"/>
    </xf>
    <xf numFmtId="166" fontId="18" fillId="0" borderId="3" xfId="3" applyNumberFormat="1" applyFont="1" applyBorder="1" applyProtection="1"/>
    <xf numFmtId="0" fontId="29" fillId="0" borderId="0" xfId="0" applyFont="1" applyProtection="1"/>
    <xf numFmtId="0" fontId="28" fillId="0" borderId="11" xfId="0" applyFont="1" applyBorder="1" applyAlignment="1" applyProtection="1">
      <alignment horizontal="centerContinuous" vertical="center" wrapText="1"/>
    </xf>
    <xf numFmtId="0" fontId="28" fillId="0" borderId="0" xfId="0" applyFont="1" applyFill="1"/>
    <xf numFmtId="0" fontId="29" fillId="0" borderId="0" xfId="0" applyFont="1" applyFill="1" applyProtection="1"/>
    <xf numFmtId="0" fontId="18" fillId="0" borderId="11" xfId="0" applyFont="1" applyBorder="1" applyProtection="1">
      <protection locked="0"/>
    </xf>
    <xf numFmtId="0" fontId="18" fillId="0" borderId="15" xfId="0" applyFont="1" applyBorder="1" applyProtection="1">
      <protection locked="0"/>
    </xf>
    <xf numFmtId="0" fontId="2" fillId="5" borderId="0" xfId="0" applyFont="1" applyFill="1" applyAlignment="1" applyProtection="1">
      <alignment horizontal="left"/>
    </xf>
    <xf numFmtId="0" fontId="0" fillId="5" borderId="0" xfId="0" applyFill="1" applyAlignment="1" applyProtection="1">
      <alignment horizontal="centerContinuous"/>
    </xf>
    <xf numFmtId="0" fontId="0" fillId="5" borderId="59" xfId="0" applyFill="1" applyBorder="1" applyAlignment="1" applyProtection="1">
      <alignment horizontal="centerContinuous"/>
    </xf>
    <xf numFmtId="0" fontId="7" fillId="5" borderId="0" xfId="0" applyFont="1" applyFill="1" applyAlignment="1" applyProtection="1">
      <alignment horizontal="centerContinuous"/>
    </xf>
    <xf numFmtId="0" fontId="3" fillId="5" borderId="0" xfId="0" applyFont="1" applyFill="1" applyAlignment="1" applyProtection="1">
      <alignment horizontal="centerContinuous"/>
    </xf>
    <xf numFmtId="0" fontId="7" fillId="5" borderId="14" xfId="0" applyFont="1" applyFill="1" applyBorder="1" applyAlignment="1" applyProtection="1">
      <alignment horizontal="centerContinuous" vertical="center" wrapText="1"/>
    </xf>
    <xf numFmtId="0" fontId="7" fillId="5" borderId="58" xfId="0" applyFont="1" applyFill="1" applyBorder="1" applyAlignment="1" applyProtection="1">
      <alignment horizontal="centerContinuous" vertical="center" wrapText="1"/>
    </xf>
    <xf numFmtId="0" fontId="7" fillId="5" borderId="15" xfId="0" applyFont="1" applyFill="1" applyBorder="1" applyAlignment="1" applyProtection="1">
      <alignment horizontal="centerContinuous" vertical="center" wrapText="1"/>
    </xf>
    <xf numFmtId="0" fontId="7" fillId="5" borderId="16" xfId="0" applyFont="1" applyFill="1" applyBorder="1" applyAlignment="1" applyProtection="1">
      <alignment horizontal="centerContinuous" vertical="center" wrapText="1"/>
    </xf>
    <xf numFmtId="0" fontId="7" fillId="5" borderId="59" xfId="0" applyFont="1" applyFill="1" applyBorder="1" applyAlignment="1" applyProtection="1">
      <alignment horizontal="centerContinuous" vertical="center" wrapText="1"/>
    </xf>
    <xf numFmtId="0" fontId="7" fillId="5" borderId="8" xfId="0" applyFont="1" applyFill="1" applyBorder="1" applyAlignment="1" applyProtection="1">
      <alignment horizontal="centerContinuous" vertical="center" wrapText="1"/>
    </xf>
    <xf numFmtId="0" fontId="0" fillId="5" borderId="12" xfId="0" applyFill="1" applyBorder="1" applyProtection="1"/>
    <xf numFmtId="0" fontId="7" fillId="5" borderId="12" xfId="0" applyFont="1" applyFill="1" applyBorder="1" applyAlignment="1" applyProtection="1">
      <alignment horizontal="centerContinuous" vertical="center" wrapText="1"/>
    </xf>
    <xf numFmtId="0" fontId="7" fillId="5" borderId="16"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4" fillId="5" borderId="0" xfId="0" applyFont="1" applyFill="1" applyAlignment="1" applyProtection="1">
      <alignment horizontal="centerContinuous"/>
    </xf>
    <xf numFmtId="0" fontId="4" fillId="5" borderId="59" xfId="0" applyFont="1" applyFill="1" applyBorder="1" applyAlignment="1" applyProtection="1">
      <alignment horizontal="centerContinuous"/>
    </xf>
    <xf numFmtId="0" fontId="4" fillId="5" borderId="14" xfId="0" applyFont="1" applyFill="1" applyBorder="1" applyAlignment="1" applyProtection="1">
      <alignment horizontal="left"/>
    </xf>
    <xf numFmtId="0" fontId="4" fillId="5" borderId="58" xfId="0" applyFont="1" applyFill="1" applyBorder="1" applyAlignment="1" applyProtection="1">
      <alignment horizontal="left"/>
    </xf>
    <xf numFmtId="0" fontId="4" fillId="5" borderId="0" xfId="0" applyFont="1" applyFill="1" applyBorder="1" applyAlignment="1" applyProtection="1"/>
    <xf numFmtId="0" fontId="4" fillId="5" borderId="0" xfId="0" applyFont="1" applyFill="1" applyBorder="1" applyAlignment="1" applyProtection="1">
      <alignment horizontal="left"/>
    </xf>
    <xf numFmtId="0" fontId="4" fillId="5" borderId="59" xfId="0" applyFont="1" applyFill="1" applyBorder="1" applyAlignment="1" applyProtection="1">
      <alignment horizontal="left"/>
    </xf>
    <xf numFmtId="0" fontId="4" fillId="5" borderId="58" xfId="0" applyFont="1" applyFill="1" applyBorder="1" applyAlignment="1" applyProtection="1">
      <alignment horizontal="centerContinuous"/>
    </xf>
    <xf numFmtId="0" fontId="4" fillId="5" borderId="0" xfId="0" applyFont="1" applyFill="1" applyAlignment="1" applyProtection="1">
      <alignment horizontal="left"/>
    </xf>
    <xf numFmtId="0" fontId="4" fillId="5" borderId="0" xfId="0" applyFont="1" applyFill="1" applyBorder="1" applyProtection="1"/>
    <xf numFmtId="0" fontId="7" fillId="5" borderId="0" xfId="0" applyFont="1" applyFill="1" applyBorder="1" applyProtection="1"/>
    <xf numFmtId="0" fontId="29" fillId="5" borderId="0" xfId="0" applyNumberFormat="1" applyFont="1" applyFill="1" applyBorder="1" applyAlignment="1" applyProtection="1">
      <alignment horizontal="left"/>
    </xf>
    <xf numFmtId="0" fontId="5" fillId="5" borderId="0" xfId="0" applyFont="1" applyFill="1" applyBorder="1" applyAlignment="1" applyProtection="1"/>
    <xf numFmtId="0" fontId="7" fillId="5" borderId="4" xfId="0" applyFont="1" applyFill="1" applyBorder="1" applyAlignment="1" applyProtection="1">
      <alignment horizontal="centerContinuous" vertical="center" wrapText="1"/>
    </xf>
    <xf numFmtId="0" fontId="7" fillId="5" borderId="10" xfId="0" applyFont="1" applyFill="1" applyBorder="1" applyAlignment="1" applyProtection="1">
      <alignment horizontal="centerContinuous" vertical="center" wrapText="1"/>
    </xf>
    <xf numFmtId="0" fontId="29" fillId="5" borderId="12" xfId="0" applyFont="1" applyFill="1" applyBorder="1" applyAlignment="1" applyProtection="1">
      <alignment horizontal="left"/>
    </xf>
    <xf numFmtId="0" fontId="6" fillId="5" borderId="0" xfId="0" applyFont="1" applyFill="1" applyProtection="1"/>
    <xf numFmtId="0" fontId="0" fillId="5" borderId="0" xfId="0" applyFill="1" applyBorder="1" applyAlignment="1" applyProtection="1">
      <alignment horizontal="center"/>
    </xf>
    <xf numFmtId="0" fontId="7" fillId="5" borderId="9" xfId="0" applyFont="1" applyFill="1" applyBorder="1" applyAlignment="1" applyProtection="1">
      <alignment horizontal="center"/>
    </xf>
    <xf numFmtId="0" fontId="0" fillId="5" borderId="12" xfId="0" applyFill="1" applyBorder="1" applyAlignment="1" applyProtection="1">
      <alignment horizontal="center"/>
    </xf>
    <xf numFmtId="0" fontId="7" fillId="5" borderId="12" xfId="0" applyFont="1" applyFill="1" applyBorder="1" applyAlignment="1" applyProtection="1">
      <alignment horizontal="left"/>
    </xf>
    <xf numFmtId="166" fontId="7" fillId="5" borderId="9" xfId="0" applyNumberFormat="1" applyFont="1" applyFill="1" applyBorder="1" applyProtection="1"/>
    <xf numFmtId="0" fontId="42" fillId="0" borderId="0" xfId="0" applyFont="1" applyFill="1" applyProtection="1"/>
    <xf numFmtId="0" fontId="42" fillId="0" borderId="0" xfId="0" applyFont="1" applyFill="1" applyBorder="1" applyProtection="1"/>
    <xf numFmtId="0" fontId="43" fillId="2" borderId="11" xfId="0" applyFont="1" applyFill="1" applyBorder="1" applyAlignment="1">
      <alignment horizontal="left"/>
    </xf>
    <xf numFmtId="0" fontId="43" fillId="2" borderId="1" xfId="0" applyFont="1" applyFill="1" applyBorder="1" applyAlignment="1">
      <alignment horizontal="left"/>
    </xf>
    <xf numFmtId="1" fontId="40" fillId="2" borderId="3" xfId="0" applyNumberFormat="1" applyFont="1" applyFill="1" applyBorder="1" applyAlignment="1" applyProtection="1">
      <alignment horizontal="left"/>
    </xf>
    <xf numFmtId="0" fontId="40" fillId="2" borderId="14" xfId="0" applyFont="1" applyFill="1" applyBorder="1" applyAlignment="1" applyProtection="1">
      <alignment horizontal="centerContinuous" vertical="center"/>
    </xf>
    <xf numFmtId="0" fontId="40" fillId="2" borderId="16" xfId="0" applyFont="1" applyFill="1" applyBorder="1" applyAlignment="1" applyProtection="1">
      <alignment horizontal="centerContinuous" vertical="center"/>
    </xf>
    <xf numFmtId="0" fontId="43" fillId="2" borderId="9" xfId="0" applyFont="1" applyFill="1" applyBorder="1" applyAlignment="1">
      <alignment horizontal="left"/>
    </xf>
    <xf numFmtId="0" fontId="43" fillId="2" borderId="11" xfId="0" applyFont="1" applyFill="1" applyBorder="1" applyAlignment="1" applyProtection="1">
      <alignment horizontal="centerContinuous" vertical="center"/>
    </xf>
    <xf numFmtId="0" fontId="40" fillId="2" borderId="15" xfId="0" applyFont="1" applyFill="1" applyBorder="1" applyAlignment="1" applyProtection="1">
      <alignment horizontal="centerContinuous" vertical="center" wrapText="1"/>
    </xf>
    <xf numFmtId="0" fontId="40" fillId="2" borderId="15" xfId="0" applyFont="1" applyFill="1" applyBorder="1" applyAlignment="1" applyProtection="1">
      <alignment horizontal="center" vertical="center" wrapText="1"/>
    </xf>
    <xf numFmtId="0" fontId="40" fillId="2" borderId="2" xfId="0" applyFont="1" applyFill="1" applyBorder="1" applyAlignment="1" applyProtection="1">
      <alignment horizontal="centerContinuous" vertical="center" wrapText="1"/>
    </xf>
    <xf numFmtId="3" fontId="42" fillId="0" borderId="0" xfId="0" applyNumberFormat="1" applyFont="1" applyFill="1" applyProtection="1"/>
    <xf numFmtId="166" fontId="40" fillId="2" borderId="64" xfId="3" applyNumberFormat="1" applyFont="1" applyFill="1" applyBorder="1" applyAlignment="1" applyProtection="1">
      <alignment horizontal="right"/>
    </xf>
    <xf numFmtId="166" fontId="40" fillId="2" borderId="55" xfId="3" applyNumberFormat="1" applyFont="1" applyFill="1" applyBorder="1" applyAlignment="1" applyProtection="1">
      <alignment horizontal="right"/>
    </xf>
    <xf numFmtId="0" fontId="40" fillId="2" borderId="11" xfId="0" applyFont="1" applyFill="1" applyBorder="1" applyAlignment="1" applyProtection="1">
      <alignment horizontal="centerContinuous" vertical="center"/>
    </xf>
    <xf numFmtId="0" fontId="43" fillId="2" borderId="11" xfId="0" applyFont="1" applyFill="1" applyBorder="1" applyAlignment="1" applyProtection="1">
      <alignment horizontal="centerContinuous" vertical="center" wrapText="1"/>
    </xf>
    <xf numFmtId="0" fontId="40" fillId="2" borderId="3" xfId="0" applyFont="1" applyFill="1" applyBorder="1" applyAlignment="1" applyProtection="1">
      <alignment horizontal="centerContinuous" vertical="center"/>
    </xf>
    <xf numFmtId="0" fontId="43" fillId="2" borderId="3" xfId="0" applyFont="1" applyFill="1" applyBorder="1" applyAlignment="1" applyProtection="1">
      <alignment horizontal="centerContinuous" vertical="center" wrapText="1"/>
    </xf>
    <xf numFmtId="0" fontId="43" fillId="2" borderId="12" xfId="0" applyFont="1" applyFill="1" applyBorder="1" applyProtection="1"/>
    <xf numFmtId="9" fontId="40" fillId="2" borderId="9" xfId="3" applyNumberFormat="1" applyFont="1" applyFill="1" applyBorder="1" applyAlignment="1" applyProtection="1">
      <alignment horizontal="right"/>
    </xf>
    <xf numFmtId="1" fontId="40" fillId="2" borderId="12" xfId="0" applyNumberFormat="1" applyFont="1" applyFill="1" applyBorder="1" applyAlignment="1" applyProtection="1">
      <alignment horizontal="left"/>
    </xf>
    <xf numFmtId="1" fontId="40" fillId="2" borderId="16" xfId="0" applyNumberFormat="1" applyFont="1" applyFill="1" applyBorder="1" applyAlignment="1" applyProtection="1">
      <alignment horizontal="left"/>
    </xf>
    <xf numFmtId="1" fontId="40" fillId="2" borderId="9" xfId="0" applyNumberFormat="1" applyFont="1" applyFill="1" applyBorder="1" applyAlignment="1" applyProtection="1">
      <alignment horizontal="center" wrapText="1"/>
      <protection locked="0"/>
    </xf>
    <xf numFmtId="1" fontId="40" fillId="2" borderId="8" xfId="0" applyNumberFormat="1" applyFont="1" applyFill="1" applyBorder="1" applyAlignment="1" applyProtection="1">
      <alignment horizontal="center" wrapText="1"/>
    </xf>
    <xf numFmtId="1" fontId="40" fillId="2" borderId="4" xfId="0" applyNumberFormat="1" applyFont="1" applyFill="1" applyBorder="1" applyAlignment="1" applyProtection="1">
      <alignment horizontal="left"/>
    </xf>
    <xf numFmtId="1" fontId="40" fillId="2" borderId="10" xfId="0" applyNumberFormat="1" applyFont="1" applyFill="1" applyBorder="1" applyAlignment="1" applyProtection="1">
      <alignment horizontal="left"/>
    </xf>
    <xf numFmtId="0" fontId="40" fillId="2" borderId="27" xfId="0" applyFont="1" applyFill="1" applyBorder="1" applyAlignment="1" applyProtection="1">
      <alignment horizontal="centerContinuous" vertical="center" wrapText="1"/>
    </xf>
    <xf numFmtId="0" fontId="40" fillId="2" borderId="38" xfId="0" applyFont="1" applyFill="1" applyBorder="1" applyAlignment="1" applyProtection="1">
      <alignment horizontal="centerContinuous" vertical="center"/>
    </xf>
    <xf numFmtId="0" fontId="40" fillId="2" borderId="6" xfId="0" applyFont="1" applyFill="1" applyBorder="1" applyAlignment="1" applyProtection="1">
      <alignment horizontal="centerContinuous" vertical="center" wrapText="1"/>
    </xf>
    <xf numFmtId="0" fontId="42" fillId="5" borderId="0" xfId="0" applyFont="1" applyFill="1" applyProtection="1"/>
    <xf numFmtId="0" fontId="43" fillId="5" borderId="0" xfId="0" applyFont="1" applyFill="1" applyProtection="1"/>
    <xf numFmtId="0" fontId="43" fillId="5" borderId="0" xfId="0" applyFont="1" applyFill="1" applyAlignment="1" applyProtection="1">
      <alignment horizontal="right"/>
    </xf>
    <xf numFmtId="0" fontId="40" fillId="5" borderId="0" xfId="0" applyFont="1" applyFill="1" applyBorder="1" applyAlignment="1" applyProtection="1">
      <alignment horizontal="left"/>
    </xf>
    <xf numFmtId="4" fontId="42" fillId="5" borderId="0" xfId="0" applyNumberFormat="1" applyFont="1" applyFill="1" applyProtection="1"/>
    <xf numFmtId="0" fontId="40" fillId="5" borderId="0" xfId="0" applyFont="1" applyFill="1" applyBorder="1" applyAlignment="1" applyProtection="1">
      <alignment horizontal="right"/>
    </xf>
    <xf numFmtId="4" fontId="40" fillId="5" borderId="0" xfId="0" applyNumberFormat="1" applyFont="1" applyFill="1" applyBorder="1" applyAlignment="1" applyProtection="1">
      <alignment horizontal="left"/>
    </xf>
    <xf numFmtId="4" fontId="40" fillId="5" borderId="0" xfId="0" applyNumberFormat="1" applyFont="1" applyFill="1" applyBorder="1" applyAlignment="1" applyProtection="1">
      <alignment horizontal="right"/>
    </xf>
    <xf numFmtId="0" fontId="43" fillId="5" borderId="0" xfId="0" applyFont="1" applyFill="1" applyBorder="1" applyAlignment="1" applyProtection="1">
      <alignment horizontal="centerContinuous"/>
    </xf>
    <xf numFmtId="0" fontId="40" fillId="5" borderId="0" xfId="0" applyFont="1" applyFill="1" applyBorder="1" applyAlignment="1" applyProtection="1">
      <alignment horizontal="center"/>
    </xf>
    <xf numFmtId="0" fontId="43" fillId="5" borderId="0" xfId="0" applyFont="1" applyFill="1" applyBorder="1" applyAlignment="1" applyProtection="1">
      <alignment horizontal="center"/>
    </xf>
    <xf numFmtId="0" fontId="46" fillId="5" borderId="0" xfId="0" applyFont="1" applyFill="1" applyBorder="1" applyAlignment="1" applyProtection="1">
      <alignment horizontal="centerContinuous"/>
    </xf>
    <xf numFmtId="0" fontId="43" fillId="5" borderId="0" xfId="0" applyFont="1" applyFill="1" applyBorder="1" applyAlignment="1" applyProtection="1">
      <alignment horizontal="left"/>
    </xf>
    <xf numFmtId="0" fontId="42" fillId="5" borderId="0" xfId="0" applyFont="1" applyFill="1" applyBorder="1" applyAlignment="1" applyProtection="1">
      <alignment horizontal="left"/>
    </xf>
    <xf numFmtId="1" fontId="40" fillId="5" borderId="0" xfId="0" applyNumberFormat="1" applyFont="1" applyFill="1" applyBorder="1" applyAlignment="1" applyProtection="1">
      <alignment horizontal="left"/>
    </xf>
    <xf numFmtId="3" fontId="40" fillId="5" borderId="0" xfId="0" applyNumberFormat="1" applyFont="1" applyFill="1" applyBorder="1" applyAlignment="1" applyProtection="1">
      <alignment horizontal="left"/>
    </xf>
    <xf numFmtId="3" fontId="40" fillId="5" borderId="0" xfId="0" applyNumberFormat="1" applyFont="1" applyFill="1" applyBorder="1" applyAlignment="1" applyProtection="1">
      <alignment horizontal="right"/>
    </xf>
    <xf numFmtId="0" fontId="42" fillId="5" borderId="0" xfId="0" applyFont="1" applyFill="1" applyAlignment="1" applyProtection="1">
      <alignment horizontal="left"/>
    </xf>
    <xf numFmtId="0" fontId="43" fillId="5" borderId="52" xfId="0" applyFont="1" applyFill="1" applyBorder="1" applyAlignment="1" applyProtection="1">
      <alignment horizontal="center"/>
    </xf>
    <xf numFmtId="0" fontId="43" fillId="5" borderId="52" xfId="0" applyFont="1" applyFill="1" applyBorder="1" applyAlignment="1" applyProtection="1">
      <alignment horizontal="left"/>
    </xf>
    <xf numFmtId="0" fontId="7" fillId="5" borderId="11" xfId="0" applyFont="1" applyFill="1" applyBorder="1" applyAlignment="1" applyProtection="1">
      <alignment horizontal="centerContinuous" vertical="center" wrapText="1"/>
    </xf>
    <xf numFmtId="0" fontId="7" fillId="5" borderId="11" xfId="0" applyFont="1" applyFill="1" applyBorder="1" applyAlignment="1" applyProtection="1">
      <alignment horizontal="centerContinuous" wrapText="1"/>
    </xf>
    <xf numFmtId="0" fontId="7" fillId="5" borderId="3" xfId="0" applyFont="1" applyFill="1" applyBorder="1" applyAlignment="1" applyProtection="1">
      <alignment horizontal="centerContinuous" vertical="center" wrapText="1"/>
    </xf>
    <xf numFmtId="0" fontId="7" fillId="5" borderId="3" xfId="0" applyFont="1" applyFill="1" applyBorder="1" applyAlignment="1" applyProtection="1">
      <alignment horizontal="centerContinuous" wrapText="1"/>
    </xf>
    <xf numFmtId="0" fontId="7" fillId="5" borderId="0" xfId="0" applyFont="1" applyFill="1" applyAlignment="1">
      <alignment vertical="center"/>
    </xf>
    <xf numFmtId="0" fontId="7" fillId="8" borderId="41" xfId="0" applyFont="1" applyFill="1" applyBorder="1" applyAlignment="1" applyProtection="1">
      <alignment vertical="center"/>
    </xf>
    <xf numFmtId="3" fontId="7" fillId="8" borderId="42" xfId="0" applyNumberFormat="1" applyFont="1" applyFill="1" applyBorder="1" applyAlignment="1" applyProtection="1">
      <alignment vertical="center"/>
    </xf>
    <xf numFmtId="0" fontId="7" fillId="8" borderId="42" xfId="0" applyFont="1" applyFill="1" applyBorder="1" applyAlignment="1" applyProtection="1">
      <alignment vertical="center"/>
    </xf>
    <xf numFmtId="0" fontId="7" fillId="8" borderId="64" xfId="0" applyFont="1" applyFill="1" applyBorder="1" applyAlignment="1" applyProtection="1">
      <alignment vertical="center"/>
    </xf>
    <xf numFmtId="0" fontId="7" fillId="5" borderId="0" xfId="0" applyFont="1" applyFill="1" applyBorder="1" applyAlignment="1">
      <alignment vertical="center"/>
    </xf>
    <xf numFmtId="0" fontId="4" fillId="8" borderId="40" xfId="0" applyFont="1" applyFill="1" applyBorder="1" applyAlignment="1" applyProtection="1">
      <alignment vertical="center"/>
    </xf>
    <xf numFmtId="3" fontId="4" fillId="5" borderId="17" xfId="0" applyNumberFormat="1" applyFont="1" applyFill="1" applyBorder="1" applyAlignment="1" applyProtection="1">
      <alignment vertical="center"/>
      <protection locked="0"/>
    </xf>
    <xf numFmtId="3" fontId="4" fillId="5" borderId="55" xfId="0" applyNumberFormat="1" applyFont="1" applyFill="1" applyBorder="1" applyAlignment="1" applyProtection="1">
      <alignment vertical="center"/>
      <protection locked="0"/>
    </xf>
    <xf numFmtId="0" fontId="7" fillId="8" borderId="40" xfId="0" applyFont="1" applyFill="1" applyBorder="1" applyAlignment="1" applyProtection="1">
      <alignment vertical="center"/>
    </xf>
    <xf numFmtId="3" fontId="7" fillId="8" borderId="17" xfId="0" applyNumberFormat="1" applyFont="1" applyFill="1" applyBorder="1" applyAlignment="1" applyProtection="1">
      <alignment vertical="center"/>
    </xf>
    <xf numFmtId="3" fontId="7" fillId="8" borderId="55" xfId="0" applyNumberFormat="1" applyFont="1" applyFill="1" applyBorder="1" applyAlignment="1" applyProtection="1">
      <alignment vertical="center"/>
    </xf>
    <xf numFmtId="0" fontId="4" fillId="8" borderId="38" xfId="0" applyFont="1" applyFill="1" applyBorder="1" applyAlignment="1" applyProtection="1">
      <alignment vertical="center"/>
    </xf>
    <xf numFmtId="3" fontId="4" fillId="5" borderId="39" xfId="0" applyNumberFormat="1" applyFont="1" applyFill="1" applyBorder="1" applyAlignment="1" applyProtection="1">
      <alignment vertical="center"/>
      <protection locked="0"/>
    </xf>
    <xf numFmtId="3" fontId="4" fillId="5" borderId="65" xfId="0" applyNumberFormat="1" applyFont="1" applyFill="1" applyBorder="1" applyAlignment="1" applyProtection="1">
      <alignment vertical="center"/>
      <protection locked="0"/>
    </xf>
    <xf numFmtId="0" fontId="4" fillId="8" borderId="20" xfId="0" applyFont="1" applyFill="1" applyBorder="1" applyAlignment="1" applyProtection="1">
      <alignment vertical="center"/>
    </xf>
    <xf numFmtId="3" fontId="4" fillId="5" borderId="21" xfId="0" applyNumberFormat="1" applyFont="1" applyFill="1" applyBorder="1" applyAlignment="1" applyProtection="1">
      <alignment vertical="center"/>
      <protection locked="0"/>
    </xf>
    <xf numFmtId="3" fontId="4" fillId="5" borderId="56" xfId="0" applyNumberFormat="1" applyFont="1" applyFill="1" applyBorder="1" applyAlignment="1" applyProtection="1">
      <alignment vertical="center"/>
      <protection locked="0"/>
    </xf>
    <xf numFmtId="49" fontId="40" fillId="2" borderId="33" xfId="0" applyNumberFormat="1" applyFont="1" applyFill="1" applyBorder="1" applyAlignment="1" applyProtection="1">
      <alignment horizontal="left" vertical="center"/>
    </xf>
    <xf numFmtId="0" fontId="43" fillId="2" borderId="41" xfId="0" applyFont="1" applyFill="1" applyBorder="1" applyAlignment="1" applyProtection="1">
      <alignment vertical="center"/>
    </xf>
    <xf numFmtId="3" fontId="40" fillId="2" borderId="64" xfId="0" applyNumberFormat="1" applyFont="1" applyFill="1" applyBorder="1" applyAlignment="1" applyProtection="1">
      <alignment horizontal="right" vertical="center"/>
    </xf>
    <xf numFmtId="3" fontId="40" fillId="2" borderId="41" xfId="0" applyNumberFormat="1" applyFont="1" applyFill="1" applyBorder="1" applyAlignment="1" applyProtection="1">
      <alignment horizontal="right" vertical="center"/>
    </xf>
    <xf numFmtId="0" fontId="42" fillId="5" borderId="0" xfId="0" applyFont="1" applyFill="1" applyAlignment="1" applyProtection="1">
      <alignment vertical="center"/>
    </xf>
    <xf numFmtId="0" fontId="42" fillId="0" borderId="0" xfId="0" applyFont="1" applyFill="1" applyAlignment="1" applyProtection="1">
      <alignment vertical="center"/>
    </xf>
    <xf numFmtId="167" fontId="41" fillId="2" borderId="29" xfId="0" applyNumberFormat="1" applyFont="1" applyFill="1" applyBorder="1" applyAlignment="1" applyProtection="1">
      <alignment horizontal="left" vertical="center"/>
    </xf>
    <xf numFmtId="0" fontId="42" fillId="2" borderId="40" xfId="0" applyFont="1" applyFill="1" applyBorder="1" applyAlignment="1" applyProtection="1">
      <alignment vertical="center"/>
    </xf>
    <xf numFmtId="3" fontId="42" fillId="2" borderId="55" xfId="0" applyNumberFormat="1" applyFont="1" applyFill="1" applyBorder="1" applyAlignment="1" applyProtection="1">
      <alignment horizontal="right" vertical="center"/>
    </xf>
    <xf numFmtId="3" fontId="41" fillId="2" borderId="55" xfId="0" applyNumberFormat="1" applyFont="1" applyFill="1" applyBorder="1" applyAlignment="1" applyProtection="1">
      <alignment horizontal="right" vertical="center"/>
    </xf>
    <xf numFmtId="3" fontId="41" fillId="2" borderId="40" xfId="0" applyNumberFormat="1" applyFont="1" applyFill="1" applyBorder="1" applyAlignment="1" applyProtection="1">
      <alignment horizontal="right" vertical="center"/>
    </xf>
    <xf numFmtId="0" fontId="42" fillId="2" borderId="40" xfId="0" applyFont="1" applyFill="1" applyBorder="1" applyAlignment="1" applyProtection="1">
      <alignment horizontal="left" vertical="center"/>
    </xf>
    <xf numFmtId="1" fontId="41" fillId="2" borderId="29" xfId="0" applyNumberFormat="1" applyFont="1" applyFill="1" applyBorder="1" applyAlignment="1" applyProtection="1">
      <alignment horizontal="left" vertical="center"/>
    </xf>
    <xf numFmtId="0" fontId="41" fillId="2" borderId="40" xfId="0" applyFont="1" applyFill="1" applyBorder="1" applyAlignment="1" applyProtection="1">
      <alignment horizontal="left" vertical="center"/>
    </xf>
    <xf numFmtId="3" fontId="42" fillId="2" borderId="40" xfId="0" applyNumberFormat="1" applyFont="1" applyFill="1" applyBorder="1" applyAlignment="1" applyProtection="1">
      <alignment horizontal="right" vertical="center"/>
    </xf>
    <xf numFmtId="49" fontId="40" fillId="2" borderId="29" xfId="0" applyNumberFormat="1" applyFont="1" applyFill="1" applyBorder="1" applyAlignment="1" applyProtection="1">
      <alignment horizontal="left" vertical="center"/>
    </xf>
    <xf numFmtId="0" fontId="40" fillId="2" borderId="40" xfId="0" applyFont="1" applyFill="1" applyBorder="1" applyAlignment="1" applyProtection="1">
      <alignment horizontal="left" vertical="center"/>
    </xf>
    <xf numFmtId="3" fontId="40" fillId="2" borderId="55" xfId="0" applyNumberFormat="1" applyFont="1" applyFill="1" applyBorder="1" applyAlignment="1" applyProtection="1">
      <alignment horizontal="right" vertical="center"/>
    </xf>
    <xf numFmtId="3" fontId="40" fillId="2" borderId="40" xfId="0" applyNumberFormat="1" applyFont="1" applyFill="1" applyBorder="1" applyAlignment="1" applyProtection="1">
      <alignment horizontal="right" vertical="center"/>
    </xf>
    <xf numFmtId="3" fontId="42" fillId="2" borderId="38" xfId="0" applyNumberFormat="1" applyFont="1" applyFill="1" applyBorder="1" applyAlignment="1" applyProtection="1">
      <alignment horizontal="right" vertical="center"/>
    </xf>
    <xf numFmtId="1" fontId="40" fillId="2" borderId="20" xfId="0" applyNumberFormat="1" applyFont="1" applyFill="1" applyBorder="1" applyAlignment="1" applyProtection="1">
      <alignment horizontal="left" vertical="center"/>
    </xf>
    <xf numFmtId="3" fontId="42" fillId="2" borderId="20" xfId="0" applyNumberFormat="1" applyFont="1" applyFill="1" applyBorder="1" applyAlignment="1" applyProtection="1">
      <alignment horizontal="right" vertical="center"/>
    </xf>
    <xf numFmtId="1" fontId="40" fillId="2" borderId="37" xfId="0" applyNumberFormat="1" applyFont="1" applyFill="1" applyBorder="1" applyAlignment="1" applyProtection="1">
      <alignment horizontal="left" vertical="center"/>
    </xf>
    <xf numFmtId="1" fontId="40" fillId="2" borderId="41" xfId="0" applyNumberFormat="1" applyFont="1" applyFill="1" applyBorder="1" applyAlignment="1" applyProtection="1">
      <alignment horizontal="left" vertical="center"/>
    </xf>
    <xf numFmtId="3" fontId="40" fillId="2" borderId="51" xfId="0" applyNumberFormat="1" applyFont="1" applyFill="1" applyBorder="1" applyAlignment="1" applyProtection="1">
      <alignment horizontal="right" vertical="center"/>
    </xf>
    <xf numFmtId="3" fontId="40" fillId="2" borderId="36" xfId="0" applyNumberFormat="1" applyFont="1" applyFill="1" applyBorder="1" applyAlignment="1" applyProtection="1">
      <alignment horizontal="right" vertical="center"/>
    </xf>
    <xf numFmtId="1" fontId="40" fillId="2" borderId="32" xfId="0" applyNumberFormat="1" applyFont="1" applyFill="1" applyBorder="1" applyAlignment="1" applyProtection="1">
      <alignment horizontal="left" vertical="center"/>
    </xf>
    <xf numFmtId="3" fontId="41" fillId="2" borderId="20" xfId="3" applyNumberFormat="1" applyFont="1" applyFill="1" applyBorder="1" applyAlignment="1" applyProtection="1">
      <alignment horizontal="right" vertical="center"/>
      <protection locked="0"/>
    </xf>
    <xf numFmtId="0" fontId="43" fillId="5" borderId="0" xfId="0" applyFont="1" applyFill="1" applyBorder="1" applyAlignment="1">
      <alignment horizontal="left" vertical="center"/>
    </xf>
    <xf numFmtId="1" fontId="40" fillId="5" borderId="13" xfId="0" applyNumberFormat="1" applyFont="1" applyFill="1" applyBorder="1" applyAlignment="1" applyProtection="1">
      <alignment horizontal="left" vertical="center"/>
    </xf>
    <xf numFmtId="3" fontId="40" fillId="5" borderId="0" xfId="0" applyNumberFormat="1" applyFont="1" applyFill="1" applyBorder="1" applyAlignment="1" applyProtection="1">
      <alignment horizontal="centerContinuous" vertical="center"/>
    </xf>
    <xf numFmtId="3" fontId="40" fillId="5" borderId="0" xfId="0" applyNumberFormat="1" applyFont="1" applyFill="1" applyBorder="1" applyAlignment="1" applyProtection="1">
      <alignment horizontal="right" vertical="center"/>
    </xf>
    <xf numFmtId="3" fontId="40" fillId="2" borderId="41" xfId="0" applyNumberFormat="1" applyFont="1" applyFill="1" applyBorder="1" applyAlignment="1" applyProtection="1">
      <alignment horizontal="left" vertical="center"/>
      <protection locked="0"/>
    </xf>
    <xf numFmtId="0" fontId="42" fillId="2" borderId="29" xfId="0" applyFont="1" applyFill="1" applyBorder="1" applyAlignment="1" applyProtection="1">
      <alignment horizontal="left" vertical="center"/>
    </xf>
    <xf numFmtId="1" fontId="41" fillId="2" borderId="40" xfId="0" applyNumberFormat="1" applyFont="1" applyFill="1" applyBorder="1" applyAlignment="1" applyProtection="1">
      <alignment horizontal="left" vertical="center"/>
    </xf>
    <xf numFmtId="3" fontId="40" fillId="2" borderId="40" xfId="0" applyNumberFormat="1" applyFont="1" applyFill="1" applyBorder="1" applyAlignment="1" applyProtection="1">
      <alignment horizontal="left" vertical="center"/>
      <protection locked="0"/>
    </xf>
    <xf numFmtId="3" fontId="41" fillId="5" borderId="40" xfId="0" applyNumberFormat="1" applyFont="1" applyFill="1" applyBorder="1" applyAlignment="1" applyProtection="1">
      <alignment horizontal="right" vertical="center"/>
      <protection locked="0"/>
    </xf>
    <xf numFmtId="3" fontId="43" fillId="2" borderId="40" xfId="0" applyNumberFormat="1" applyFont="1" applyFill="1" applyBorder="1" applyAlignment="1" applyProtection="1">
      <alignment horizontal="center" vertical="center"/>
      <protection locked="0"/>
    </xf>
    <xf numFmtId="3" fontId="41" fillId="2" borderId="40" xfId="0" applyNumberFormat="1" applyFont="1" applyFill="1" applyBorder="1" applyAlignment="1" applyProtection="1">
      <alignment horizontal="right" vertical="center"/>
      <protection locked="0"/>
    </xf>
    <xf numFmtId="0" fontId="43" fillId="2" borderId="29" xfId="0" applyFont="1" applyFill="1" applyBorder="1" applyAlignment="1">
      <alignment horizontal="left" vertical="center"/>
    </xf>
    <xf numFmtId="49" fontId="41" fillId="2" borderId="29" xfId="0" applyNumberFormat="1" applyFont="1" applyFill="1" applyBorder="1" applyAlignment="1" applyProtection="1">
      <alignment horizontal="left" vertical="center"/>
    </xf>
    <xf numFmtId="0" fontId="42" fillId="2" borderId="66" xfId="0" applyFont="1" applyFill="1" applyBorder="1" applyAlignment="1" applyProtection="1">
      <alignment horizontal="left" vertical="center"/>
    </xf>
    <xf numFmtId="1" fontId="41" fillId="2" borderId="38" xfId="0" applyNumberFormat="1" applyFont="1" applyFill="1" applyBorder="1" applyAlignment="1" applyProtection="1">
      <alignment horizontal="left" vertical="center"/>
    </xf>
    <xf numFmtId="3" fontId="40" fillId="2" borderId="38" xfId="0" applyNumberFormat="1" applyFont="1" applyFill="1" applyBorder="1" applyAlignment="1" applyProtection="1">
      <alignment horizontal="left" vertical="center"/>
      <protection locked="0"/>
    </xf>
    <xf numFmtId="3" fontId="41" fillId="2" borderId="38" xfId="0" applyNumberFormat="1" applyFont="1" applyFill="1" applyBorder="1" applyAlignment="1" applyProtection="1">
      <alignment horizontal="right" vertical="center"/>
    </xf>
    <xf numFmtId="0" fontId="42" fillId="5" borderId="0" xfId="0" applyFont="1" applyFill="1" applyBorder="1" applyAlignment="1" applyProtection="1">
      <alignment vertical="center"/>
    </xf>
    <xf numFmtId="0" fontId="42" fillId="0" borderId="0" xfId="0" applyFont="1" applyFill="1" applyBorder="1" applyAlignment="1" applyProtection="1">
      <alignment vertical="center"/>
    </xf>
    <xf numFmtId="49" fontId="43" fillId="2" borderId="29" xfId="0" applyNumberFormat="1" applyFont="1" applyFill="1" applyBorder="1" applyAlignment="1" applyProtection="1">
      <alignment horizontal="left" vertical="center"/>
    </xf>
    <xf numFmtId="1" fontId="40" fillId="2" borderId="40" xfId="0" applyNumberFormat="1" applyFont="1" applyFill="1" applyBorder="1" applyAlignment="1" applyProtection="1">
      <alignment horizontal="left" vertical="center"/>
    </xf>
    <xf numFmtId="49" fontId="42" fillId="2" borderId="29" xfId="0" applyNumberFormat="1" applyFont="1" applyFill="1" applyBorder="1" applyAlignment="1" applyProtection="1">
      <alignment horizontal="left" vertical="center"/>
    </xf>
    <xf numFmtId="49" fontId="42" fillId="2" borderId="32" xfId="0" applyNumberFormat="1" applyFont="1" applyFill="1" applyBorder="1" applyAlignment="1" applyProtection="1">
      <alignment horizontal="left" vertical="center"/>
    </xf>
    <xf numFmtId="1" fontId="41" fillId="2" borderId="20" xfId="0" applyNumberFormat="1" applyFont="1" applyFill="1" applyBorder="1" applyAlignment="1" applyProtection="1">
      <alignment horizontal="left" vertical="center"/>
    </xf>
    <xf numFmtId="3" fontId="40" fillId="2" borderId="20" xfId="0" applyNumberFormat="1" applyFont="1" applyFill="1" applyBorder="1" applyAlignment="1" applyProtection="1">
      <alignment horizontal="left" vertical="center"/>
      <protection locked="0"/>
    </xf>
    <xf numFmtId="3" fontId="41" fillId="5" borderId="20" xfId="0" applyNumberFormat="1" applyFont="1" applyFill="1" applyBorder="1" applyAlignment="1" applyProtection="1">
      <alignment horizontal="right" vertical="center"/>
      <protection locked="0"/>
    </xf>
    <xf numFmtId="3" fontId="41" fillId="2" borderId="20" xfId="0" applyNumberFormat="1" applyFont="1" applyFill="1" applyBorder="1" applyAlignment="1" applyProtection="1">
      <alignment horizontal="right" vertical="center"/>
    </xf>
    <xf numFmtId="49" fontId="43" fillId="5" borderId="0" xfId="0" applyNumberFormat="1" applyFont="1" applyFill="1" applyBorder="1" applyAlignment="1" applyProtection="1">
      <alignment horizontal="left" vertical="center"/>
    </xf>
    <xf numFmtId="49" fontId="42" fillId="2" borderId="33" xfId="0" applyNumberFormat="1" applyFont="1" applyFill="1" applyBorder="1" applyAlignment="1" applyProtection="1">
      <alignment horizontal="left" vertical="center"/>
    </xf>
    <xf numFmtId="1" fontId="41" fillId="2" borderId="41" xfId="0" applyNumberFormat="1" applyFont="1" applyFill="1" applyBorder="1" applyAlignment="1" applyProtection="1">
      <alignment horizontal="left" vertical="center"/>
    </xf>
    <xf numFmtId="3" fontId="43" fillId="2" borderId="41" xfId="0" applyNumberFormat="1" applyFont="1" applyFill="1" applyBorder="1" applyAlignment="1" applyProtection="1">
      <alignment horizontal="right" vertical="center"/>
      <protection locked="0"/>
    </xf>
    <xf numFmtId="3" fontId="42" fillId="5" borderId="41" xfId="0" applyNumberFormat="1" applyFont="1" applyFill="1" applyBorder="1" applyAlignment="1" applyProtection="1">
      <alignment horizontal="right" vertical="center"/>
    </xf>
    <xf numFmtId="3" fontId="40" fillId="2" borderId="40" xfId="0" applyNumberFormat="1" applyFont="1" applyFill="1" applyBorder="1" applyAlignment="1" applyProtection="1">
      <alignment horizontal="right" vertical="center"/>
      <protection locked="0"/>
    </xf>
    <xf numFmtId="3" fontId="42" fillId="5" borderId="40" xfId="0" applyNumberFormat="1" applyFont="1" applyFill="1" applyBorder="1" applyAlignment="1" applyProtection="1">
      <alignment horizontal="right" vertical="center"/>
    </xf>
    <xf numFmtId="3" fontId="40" fillId="2" borderId="20" xfId="0" applyNumberFormat="1" applyFont="1" applyFill="1" applyBorder="1" applyAlignment="1" applyProtection="1">
      <alignment horizontal="right" vertical="center"/>
      <protection locked="0"/>
    </xf>
    <xf numFmtId="3" fontId="42" fillId="5" borderId="20" xfId="0" applyNumberFormat="1" applyFont="1" applyFill="1" applyBorder="1" applyAlignment="1" applyProtection="1">
      <alignment horizontal="right" vertical="center"/>
    </xf>
    <xf numFmtId="0" fontId="43" fillId="5" borderId="13" xfId="0" applyFont="1" applyFill="1" applyBorder="1" applyAlignment="1" applyProtection="1">
      <alignment horizontal="left" vertical="center"/>
    </xf>
    <xf numFmtId="3" fontId="43" fillId="5" borderId="0" xfId="0" applyNumberFormat="1" applyFont="1" applyFill="1" applyBorder="1" applyAlignment="1" applyProtection="1">
      <alignment horizontal="centerContinuous" vertical="center"/>
    </xf>
    <xf numFmtId="3" fontId="42" fillId="5" borderId="0" xfId="0" applyNumberFormat="1" applyFont="1" applyFill="1" applyBorder="1" applyAlignment="1" applyProtection="1">
      <alignment vertical="center"/>
    </xf>
    <xf numFmtId="49" fontId="42" fillId="2" borderId="14" xfId="0" applyNumberFormat="1" applyFont="1" applyFill="1" applyBorder="1" applyAlignment="1" applyProtection="1">
      <alignment horizontal="left" vertical="center"/>
    </xf>
    <xf numFmtId="3" fontId="40" fillId="2" borderId="64" xfId="0" applyNumberFormat="1" applyFont="1" applyFill="1" applyBorder="1" applyAlignment="1" applyProtection="1">
      <alignment horizontal="left" vertical="center"/>
      <protection locked="0"/>
    </xf>
    <xf numFmtId="0" fontId="42" fillId="2" borderId="16" xfId="0" applyFont="1" applyFill="1" applyBorder="1" applyAlignment="1" applyProtection="1">
      <alignment horizontal="left" vertical="center"/>
    </xf>
    <xf numFmtId="3" fontId="40" fillId="2" borderId="56" xfId="0" applyNumberFormat="1" applyFont="1" applyFill="1" applyBorder="1" applyAlignment="1" applyProtection="1">
      <alignment horizontal="left" vertical="center"/>
      <protection locked="0"/>
    </xf>
    <xf numFmtId="3" fontId="40" fillId="2" borderId="56" xfId="0" applyNumberFormat="1" applyFont="1" applyFill="1" applyBorder="1" applyAlignment="1" applyProtection="1">
      <alignment horizontal="right" vertical="center"/>
    </xf>
    <xf numFmtId="0" fontId="43" fillId="2" borderId="14" xfId="0" applyFont="1" applyFill="1" applyBorder="1" applyAlignment="1">
      <alignment horizontal="left" vertical="center"/>
    </xf>
    <xf numFmtId="0" fontId="40" fillId="2" borderId="64" xfId="0" applyFont="1" applyFill="1" applyBorder="1" applyAlignment="1" applyProtection="1">
      <alignment horizontal="left" vertical="center"/>
    </xf>
    <xf numFmtId="166" fontId="40" fillId="2" borderId="64" xfId="3" applyNumberFormat="1" applyFont="1" applyFill="1" applyBorder="1" applyAlignment="1" applyProtection="1">
      <alignment horizontal="right" vertical="center"/>
    </xf>
    <xf numFmtId="0" fontId="43" fillId="2" borderId="13" xfId="0" applyFont="1" applyFill="1" applyBorder="1" applyAlignment="1">
      <alignment horizontal="left" vertical="center"/>
    </xf>
    <xf numFmtId="1" fontId="40" fillId="2" borderId="38" xfId="0" applyNumberFormat="1" applyFont="1" applyFill="1" applyBorder="1" applyAlignment="1" applyProtection="1">
      <alignment horizontal="left" vertical="center"/>
    </xf>
    <xf numFmtId="0" fontId="40" fillId="2" borderId="55" xfId="0" applyFont="1" applyFill="1" applyBorder="1" applyAlignment="1" applyProtection="1">
      <alignment horizontal="left" vertical="center"/>
    </xf>
    <xf numFmtId="166" fontId="40" fillId="2" borderId="55" xfId="3" applyNumberFormat="1" applyFont="1" applyFill="1" applyBorder="1" applyAlignment="1" applyProtection="1">
      <alignment horizontal="right" vertical="center"/>
    </xf>
    <xf numFmtId="1" fontId="40" fillId="2" borderId="16" xfId="0" applyNumberFormat="1" applyFont="1" applyFill="1" applyBorder="1" applyAlignment="1" applyProtection="1">
      <alignment horizontal="left" vertical="center"/>
    </xf>
    <xf numFmtId="1" fontId="40" fillId="2" borderId="9" xfId="0" applyNumberFormat="1" applyFont="1" applyFill="1" applyBorder="1" applyAlignment="1" applyProtection="1">
      <alignment horizontal="left" vertical="center"/>
    </xf>
    <xf numFmtId="1" fontId="40" fillId="2" borderId="56" xfId="0" applyNumberFormat="1" applyFont="1" applyFill="1" applyBorder="1" applyAlignment="1" applyProtection="1">
      <alignment horizontal="center" vertical="center" wrapText="1"/>
      <protection locked="0"/>
    </xf>
    <xf numFmtId="1" fontId="40" fillId="2" borderId="56" xfId="0" applyNumberFormat="1" applyFont="1" applyFill="1" applyBorder="1" applyAlignment="1" applyProtection="1">
      <alignment horizontal="center" vertical="center" wrapText="1"/>
    </xf>
    <xf numFmtId="1" fontId="40" fillId="2" borderId="11" xfId="0" applyNumberFormat="1" applyFont="1" applyFill="1" applyBorder="1" applyAlignment="1" applyProtection="1">
      <alignment horizontal="left" vertical="center"/>
    </xf>
    <xf numFmtId="0" fontId="43" fillId="2" borderId="11" xfId="0" applyFont="1" applyFill="1" applyBorder="1" applyAlignment="1" applyProtection="1">
      <alignment vertical="center"/>
    </xf>
    <xf numFmtId="3" fontId="40" fillId="2" borderId="11" xfId="0" applyNumberFormat="1" applyFont="1" applyFill="1" applyBorder="1" applyAlignment="1" applyProtection="1">
      <alignment horizontal="right" vertical="center"/>
    </xf>
    <xf numFmtId="1" fontId="40" fillId="2" borderId="1" xfId="0" applyNumberFormat="1" applyFont="1" applyFill="1" applyBorder="1" applyAlignment="1" applyProtection="1">
      <alignment horizontal="left" vertical="center"/>
    </xf>
    <xf numFmtId="1" fontId="40" fillId="2" borderId="3" xfId="0" applyNumberFormat="1" applyFont="1" applyFill="1" applyBorder="1" applyAlignment="1" applyProtection="1">
      <alignment horizontal="left" vertical="center"/>
    </xf>
    <xf numFmtId="3" fontId="40" fillId="2" borderId="3" xfId="0" applyNumberFormat="1" applyFont="1" applyFill="1" applyBorder="1" applyAlignment="1" applyProtection="1">
      <alignment horizontal="right" vertical="center"/>
    </xf>
    <xf numFmtId="0" fontId="47" fillId="0" borderId="0" xfId="0" applyFont="1" applyFill="1" applyProtection="1"/>
    <xf numFmtId="0" fontId="48" fillId="0" borderId="0" xfId="0" applyFont="1" applyFill="1" applyProtection="1"/>
    <xf numFmtId="0" fontId="43" fillId="0" borderId="14" xfId="0" applyFont="1" applyFill="1" applyBorder="1" applyProtection="1"/>
    <xf numFmtId="0" fontId="42" fillId="0" borderId="0" xfId="0" applyFont="1" applyFill="1" applyBorder="1" applyAlignment="1" applyProtection="1"/>
    <xf numFmtId="0" fontId="43" fillId="0" borderId="13" xfId="0" applyFont="1" applyFill="1" applyBorder="1" applyProtection="1"/>
    <xf numFmtId="0" fontId="42" fillId="0" borderId="0" xfId="0" applyFont="1" applyFill="1" applyBorder="1" applyAlignment="1" applyProtection="1">
      <alignment horizontal="right"/>
    </xf>
    <xf numFmtId="0" fontId="43" fillId="0" borderId="16" xfId="0" applyFont="1" applyFill="1" applyBorder="1" applyProtection="1"/>
    <xf numFmtId="0" fontId="42" fillId="0" borderId="0" xfId="0" applyFont="1" applyFill="1" applyAlignment="1" applyProtection="1">
      <alignment horizontal="left"/>
    </xf>
    <xf numFmtId="0" fontId="43" fillId="0" borderId="0" xfId="0" applyFont="1" applyFill="1" applyProtection="1"/>
    <xf numFmtId="0" fontId="43" fillId="0" borderId="0" xfId="0" applyFont="1" applyFill="1" applyAlignment="1" applyProtection="1">
      <alignment horizontal="left"/>
    </xf>
    <xf numFmtId="14" fontId="43" fillId="0" borderId="0" xfId="0" applyNumberFormat="1" applyFont="1" applyFill="1" applyBorder="1" applyProtection="1"/>
    <xf numFmtId="0" fontId="43" fillId="0" borderId="0" xfId="0" applyFont="1" applyFill="1" applyAlignment="1" applyProtection="1">
      <alignment horizontal="right"/>
    </xf>
    <xf numFmtId="0" fontId="43" fillId="0" borderId="52" xfId="0" applyFont="1" applyFill="1" applyBorder="1" applyAlignment="1" applyProtection="1">
      <alignment horizontal="left"/>
      <protection locked="0"/>
    </xf>
    <xf numFmtId="0" fontId="43" fillId="0" borderId="0" xfId="0" applyFont="1" applyFill="1" applyBorder="1" applyAlignment="1" applyProtection="1">
      <alignment horizontal="left"/>
    </xf>
    <xf numFmtId="14" fontId="42" fillId="0" borderId="0" xfId="0" applyNumberFormat="1" applyFont="1" applyFill="1" applyBorder="1" applyProtection="1"/>
    <xf numFmtId="0" fontId="43" fillId="0" borderId="54" xfId="0" applyFont="1" applyFill="1" applyBorder="1" applyAlignment="1" applyProtection="1">
      <alignment horizontal="left"/>
      <protection locked="0"/>
    </xf>
    <xf numFmtId="3" fontId="43" fillId="0" borderId="9" xfId="0" applyNumberFormat="1" applyFont="1" applyFill="1" applyBorder="1" applyAlignment="1" applyProtection="1">
      <alignment horizontal="right"/>
    </xf>
    <xf numFmtId="0" fontId="43" fillId="2" borderId="67" xfId="0" applyFont="1" applyFill="1" applyBorder="1" applyAlignment="1" applyProtection="1">
      <alignment horizontal="centerContinuous" vertical="center" wrapText="1"/>
    </xf>
    <xf numFmtId="0" fontId="43" fillId="8" borderId="67" xfId="0" applyFont="1" applyFill="1" applyBorder="1" applyAlignment="1" applyProtection="1">
      <alignment horizontal="centerContinuous" vertical="center" wrapText="1"/>
    </xf>
    <xf numFmtId="0" fontId="43" fillId="2" borderId="68" xfId="0" applyFont="1" applyFill="1" applyBorder="1" applyAlignment="1" applyProtection="1">
      <alignment horizontal="centerContinuous" vertical="center" wrapText="1"/>
    </xf>
    <xf numFmtId="0" fontId="43" fillId="8" borderId="68" xfId="0" applyFont="1" applyFill="1" applyBorder="1" applyAlignment="1" applyProtection="1">
      <alignment horizontal="centerContinuous" vertical="center" wrapText="1"/>
    </xf>
    <xf numFmtId="0" fontId="49" fillId="2" borderId="1" xfId="0" applyFont="1" applyFill="1" applyBorder="1" applyAlignment="1">
      <alignment horizontal="left" vertical="center"/>
    </xf>
    <xf numFmtId="3" fontId="43" fillId="2" borderId="42" xfId="0" applyNumberFormat="1" applyFont="1" applyFill="1" applyBorder="1" applyAlignment="1" applyProtection="1">
      <alignment horizontal="center" vertical="center" wrapText="1"/>
      <protection locked="0"/>
    </xf>
    <xf numFmtId="3" fontId="43" fillId="2" borderId="34" xfId="0" applyNumberFormat="1" applyFont="1" applyFill="1" applyBorder="1" applyAlignment="1" applyProtection="1">
      <alignment horizontal="center" vertical="center" wrapText="1"/>
      <protection locked="0"/>
    </xf>
    <xf numFmtId="3" fontId="43" fillId="8" borderId="34" xfId="0" applyNumberFormat="1" applyFont="1" applyFill="1" applyBorder="1" applyAlignment="1" applyProtection="1">
      <alignment horizontal="center" vertical="center" wrapText="1"/>
      <protection locked="0"/>
    </xf>
    <xf numFmtId="0" fontId="43" fillId="2" borderId="34" xfId="0" applyFont="1" applyFill="1" applyBorder="1" applyAlignment="1" applyProtection="1">
      <alignment horizontal="center" vertical="center" wrapText="1"/>
      <protection locked="0"/>
    </xf>
    <xf numFmtId="0" fontId="43" fillId="2" borderId="40" xfId="0" applyFont="1" applyFill="1" applyBorder="1" applyAlignment="1" applyProtection="1">
      <alignment vertical="center"/>
    </xf>
    <xf numFmtId="3" fontId="43" fillId="2" borderId="17" xfId="0" applyNumberFormat="1" applyFont="1" applyFill="1" applyBorder="1" applyAlignment="1" applyProtection="1">
      <alignment vertical="center"/>
    </xf>
    <xf numFmtId="3" fontId="43" fillId="8" borderId="18" xfId="0" applyNumberFormat="1" applyFont="1" applyFill="1" applyBorder="1" applyAlignment="1" applyProtection="1">
      <alignment vertical="center"/>
    </xf>
    <xf numFmtId="166" fontId="43" fillId="2" borderId="18" xfId="3" applyNumberFormat="1" applyFont="1" applyFill="1" applyBorder="1" applyAlignment="1" applyProtection="1">
      <alignment vertical="center"/>
    </xf>
    <xf numFmtId="0" fontId="49" fillId="2" borderId="1" xfId="0" applyFont="1" applyFill="1" applyBorder="1" applyAlignment="1" applyProtection="1">
      <alignment horizontal="left" vertical="center"/>
    </xf>
    <xf numFmtId="3" fontId="43" fillId="2" borderId="18" xfId="0" applyNumberFormat="1" applyFont="1" applyFill="1" applyBorder="1" applyAlignment="1" applyProtection="1">
      <alignment vertical="center"/>
    </xf>
    <xf numFmtId="49" fontId="49" fillId="2" borderId="1" xfId="0" applyNumberFormat="1" applyFont="1" applyFill="1" applyBorder="1" applyAlignment="1" applyProtection="1">
      <alignment horizontal="left" vertical="center"/>
    </xf>
    <xf numFmtId="0" fontId="42" fillId="2" borderId="40" xfId="0" applyFont="1" applyFill="1" applyBorder="1" applyAlignment="1" applyProtection="1">
      <alignment horizontal="left" vertical="center" wrapText="1"/>
    </xf>
    <xf numFmtId="3" fontId="42" fillId="2" borderId="18" xfId="0" applyNumberFormat="1" applyFont="1" applyFill="1" applyBorder="1" applyAlignment="1" applyProtection="1">
      <alignment vertical="center"/>
    </xf>
    <xf numFmtId="3" fontId="42" fillId="8" borderId="18" xfId="0" applyNumberFormat="1" applyFont="1" applyFill="1" applyBorder="1" applyAlignment="1" applyProtection="1">
      <alignment vertical="center"/>
    </xf>
    <xf numFmtId="166" fontId="42" fillId="2" borderId="18" xfId="3" applyNumberFormat="1" applyFont="1" applyFill="1" applyBorder="1" applyAlignment="1" applyProtection="1">
      <alignment vertical="center"/>
    </xf>
    <xf numFmtId="0" fontId="49" fillId="9" borderId="1" xfId="0" applyFont="1" applyFill="1" applyBorder="1" applyAlignment="1" applyProtection="1">
      <alignment horizontal="left" vertical="center"/>
    </xf>
    <xf numFmtId="0" fontId="49" fillId="2" borderId="3" xfId="0" applyFont="1" applyFill="1" applyBorder="1" applyAlignment="1">
      <alignment horizontal="left" vertical="center"/>
    </xf>
    <xf numFmtId="0" fontId="43" fillId="2" borderId="20" xfId="0" applyFont="1" applyFill="1" applyBorder="1" applyAlignment="1" applyProtection="1">
      <alignment vertical="center"/>
    </xf>
    <xf numFmtId="3" fontId="43" fillId="2" borderId="21" xfId="0" applyNumberFormat="1" applyFont="1" applyFill="1" applyBorder="1" applyAlignment="1" applyProtection="1">
      <alignment vertical="center"/>
    </xf>
    <xf numFmtId="3" fontId="43" fillId="2" borderId="22" xfId="0" applyNumberFormat="1" applyFont="1" applyFill="1" applyBorder="1" applyAlignment="1" applyProtection="1">
      <alignment vertical="center"/>
    </xf>
    <xf numFmtId="3" fontId="43" fillId="8" borderId="22" xfId="0" applyNumberFormat="1" applyFont="1" applyFill="1" applyBorder="1" applyAlignment="1" applyProtection="1">
      <alignment vertical="center"/>
    </xf>
    <xf numFmtId="9" fontId="43" fillId="2" borderId="22" xfId="3" applyNumberFormat="1" applyFont="1" applyFill="1" applyBorder="1" applyAlignment="1" applyProtection="1">
      <alignment vertical="center"/>
    </xf>
    <xf numFmtId="166" fontId="43" fillId="2" borderId="22" xfId="3" applyNumberFormat="1" applyFont="1" applyFill="1" applyBorder="1" applyAlignment="1" applyProtection="1">
      <alignment vertical="center"/>
    </xf>
    <xf numFmtId="0" fontId="43" fillId="4" borderId="11" xfId="0" applyFont="1" applyFill="1" applyBorder="1" applyAlignment="1">
      <alignment vertical="center"/>
    </xf>
    <xf numFmtId="0" fontId="43" fillId="4" borderId="41" xfId="0" applyFont="1" applyFill="1" applyBorder="1" applyAlignment="1" applyProtection="1">
      <alignment vertical="center"/>
    </xf>
    <xf numFmtId="3" fontId="43" fillId="4" borderId="42" xfId="0" applyNumberFormat="1" applyFont="1" applyFill="1" applyBorder="1" applyAlignment="1" applyProtection="1">
      <alignment vertical="center"/>
      <protection locked="0"/>
    </xf>
    <xf numFmtId="3" fontId="43" fillId="4" borderId="34" xfId="0" applyNumberFormat="1" applyFont="1" applyFill="1" applyBorder="1" applyAlignment="1" applyProtection="1">
      <alignment vertical="center"/>
      <protection locked="0"/>
    </xf>
    <xf numFmtId="3" fontId="43" fillId="8" borderId="34" xfId="0" applyNumberFormat="1" applyFont="1" applyFill="1" applyBorder="1" applyAlignment="1" applyProtection="1">
      <alignment vertical="center"/>
      <protection locked="0"/>
    </xf>
    <xf numFmtId="166" fontId="42" fillId="4" borderId="34" xfId="3" applyNumberFormat="1" applyFont="1" applyFill="1" applyBorder="1" applyAlignment="1" applyProtection="1">
      <alignment vertical="center"/>
      <protection locked="0"/>
    </xf>
    <xf numFmtId="0" fontId="43" fillId="4" borderId="1" xfId="0" applyFont="1" applyFill="1" applyBorder="1" applyAlignment="1">
      <alignment vertical="center"/>
    </xf>
    <xf numFmtId="0" fontId="43" fillId="4" borderId="40" xfId="0" applyFont="1" applyFill="1" applyBorder="1" applyAlignment="1" applyProtection="1">
      <alignment vertical="center"/>
    </xf>
    <xf numFmtId="3" fontId="43" fillId="4" borderId="17" xfId="0" applyNumberFormat="1" applyFont="1" applyFill="1" applyBorder="1" applyAlignment="1" applyProtection="1">
      <alignment vertical="center"/>
      <protection locked="0"/>
    </xf>
    <xf numFmtId="3" fontId="43" fillId="4" borderId="18" xfId="0" applyNumberFormat="1" applyFont="1" applyFill="1" applyBorder="1" applyAlignment="1" applyProtection="1">
      <alignment vertical="center"/>
      <protection locked="0"/>
    </xf>
    <xf numFmtId="3" fontId="43" fillId="8" borderId="18" xfId="0" applyNumberFormat="1" applyFont="1" applyFill="1" applyBorder="1" applyAlignment="1" applyProtection="1">
      <alignment vertical="center"/>
      <protection locked="0"/>
    </xf>
    <xf numFmtId="166" fontId="42" fillId="4" borderId="18" xfId="3" applyNumberFormat="1" applyFont="1" applyFill="1" applyBorder="1" applyAlignment="1" applyProtection="1">
      <alignment vertical="center"/>
      <protection locked="0"/>
    </xf>
    <xf numFmtId="0" fontId="49" fillId="4" borderId="1" xfId="0" applyNumberFormat="1" applyFont="1" applyFill="1" applyBorder="1" applyAlignment="1" applyProtection="1">
      <alignment horizontal="left" vertical="center"/>
    </xf>
    <xf numFmtId="3" fontId="43" fillId="4" borderId="17" xfId="0" applyNumberFormat="1" applyFont="1" applyFill="1" applyBorder="1" applyAlignment="1" applyProtection="1">
      <alignment vertical="center"/>
    </xf>
    <xf numFmtId="3" fontId="43" fillId="4" borderId="18" xfId="0" applyNumberFormat="1" applyFont="1" applyFill="1" applyBorder="1" applyAlignment="1" applyProtection="1">
      <alignment vertical="center"/>
    </xf>
    <xf numFmtId="166" fontId="43" fillId="4" borderId="18" xfId="3" applyNumberFormat="1" applyFont="1" applyFill="1" applyBorder="1" applyAlignment="1" applyProtection="1">
      <alignment vertical="center"/>
    </xf>
    <xf numFmtId="49" fontId="49" fillId="4" borderId="1" xfId="0" applyNumberFormat="1" applyFont="1" applyFill="1" applyBorder="1" applyAlignment="1" applyProtection="1">
      <alignment horizontal="left" vertical="center"/>
    </xf>
    <xf numFmtId="0" fontId="42" fillId="4" borderId="40" xfId="0" applyFont="1" applyFill="1" applyBorder="1" applyAlignment="1" applyProtection="1">
      <alignment vertical="center"/>
    </xf>
    <xf numFmtId="3" fontId="42" fillId="4" borderId="17" xfId="0" applyNumberFormat="1" applyFont="1" applyFill="1" applyBorder="1" applyAlignment="1" applyProtection="1">
      <alignment vertical="center"/>
    </xf>
    <xf numFmtId="3" fontId="42" fillId="4" borderId="18" xfId="0" applyNumberFormat="1" applyFont="1" applyFill="1" applyBorder="1" applyAlignment="1" applyProtection="1">
      <alignment vertical="center"/>
    </xf>
    <xf numFmtId="3" fontId="42" fillId="8" borderId="17" xfId="0" applyNumberFormat="1" applyFont="1" applyFill="1" applyBorder="1" applyAlignment="1" applyProtection="1">
      <alignment vertical="center"/>
    </xf>
    <xf numFmtId="166" fontId="42" fillId="4" borderId="18" xfId="3" applyNumberFormat="1" applyFont="1" applyFill="1" applyBorder="1" applyAlignment="1" applyProtection="1">
      <alignment vertical="center"/>
    </xf>
    <xf numFmtId="3" fontId="42" fillId="4" borderId="17" xfId="0" applyNumberFormat="1" applyFont="1" applyFill="1" applyBorder="1" applyAlignment="1" applyProtection="1">
      <alignment vertical="center"/>
      <protection locked="0"/>
    </xf>
    <xf numFmtId="3" fontId="42" fillId="4" borderId="18" xfId="0" applyNumberFormat="1" applyFont="1" applyFill="1" applyBorder="1" applyAlignment="1" applyProtection="1">
      <alignment vertical="center"/>
      <protection locked="0"/>
    </xf>
    <xf numFmtId="3" fontId="42" fillId="8" borderId="18" xfId="0" applyNumberFormat="1" applyFont="1" applyFill="1" applyBorder="1" applyAlignment="1" applyProtection="1">
      <alignment vertical="center"/>
      <protection locked="0"/>
    </xf>
    <xf numFmtId="0" fontId="43" fillId="4" borderId="38" xfId="0" applyFont="1" applyFill="1" applyBorder="1" applyAlignment="1" applyProtection="1">
      <alignment vertical="center"/>
    </xf>
    <xf numFmtId="3" fontId="43" fillId="4" borderId="39" xfId="0" applyNumberFormat="1" applyFont="1" applyFill="1" applyBorder="1" applyAlignment="1" applyProtection="1">
      <alignment vertical="center"/>
      <protection locked="0"/>
    </xf>
    <xf numFmtId="3" fontId="43" fillId="4" borderId="26" xfId="0" applyNumberFormat="1" applyFont="1" applyFill="1" applyBorder="1" applyAlignment="1" applyProtection="1">
      <alignment vertical="center"/>
      <protection locked="0"/>
    </xf>
    <xf numFmtId="3" fontId="43" fillId="8" borderId="26" xfId="0" applyNumberFormat="1" applyFont="1" applyFill="1" applyBorder="1" applyAlignment="1" applyProtection="1">
      <alignment vertical="center"/>
      <protection locked="0"/>
    </xf>
    <xf numFmtId="166" fontId="43" fillId="4" borderId="18" xfId="3" applyNumberFormat="1" applyFont="1" applyFill="1" applyBorder="1" applyAlignment="1" applyProtection="1">
      <alignment vertical="center"/>
      <protection locked="0"/>
    </xf>
    <xf numFmtId="3" fontId="43" fillId="4" borderId="39" xfId="0" applyNumberFormat="1" applyFont="1" applyFill="1" applyBorder="1" applyAlignment="1" applyProtection="1">
      <alignment vertical="center"/>
    </xf>
    <xf numFmtId="3" fontId="43" fillId="8" borderId="39" xfId="0" applyNumberFormat="1" applyFont="1" applyFill="1" applyBorder="1" applyAlignment="1" applyProtection="1">
      <alignment vertical="center"/>
    </xf>
    <xf numFmtId="49" fontId="50" fillId="4" borderId="13" xfId="0" applyNumberFormat="1" applyFont="1" applyFill="1" applyBorder="1" applyAlignment="1" applyProtection="1">
      <alignment horizontal="left" vertical="center"/>
    </xf>
    <xf numFmtId="0" fontId="42" fillId="4" borderId="38" xfId="0" applyFont="1" applyFill="1" applyBorder="1" applyAlignment="1" applyProtection="1">
      <alignment vertical="center"/>
    </xf>
    <xf numFmtId="3" fontId="42" fillId="4" borderId="39" xfId="0" applyNumberFormat="1" applyFont="1" applyFill="1" applyBorder="1" applyAlignment="1" applyProtection="1">
      <alignment vertical="center"/>
    </xf>
    <xf numFmtId="3" fontId="42" fillId="8" borderId="39" xfId="0" applyNumberFormat="1" applyFont="1" applyFill="1" applyBorder="1" applyAlignment="1" applyProtection="1">
      <alignment vertical="center"/>
    </xf>
    <xf numFmtId="49" fontId="50" fillId="4" borderId="1" xfId="0" applyNumberFormat="1" applyFont="1" applyFill="1" applyBorder="1" applyAlignment="1" applyProtection="1">
      <alignment horizontal="left" vertical="center"/>
    </xf>
    <xf numFmtId="0" fontId="49" fillId="4" borderId="13" xfId="0" applyNumberFormat="1" applyFont="1" applyFill="1" applyBorder="1" applyAlignment="1" applyProtection="1">
      <alignment horizontal="left" vertical="center"/>
    </xf>
    <xf numFmtId="49" fontId="49" fillId="4" borderId="2" xfId="0" applyNumberFormat="1" applyFont="1" applyFill="1" applyBorder="1" applyAlignment="1" applyProtection="1">
      <alignment horizontal="left" vertical="center"/>
    </xf>
    <xf numFmtId="0" fontId="43" fillId="4" borderId="2" xfId="0" applyFont="1" applyFill="1" applyBorder="1" applyAlignment="1">
      <alignment vertical="center"/>
    </xf>
    <xf numFmtId="0" fontId="49" fillId="4" borderId="2" xfId="0" applyFont="1" applyFill="1" applyBorder="1" applyAlignment="1" applyProtection="1">
      <alignment vertical="center"/>
    </xf>
    <xf numFmtId="0" fontId="43" fillId="4" borderId="8" xfId="0" applyFont="1" applyFill="1" applyBorder="1" applyAlignment="1">
      <alignment vertical="center"/>
    </xf>
    <xf numFmtId="0" fontId="43" fillId="4" borderId="20" xfId="0" applyFont="1" applyFill="1" applyBorder="1" applyAlignment="1" applyProtection="1">
      <alignment vertical="center"/>
    </xf>
    <xf numFmtId="3" fontId="43" fillId="4" borderId="22" xfId="0" applyNumberFormat="1" applyFont="1" applyFill="1" applyBorder="1" applyAlignment="1" applyProtection="1">
      <alignment vertical="center"/>
    </xf>
    <xf numFmtId="166" fontId="43" fillId="4" borderId="22" xfId="3" applyNumberFormat="1" applyFont="1" applyFill="1" applyBorder="1" applyAlignment="1" applyProtection="1">
      <alignment vertical="center"/>
    </xf>
    <xf numFmtId="3" fontId="43" fillId="8" borderId="11" xfId="0" applyNumberFormat="1" applyFont="1" applyFill="1" applyBorder="1" applyAlignment="1">
      <alignment vertical="center"/>
    </xf>
    <xf numFmtId="0" fontId="43" fillId="10" borderId="64" xfId="0" applyFont="1" applyFill="1" applyBorder="1" applyAlignment="1" applyProtection="1">
      <alignment vertical="center"/>
    </xf>
    <xf numFmtId="3" fontId="43" fillId="10" borderId="42" xfId="0" applyNumberFormat="1" applyFont="1" applyFill="1" applyBorder="1" applyAlignment="1" applyProtection="1">
      <alignment vertical="center"/>
      <protection locked="0"/>
    </xf>
    <xf numFmtId="3" fontId="43" fillId="10" borderId="34" xfId="0" applyNumberFormat="1" applyFont="1" applyFill="1" applyBorder="1" applyAlignment="1" applyProtection="1">
      <alignment vertical="center"/>
      <protection locked="0"/>
    </xf>
    <xf numFmtId="3" fontId="43" fillId="8" borderId="1" xfId="0" applyNumberFormat="1" applyFont="1" applyFill="1" applyBorder="1" applyAlignment="1">
      <alignment vertical="center"/>
    </xf>
    <xf numFmtId="0" fontId="43" fillId="10" borderId="55" xfId="0" applyFont="1" applyFill="1" applyBorder="1" applyAlignment="1" applyProtection="1">
      <alignment vertical="center"/>
    </xf>
    <xf numFmtId="3" fontId="43" fillId="10" borderId="17" xfId="0" applyNumberFormat="1" applyFont="1" applyFill="1" applyBorder="1" applyAlignment="1" applyProtection="1">
      <alignment vertical="center"/>
      <protection locked="0"/>
    </xf>
    <xf numFmtId="3" fontId="43" fillId="10" borderId="18" xfId="0" applyNumberFormat="1" applyFont="1" applyFill="1" applyBorder="1" applyAlignment="1" applyProtection="1">
      <alignment vertical="center"/>
      <protection locked="0"/>
    </xf>
    <xf numFmtId="3" fontId="43" fillId="10" borderId="17" xfId="0" applyNumberFormat="1" applyFont="1" applyFill="1" applyBorder="1" applyAlignment="1" applyProtection="1">
      <alignment vertical="center"/>
    </xf>
    <xf numFmtId="3" fontId="43" fillId="10" borderId="18" xfId="0" applyNumberFormat="1" applyFont="1" applyFill="1" applyBorder="1" applyAlignment="1" applyProtection="1">
      <alignment vertical="center"/>
    </xf>
    <xf numFmtId="166" fontId="42" fillId="10" borderId="18" xfId="3" applyNumberFormat="1" applyFont="1" applyFill="1" applyBorder="1" applyAlignment="1" applyProtection="1">
      <alignment vertical="center"/>
    </xf>
    <xf numFmtId="0" fontId="43" fillId="8" borderId="2" xfId="0" applyFont="1" applyFill="1" applyBorder="1" applyAlignment="1">
      <alignment horizontal="left" vertical="center"/>
    </xf>
    <xf numFmtId="0" fontId="42" fillId="10" borderId="55" xfId="0" applyFont="1" applyFill="1" applyBorder="1" applyAlignment="1" applyProtection="1">
      <alignment vertical="center"/>
    </xf>
    <xf numFmtId="3" fontId="42" fillId="10" borderId="17" xfId="0" applyNumberFormat="1" applyFont="1" applyFill="1" applyBorder="1" applyAlignment="1" applyProtection="1">
      <alignment vertical="center"/>
    </xf>
    <xf numFmtId="3" fontId="42" fillId="10" borderId="18" xfId="0" applyNumberFormat="1" applyFont="1" applyFill="1" applyBorder="1" applyAlignment="1" applyProtection="1">
      <alignment vertical="center"/>
    </xf>
    <xf numFmtId="3" fontId="43" fillId="8" borderId="2" xfId="0" applyNumberFormat="1" applyFont="1" applyFill="1" applyBorder="1" applyAlignment="1">
      <alignment vertical="center"/>
    </xf>
    <xf numFmtId="3" fontId="43" fillId="8" borderId="17" xfId="0" applyNumberFormat="1" applyFont="1" applyFill="1" applyBorder="1" applyAlignment="1" applyProtection="1">
      <alignment vertical="center"/>
    </xf>
    <xf numFmtId="49" fontId="42" fillId="8" borderId="2" xfId="0" applyNumberFormat="1" applyFont="1" applyFill="1" applyBorder="1" applyAlignment="1" applyProtection="1">
      <alignment horizontal="left" vertical="center"/>
    </xf>
    <xf numFmtId="0" fontId="42" fillId="8" borderId="2" xfId="0" applyNumberFormat="1" applyFont="1" applyFill="1" applyBorder="1" applyAlignment="1" applyProtection="1">
      <alignment horizontal="left" vertical="center"/>
    </xf>
    <xf numFmtId="49" fontId="43" fillId="8" borderId="2" xfId="0" applyNumberFormat="1" applyFont="1" applyFill="1" applyBorder="1" applyAlignment="1" applyProtection="1">
      <alignment horizontal="left" vertical="center"/>
    </xf>
    <xf numFmtId="0" fontId="43" fillId="8" borderId="2" xfId="0" applyNumberFormat="1" applyFont="1" applyFill="1" applyBorder="1" applyAlignment="1" applyProtection="1">
      <alignment horizontal="left" vertical="center"/>
    </xf>
    <xf numFmtId="49" fontId="49" fillId="8" borderId="2" xfId="0" applyNumberFormat="1" applyFont="1" applyFill="1" applyBorder="1" applyAlignment="1" applyProtection="1">
      <alignment horizontal="left" vertical="center"/>
    </xf>
    <xf numFmtId="0" fontId="49" fillId="8" borderId="2" xfId="0" applyNumberFormat="1" applyFont="1" applyFill="1" applyBorder="1" applyAlignment="1" applyProtection="1">
      <alignment horizontal="left" vertical="center"/>
    </xf>
    <xf numFmtId="166" fontId="43" fillId="10" borderId="18" xfId="3" applyNumberFormat="1" applyFont="1" applyFill="1" applyBorder="1" applyAlignment="1" applyProtection="1">
      <alignment vertical="center"/>
    </xf>
    <xf numFmtId="0" fontId="43" fillId="8" borderId="2" xfId="0" applyFont="1" applyFill="1" applyBorder="1" applyAlignment="1">
      <alignment vertical="center"/>
    </xf>
    <xf numFmtId="0" fontId="42" fillId="10" borderId="40" xfId="0" applyFont="1" applyFill="1" applyBorder="1" applyAlignment="1" applyProtection="1">
      <alignment vertical="center"/>
    </xf>
    <xf numFmtId="3" fontId="42" fillId="10" borderId="17" xfId="0" applyNumberFormat="1" applyFont="1" applyFill="1" applyBorder="1" applyAlignment="1" applyProtection="1">
      <alignment vertical="center"/>
      <protection locked="0"/>
    </xf>
    <xf numFmtId="3" fontId="42" fillId="10" borderId="18" xfId="0" applyNumberFormat="1" applyFont="1" applyFill="1" applyBorder="1" applyAlignment="1" applyProtection="1">
      <alignment vertical="center"/>
      <protection locked="0"/>
    </xf>
    <xf numFmtId="3" fontId="43" fillId="8" borderId="8" xfId="0" applyNumberFormat="1" applyFont="1" applyFill="1" applyBorder="1" applyAlignment="1">
      <alignment vertical="center"/>
    </xf>
    <xf numFmtId="0" fontId="43" fillId="10" borderId="56" xfId="0" applyFont="1" applyFill="1" applyBorder="1" applyAlignment="1" applyProtection="1">
      <alignment vertical="center"/>
    </xf>
    <xf numFmtId="3" fontId="43" fillId="10" borderId="21" xfId="0" applyNumberFormat="1" applyFont="1" applyFill="1" applyBorder="1" applyAlignment="1" applyProtection="1">
      <alignment vertical="center"/>
    </xf>
    <xf numFmtId="3" fontId="43" fillId="10" borderId="22" xfId="0" applyNumberFormat="1" applyFont="1" applyFill="1" applyBorder="1" applyAlignment="1" applyProtection="1">
      <alignment vertical="center"/>
    </xf>
    <xf numFmtId="166" fontId="43" fillId="10" borderId="22" xfId="3" applyNumberFormat="1" applyFont="1" applyFill="1" applyBorder="1" applyAlignment="1" applyProtection="1">
      <alignment vertical="center"/>
    </xf>
    <xf numFmtId="0" fontId="43" fillId="11" borderId="15" xfId="0" applyFont="1" applyFill="1" applyBorder="1" applyAlignment="1">
      <alignment vertical="center"/>
    </xf>
    <xf numFmtId="0" fontId="43" fillId="12" borderId="41" xfId="0" applyFont="1" applyFill="1" applyBorder="1" applyAlignment="1" applyProtection="1">
      <alignment vertical="center"/>
    </xf>
    <xf numFmtId="3" fontId="43" fillId="12" borderId="42" xfId="0" applyNumberFormat="1" applyFont="1" applyFill="1" applyBorder="1" applyAlignment="1" applyProtection="1">
      <alignment vertical="center"/>
      <protection locked="0"/>
    </xf>
    <xf numFmtId="3" fontId="43" fillId="12" borderId="34" xfId="0" applyNumberFormat="1" applyFont="1" applyFill="1" applyBorder="1" applyAlignment="1" applyProtection="1">
      <alignment vertical="center"/>
      <protection locked="0"/>
    </xf>
    <xf numFmtId="166" fontId="42" fillId="12" borderId="34" xfId="3" applyNumberFormat="1" applyFont="1" applyFill="1" applyBorder="1" applyAlignment="1" applyProtection="1">
      <alignment vertical="center"/>
      <protection locked="0"/>
    </xf>
    <xf numFmtId="0" fontId="43" fillId="11" borderId="2" xfId="0" applyFont="1" applyFill="1" applyBorder="1" applyAlignment="1">
      <alignment vertical="center"/>
    </xf>
    <xf numFmtId="0" fontId="43" fillId="12" borderId="1" xfId="0" applyFont="1" applyFill="1" applyBorder="1" applyAlignment="1" applyProtection="1">
      <alignment vertical="center"/>
    </xf>
    <xf numFmtId="3" fontId="43" fillId="12" borderId="17" xfId="0" applyNumberFormat="1" applyFont="1" applyFill="1" applyBorder="1" applyAlignment="1" applyProtection="1">
      <alignment vertical="center"/>
    </xf>
    <xf numFmtId="3" fontId="43" fillId="12" borderId="18" xfId="0" applyNumberFormat="1" applyFont="1" applyFill="1" applyBorder="1" applyAlignment="1" applyProtection="1">
      <alignment vertical="center"/>
    </xf>
    <xf numFmtId="166" fontId="43" fillId="12" borderId="18" xfId="3" applyNumberFormat="1" applyFont="1" applyFill="1" applyBorder="1" applyAlignment="1" applyProtection="1">
      <alignment vertical="center"/>
    </xf>
    <xf numFmtId="3" fontId="43" fillId="11" borderId="2" xfId="0" applyNumberFormat="1" applyFont="1" applyFill="1" applyBorder="1" applyAlignment="1">
      <alignment vertical="center"/>
    </xf>
    <xf numFmtId="0" fontId="42" fillId="12" borderId="40" xfId="0" applyFont="1" applyFill="1" applyBorder="1" applyAlignment="1" applyProtection="1">
      <alignment vertical="center"/>
    </xf>
    <xf numFmtId="3" fontId="42" fillId="12" borderId="17" xfId="0" applyNumberFormat="1" applyFont="1" applyFill="1" applyBorder="1" applyAlignment="1" applyProtection="1">
      <alignment vertical="center"/>
    </xf>
    <xf numFmtId="3" fontId="42" fillId="12" borderId="18" xfId="0" applyNumberFormat="1" applyFont="1" applyFill="1" applyBorder="1" applyAlignment="1" applyProtection="1">
      <alignment vertical="center"/>
    </xf>
    <xf numFmtId="166" fontId="42" fillId="12" borderId="18" xfId="3" applyNumberFormat="1" applyFont="1" applyFill="1" applyBorder="1" applyAlignment="1" applyProtection="1">
      <alignment vertical="center"/>
    </xf>
    <xf numFmtId="49" fontId="49" fillId="11" borderId="2" xfId="0" applyNumberFormat="1" applyFont="1" applyFill="1" applyBorder="1" applyAlignment="1" applyProtection="1">
      <alignment horizontal="left" vertical="center"/>
    </xf>
    <xf numFmtId="0" fontId="43" fillId="12" borderId="40" xfId="0" applyFont="1" applyFill="1" applyBorder="1" applyAlignment="1" applyProtection="1">
      <alignment vertical="center"/>
    </xf>
    <xf numFmtId="0" fontId="43" fillId="13" borderId="3" xfId="0" applyFont="1" applyFill="1" applyBorder="1" applyAlignment="1">
      <alignment vertical="center"/>
    </xf>
    <xf numFmtId="0" fontId="43" fillId="13" borderId="20" xfId="0" applyFont="1" applyFill="1" applyBorder="1" applyAlignment="1" applyProtection="1">
      <alignment vertical="center"/>
    </xf>
    <xf numFmtId="3" fontId="43" fillId="13" borderId="21" xfId="0" applyNumberFormat="1" applyFont="1" applyFill="1" applyBorder="1" applyAlignment="1" applyProtection="1">
      <alignment vertical="center"/>
    </xf>
    <xf numFmtId="3" fontId="43" fillId="13" borderId="22" xfId="0" applyNumberFormat="1" applyFont="1" applyFill="1" applyBorder="1" applyAlignment="1" applyProtection="1">
      <alignment vertical="center"/>
    </xf>
    <xf numFmtId="166" fontId="43" fillId="13" borderId="22" xfId="3" applyNumberFormat="1" applyFont="1" applyFill="1" applyBorder="1" applyAlignment="1" applyProtection="1">
      <alignment vertical="center"/>
    </xf>
    <xf numFmtId="0" fontId="43" fillId="4" borderId="3" xfId="0" applyFont="1" applyFill="1" applyBorder="1" applyAlignment="1">
      <alignment vertical="center"/>
    </xf>
    <xf numFmtId="3" fontId="43" fillId="4" borderId="21" xfId="0" applyNumberFormat="1" applyFont="1" applyFill="1" applyBorder="1" applyAlignment="1" applyProtection="1">
      <alignment vertical="center"/>
    </xf>
    <xf numFmtId="0" fontId="40" fillId="5" borderId="0" xfId="0" applyFont="1" applyFill="1" applyAlignment="1" applyProtection="1">
      <alignment vertical="center"/>
    </xf>
    <xf numFmtId="0" fontId="43" fillId="0" borderId="2" xfId="0" applyFont="1" applyFill="1" applyBorder="1" applyAlignment="1" applyProtection="1">
      <alignment horizontal="left"/>
    </xf>
    <xf numFmtId="3" fontId="43" fillId="0" borderId="45" xfId="0" applyNumberFormat="1" applyFont="1" applyFill="1" applyBorder="1" applyProtection="1"/>
    <xf numFmtId="0" fontId="51" fillId="2" borderId="1" xfId="0" applyFont="1" applyFill="1" applyBorder="1" applyAlignment="1" applyProtection="1">
      <alignment horizontal="left" vertical="center"/>
    </xf>
    <xf numFmtId="49" fontId="51" fillId="2" borderId="1" xfId="0" applyNumberFormat="1" applyFont="1" applyFill="1" applyBorder="1" applyAlignment="1" applyProtection="1">
      <alignment horizontal="left" vertical="center"/>
    </xf>
    <xf numFmtId="0" fontId="43" fillId="0" borderId="0" xfId="0" applyFont="1" applyFill="1" applyAlignment="1" applyProtection="1">
      <alignment vertical="center"/>
    </xf>
    <xf numFmtId="3" fontId="42" fillId="0" borderId="0" xfId="0" applyNumberFormat="1" applyFont="1" applyFill="1" applyBorder="1" applyAlignment="1" applyProtection="1">
      <alignment vertical="center"/>
    </xf>
    <xf numFmtId="3" fontId="42" fillId="0" borderId="0" xfId="0" applyNumberFormat="1" applyFont="1" applyFill="1" applyAlignment="1" applyProtection="1">
      <alignment vertical="center"/>
    </xf>
    <xf numFmtId="3" fontId="42" fillId="0" borderId="0" xfId="0" applyNumberFormat="1" applyFont="1" applyFill="1" applyBorder="1" applyProtection="1"/>
    <xf numFmtId="0" fontId="49" fillId="2" borderId="40" xfId="0" applyFont="1" applyFill="1" applyBorder="1" applyAlignment="1" applyProtection="1">
      <alignment vertical="center"/>
    </xf>
    <xf numFmtId="9" fontId="7" fillId="0" borderId="58" xfId="3" applyFont="1" applyBorder="1" applyProtection="1"/>
    <xf numFmtId="0" fontId="19" fillId="2" borderId="37" xfId="0" applyFont="1" applyFill="1" applyBorder="1" applyAlignment="1" applyProtection="1">
      <alignment horizontal="left" vertical="center"/>
    </xf>
    <xf numFmtId="0" fontId="0" fillId="5" borderId="0" xfId="0" applyFill="1" applyAlignment="1" applyProtection="1">
      <alignment horizontal="left" vertical="center"/>
    </xf>
    <xf numFmtId="3" fontId="7" fillId="5" borderId="17" xfId="0" applyNumberFormat="1" applyFont="1" applyFill="1" applyBorder="1" applyAlignment="1" applyProtection="1">
      <alignment vertical="center"/>
      <protection locked="0"/>
    </xf>
    <xf numFmtId="3" fontId="43" fillId="0" borderId="11" xfId="0" applyNumberFormat="1" applyFont="1" applyFill="1" applyBorder="1" applyAlignment="1" applyProtection="1">
      <alignment horizontal="right"/>
    </xf>
    <xf numFmtId="3" fontId="43" fillId="0" borderId="1" xfId="0" applyNumberFormat="1" applyFont="1" applyFill="1" applyBorder="1" applyAlignment="1" applyProtection="1">
      <alignment horizontal="right"/>
    </xf>
    <xf numFmtId="3" fontId="43" fillId="0" borderId="3" xfId="0" applyNumberFormat="1" applyFont="1" applyFill="1" applyBorder="1" applyAlignment="1" applyProtection="1">
      <alignment horizontal="right"/>
    </xf>
    <xf numFmtId="14" fontId="42" fillId="0" borderId="9" xfId="0" applyNumberFormat="1" applyFont="1" applyFill="1" applyBorder="1" applyProtection="1"/>
    <xf numFmtId="14" fontId="42" fillId="0" borderId="3" xfId="0" applyNumberFormat="1" applyFont="1" applyFill="1" applyBorder="1" applyProtection="1"/>
    <xf numFmtId="0" fontId="7" fillId="0" borderId="15" xfId="0" applyFont="1" applyBorder="1" applyAlignment="1" applyProtection="1">
      <alignment horizontal="right"/>
    </xf>
    <xf numFmtId="0" fontId="7" fillId="0" borderId="2" xfId="0" applyFont="1" applyBorder="1" applyAlignment="1" applyProtection="1">
      <alignment horizontal="right"/>
    </xf>
    <xf numFmtId="0" fontId="7" fillId="0" borderId="8" xfId="0" applyFont="1" applyBorder="1" applyAlignment="1" applyProtection="1">
      <alignment horizontal="right"/>
    </xf>
    <xf numFmtId="0" fontId="0" fillId="5" borderId="30" xfId="0" applyFill="1" applyBorder="1" applyAlignment="1" applyProtection="1">
      <alignment vertical="center"/>
    </xf>
    <xf numFmtId="49" fontId="0" fillId="0" borderId="0" xfId="0" applyNumberFormat="1" applyFill="1" applyProtection="1">
      <protection locked="0"/>
    </xf>
    <xf numFmtId="0" fontId="7" fillId="5" borderId="3" xfId="0" applyFont="1" applyFill="1" applyBorder="1" applyAlignment="1" applyProtection="1">
      <alignment horizontal="center" wrapText="1"/>
    </xf>
    <xf numFmtId="3" fontId="43" fillId="0" borderId="69" xfId="0" applyNumberFormat="1" applyFont="1" applyFill="1" applyBorder="1" applyProtection="1"/>
    <xf numFmtId="3" fontId="7" fillId="0" borderId="1" xfId="0" applyNumberFormat="1" applyFont="1" applyFill="1" applyBorder="1" applyProtection="1">
      <protection locked="0"/>
    </xf>
    <xf numFmtId="0" fontId="0" fillId="6" borderId="26" xfId="0" applyFill="1" applyBorder="1" applyAlignment="1" applyProtection="1">
      <alignment horizontal="center" vertical="center"/>
      <protection locked="0"/>
    </xf>
    <xf numFmtId="3" fontId="7" fillId="6" borderId="1" xfId="0" applyNumberFormat="1" applyFont="1" applyFill="1" applyBorder="1" applyProtection="1"/>
    <xf numFmtId="0" fontId="4" fillId="8" borderId="40" xfId="0" applyFont="1" applyFill="1" applyBorder="1" applyAlignment="1" applyProtection="1">
      <alignment horizontal="left" vertical="center" indent="6"/>
    </xf>
    <xf numFmtId="9" fontId="0" fillId="0" borderId="0" xfId="3" applyFont="1"/>
    <xf numFmtId="166" fontId="0" fillId="0" borderId="0" xfId="3" applyNumberFormat="1" applyFont="1"/>
    <xf numFmtId="0" fontId="17" fillId="6" borderId="0" xfId="0" applyFont="1" applyFill="1" applyProtection="1"/>
    <xf numFmtId="166" fontId="17" fillId="6" borderId="0" xfId="3" applyNumberFormat="1" applyFont="1" applyFill="1" applyProtection="1"/>
    <xf numFmtId="9" fontId="17" fillId="0" borderId="0" xfId="3" applyNumberFormat="1" applyFont="1" applyFill="1" applyProtection="1"/>
    <xf numFmtId="3" fontId="43" fillId="6" borderId="9" xfId="0" applyNumberFormat="1" applyFont="1" applyFill="1" applyBorder="1" applyAlignment="1" applyProtection="1">
      <alignment horizontal="right"/>
    </xf>
    <xf numFmtId="3" fontId="42" fillId="0" borderId="45" xfId="0" applyNumberFormat="1" applyFont="1" applyFill="1" applyBorder="1" applyProtection="1"/>
    <xf numFmtId="0" fontId="16" fillId="0" borderId="0" xfId="0" applyFont="1" applyProtection="1"/>
    <xf numFmtId="0" fontId="16" fillId="6" borderId="0" xfId="0" applyFont="1" applyFill="1" applyProtection="1"/>
    <xf numFmtId="166" fontId="7" fillId="5" borderId="9" xfId="3" applyNumberFormat="1" applyFont="1" applyFill="1" applyBorder="1" applyProtection="1"/>
    <xf numFmtId="9" fontId="0" fillId="0" borderId="1" xfId="3" applyFont="1" applyFill="1" applyBorder="1" applyProtection="1">
      <protection locked="0"/>
    </xf>
    <xf numFmtId="0" fontId="34" fillId="6" borderId="0" xfId="0" applyFont="1" applyFill="1" applyAlignment="1" applyProtection="1">
      <alignment horizontal="center"/>
    </xf>
    <xf numFmtId="0" fontId="0" fillId="6" borderId="0" xfId="0" applyFill="1" applyProtection="1"/>
    <xf numFmtId="166" fontId="0" fillId="6" borderId="0" xfId="3" applyNumberFormat="1" applyFont="1" applyFill="1" applyProtection="1"/>
    <xf numFmtId="9" fontId="0" fillId="6" borderId="0" xfId="3" applyFont="1" applyFill="1" applyProtection="1"/>
    <xf numFmtId="3" fontId="13" fillId="2" borderId="3" xfId="0" applyNumberFormat="1" applyFont="1" applyFill="1" applyBorder="1" applyAlignment="1" applyProtection="1">
      <alignment horizontal="centerContinuous" vertical="top" wrapText="1"/>
    </xf>
    <xf numFmtId="172" fontId="16" fillId="2" borderId="0" xfId="0" applyNumberFormat="1" applyFont="1" applyFill="1" applyProtection="1"/>
    <xf numFmtId="172" fontId="13" fillId="2" borderId="13" xfId="0" applyNumberFormat="1" applyFont="1" applyFill="1" applyBorder="1" applyAlignment="1" applyProtection="1">
      <alignment horizontal="left"/>
    </xf>
    <xf numFmtId="173" fontId="13" fillId="2" borderId="1" xfId="0" applyNumberFormat="1" applyFont="1" applyFill="1" applyBorder="1" applyAlignment="1" applyProtection="1">
      <alignment horizontal="left"/>
    </xf>
    <xf numFmtId="0" fontId="16" fillId="6" borderId="9" xfId="0" applyFont="1" applyFill="1" applyBorder="1" applyAlignment="1" applyProtection="1">
      <alignment horizontal="center"/>
      <protection locked="0"/>
    </xf>
    <xf numFmtId="174" fontId="13" fillId="2" borderId="1" xfId="0" applyNumberFormat="1" applyFont="1" applyFill="1" applyBorder="1" applyAlignment="1" applyProtection="1">
      <alignment horizontal="left"/>
      <protection locked="0"/>
    </xf>
    <xf numFmtId="166" fontId="17" fillId="0" borderId="0" xfId="3" applyNumberFormat="1" applyFont="1" applyFill="1" applyBorder="1" applyProtection="1"/>
    <xf numFmtId="1" fontId="17" fillId="0" borderId="0" xfId="0" applyNumberFormat="1" applyFont="1" applyFill="1" applyProtection="1"/>
    <xf numFmtId="166" fontId="17" fillId="0" borderId="0" xfId="3" applyNumberFormat="1" applyFont="1" applyFill="1" applyProtection="1"/>
    <xf numFmtId="171" fontId="17" fillId="0" borderId="0" xfId="0" applyNumberFormat="1" applyFont="1" applyFill="1" applyProtection="1"/>
    <xf numFmtId="9" fontId="0" fillId="0" borderId="0" xfId="0" applyNumberFormat="1" applyFill="1" applyProtection="1"/>
    <xf numFmtId="3" fontId="4" fillId="5" borderId="17" xfId="0" applyNumberFormat="1" applyFont="1" applyFill="1" applyBorder="1" applyAlignment="1" applyProtection="1">
      <alignment vertical="center"/>
    </xf>
    <xf numFmtId="0" fontId="19" fillId="0" borderId="44" xfId="0" applyFont="1" applyFill="1" applyBorder="1" applyAlignment="1" applyProtection="1">
      <alignment horizontal="centerContinuous" vertical="center" wrapText="1"/>
      <protection locked="0"/>
    </xf>
    <xf numFmtId="0" fontId="8" fillId="0" borderId="3" xfId="0" applyFont="1" applyFill="1" applyBorder="1" applyAlignment="1" applyProtection="1">
      <alignment horizontal="left"/>
    </xf>
    <xf numFmtId="0" fontId="7" fillId="5" borderId="2" xfId="0" applyFont="1" applyFill="1" applyBorder="1" applyAlignment="1" applyProtection="1">
      <alignment horizontal="center"/>
    </xf>
    <xf numFmtId="0" fontId="7" fillId="5" borderId="8" xfId="0" applyFont="1" applyFill="1" applyBorder="1" applyAlignment="1" applyProtection="1">
      <alignment horizontal="center"/>
    </xf>
    <xf numFmtId="0" fontId="7" fillId="5" borderId="15" xfId="0" applyFont="1" applyFill="1" applyBorder="1" applyAlignment="1" applyProtection="1">
      <alignment horizontal="center"/>
    </xf>
    <xf numFmtId="0" fontId="0" fillId="0" borderId="11" xfId="0" applyBorder="1" applyProtection="1"/>
    <xf numFmtId="9" fontId="7" fillId="0" borderId="11" xfId="3" applyFont="1" applyFill="1" applyBorder="1" applyAlignment="1" applyProtection="1">
      <alignment horizontal="centerContinuous" vertical="center" wrapText="1"/>
    </xf>
    <xf numFmtId="0" fontId="0" fillId="0" borderId="1" xfId="0" applyBorder="1" applyProtection="1"/>
    <xf numFmtId="3" fontId="7" fillId="0" borderId="1" xfId="0" applyNumberFormat="1" applyFont="1" applyBorder="1" applyProtection="1"/>
    <xf numFmtId="3" fontId="0" fillId="0" borderId="1" xfId="0" applyNumberFormat="1" applyBorder="1" applyProtection="1"/>
    <xf numFmtId="0" fontId="0" fillId="14" borderId="1" xfId="0" applyFill="1" applyBorder="1" applyProtection="1"/>
    <xf numFmtId="0" fontId="0" fillId="15" borderId="1" xfId="0" applyFill="1" applyBorder="1" applyProtection="1"/>
    <xf numFmtId="0" fontId="0" fillId="13" borderId="1" xfId="0" applyFill="1" applyBorder="1" applyProtection="1"/>
    <xf numFmtId="0" fontId="0" fillId="16" borderId="1" xfId="0" applyFill="1" applyBorder="1" applyProtection="1"/>
    <xf numFmtId="0" fontId="0" fillId="17" borderId="1" xfId="0" applyFill="1" applyBorder="1" applyProtection="1"/>
    <xf numFmtId="0" fontId="0" fillId="18" borderId="1" xfId="0" applyFill="1" applyBorder="1" applyProtection="1"/>
    <xf numFmtId="0" fontId="0" fillId="4" borderId="1" xfId="0" applyFill="1" applyBorder="1" applyProtection="1"/>
    <xf numFmtId="0" fontId="0" fillId="2" borderId="1" xfId="0" applyFill="1" applyBorder="1" applyProtection="1"/>
    <xf numFmtId="0" fontId="0" fillId="19" borderId="1" xfId="0" applyFill="1" applyBorder="1" applyProtection="1"/>
    <xf numFmtId="0" fontId="0" fillId="20" borderId="1" xfId="0" applyFill="1" applyBorder="1" applyProtection="1"/>
    <xf numFmtId="0" fontId="0" fillId="12" borderId="1" xfId="0" applyFill="1" applyBorder="1" applyProtection="1"/>
    <xf numFmtId="0" fontId="0" fillId="21" borderId="1" xfId="0" applyFill="1" applyBorder="1" applyProtection="1"/>
    <xf numFmtId="0" fontId="0" fillId="22" borderId="1" xfId="0" applyFill="1" applyBorder="1" applyProtection="1"/>
    <xf numFmtId="0" fontId="0" fillId="8" borderId="1" xfId="0" applyFill="1" applyBorder="1" applyProtection="1"/>
    <xf numFmtId="0" fontId="0" fillId="23" borderId="1" xfId="0" applyFill="1" applyBorder="1" applyProtection="1"/>
    <xf numFmtId="0" fontId="0" fillId="6" borderId="1" xfId="0" applyFill="1" applyBorder="1" applyProtection="1"/>
    <xf numFmtId="0" fontId="0" fillId="0" borderId="3" xfId="0" applyBorder="1" applyProtection="1"/>
    <xf numFmtId="0" fontId="5" fillId="0" borderId="3" xfId="0" applyFont="1" applyBorder="1" applyAlignment="1" applyProtection="1">
      <alignment horizontal="left"/>
    </xf>
    <xf numFmtId="3" fontId="0" fillId="0" borderId="3" xfId="0" applyNumberFormat="1" applyFill="1" applyBorder="1" applyProtection="1"/>
    <xf numFmtId="3" fontId="4" fillId="0" borderId="3" xfId="0" applyNumberFormat="1" applyFont="1" applyFill="1" applyBorder="1" applyProtection="1">
      <protection locked="0"/>
    </xf>
    <xf numFmtId="3" fontId="7" fillId="0" borderId="3" xfId="0" applyNumberFormat="1" applyFont="1" applyFill="1" applyBorder="1" applyProtection="1">
      <protection locked="0"/>
    </xf>
    <xf numFmtId="9" fontId="0" fillId="0" borderId="3" xfId="3" applyFont="1" applyFill="1" applyBorder="1" applyProtection="1"/>
    <xf numFmtId="9" fontId="7" fillId="0" borderId="9" xfId="3" applyFont="1" applyFill="1" applyBorder="1" applyAlignment="1" applyProtection="1">
      <alignment horizontal="centerContinuous" vertical="center" wrapText="1"/>
    </xf>
    <xf numFmtId="0" fontId="7" fillId="0" borderId="11" xfId="0" applyNumberFormat="1" applyFont="1" applyBorder="1" applyAlignment="1" applyProtection="1">
      <alignment horizontal="left"/>
    </xf>
    <xf numFmtId="0" fontId="0" fillId="0" borderId="1" xfId="0" applyNumberFormat="1" applyFill="1" applyBorder="1" applyAlignment="1" applyProtection="1"/>
    <xf numFmtId="0" fontId="0" fillId="0" borderId="1" xfId="0" applyNumberFormat="1" applyBorder="1" applyAlignment="1" applyProtection="1">
      <alignment horizontal="left"/>
    </xf>
    <xf numFmtId="0" fontId="0" fillId="0" borderId="1" xfId="0" applyNumberFormat="1" applyFill="1" applyBorder="1" applyProtection="1"/>
    <xf numFmtId="0" fontId="0" fillId="0" borderId="3" xfId="0" applyFill="1" applyBorder="1" applyProtection="1"/>
    <xf numFmtId="0" fontId="0" fillId="0" borderId="3" xfId="0" applyNumberFormat="1" applyBorder="1" applyAlignment="1" applyProtection="1">
      <alignment horizontal="left"/>
    </xf>
    <xf numFmtId="0" fontId="0" fillId="0" borderId="9" xfId="0" applyFill="1" applyBorder="1" applyAlignment="1" applyProtection="1">
      <alignment horizontal="center"/>
    </xf>
    <xf numFmtId="0" fontId="0" fillId="0" borderId="1" xfId="0" applyFill="1" applyBorder="1" applyAlignment="1" applyProtection="1"/>
    <xf numFmtId="9" fontId="7" fillId="0" borderId="1" xfId="3" applyFont="1" applyFill="1" applyBorder="1" applyAlignment="1" applyProtection="1">
      <alignment horizontal="centerContinuous" vertical="center" wrapText="1"/>
    </xf>
    <xf numFmtId="0" fontId="7" fillId="0" borderId="1" xfId="0" applyFont="1" applyFill="1" applyBorder="1" applyAlignment="1" applyProtection="1"/>
    <xf numFmtId="0" fontId="0" fillId="0" borderId="3" xfId="0" applyFill="1" applyBorder="1" applyAlignment="1" applyProtection="1"/>
    <xf numFmtId="3" fontId="4" fillId="0" borderId="3" xfId="0" applyNumberFormat="1" applyFont="1" applyBorder="1" applyProtection="1">
      <protection locked="0"/>
    </xf>
    <xf numFmtId="0" fontId="0" fillId="0" borderId="9" xfId="0" applyFill="1" applyBorder="1" applyAlignment="1" applyProtection="1"/>
    <xf numFmtId="0" fontId="19"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7" fillId="5" borderId="0" xfId="0" applyFont="1" applyFill="1" applyAlignment="1" applyProtection="1">
      <alignment horizontal="left"/>
    </xf>
    <xf numFmtId="0" fontId="29" fillId="2" borderId="70" xfId="0" applyNumberFormat="1" applyFont="1" applyFill="1" applyBorder="1" applyAlignment="1" applyProtection="1">
      <alignment horizontal="left"/>
    </xf>
    <xf numFmtId="0" fontId="0" fillId="5" borderId="71" xfId="0" applyFill="1" applyBorder="1" applyProtection="1"/>
    <xf numFmtId="0" fontId="8" fillId="2" borderId="72" xfId="0" applyFont="1" applyFill="1" applyBorder="1" applyAlignment="1" applyProtection="1">
      <alignment horizontal="left" vertical="top" wrapText="1"/>
    </xf>
    <xf numFmtId="3" fontId="7" fillId="2" borderId="73" xfId="0" applyNumberFormat="1" applyFont="1" applyFill="1" applyBorder="1" applyProtection="1"/>
    <xf numFmtId="3" fontId="7" fillId="2" borderId="74" xfId="0" applyNumberFormat="1" applyFont="1" applyFill="1" applyBorder="1" applyProtection="1"/>
    <xf numFmtId="3" fontId="7" fillId="2" borderId="73" xfId="0" applyNumberFormat="1" applyFont="1" applyFill="1" applyBorder="1" applyProtection="1">
      <protection locked="0"/>
    </xf>
    <xf numFmtId="3" fontId="7" fillId="2" borderId="74" xfId="0" applyNumberFormat="1" applyFont="1" applyFill="1" applyBorder="1" applyProtection="1">
      <protection locked="0"/>
    </xf>
    <xf numFmtId="0" fontId="29" fillId="2" borderId="75" xfId="0" applyNumberFormat="1" applyFont="1" applyFill="1" applyBorder="1" applyAlignment="1" applyProtection="1">
      <alignment horizontal="left"/>
    </xf>
    <xf numFmtId="0" fontId="29" fillId="2" borderId="76" xfId="0" applyNumberFormat="1" applyFont="1" applyFill="1" applyBorder="1" applyAlignment="1" applyProtection="1">
      <alignment horizontal="left"/>
    </xf>
    <xf numFmtId="0" fontId="8" fillId="2" borderId="77" xfId="0" applyFont="1" applyFill="1" applyBorder="1" applyAlignment="1" applyProtection="1">
      <alignment horizontal="left" vertical="justify"/>
    </xf>
    <xf numFmtId="3" fontId="7" fillId="2" borderId="75" xfId="0" applyNumberFormat="1" applyFont="1" applyFill="1" applyBorder="1" applyProtection="1"/>
    <xf numFmtId="3" fontId="7" fillId="2" borderId="78" xfId="0" applyNumberFormat="1" applyFont="1" applyFill="1" applyBorder="1" applyProtection="1"/>
    <xf numFmtId="9" fontId="7" fillId="2" borderId="75" xfId="3" applyFont="1" applyFill="1" applyBorder="1" applyProtection="1">
      <protection locked="0"/>
    </xf>
    <xf numFmtId="9" fontId="7" fillId="2" borderId="78" xfId="3" applyFont="1" applyFill="1" applyBorder="1" applyProtection="1">
      <protection locked="0"/>
    </xf>
    <xf numFmtId="0" fontId="5" fillId="2" borderId="77" xfId="0" applyFont="1" applyFill="1" applyBorder="1" applyAlignment="1" applyProtection="1">
      <alignment horizontal="left" vertical="justify"/>
    </xf>
    <xf numFmtId="3" fontId="4" fillId="2" borderId="75" xfId="0" applyNumberFormat="1" applyFont="1" applyFill="1" applyBorder="1" applyProtection="1"/>
    <xf numFmtId="3" fontId="4" fillId="2" borderId="78" xfId="0" applyNumberFormat="1" applyFont="1" applyFill="1" applyBorder="1" applyProtection="1"/>
    <xf numFmtId="9" fontId="4" fillId="0" borderId="75" xfId="3" applyFont="1" applyBorder="1" applyProtection="1">
      <protection locked="0"/>
    </xf>
    <xf numFmtId="9" fontId="4" fillId="0" borderId="78" xfId="3" applyFont="1" applyBorder="1" applyProtection="1">
      <protection locked="0"/>
    </xf>
    <xf numFmtId="3" fontId="7" fillId="2" borderId="75" xfId="0" applyNumberFormat="1" applyFont="1" applyFill="1" applyBorder="1" applyAlignment="1" applyProtection="1">
      <alignment horizontal="right" vertical="top" wrapText="1"/>
    </xf>
    <xf numFmtId="3" fontId="7" fillId="2" borderId="78" xfId="0" applyNumberFormat="1" applyFont="1" applyFill="1" applyBorder="1" applyAlignment="1" applyProtection="1">
      <alignment horizontal="right" vertical="top" wrapText="1"/>
    </xf>
    <xf numFmtId="9" fontId="0" fillId="2" borderId="78" xfId="3" applyFont="1" applyFill="1" applyBorder="1" applyProtection="1">
      <protection locked="0"/>
    </xf>
    <xf numFmtId="9" fontId="4" fillId="0" borderId="78" xfId="3" applyFont="1" applyFill="1" applyBorder="1" applyProtection="1">
      <protection locked="0"/>
    </xf>
    <xf numFmtId="9" fontId="4" fillId="2" borderId="78" xfId="3" applyFont="1" applyFill="1" applyBorder="1" applyProtection="1">
      <protection locked="0"/>
    </xf>
    <xf numFmtId="0" fontId="8" fillId="2" borderId="75" xfId="0" applyFont="1" applyFill="1" applyBorder="1" applyAlignment="1" applyProtection="1">
      <alignment horizontal="right"/>
    </xf>
    <xf numFmtId="0" fontId="8" fillId="2" borderId="78" xfId="0" applyFont="1" applyFill="1" applyBorder="1" applyAlignment="1" applyProtection="1">
      <alignment horizontal="right"/>
    </xf>
    <xf numFmtId="9" fontId="7" fillId="0" borderId="78" xfId="3" applyFont="1" applyBorder="1" applyProtection="1">
      <protection locked="0"/>
    </xf>
    <xf numFmtId="0" fontId="5" fillId="2" borderId="75" xfId="0" applyFont="1" applyFill="1" applyBorder="1" applyAlignment="1" applyProtection="1">
      <alignment horizontal="right"/>
    </xf>
    <xf numFmtId="0" fontId="5" fillId="2" borderId="78" xfId="0" applyFont="1" applyFill="1" applyBorder="1" applyAlignment="1" applyProtection="1">
      <alignment horizontal="right"/>
    </xf>
    <xf numFmtId="9" fontId="0" fillId="0" borderId="78" xfId="3" applyFont="1" applyBorder="1" applyProtection="1">
      <protection locked="0"/>
    </xf>
    <xf numFmtId="3" fontId="4" fillId="2" borderId="75" xfId="0" applyNumberFormat="1" applyFont="1" applyFill="1" applyBorder="1" applyProtection="1">
      <protection locked="0"/>
    </xf>
    <xf numFmtId="3" fontId="4" fillId="2" borderId="78" xfId="0" applyNumberFormat="1" applyFont="1" applyFill="1" applyBorder="1" applyProtection="1">
      <protection locked="0"/>
    </xf>
    <xf numFmtId="3" fontId="4" fillId="2" borderId="76" xfId="0" applyNumberFormat="1" applyFont="1" applyFill="1" applyBorder="1" applyProtection="1">
      <protection locked="0"/>
    </xf>
    <xf numFmtId="3" fontId="7" fillId="2" borderId="78" xfId="0" applyNumberFormat="1" applyFont="1" applyFill="1" applyBorder="1" applyProtection="1">
      <protection locked="0"/>
    </xf>
    <xf numFmtId="3" fontId="26" fillId="6" borderId="75" xfId="0" applyNumberFormat="1" applyFont="1" applyFill="1" applyBorder="1" applyProtection="1"/>
    <xf numFmtId="0" fontId="29" fillId="2" borderId="79" xfId="0" applyNumberFormat="1" applyFont="1" applyFill="1" applyBorder="1" applyAlignment="1" applyProtection="1">
      <alignment horizontal="left"/>
    </xf>
    <xf numFmtId="0" fontId="29" fillId="2" borderId="80" xfId="0" applyNumberFormat="1" applyFont="1" applyFill="1" applyBorder="1" applyAlignment="1" applyProtection="1">
      <alignment horizontal="left"/>
    </xf>
    <xf numFmtId="0" fontId="5" fillId="2" borderId="81" xfId="0" applyFont="1" applyFill="1" applyBorder="1" applyAlignment="1" applyProtection="1">
      <alignment horizontal="left" vertical="justify"/>
    </xf>
    <xf numFmtId="3" fontId="4" fillId="2" borderId="79" xfId="0" applyNumberFormat="1" applyFont="1" applyFill="1" applyBorder="1" applyProtection="1"/>
    <xf numFmtId="3" fontId="4" fillId="2" borderId="82" xfId="0" applyNumberFormat="1" applyFont="1" applyFill="1" applyBorder="1" applyProtection="1"/>
    <xf numFmtId="9" fontId="4" fillId="0" borderId="82" xfId="3" applyFont="1" applyFill="1" applyBorder="1" applyProtection="1">
      <protection locked="0"/>
    </xf>
    <xf numFmtId="9" fontId="4" fillId="2" borderId="75" xfId="3" applyFont="1" applyFill="1" applyBorder="1" applyProtection="1">
      <protection locked="0"/>
    </xf>
    <xf numFmtId="167" fontId="40" fillId="5" borderId="0" xfId="0" applyNumberFormat="1" applyFont="1" applyFill="1" applyBorder="1" applyAlignment="1" applyProtection="1">
      <alignment horizontal="centerContinuous"/>
    </xf>
    <xf numFmtId="0" fontId="40" fillId="5" borderId="0" xfId="0" applyFont="1" applyFill="1" applyBorder="1" applyAlignment="1" applyProtection="1">
      <alignment horizontal="centerContinuous"/>
    </xf>
    <xf numFmtId="4" fontId="40" fillId="5" borderId="0" xfId="0" applyNumberFormat="1" applyFont="1" applyFill="1" applyBorder="1" applyAlignment="1" applyProtection="1">
      <alignment horizontal="centerContinuous"/>
    </xf>
    <xf numFmtId="168" fontId="40" fillId="5" borderId="0" xfId="0" applyNumberFormat="1" applyFont="1" applyFill="1" applyBorder="1" applyAlignment="1" applyProtection="1">
      <alignment horizontal="centerContinuous"/>
    </xf>
    <xf numFmtId="0" fontId="47" fillId="0" borderId="0" xfId="0" applyFont="1" applyFill="1" applyAlignment="1" applyProtection="1">
      <alignment vertical="center"/>
    </xf>
    <xf numFmtId="3" fontId="43" fillId="2" borderId="41" xfId="0" applyNumberFormat="1" applyFont="1" applyFill="1" applyBorder="1" applyAlignment="1" applyProtection="1">
      <alignment horizontal="center" vertical="center" wrapText="1"/>
      <protection locked="0"/>
    </xf>
    <xf numFmtId="3" fontId="43" fillId="2" borderId="40" xfId="0" applyNumberFormat="1" applyFont="1" applyFill="1" applyBorder="1" applyAlignment="1" applyProtection="1">
      <alignment vertical="center"/>
    </xf>
    <xf numFmtId="3" fontId="42" fillId="2" borderId="40" xfId="0" applyNumberFormat="1" applyFont="1" applyFill="1" applyBorder="1" applyAlignment="1" applyProtection="1">
      <alignment vertical="center"/>
    </xf>
    <xf numFmtId="3" fontId="43" fillId="2" borderId="20" xfId="0" applyNumberFormat="1" applyFont="1" applyFill="1" applyBorder="1" applyAlignment="1" applyProtection="1">
      <alignment vertical="center"/>
    </xf>
    <xf numFmtId="3" fontId="43" fillId="4" borderId="41" xfId="0" applyNumberFormat="1" applyFont="1" applyFill="1" applyBorder="1" applyAlignment="1" applyProtection="1">
      <alignment vertical="center"/>
      <protection locked="0"/>
    </xf>
    <xf numFmtId="3" fontId="43" fillId="4" borderId="40" xfId="0" applyNumberFormat="1" applyFont="1" applyFill="1" applyBorder="1" applyAlignment="1" applyProtection="1">
      <alignment vertical="center"/>
      <protection locked="0"/>
    </xf>
    <xf numFmtId="3" fontId="43" fillId="4" borderId="40" xfId="0" applyNumberFormat="1" applyFont="1" applyFill="1" applyBorder="1" applyAlignment="1" applyProtection="1">
      <alignment vertical="center"/>
    </xf>
    <xf numFmtId="3" fontId="42" fillId="4" borderId="40" xfId="0" applyNumberFormat="1" applyFont="1" applyFill="1" applyBorder="1" applyAlignment="1" applyProtection="1">
      <alignment vertical="center"/>
    </xf>
    <xf numFmtId="3" fontId="43" fillId="4" borderId="38" xfId="0" applyNumberFormat="1" applyFont="1" applyFill="1" applyBorder="1" applyAlignment="1" applyProtection="1">
      <alignment vertical="center"/>
      <protection locked="0"/>
    </xf>
    <xf numFmtId="3" fontId="43" fillId="4" borderId="38" xfId="0" applyNumberFormat="1" applyFont="1" applyFill="1" applyBorder="1" applyAlignment="1" applyProtection="1">
      <alignment vertical="center"/>
    </xf>
    <xf numFmtId="3" fontId="42" fillId="4" borderId="38" xfId="0" applyNumberFormat="1" applyFont="1" applyFill="1" applyBorder="1" applyAlignment="1" applyProtection="1">
      <alignment vertical="center"/>
    </xf>
    <xf numFmtId="0" fontId="49" fillId="4" borderId="1" xfId="0" applyFont="1" applyFill="1" applyBorder="1" applyAlignment="1" applyProtection="1">
      <alignment vertical="center"/>
    </xf>
    <xf numFmtId="3" fontId="43" fillId="4" borderId="20" xfId="0" applyNumberFormat="1" applyFont="1" applyFill="1" applyBorder="1" applyAlignment="1" applyProtection="1">
      <alignment vertical="center"/>
    </xf>
    <xf numFmtId="0" fontId="43" fillId="10" borderId="41" xfId="0" applyFont="1" applyFill="1" applyBorder="1" applyAlignment="1" applyProtection="1">
      <alignment vertical="center"/>
    </xf>
    <xf numFmtId="3" fontId="43" fillId="10" borderId="41" xfId="0" applyNumberFormat="1" applyFont="1" applyFill="1" applyBorder="1" applyAlignment="1" applyProtection="1">
      <alignment vertical="center"/>
      <protection locked="0"/>
    </xf>
    <xf numFmtId="0" fontId="43" fillId="10" borderId="40" xfId="0" applyFont="1" applyFill="1" applyBorder="1" applyAlignment="1" applyProtection="1">
      <alignment vertical="center"/>
    </xf>
    <xf numFmtId="3" fontId="43" fillId="10" borderId="40" xfId="0" applyNumberFormat="1" applyFont="1" applyFill="1" applyBorder="1" applyAlignment="1" applyProtection="1">
      <alignment vertical="center"/>
      <protection locked="0"/>
    </xf>
    <xf numFmtId="3" fontId="43" fillId="10" borderId="40" xfId="0" applyNumberFormat="1" applyFont="1" applyFill="1" applyBorder="1" applyAlignment="1" applyProtection="1">
      <alignment vertical="center"/>
    </xf>
    <xf numFmtId="0" fontId="43" fillId="8" borderId="1" xfId="0" applyFont="1" applyFill="1" applyBorder="1" applyAlignment="1">
      <alignment horizontal="left" vertical="center"/>
    </xf>
    <xf numFmtId="3" fontId="42" fillId="10" borderId="40" xfId="0" applyNumberFormat="1" applyFont="1" applyFill="1" applyBorder="1" applyAlignment="1" applyProtection="1">
      <alignment vertical="center"/>
    </xf>
    <xf numFmtId="49" fontId="42" fillId="8" borderId="1" xfId="0" applyNumberFormat="1" applyFont="1" applyFill="1" applyBorder="1" applyAlignment="1" applyProtection="1">
      <alignment horizontal="left" vertical="center"/>
    </xf>
    <xf numFmtId="0" fontId="42" fillId="8" borderId="1" xfId="0" applyNumberFormat="1" applyFont="1" applyFill="1" applyBorder="1" applyAlignment="1" applyProtection="1">
      <alignment horizontal="left" vertical="center"/>
    </xf>
    <xf numFmtId="49" fontId="43" fillId="8" borderId="1" xfId="0" applyNumberFormat="1" applyFont="1" applyFill="1" applyBorder="1" applyAlignment="1" applyProtection="1">
      <alignment horizontal="left" vertical="center"/>
    </xf>
    <xf numFmtId="0" fontId="43" fillId="8" borderId="1" xfId="0" applyNumberFormat="1" applyFont="1" applyFill="1" applyBorder="1" applyAlignment="1" applyProtection="1">
      <alignment horizontal="left" vertical="center"/>
    </xf>
    <xf numFmtId="0" fontId="40" fillId="0" borderId="1" xfId="0" applyFont="1" applyFill="1" applyBorder="1" applyAlignment="1" applyProtection="1">
      <alignment vertical="center"/>
    </xf>
    <xf numFmtId="49" fontId="49" fillId="8" borderId="1" xfId="0" applyNumberFormat="1" applyFont="1" applyFill="1" applyBorder="1" applyAlignment="1" applyProtection="1">
      <alignment horizontal="left" vertical="center"/>
    </xf>
    <xf numFmtId="0" fontId="49" fillId="8" borderId="1" xfId="0" applyNumberFormat="1" applyFont="1" applyFill="1" applyBorder="1" applyAlignment="1" applyProtection="1">
      <alignment horizontal="left" vertical="center"/>
    </xf>
    <xf numFmtId="0" fontId="43" fillId="8" borderId="1" xfId="0" applyFont="1" applyFill="1" applyBorder="1" applyAlignment="1">
      <alignment vertical="center"/>
    </xf>
    <xf numFmtId="3" fontId="42" fillId="10" borderId="40" xfId="0" applyNumberFormat="1" applyFont="1" applyFill="1" applyBorder="1" applyAlignment="1" applyProtection="1">
      <alignment vertical="center"/>
      <protection locked="0"/>
    </xf>
    <xf numFmtId="3" fontId="42" fillId="10" borderId="38" xfId="0" applyNumberFormat="1" applyFont="1" applyFill="1" applyBorder="1" applyAlignment="1" applyProtection="1">
      <alignment vertical="center"/>
    </xf>
    <xf numFmtId="3" fontId="43" fillId="8" borderId="3" xfId="0" applyNumberFormat="1" applyFont="1" applyFill="1" applyBorder="1" applyAlignment="1">
      <alignment vertical="center"/>
    </xf>
    <xf numFmtId="0" fontId="43" fillId="10" borderId="20" xfId="0" applyFont="1" applyFill="1" applyBorder="1" applyAlignment="1" applyProtection="1">
      <alignment vertical="center"/>
    </xf>
    <xf numFmtId="3" fontId="43" fillId="10" borderId="20" xfId="0" applyNumberFormat="1" applyFont="1" applyFill="1" applyBorder="1" applyAlignment="1" applyProtection="1">
      <alignment vertical="center"/>
    </xf>
    <xf numFmtId="0" fontId="43" fillId="11" borderId="11" xfId="0" applyFont="1" applyFill="1" applyBorder="1" applyAlignment="1">
      <alignment vertical="center"/>
    </xf>
    <xf numFmtId="3" fontId="43" fillId="12" borderId="41" xfId="0" applyNumberFormat="1" applyFont="1" applyFill="1" applyBorder="1" applyAlignment="1" applyProtection="1">
      <alignment vertical="center"/>
      <protection locked="0"/>
    </xf>
    <xf numFmtId="0" fontId="43" fillId="11" borderId="1" xfId="0" applyFont="1" applyFill="1" applyBorder="1" applyAlignment="1">
      <alignment vertical="center"/>
    </xf>
    <xf numFmtId="3" fontId="43" fillId="12" borderId="40" xfId="0" applyNumberFormat="1" applyFont="1" applyFill="1" applyBorder="1" applyAlignment="1" applyProtection="1">
      <alignment vertical="center"/>
    </xf>
    <xf numFmtId="3" fontId="43" fillId="11" borderId="1" xfId="0" applyNumberFormat="1" applyFont="1" applyFill="1" applyBorder="1" applyAlignment="1">
      <alignment vertical="center"/>
    </xf>
    <xf numFmtId="3" fontId="42" fillId="12" borderId="40" xfId="0" applyNumberFormat="1" applyFont="1" applyFill="1" applyBorder="1" applyAlignment="1" applyProtection="1">
      <alignment vertical="center"/>
    </xf>
    <xf numFmtId="49" fontId="49" fillId="11" borderId="1" xfId="0" applyNumberFormat="1" applyFont="1" applyFill="1" applyBorder="1" applyAlignment="1" applyProtection="1">
      <alignment horizontal="left" vertical="center"/>
    </xf>
    <xf numFmtId="3" fontId="43" fillId="13" borderId="20" xfId="0" applyNumberFormat="1" applyFont="1" applyFill="1" applyBorder="1" applyAlignment="1" applyProtection="1">
      <alignment vertical="center"/>
    </xf>
    <xf numFmtId="0" fontId="28" fillId="0" borderId="3" xfId="0" applyFont="1" applyBorder="1" applyAlignment="1" applyProtection="1">
      <alignment horizontal="centerContinuous" vertical="center" wrapText="1"/>
    </xf>
    <xf numFmtId="49" fontId="28" fillId="0" borderId="11" xfId="0" applyNumberFormat="1" applyFont="1" applyFill="1" applyBorder="1" applyAlignment="1" applyProtection="1">
      <alignment horizontal="left"/>
    </xf>
    <xf numFmtId="0" fontId="8" fillId="0" borderId="11" xfId="0" applyFont="1" applyBorder="1" applyAlignment="1" applyProtection="1">
      <alignment horizontal="left"/>
    </xf>
    <xf numFmtId="0" fontId="30" fillId="0" borderId="1" xfId="0" applyNumberFormat="1" applyFont="1" applyFill="1" applyBorder="1" applyAlignment="1" applyProtection="1">
      <alignment horizontal="left"/>
    </xf>
    <xf numFmtId="0" fontId="8" fillId="0" borderId="3" xfId="0" applyFont="1" applyBorder="1" applyAlignment="1" applyProtection="1">
      <alignment horizontal="left"/>
    </xf>
    <xf numFmtId="9" fontId="52" fillId="0" borderId="11" xfId="3" applyFont="1" applyFill="1" applyBorder="1" applyAlignment="1" applyProtection="1">
      <protection locked="0"/>
    </xf>
    <xf numFmtId="0" fontId="7" fillId="0" borderId="1" xfId="0" applyFont="1" applyBorder="1" applyAlignment="1" applyProtection="1">
      <alignment horizontal="centerContinuous"/>
    </xf>
    <xf numFmtId="0" fontId="7" fillId="0" borderId="3" xfId="0" applyFont="1" applyBorder="1" applyAlignment="1" applyProtection="1">
      <alignment horizontal="centerContinuous"/>
    </xf>
    <xf numFmtId="0" fontId="0" fillId="0" borderId="58" xfId="0" applyFill="1" applyBorder="1" applyAlignment="1" applyProtection="1">
      <alignment horizontal="center"/>
    </xf>
    <xf numFmtId="0" fontId="0" fillId="0" borderId="59" xfId="0" applyFill="1" applyBorder="1" applyProtection="1"/>
    <xf numFmtId="1" fontId="40" fillId="2" borderId="12" xfId="0" applyNumberFormat="1" applyFont="1" applyFill="1" applyBorder="1" applyAlignment="1" applyProtection="1">
      <alignment horizontal="left"/>
      <protection locked="0"/>
    </xf>
    <xf numFmtId="0" fontId="31" fillId="6" borderId="11" xfId="0" applyFont="1" applyFill="1" applyBorder="1" applyAlignment="1" applyProtection="1">
      <alignment horizontal="right"/>
      <protection locked="0"/>
    </xf>
    <xf numFmtId="3" fontId="13" fillId="6" borderId="11" xfId="0" applyNumberFormat="1" applyFont="1" applyFill="1" applyBorder="1" applyAlignment="1" applyProtection="1">
      <alignment horizontal="center"/>
      <protection locked="0"/>
    </xf>
    <xf numFmtId="3" fontId="13" fillId="6" borderId="1" xfId="0" applyNumberFormat="1" applyFont="1" applyFill="1" applyBorder="1" applyAlignment="1" applyProtection="1">
      <alignment horizontal="center"/>
      <protection locked="0"/>
    </xf>
    <xf numFmtId="0" fontId="31" fillId="6" borderId="1" xfId="0" applyFont="1" applyFill="1" applyBorder="1" applyAlignment="1" applyProtection="1">
      <alignment horizontal="right"/>
      <protection locked="0"/>
    </xf>
    <xf numFmtId="171" fontId="31" fillId="6" borderId="1" xfId="0" applyNumberFormat="1" applyFont="1" applyFill="1" applyBorder="1" applyAlignment="1" applyProtection="1">
      <alignment horizontal="right"/>
      <protection locked="0"/>
    </xf>
    <xf numFmtId="171" fontId="31" fillId="6" borderId="3" xfId="0" applyNumberFormat="1" applyFont="1" applyFill="1" applyBorder="1" applyAlignment="1" applyProtection="1">
      <alignment horizontal="right"/>
      <protection locked="0"/>
    </xf>
    <xf numFmtId="0" fontId="31" fillId="24" borderId="11" xfId="0" applyFont="1" applyFill="1" applyBorder="1" applyAlignment="1" applyProtection="1">
      <alignment horizontal="right"/>
    </xf>
    <xf numFmtId="3" fontId="13" fillId="6" borderId="2" xfId="0" applyNumberFormat="1" applyFont="1" applyFill="1" applyBorder="1" applyAlignment="1" applyProtection="1">
      <alignment horizontal="center"/>
      <protection locked="0"/>
    </xf>
    <xf numFmtId="0" fontId="7" fillId="5" borderId="0" xfId="0" applyFont="1" applyFill="1" applyBorder="1" applyAlignment="1" applyProtection="1">
      <alignment horizontal="center"/>
    </xf>
    <xf numFmtId="0" fontId="7" fillId="5" borderId="58" xfId="0" applyFont="1" applyFill="1" applyBorder="1" applyAlignment="1" applyProtection="1">
      <alignment horizontal="centerContinuous"/>
    </xf>
    <xf numFmtId="0" fontId="7" fillId="5" borderId="59" xfId="0" applyFont="1" applyFill="1" applyBorder="1" applyAlignment="1" applyProtection="1">
      <alignment horizontal="centerContinuous"/>
    </xf>
    <xf numFmtId="0" fontId="7" fillId="5" borderId="0" xfId="0" applyFont="1" applyFill="1" applyBorder="1" applyAlignment="1" applyProtection="1">
      <alignment horizontal="centerContinuous"/>
    </xf>
    <xf numFmtId="0" fontId="7" fillId="5" borderId="59" xfId="0" applyFont="1" applyFill="1" applyBorder="1" applyAlignment="1" applyProtection="1">
      <alignment horizontal="center"/>
    </xf>
    <xf numFmtId="0" fontId="0" fillId="6" borderId="0" xfId="0" applyFill="1" applyProtection="1">
      <protection locked="0"/>
    </xf>
    <xf numFmtId="0" fontId="7" fillId="6" borderId="0" xfId="0" applyFont="1" applyFill="1" applyAlignment="1" applyProtection="1">
      <alignment horizontal="left" vertical="center"/>
    </xf>
    <xf numFmtId="0" fontId="0" fillId="5" borderId="26" xfId="0" applyFill="1" applyBorder="1" applyAlignment="1" applyProtection="1">
      <alignment horizontal="center" vertical="center"/>
      <protection locked="0"/>
    </xf>
    <xf numFmtId="0" fontId="5" fillId="8" borderId="1" xfId="0" applyFont="1" applyFill="1" applyBorder="1" applyAlignment="1" applyProtection="1">
      <alignment horizontal="left"/>
    </xf>
    <xf numFmtId="3" fontId="53" fillId="4" borderId="17" xfId="0" applyNumberFormat="1" applyFont="1" applyFill="1" applyBorder="1" applyAlignment="1" applyProtection="1">
      <alignment vertical="center"/>
    </xf>
    <xf numFmtId="3" fontId="53" fillId="4" borderId="18" xfId="0" applyNumberFormat="1" applyFont="1" applyFill="1" applyBorder="1" applyAlignment="1" applyProtection="1">
      <alignment vertical="center"/>
    </xf>
    <xf numFmtId="3" fontId="53" fillId="4" borderId="39" xfId="0" applyNumberFormat="1" applyFont="1" applyFill="1" applyBorder="1" applyAlignment="1" applyProtection="1">
      <alignment vertical="center"/>
    </xf>
    <xf numFmtId="3" fontId="53" fillId="8" borderId="18" xfId="0" applyNumberFormat="1" applyFont="1" applyFill="1" applyBorder="1" applyAlignment="1" applyProtection="1">
      <alignment vertical="center"/>
    </xf>
    <xf numFmtId="3" fontId="44" fillId="4" borderId="39" xfId="0" applyNumberFormat="1" applyFont="1" applyFill="1" applyBorder="1" applyAlignment="1" applyProtection="1">
      <alignment vertical="center"/>
    </xf>
    <xf numFmtId="3" fontId="44" fillId="8" borderId="39" xfId="0" applyNumberFormat="1" applyFont="1" applyFill="1" applyBorder="1" applyAlignment="1" applyProtection="1">
      <alignment vertical="center"/>
    </xf>
    <xf numFmtId="3" fontId="53" fillId="8" borderId="39" xfId="0" applyNumberFormat="1" applyFont="1" applyFill="1" applyBorder="1" applyAlignment="1" applyProtection="1">
      <alignment vertical="center"/>
    </xf>
    <xf numFmtId="3" fontId="53" fillId="8" borderId="17" xfId="0" applyNumberFormat="1" applyFont="1" applyFill="1" applyBorder="1" applyAlignment="1" applyProtection="1">
      <alignment vertical="center"/>
    </xf>
    <xf numFmtId="3" fontId="53" fillId="2" borderId="55" xfId="0" applyNumberFormat="1" applyFont="1" applyFill="1" applyBorder="1" applyAlignment="1" applyProtection="1">
      <alignment horizontal="right" vertical="center"/>
    </xf>
    <xf numFmtId="3" fontId="53" fillId="2" borderId="38" xfId="0" applyNumberFormat="1" applyFont="1" applyFill="1" applyBorder="1" applyAlignment="1" applyProtection="1">
      <alignment horizontal="right" vertical="center"/>
    </xf>
    <xf numFmtId="3" fontId="53" fillId="4" borderId="40" xfId="0" applyNumberFormat="1" applyFont="1" applyFill="1" applyBorder="1" applyAlignment="1" applyProtection="1">
      <alignment vertical="center"/>
    </xf>
    <xf numFmtId="3" fontId="53" fillId="4" borderId="38" xfId="0" applyNumberFormat="1" applyFont="1" applyFill="1" applyBorder="1" applyAlignment="1" applyProtection="1">
      <alignment vertical="center"/>
    </xf>
    <xf numFmtId="0" fontId="54" fillId="15" borderId="40" xfId="0" applyFont="1" applyFill="1" applyBorder="1" applyAlignment="1" applyProtection="1">
      <alignment vertical="center"/>
    </xf>
    <xf numFmtId="3" fontId="53" fillId="10" borderId="40" xfId="0" applyNumberFormat="1" applyFont="1" applyFill="1" applyBorder="1" applyAlignment="1" applyProtection="1">
      <alignment vertical="center"/>
    </xf>
    <xf numFmtId="3" fontId="44" fillId="4" borderId="38" xfId="0" applyNumberFormat="1" applyFont="1" applyFill="1" applyBorder="1" applyAlignment="1" applyProtection="1">
      <alignment vertical="center"/>
    </xf>
    <xf numFmtId="3" fontId="55" fillId="2" borderId="64" xfId="0" applyNumberFormat="1" applyFont="1" applyFill="1" applyBorder="1" applyAlignment="1" applyProtection="1">
      <alignment horizontal="right"/>
    </xf>
    <xf numFmtId="3" fontId="58" fillId="2" borderId="38" xfId="0" applyNumberFormat="1" applyFont="1" applyFill="1" applyBorder="1" applyAlignment="1" applyProtection="1">
      <alignment horizontal="right"/>
    </xf>
    <xf numFmtId="3" fontId="58" fillId="2" borderId="20" xfId="0" applyNumberFormat="1" applyFont="1" applyFill="1" applyBorder="1" applyAlignment="1" applyProtection="1">
      <alignment horizontal="right"/>
    </xf>
    <xf numFmtId="3" fontId="55" fillId="2" borderId="0" xfId="0" applyNumberFormat="1" applyFont="1" applyFill="1" applyBorder="1" applyAlignment="1" applyProtection="1">
      <alignment horizontal="right"/>
    </xf>
    <xf numFmtId="3" fontId="55" fillId="2" borderId="41" xfId="0" applyNumberFormat="1" applyFont="1" applyFill="1" applyBorder="1" applyAlignment="1" applyProtection="1">
      <alignment horizontal="right"/>
    </xf>
    <xf numFmtId="3" fontId="57" fillId="0" borderId="40" xfId="0" applyNumberFormat="1" applyFont="1" applyFill="1" applyBorder="1" applyAlignment="1" applyProtection="1">
      <alignment horizontal="right"/>
      <protection locked="0"/>
    </xf>
    <xf numFmtId="3" fontId="57" fillId="2" borderId="40" xfId="0" applyNumberFormat="1" applyFont="1" applyFill="1" applyBorder="1" applyAlignment="1" applyProtection="1">
      <alignment horizontal="right"/>
    </xf>
    <xf numFmtId="3" fontId="55" fillId="2" borderId="40" xfId="0" applyNumberFormat="1" applyFont="1" applyFill="1" applyBorder="1" applyAlignment="1" applyProtection="1">
      <alignment horizontal="right"/>
    </xf>
    <xf numFmtId="3" fontId="57" fillId="0" borderId="20" xfId="0" applyNumberFormat="1" applyFont="1" applyFill="1" applyBorder="1" applyAlignment="1" applyProtection="1">
      <alignment horizontal="right"/>
      <protection locked="0"/>
    </xf>
    <xf numFmtId="0" fontId="0" fillId="2" borderId="0" xfId="0" applyFill="1" applyProtection="1"/>
    <xf numFmtId="3" fontId="58" fillId="0" borderId="41" xfId="0" applyNumberFormat="1" applyFont="1" applyFill="1" applyBorder="1" applyAlignment="1" applyProtection="1">
      <alignment horizontal="right"/>
      <protection locked="0"/>
    </xf>
    <xf numFmtId="3" fontId="55" fillId="2" borderId="56" xfId="0" applyNumberFormat="1" applyFont="1" applyFill="1" applyBorder="1" applyAlignment="1" applyProtection="1">
      <alignment horizontal="right"/>
    </xf>
    <xf numFmtId="166" fontId="55" fillId="2" borderId="64" xfId="3" applyNumberFormat="1" applyFont="1" applyFill="1" applyBorder="1" applyAlignment="1" applyProtection="1">
      <alignment horizontal="right"/>
    </xf>
    <xf numFmtId="166" fontId="55" fillId="2" borderId="55" xfId="3" applyNumberFormat="1" applyFont="1" applyFill="1" applyBorder="1" applyAlignment="1" applyProtection="1">
      <alignment horizontal="right"/>
    </xf>
    <xf numFmtId="4" fontId="0" fillId="2" borderId="0" xfId="0" applyNumberFormat="1" applyFill="1" applyProtection="1"/>
    <xf numFmtId="4" fontId="59" fillId="2" borderId="0" xfId="0" applyNumberFormat="1" applyFont="1" applyFill="1" applyBorder="1" applyAlignment="1" applyProtection="1">
      <alignment horizontal="left"/>
    </xf>
    <xf numFmtId="168" fontId="59" fillId="2" borderId="0" xfId="0" applyNumberFormat="1" applyFont="1" applyFill="1" applyBorder="1" applyAlignment="1" applyProtection="1">
      <alignment horizontal="right"/>
    </xf>
    <xf numFmtId="0" fontId="59" fillId="2" borderId="0" xfId="0" applyFont="1" applyFill="1" applyBorder="1" applyAlignment="1" applyProtection="1">
      <alignment horizontal="center"/>
    </xf>
    <xf numFmtId="0" fontId="60" fillId="2" borderId="11" xfId="0" applyFont="1" applyFill="1" applyBorder="1" applyAlignment="1" applyProtection="1">
      <alignment horizontal="centerContinuous" vertical="center" wrapText="1"/>
    </xf>
    <xf numFmtId="0" fontId="60" fillId="2" borderId="3" xfId="0" applyFont="1" applyFill="1" applyBorder="1" applyAlignment="1" applyProtection="1">
      <alignment horizontal="centerContinuous" vertical="center" wrapText="1"/>
    </xf>
    <xf numFmtId="3" fontId="55" fillId="2" borderId="11" xfId="0" applyNumberFormat="1" applyFont="1" applyFill="1" applyBorder="1" applyAlignment="1" applyProtection="1">
      <alignment horizontal="right"/>
    </xf>
    <xf numFmtId="3" fontId="55" fillId="2" borderId="3" xfId="0" applyNumberFormat="1" applyFont="1" applyFill="1" applyBorder="1" applyAlignment="1" applyProtection="1">
      <alignment horizontal="right"/>
    </xf>
    <xf numFmtId="1" fontId="55" fillId="2" borderId="8" xfId="0" applyNumberFormat="1" applyFont="1" applyFill="1" applyBorder="1" applyAlignment="1" applyProtection="1">
      <alignment horizontal="center" wrapText="1"/>
    </xf>
    <xf numFmtId="0" fontId="55" fillId="2" borderId="1" xfId="0" applyFont="1" applyFill="1" applyBorder="1" applyAlignment="1" applyProtection="1">
      <alignment horizontal="centerContinuous" vertical="center" wrapText="1"/>
    </xf>
    <xf numFmtId="3" fontId="58" fillId="2" borderId="40" xfId="0" applyNumberFormat="1" applyFont="1" applyFill="1" applyBorder="1" applyAlignment="1" applyProtection="1">
      <alignment horizontal="right"/>
    </xf>
    <xf numFmtId="0" fontId="42" fillId="15" borderId="0" xfId="0" applyFont="1" applyFill="1" applyProtection="1"/>
    <xf numFmtId="0" fontId="44" fillId="2" borderId="20" xfId="0" applyFont="1" applyFill="1" applyBorder="1" applyAlignment="1" applyProtection="1">
      <alignment horizontal="left" vertical="center"/>
    </xf>
    <xf numFmtId="0" fontId="55" fillId="2" borderId="11" xfId="0" applyFont="1" applyFill="1" applyBorder="1" applyAlignment="1" applyProtection="1">
      <alignment horizontal="center" vertical="center" wrapText="1"/>
    </xf>
    <xf numFmtId="0" fontId="61" fillId="0" borderId="0" xfId="0" applyFont="1" applyFill="1" applyBorder="1" applyAlignment="1" applyProtection="1">
      <alignment horizontal="centerContinuous" vertical="center" wrapText="1"/>
    </xf>
    <xf numFmtId="0" fontId="45" fillId="0" borderId="0" xfId="0" applyFont="1" applyFill="1" applyProtection="1"/>
    <xf numFmtId="0" fontId="46" fillId="5" borderId="0" xfId="0" applyFont="1" applyFill="1" applyBorder="1" applyAlignment="1" applyProtection="1">
      <alignment horizontal="center"/>
    </xf>
    <xf numFmtId="0" fontId="8" fillId="2" borderId="11" xfId="0" applyFont="1" applyFill="1" applyBorder="1" applyAlignment="1" applyProtection="1">
      <alignment horizontal="centerContinuous" vertical="center" wrapText="1"/>
    </xf>
    <xf numFmtId="0" fontId="40" fillId="15" borderId="0" xfId="0" applyFont="1" applyFill="1" applyBorder="1" applyAlignment="1" applyProtection="1">
      <alignment horizontal="right"/>
    </xf>
    <xf numFmtId="0" fontId="46" fillId="15" borderId="0" xfId="0" applyFont="1" applyFill="1" applyBorder="1" applyAlignment="1" applyProtection="1">
      <alignment horizontal="centerContinuous"/>
    </xf>
    <xf numFmtId="0" fontId="40" fillId="15" borderId="0" xfId="0" applyFont="1" applyFill="1" applyBorder="1" applyAlignment="1" applyProtection="1">
      <alignment horizontal="center" vertical="center" wrapText="1"/>
    </xf>
    <xf numFmtId="4" fontId="40" fillId="15" borderId="0" xfId="0" applyNumberFormat="1" applyFont="1" applyFill="1" applyBorder="1" applyAlignment="1" applyProtection="1">
      <alignment horizontal="right" vertical="center"/>
    </xf>
    <xf numFmtId="4" fontId="41" fillId="15" borderId="0" xfId="0" applyNumberFormat="1" applyFont="1" applyFill="1" applyBorder="1" applyAlignment="1" applyProtection="1">
      <alignment horizontal="right" vertical="center"/>
    </xf>
    <xf numFmtId="3" fontId="42" fillId="15" borderId="0" xfId="0" applyNumberFormat="1" applyFont="1" applyFill="1" applyBorder="1" applyAlignment="1" applyProtection="1">
      <alignment horizontal="right" vertical="center"/>
    </xf>
    <xf numFmtId="0" fontId="41" fillId="15" borderId="0" xfId="0" applyFont="1" applyFill="1" applyBorder="1" applyAlignment="1" applyProtection="1">
      <alignment horizontal="left" vertical="center"/>
    </xf>
    <xf numFmtId="2" fontId="41" fillId="15" borderId="0" xfId="3" applyNumberFormat="1" applyFont="1" applyFill="1" applyBorder="1" applyAlignment="1" applyProtection="1">
      <alignment horizontal="right" vertical="center"/>
    </xf>
    <xf numFmtId="4" fontId="44" fillId="15" borderId="0" xfId="0" applyNumberFormat="1" applyFont="1" applyFill="1" applyBorder="1" applyAlignment="1" applyProtection="1">
      <alignment horizontal="right" vertical="center"/>
    </xf>
    <xf numFmtId="0" fontId="42" fillId="15" borderId="0" xfId="0" applyFont="1" applyFill="1" applyBorder="1" applyAlignment="1" applyProtection="1">
      <alignment vertical="center"/>
    </xf>
    <xf numFmtId="10" fontId="40" fillId="15" borderId="0" xfId="3" applyNumberFormat="1" applyFont="1" applyFill="1" applyBorder="1" applyAlignment="1" applyProtection="1">
      <alignment horizontal="right" vertical="center"/>
    </xf>
    <xf numFmtId="4" fontId="40" fillId="15" borderId="0" xfId="0" applyNumberFormat="1" applyFont="1" applyFill="1" applyBorder="1" applyAlignment="1" applyProtection="1">
      <alignment horizontal="center" vertical="center"/>
    </xf>
    <xf numFmtId="4" fontId="40" fillId="15" borderId="0" xfId="0" applyNumberFormat="1" applyFont="1" applyFill="1" applyBorder="1" applyAlignment="1" applyProtection="1">
      <alignment horizontal="right"/>
    </xf>
    <xf numFmtId="168" fontId="40" fillId="15" borderId="0" xfId="0" applyNumberFormat="1" applyFont="1" applyFill="1" applyBorder="1" applyAlignment="1" applyProtection="1">
      <alignment horizontal="centerContinuous"/>
    </xf>
    <xf numFmtId="168" fontId="40" fillId="15" borderId="0" xfId="0" applyNumberFormat="1" applyFont="1" applyFill="1" applyBorder="1" applyAlignment="1" applyProtection="1">
      <alignment horizontal="right"/>
    </xf>
    <xf numFmtId="4" fontId="41" fillId="15" borderId="0" xfId="0" applyNumberFormat="1" applyFont="1" applyFill="1" applyBorder="1" applyAlignment="1" applyProtection="1">
      <alignment horizontal="right"/>
    </xf>
    <xf numFmtId="0" fontId="42" fillId="15" borderId="0" xfId="0" applyFont="1" applyFill="1" applyAlignment="1" applyProtection="1">
      <alignment vertical="center"/>
    </xf>
    <xf numFmtId="0" fontId="43" fillId="5" borderId="52" xfId="0" applyFont="1" applyFill="1" applyBorder="1" applyAlignment="1" applyProtection="1">
      <alignment horizontal="centerContinuous" vertical="center"/>
    </xf>
    <xf numFmtId="0" fontId="56" fillId="0" borderId="0" xfId="0" applyFont="1" applyFill="1" applyBorder="1" applyAlignment="1" applyProtection="1">
      <alignment horizontal="centerContinuous" vertical="center"/>
    </xf>
    <xf numFmtId="0" fontId="56" fillId="2" borderId="0" xfId="0" applyFont="1" applyFill="1" applyBorder="1" applyAlignment="1" applyProtection="1">
      <alignment horizontal="centerContinuous" vertical="center"/>
    </xf>
    <xf numFmtId="3" fontId="57" fillId="6" borderId="40" xfId="0" applyNumberFormat="1" applyFont="1" applyFill="1" applyBorder="1" applyAlignment="1" applyProtection="1">
      <alignment horizontal="right"/>
    </xf>
    <xf numFmtId="1" fontId="40" fillId="2" borderId="9" xfId="0" applyNumberFormat="1" applyFont="1" applyFill="1" applyBorder="1" applyAlignment="1" applyProtection="1">
      <alignment horizontal="center" vertical="center" wrapText="1"/>
      <protection locked="0"/>
    </xf>
    <xf numFmtId="1" fontId="40" fillId="2" borderId="8" xfId="0" applyNumberFormat="1" applyFont="1" applyFill="1" applyBorder="1" applyAlignment="1" applyProtection="1">
      <alignment horizontal="center" vertical="center" wrapText="1"/>
    </xf>
    <xf numFmtId="1" fontId="55" fillId="2" borderId="56" xfId="0" applyNumberFormat="1" applyFont="1" applyFill="1" applyBorder="1" applyAlignment="1" applyProtection="1">
      <alignment horizontal="center" vertical="center" wrapText="1"/>
    </xf>
    <xf numFmtId="0" fontId="29" fillId="0" borderId="0" xfId="0" applyFont="1" applyFill="1" applyBorder="1" applyProtection="1"/>
    <xf numFmtId="0" fontId="11" fillId="0" borderId="0" xfId="0" applyFont="1" applyFill="1" applyBorder="1" applyAlignment="1" applyProtection="1">
      <alignment horizontal="right"/>
    </xf>
    <xf numFmtId="3" fontId="0" fillId="0" borderId="83" xfId="0" applyNumberFormat="1" applyBorder="1" applyProtection="1"/>
    <xf numFmtId="0" fontId="18" fillId="25" borderId="0" xfId="0" applyFont="1" applyFill="1" applyBorder="1" applyProtection="1"/>
    <xf numFmtId="3" fontId="0" fillId="0" borderId="84" xfId="0" applyNumberFormat="1" applyBorder="1" applyProtection="1"/>
    <xf numFmtId="9" fontId="0" fillId="0" borderId="84" xfId="3" applyFont="1" applyBorder="1" applyProtection="1"/>
    <xf numFmtId="0" fontId="19" fillId="25" borderId="0" xfId="0" applyFont="1" applyFill="1" applyBorder="1" applyProtection="1"/>
    <xf numFmtId="9" fontId="7" fillId="0" borderId="0" xfId="3" applyFont="1" applyFill="1" applyBorder="1" applyProtection="1"/>
    <xf numFmtId="3" fontId="7" fillId="0" borderId="84" xfId="0" applyNumberFormat="1" applyFont="1" applyBorder="1" applyProtection="1"/>
    <xf numFmtId="3" fontId="0" fillId="0" borderId="85" xfId="0" applyNumberFormat="1" applyBorder="1" applyProtection="1"/>
    <xf numFmtId="9" fontId="0" fillId="0" borderId="86" xfId="3" applyFont="1" applyBorder="1" applyAlignment="1" applyProtection="1">
      <alignment horizontal="center" wrapText="1"/>
    </xf>
    <xf numFmtId="9" fontId="0" fillId="0" borderId="87" xfId="3" applyFont="1" applyBorder="1" applyAlignment="1" applyProtection="1">
      <alignment horizontal="center"/>
    </xf>
    <xf numFmtId="0" fontId="0" fillId="0" borderId="0" xfId="0" applyAlignment="1" applyProtection="1">
      <alignment horizontal="center"/>
    </xf>
    <xf numFmtId="9" fontId="7" fillId="2" borderId="9" xfId="3" applyFont="1" applyFill="1" applyBorder="1" applyProtection="1"/>
    <xf numFmtId="9" fontId="11" fillId="2" borderId="9" xfId="3" applyFont="1" applyFill="1" applyBorder="1" applyProtection="1"/>
    <xf numFmtId="0" fontId="2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25" borderId="0" xfId="0" applyFont="1" applyFill="1" applyBorder="1" applyAlignment="1" applyProtection="1">
      <alignment vertical="center"/>
    </xf>
    <xf numFmtId="0" fontId="16" fillId="0" borderId="0" xfId="0" applyFont="1" applyFill="1" applyBorder="1" applyProtection="1"/>
    <xf numFmtId="3" fontId="13" fillId="0" borderId="0" xfId="0" applyNumberFormat="1" applyFont="1" applyFill="1" applyBorder="1" applyAlignment="1" applyProtection="1">
      <alignment horizontal="center"/>
    </xf>
    <xf numFmtId="3" fontId="13" fillId="0" borderId="0" xfId="0" applyNumberFormat="1" applyFont="1" applyFill="1" applyBorder="1" applyAlignment="1" applyProtection="1">
      <alignment horizontal="center" vertical="center" wrapText="1"/>
    </xf>
    <xf numFmtId="3" fontId="13" fillId="0" borderId="0" xfId="0" applyNumberFormat="1" applyFont="1" applyFill="1" applyBorder="1" applyAlignment="1" applyProtection="1">
      <alignment horizontal="center"/>
      <protection locked="0"/>
    </xf>
    <xf numFmtId="174" fontId="13" fillId="0" borderId="0" xfId="0" applyNumberFormat="1" applyFont="1" applyFill="1" applyBorder="1" applyAlignment="1" applyProtection="1">
      <alignment horizontal="left"/>
      <protection locked="0"/>
    </xf>
    <xf numFmtId="0" fontId="19" fillId="0" borderId="0" xfId="0" applyFont="1" applyFill="1" applyProtection="1"/>
    <xf numFmtId="0" fontId="29" fillId="26" borderId="0" xfId="0" applyFont="1" applyFill="1" applyProtection="1"/>
    <xf numFmtId="0" fontId="20" fillId="26" borderId="0" xfId="0" applyFont="1" applyFill="1" applyProtection="1"/>
    <xf numFmtId="0" fontId="18" fillId="26" borderId="0" xfId="0" applyFont="1" applyFill="1" applyProtection="1"/>
    <xf numFmtId="0" fontId="18" fillId="26" borderId="0" xfId="0" applyFont="1" applyFill="1" applyBorder="1" applyProtection="1"/>
    <xf numFmtId="0" fontId="8" fillId="0" borderId="83" xfId="0" applyFont="1" applyFill="1" applyBorder="1" applyProtection="1"/>
    <xf numFmtId="0" fontId="8" fillId="0" borderId="84" xfId="0" applyFont="1" applyFill="1" applyBorder="1" applyProtection="1"/>
    <xf numFmtId="0" fontId="8" fillId="24" borderId="85" xfId="0" applyFont="1" applyFill="1" applyBorder="1" applyProtection="1"/>
    <xf numFmtId="0" fontId="8" fillId="0" borderId="0" xfId="0" applyFont="1" applyFill="1" applyBorder="1" applyProtection="1"/>
    <xf numFmtId="0" fontId="5" fillId="0" borderId="0" xfId="0" applyFont="1" applyProtection="1"/>
    <xf numFmtId="0" fontId="8" fillId="0" borderId="85" xfId="0" applyFont="1" applyFill="1" applyBorder="1" applyProtection="1"/>
    <xf numFmtId="0" fontId="8" fillId="0" borderId="86" xfId="0" applyFont="1" applyFill="1" applyBorder="1" applyProtection="1"/>
    <xf numFmtId="0" fontId="8" fillId="0" borderId="87" xfId="0" applyFont="1" applyFill="1" applyBorder="1" applyProtection="1"/>
    <xf numFmtId="0" fontId="8" fillId="2" borderId="9" xfId="0" applyFont="1" applyFill="1" applyBorder="1" applyProtection="1"/>
    <xf numFmtId="0" fontId="8" fillId="0" borderId="0" xfId="0" applyFont="1" applyProtection="1"/>
    <xf numFmtId="0" fontId="67" fillId="2" borderId="9" xfId="0" applyFont="1" applyFill="1" applyBorder="1" applyProtection="1"/>
    <xf numFmtId="0" fontId="67" fillId="2" borderId="9" xfId="0" applyFont="1" applyFill="1" applyBorder="1" applyAlignment="1" applyProtection="1">
      <alignment horizontal="right" vertical="center"/>
    </xf>
    <xf numFmtId="0" fontId="8" fillId="2" borderId="9" xfId="0" applyFont="1" applyFill="1" applyBorder="1" applyAlignment="1" applyProtection="1">
      <alignment horizontal="right" vertical="center"/>
    </xf>
    <xf numFmtId="1" fontId="55" fillId="2" borderId="9" xfId="0" applyNumberFormat="1" applyFont="1" applyFill="1" applyBorder="1" applyAlignment="1" applyProtection="1">
      <alignment horizontal="center" vertical="center" wrapText="1"/>
    </xf>
    <xf numFmtId="1" fontId="59" fillId="2" borderId="9"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25" borderId="0" xfId="0" applyFont="1" applyFill="1" applyBorder="1" applyAlignment="1" applyProtection="1">
      <alignment vertical="center"/>
    </xf>
    <xf numFmtId="1" fontId="61" fillId="2" borderId="9" xfId="0" applyNumberFormat="1" applyFont="1" applyFill="1" applyBorder="1" applyAlignment="1" applyProtection="1">
      <alignment horizontal="center" vertical="center" wrapText="1"/>
    </xf>
    <xf numFmtId="1" fontId="11" fillId="2" borderId="9" xfId="0" applyNumberFormat="1" applyFont="1" applyFill="1" applyBorder="1" applyAlignment="1" applyProtection="1">
      <alignment horizontal="center" vertical="center" wrapText="1"/>
    </xf>
    <xf numFmtId="1" fontId="67" fillId="2" borderId="9" xfId="0" applyNumberFormat="1" applyFont="1" applyFill="1" applyBorder="1" applyAlignment="1" applyProtection="1">
      <alignment horizontal="center" vertical="center" wrapText="1"/>
    </xf>
    <xf numFmtId="0" fontId="8" fillId="4" borderId="84" xfId="0" applyFont="1" applyFill="1" applyBorder="1" applyProtection="1"/>
    <xf numFmtId="9" fontId="7" fillId="4" borderId="84" xfId="3" applyFont="1" applyFill="1" applyBorder="1" applyProtection="1"/>
    <xf numFmtId="0" fontId="8" fillId="0" borderId="9" xfId="0" applyFont="1" applyBorder="1" applyAlignment="1" applyProtection="1">
      <alignment horizontal="center" vertical="center"/>
    </xf>
    <xf numFmtId="0" fontId="8" fillId="2" borderId="9"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xf>
    <xf numFmtId="3" fontId="7" fillId="2" borderId="9" xfId="3" applyNumberFormat="1" applyFont="1" applyFill="1" applyBorder="1" applyProtection="1"/>
    <xf numFmtId="0" fontId="18" fillId="16" borderId="0" xfId="0" applyFont="1" applyFill="1" applyProtection="1"/>
    <xf numFmtId="3" fontId="11" fillId="16" borderId="9" xfId="3" applyNumberFormat="1" applyFont="1" applyFill="1" applyBorder="1" applyAlignment="1" applyProtection="1">
      <alignment horizontal="center"/>
      <protection locked="0"/>
    </xf>
    <xf numFmtId="0" fontId="66" fillId="16" borderId="0" xfId="0" applyFont="1" applyFill="1" applyProtection="1"/>
    <xf numFmtId="0" fontId="8" fillId="6" borderId="0" xfId="0" applyFont="1" applyFill="1" applyProtection="1"/>
    <xf numFmtId="0" fontId="8" fillId="0" borderId="0" xfId="0" applyFont="1" applyFill="1" applyBorder="1" applyAlignment="1" applyProtection="1">
      <alignment horizontal="right"/>
    </xf>
    <xf numFmtId="14" fontId="0" fillId="5" borderId="18" xfId="0" applyNumberFormat="1" applyFill="1" applyBorder="1" applyAlignment="1" applyProtection="1">
      <alignment horizontal="center"/>
      <protection locked="0"/>
    </xf>
    <xf numFmtId="3" fontId="53" fillId="6" borderId="40" xfId="0" applyNumberFormat="1" applyFont="1" applyFill="1" applyBorder="1" applyAlignment="1" applyProtection="1">
      <alignment horizontal="right" vertical="center"/>
    </xf>
    <xf numFmtId="0" fontId="0" fillId="0" borderId="0" xfId="0" applyFill="1" applyAlignment="1" applyProtection="1">
      <alignment vertical="center"/>
    </xf>
    <xf numFmtId="0" fontId="0" fillId="0" borderId="11" xfId="0" applyBorder="1" applyProtection="1">
      <protection locked="0"/>
    </xf>
    <xf numFmtId="0" fontId="0" fillId="0" borderId="1" xfId="0" applyBorder="1" applyProtection="1">
      <protection locked="0"/>
    </xf>
    <xf numFmtId="3" fontId="0" fillId="0" borderId="1" xfId="0" applyNumberFormat="1" applyFill="1" applyBorder="1" applyAlignment="1" applyProtection="1">
      <alignment horizontal="right"/>
    </xf>
    <xf numFmtId="3" fontId="7" fillId="0" borderId="1"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xf>
    <xf numFmtId="3" fontId="0" fillId="0" borderId="11" xfId="0" applyNumberFormat="1" applyBorder="1" applyProtection="1">
      <protection locked="0"/>
    </xf>
    <xf numFmtId="3" fontId="0" fillId="0" borderId="1" xfId="0" applyNumberFormat="1" applyBorder="1" applyProtection="1">
      <protection locked="0"/>
    </xf>
    <xf numFmtId="3" fontId="0" fillId="0" borderId="3" xfId="0" applyNumberFormat="1" applyBorder="1" applyProtection="1">
      <protection locked="0"/>
    </xf>
    <xf numFmtId="0" fontId="30" fillId="0" borderId="0"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0" fillId="0" borderId="9" xfId="0" applyBorder="1" applyProtection="1">
      <protection locked="0"/>
    </xf>
    <xf numFmtId="3" fontId="42" fillId="15" borderId="20" xfId="0" applyNumberFormat="1" applyFont="1" applyFill="1" applyBorder="1" applyAlignment="1" applyProtection="1">
      <alignment horizontal="right" vertical="center"/>
    </xf>
    <xf numFmtId="9" fontId="13" fillId="24" borderId="1" xfId="3" applyFont="1" applyFill="1" applyBorder="1" applyAlignment="1" applyProtection="1">
      <alignment horizontal="center"/>
    </xf>
    <xf numFmtId="3" fontId="13" fillId="6" borderId="0" xfId="0" applyNumberFormat="1" applyFont="1" applyFill="1" applyBorder="1" applyAlignment="1" applyProtection="1">
      <alignment horizontal="left"/>
    </xf>
    <xf numFmtId="3" fontId="13" fillId="6" borderId="0" xfId="0" applyNumberFormat="1" applyFont="1" applyFill="1" applyBorder="1" applyAlignment="1" applyProtection="1">
      <alignment horizontal="center"/>
    </xf>
    <xf numFmtId="0" fontId="0" fillId="6" borderId="0" xfId="0" applyFill="1"/>
    <xf numFmtId="9" fontId="0" fillId="6" borderId="0" xfId="3" applyFont="1" applyFill="1"/>
    <xf numFmtId="0" fontId="68" fillId="0" borderId="0" xfId="0" applyFont="1" applyFill="1" applyAlignment="1" applyProtection="1">
      <alignment horizontal="center"/>
    </xf>
    <xf numFmtId="49" fontId="0" fillId="0" borderId="0" xfId="0" applyNumberFormat="1" applyProtection="1"/>
    <xf numFmtId="176" fontId="0" fillId="6" borderId="18" xfId="0" applyNumberFormat="1" applyFill="1" applyBorder="1" applyAlignment="1" applyProtection="1">
      <alignment horizontal="center" vertical="center"/>
      <protection locked="0"/>
    </xf>
    <xf numFmtId="169" fontId="41" fillId="2" borderId="25" xfId="3" applyNumberFormat="1" applyFont="1" applyFill="1" applyBorder="1" applyAlignment="1" applyProtection="1">
      <alignment horizontal="centerContinuous" vertical="center"/>
    </xf>
    <xf numFmtId="0" fontId="19" fillId="2" borderId="1" xfId="0" applyFont="1" applyFill="1" applyBorder="1" applyAlignment="1" applyProtection="1">
      <alignment horizontal="center" vertical="center"/>
    </xf>
    <xf numFmtId="3" fontId="43" fillId="6" borderId="9" xfId="0" applyNumberFormat="1" applyFont="1" applyFill="1" applyBorder="1" applyAlignment="1" applyProtection="1">
      <alignment horizontal="right"/>
      <protection locked="0"/>
    </xf>
    <xf numFmtId="3" fontId="7" fillId="5" borderId="3" xfId="0" applyNumberFormat="1" applyFont="1" applyFill="1" applyBorder="1" applyAlignment="1" applyProtection="1">
      <alignment horizontal="centerContinuous" wrapText="1"/>
    </xf>
    <xf numFmtId="1" fontId="40" fillId="0" borderId="20" xfId="0" applyNumberFormat="1" applyFont="1" applyFill="1" applyBorder="1" applyAlignment="1" applyProtection="1">
      <alignment horizontal="left" vertical="center"/>
    </xf>
    <xf numFmtId="0" fontId="41" fillId="0" borderId="40" xfId="0" applyFont="1" applyFill="1" applyBorder="1" applyAlignment="1" applyProtection="1">
      <alignment horizontal="left" vertical="center"/>
    </xf>
    <xf numFmtId="0" fontId="8" fillId="6" borderId="1" xfId="0" applyFont="1" applyFill="1" applyBorder="1" applyAlignment="1" applyProtection="1">
      <alignment horizontal="left"/>
    </xf>
    <xf numFmtId="0" fontId="17" fillId="0" borderId="0" xfId="0" quotePrefix="1" applyFont="1" applyProtection="1"/>
    <xf numFmtId="1" fontId="17" fillId="0" borderId="0" xfId="0" applyNumberFormat="1" applyFont="1" applyFill="1" applyBorder="1" applyProtection="1"/>
    <xf numFmtId="1" fontId="17" fillId="0" borderId="0" xfId="0" applyNumberFormat="1" applyFont="1" applyProtection="1"/>
    <xf numFmtId="0" fontId="52" fillId="6" borderId="0" xfId="0" applyFont="1" applyFill="1" applyProtection="1"/>
    <xf numFmtId="0" fontId="69" fillId="0" borderId="0" xfId="0" applyFont="1" applyBorder="1" applyAlignment="1">
      <alignment horizontal="right" vertical="top" wrapText="1"/>
    </xf>
    <xf numFmtId="0" fontId="4" fillId="0" borderId="0" xfId="0" applyFont="1" applyBorder="1" applyAlignment="1">
      <alignment horizontal="right" vertical="top" wrapText="1"/>
    </xf>
    <xf numFmtId="0" fontId="17" fillId="4" borderId="0" xfId="0" applyFont="1" applyFill="1" applyBorder="1" applyProtection="1"/>
    <xf numFmtId="3" fontId="13" fillId="8" borderId="2" xfId="0" applyNumberFormat="1" applyFont="1" applyFill="1" applyBorder="1" applyAlignment="1" applyProtection="1">
      <alignment horizontal="center"/>
      <protection locked="0"/>
    </xf>
    <xf numFmtId="0" fontId="17" fillId="11" borderId="0" xfId="0" applyFont="1" applyFill="1" applyProtection="1"/>
    <xf numFmtId="0" fontId="42" fillId="0" borderId="0" xfId="0" quotePrefix="1" applyFont="1" applyFill="1" applyBorder="1" applyProtection="1"/>
    <xf numFmtId="0" fontId="0" fillId="11" borderId="0" xfId="0" applyFill="1" applyProtection="1"/>
    <xf numFmtId="3" fontId="42" fillId="2" borderId="17" xfId="0" applyNumberFormat="1" applyFont="1" applyFill="1" applyBorder="1" applyAlignment="1" applyProtection="1">
      <alignment vertical="center"/>
    </xf>
    <xf numFmtId="3" fontId="4" fillId="8" borderId="1" xfId="0" applyNumberFormat="1" applyFont="1" applyFill="1" applyBorder="1" applyProtection="1">
      <protection locked="0"/>
    </xf>
    <xf numFmtId="3" fontId="42" fillId="2" borderId="39" xfId="0" applyNumberFormat="1" applyFont="1" applyFill="1" applyBorder="1" applyAlignment="1" applyProtection="1">
      <alignment vertical="center"/>
    </xf>
    <xf numFmtId="3" fontId="53" fillId="2" borderId="17" xfId="0" applyNumberFormat="1" applyFont="1" applyFill="1" applyBorder="1" applyAlignment="1" applyProtection="1">
      <alignment vertical="center"/>
    </xf>
    <xf numFmtId="165" fontId="53" fillId="2" borderId="39" xfId="0" applyNumberFormat="1" applyFont="1" applyFill="1" applyBorder="1" applyAlignment="1" applyProtection="1">
      <alignment vertical="center"/>
    </xf>
    <xf numFmtId="0" fontId="42" fillId="6" borderId="0" xfId="0" applyFont="1" applyFill="1" applyProtection="1"/>
    <xf numFmtId="1" fontId="0" fillId="4" borderId="1" xfId="0" applyNumberFormat="1" applyFill="1" applyBorder="1" applyProtection="1">
      <protection locked="0"/>
    </xf>
    <xf numFmtId="1" fontId="0" fillId="4" borderId="3" xfId="3" applyNumberFormat="1" applyFont="1" applyFill="1" applyBorder="1" applyProtection="1">
      <protection locked="0"/>
    </xf>
    <xf numFmtId="0" fontId="7" fillId="0" borderId="14" xfId="0" applyFont="1" applyFill="1" applyBorder="1" applyProtection="1"/>
    <xf numFmtId="0" fontId="7" fillId="0" borderId="13" xfId="0" applyFont="1" applyFill="1" applyBorder="1" applyProtection="1"/>
    <xf numFmtId="49" fontId="8" fillId="0" borderId="13" xfId="0" applyNumberFormat="1" applyFont="1" applyBorder="1" applyAlignment="1" applyProtection="1">
      <alignment horizontal="left"/>
    </xf>
    <xf numFmtId="49" fontId="5" fillId="0" borderId="13" xfId="0" applyNumberFormat="1" applyFont="1" applyBorder="1" applyAlignment="1" applyProtection="1">
      <alignment horizontal="left"/>
    </xf>
    <xf numFmtId="0" fontId="8" fillId="0" borderId="13" xfId="0" applyFont="1" applyBorder="1"/>
    <xf numFmtId="0" fontId="8" fillId="0" borderId="16" xfId="0" applyFont="1" applyBorder="1"/>
    <xf numFmtId="0" fontId="43" fillId="2" borderId="9" xfId="0" applyFont="1" applyFill="1" applyBorder="1" applyAlignment="1" applyProtection="1">
      <alignment horizontal="centerContinuous" vertical="center" wrapText="1"/>
    </xf>
    <xf numFmtId="0" fontId="43" fillId="8" borderId="9" xfId="0" applyFont="1" applyFill="1" applyBorder="1" applyAlignment="1" applyProtection="1">
      <alignment horizontal="centerContinuous" vertical="center" wrapText="1"/>
    </xf>
    <xf numFmtId="0" fontId="8" fillId="0" borderId="9" xfId="0" applyFont="1" applyBorder="1" applyAlignment="1" applyProtection="1">
      <alignment horizontal="left"/>
    </xf>
    <xf numFmtId="0" fontId="42" fillId="4" borderId="9" xfId="0" applyFont="1" applyFill="1" applyBorder="1" applyProtection="1"/>
    <xf numFmtId="0" fontId="42" fillId="0" borderId="9" xfId="0" applyFont="1" applyFill="1" applyBorder="1" applyProtection="1"/>
    <xf numFmtId="0" fontId="4" fillId="0" borderId="9" xfId="0" applyFont="1" applyFill="1" applyBorder="1" applyProtection="1"/>
    <xf numFmtId="0" fontId="54" fillId="6" borderId="9" xfId="0" applyFont="1" applyFill="1" applyBorder="1" applyAlignment="1" applyProtection="1">
      <alignment horizontal="center" vertical="center"/>
    </xf>
    <xf numFmtId="9" fontId="13" fillId="6" borderId="2" xfId="3" applyFont="1" applyFill="1" applyBorder="1" applyAlignment="1" applyProtection="1">
      <alignment horizontal="center"/>
      <protection locked="0"/>
    </xf>
    <xf numFmtId="169" fontId="55" fillId="11" borderId="24" xfId="3" applyNumberFormat="1" applyFont="1" applyFill="1" applyBorder="1" applyAlignment="1" applyProtection="1">
      <alignment horizontal="center"/>
      <protection locked="0"/>
    </xf>
    <xf numFmtId="169" fontId="55" fillId="0" borderId="0" xfId="3" applyNumberFormat="1" applyFont="1" applyFill="1" applyBorder="1" applyAlignment="1" applyProtection="1">
      <alignment horizontal="centerContinuous"/>
    </xf>
    <xf numFmtId="169" fontId="55" fillId="15" borderId="24" xfId="3" applyNumberFormat="1" applyFont="1" applyFill="1" applyBorder="1" applyAlignment="1" applyProtection="1">
      <alignment horizontal="center"/>
      <protection locked="0"/>
    </xf>
    <xf numFmtId="1" fontId="40" fillId="2" borderId="2" xfId="0" applyNumberFormat="1" applyFont="1" applyFill="1" applyBorder="1" applyAlignment="1" applyProtection="1">
      <alignment horizontal="centerContinuous" vertical="center" wrapText="1"/>
    </xf>
    <xf numFmtId="0" fontId="5" fillId="6" borderId="1" xfId="0" applyFont="1" applyFill="1" applyBorder="1" applyAlignment="1" applyProtection="1">
      <alignment horizontal="left"/>
    </xf>
    <xf numFmtId="0" fontId="7" fillId="6" borderId="0" xfId="0" applyFont="1" applyFill="1" applyAlignment="1" applyProtection="1">
      <alignment horizontal="center"/>
    </xf>
    <xf numFmtId="0" fontId="7" fillId="8" borderId="4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29" fillId="8" borderId="0" xfId="0" applyFont="1" applyFill="1" applyProtection="1"/>
    <xf numFmtId="0" fontId="18" fillId="8" borderId="0" xfId="0" applyFont="1" applyFill="1" applyProtection="1"/>
    <xf numFmtId="0" fontId="18" fillId="8" borderId="0" xfId="0" applyFont="1" applyFill="1" applyBorder="1" applyProtection="1"/>
    <xf numFmtId="0" fontId="0" fillId="8" borderId="0" xfId="0" applyFill="1" applyProtection="1"/>
    <xf numFmtId="3" fontId="53" fillId="2" borderId="39" xfId="0" applyNumberFormat="1" applyFont="1" applyFill="1" applyBorder="1" applyAlignment="1" applyProtection="1">
      <alignment vertical="center"/>
    </xf>
    <xf numFmtId="1" fontId="42" fillId="0" borderId="9" xfId="0" applyNumberFormat="1" applyFont="1" applyFill="1" applyBorder="1" applyProtection="1"/>
    <xf numFmtId="0" fontId="4" fillId="26" borderId="0" xfId="0" applyFont="1" applyFill="1" applyProtection="1"/>
    <xf numFmtId="0" fontId="0" fillId="26" borderId="0" xfId="0" applyFill="1" applyProtection="1"/>
    <xf numFmtId="0" fontId="0" fillId="26" borderId="71" xfId="0" applyFill="1" applyBorder="1" applyProtection="1"/>
    <xf numFmtId="0" fontId="0" fillId="26" borderId="76" xfId="0" applyFill="1" applyBorder="1" applyProtection="1"/>
    <xf numFmtId="0" fontId="4" fillId="26" borderId="76" xfId="0" applyFont="1" applyFill="1" applyBorder="1" applyProtection="1"/>
    <xf numFmtId="0" fontId="7" fillId="26" borderId="76" xfId="0" applyFont="1" applyFill="1" applyBorder="1" applyProtection="1"/>
    <xf numFmtId="0" fontId="0" fillId="26" borderId="80" xfId="0" applyFill="1" applyBorder="1" applyProtection="1"/>
    <xf numFmtId="0" fontId="0" fillId="26" borderId="0" xfId="0" applyFill="1" applyBorder="1" applyProtection="1"/>
    <xf numFmtId="0" fontId="0" fillId="26" borderId="0" xfId="0" applyFill="1" applyBorder="1" applyAlignment="1" applyProtection="1">
      <alignment horizontal="center" vertical="top" wrapText="1"/>
    </xf>
    <xf numFmtId="0" fontId="7" fillId="26" borderId="0" xfId="0" applyFont="1" applyFill="1" applyBorder="1" applyProtection="1"/>
    <xf numFmtId="0" fontId="30" fillId="2" borderId="11" xfId="0" applyFont="1" applyFill="1" applyBorder="1" applyAlignment="1" applyProtection="1">
      <alignment horizontal="center" vertical="center" wrapText="1"/>
    </xf>
    <xf numFmtId="3" fontId="42" fillId="15" borderId="17" xfId="0" applyNumberFormat="1" applyFont="1" applyFill="1" applyBorder="1" applyAlignment="1" applyProtection="1">
      <alignment vertical="center"/>
    </xf>
    <xf numFmtId="3" fontId="43" fillId="15" borderId="18" xfId="0" applyNumberFormat="1" applyFont="1" applyFill="1" applyBorder="1" applyAlignment="1" applyProtection="1">
      <alignment vertical="center"/>
    </xf>
    <xf numFmtId="3" fontId="42" fillId="0" borderId="39" xfId="0" applyNumberFormat="1" applyFont="1" applyFill="1" applyBorder="1" applyAlignment="1" applyProtection="1">
      <alignment vertical="center"/>
    </xf>
    <xf numFmtId="0" fontId="8" fillId="8" borderId="11" xfId="0" applyFont="1" applyFill="1" applyBorder="1" applyAlignment="1" applyProtection="1">
      <alignment horizontal="centerContinuous" vertical="center" wrapText="1"/>
    </xf>
    <xf numFmtId="0" fontId="8" fillId="8" borderId="9" xfId="0" applyFont="1" applyFill="1" applyBorder="1" applyAlignment="1" applyProtection="1">
      <alignment horizontal="centerContinuous" vertical="center" wrapText="1"/>
    </xf>
    <xf numFmtId="0" fontId="42" fillId="8" borderId="0" xfId="0" applyFont="1" applyFill="1" applyBorder="1" applyProtection="1"/>
    <xf numFmtId="0" fontId="42" fillId="8" borderId="0" xfId="0" applyFont="1" applyFill="1" applyProtection="1"/>
    <xf numFmtId="0" fontId="17" fillId="6" borderId="9" xfId="0" applyFont="1" applyFill="1" applyBorder="1" applyAlignment="1" applyProtection="1">
      <alignment horizontal="center"/>
      <protection locked="0"/>
    </xf>
    <xf numFmtId="0" fontId="0" fillId="6" borderId="49" xfId="0" applyFill="1" applyBorder="1" applyAlignment="1" applyProtection="1">
      <alignment vertical="center"/>
      <protection locked="0"/>
    </xf>
    <xf numFmtId="0" fontId="0" fillId="6" borderId="18"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30" xfId="0" applyFill="1" applyBorder="1" applyAlignment="1" applyProtection="1">
      <alignment vertical="center"/>
      <protection locked="0"/>
    </xf>
    <xf numFmtId="0" fontId="7" fillId="0" borderId="1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3" fontId="7" fillId="0" borderId="13" xfId="0" applyNumberFormat="1" applyFont="1" applyFill="1" applyBorder="1" applyProtection="1"/>
    <xf numFmtId="3" fontId="7" fillId="0" borderId="13" xfId="0" applyNumberFormat="1" applyFont="1" applyFill="1" applyBorder="1" applyProtection="1">
      <protection locked="0"/>
    </xf>
    <xf numFmtId="3" fontId="7" fillId="0" borderId="0" xfId="0" applyNumberFormat="1" applyFont="1" applyFill="1" applyBorder="1" applyProtection="1">
      <protection locked="0"/>
    </xf>
    <xf numFmtId="3" fontId="0" fillId="0" borderId="13" xfId="0" applyNumberFormat="1" applyFill="1" applyBorder="1" applyProtection="1"/>
    <xf numFmtId="0" fontId="4" fillId="8" borderId="0" xfId="0" applyFont="1" applyFill="1" applyProtection="1"/>
    <xf numFmtId="0" fontId="0" fillId="8" borderId="0" xfId="0" applyFill="1" applyProtection="1">
      <protection locked="0"/>
    </xf>
    <xf numFmtId="0" fontId="0" fillId="0" borderId="0" xfId="0" applyFill="1" applyBorder="1" applyProtection="1">
      <protection locked="0"/>
    </xf>
    <xf numFmtId="0" fontId="7" fillId="0" borderId="0" xfId="0" applyFont="1" applyFill="1" applyBorder="1" applyAlignment="1" applyProtection="1">
      <alignment horizontal="centerContinuous" vertical="center" wrapText="1"/>
      <protection locked="0"/>
    </xf>
    <xf numFmtId="3" fontId="0" fillId="0" borderId="0" xfId="0" applyNumberFormat="1" applyProtection="1">
      <protection locked="0"/>
    </xf>
    <xf numFmtId="3" fontId="0" fillId="0" borderId="0" xfId="0" applyNumberFormat="1" applyFill="1" applyBorder="1" applyProtection="1">
      <protection locked="0"/>
    </xf>
    <xf numFmtId="0" fontId="7" fillId="0" borderId="0" xfId="0" applyFont="1" applyProtection="1">
      <protection locked="0"/>
    </xf>
    <xf numFmtId="0" fontId="7" fillId="0" borderId="0" xfId="0" applyFont="1" applyFill="1" applyBorder="1" applyProtection="1">
      <protection locked="0"/>
    </xf>
    <xf numFmtId="0" fontId="0" fillId="8" borderId="0" xfId="0" applyFill="1" applyBorder="1" applyProtection="1">
      <protection locked="0"/>
    </xf>
    <xf numFmtId="3" fontId="0" fillId="8" borderId="0" xfId="0" applyNumberFormat="1" applyFill="1" applyProtection="1">
      <protection locked="0"/>
    </xf>
    <xf numFmtId="0" fontId="7" fillId="8" borderId="0" xfId="0" applyFont="1" applyFill="1" applyProtection="1">
      <protection locked="0"/>
    </xf>
    <xf numFmtId="0" fontId="0" fillId="8" borderId="0" xfId="0" applyFill="1" applyAlignment="1" applyProtection="1"/>
    <xf numFmtId="0" fontId="0" fillId="8" borderId="0" xfId="0" applyFill="1" applyBorder="1" applyAlignment="1" applyProtection="1"/>
    <xf numFmtId="0" fontId="0" fillId="0" borderId="0" xfId="0" applyAlignment="1" applyProtection="1">
      <protection locked="0"/>
    </xf>
    <xf numFmtId="0" fontId="0" fillId="0" borderId="0" xfId="0" applyFill="1" applyBorder="1" applyAlignment="1" applyProtection="1">
      <protection locked="0"/>
    </xf>
    <xf numFmtId="16" fontId="19" fillId="0" borderId="0" xfId="0" applyNumberFormat="1" applyFont="1" applyAlignment="1" applyProtection="1">
      <alignment horizontal="center"/>
    </xf>
    <xf numFmtId="0" fontId="19" fillId="0" borderId="0" xfId="0" applyFont="1" applyAlignment="1" applyProtection="1">
      <alignment horizontal="center"/>
    </xf>
    <xf numFmtId="9" fontId="18" fillId="0" borderId="0" xfId="3" applyFont="1" applyProtection="1"/>
    <xf numFmtId="9" fontId="18" fillId="0" borderId="0" xfId="3" applyFont="1" applyBorder="1" applyProtection="1"/>
    <xf numFmtId="3" fontId="0" fillId="2" borderId="2" xfId="0" applyNumberFormat="1" applyFill="1" applyBorder="1" applyProtection="1"/>
    <xf numFmtId="3" fontId="7" fillId="2" borderId="8" xfId="0" applyNumberFormat="1" applyFont="1" applyFill="1" applyBorder="1" applyProtection="1"/>
    <xf numFmtId="3" fontId="7" fillId="6" borderId="3" xfId="0" applyNumberFormat="1" applyFont="1" applyFill="1" applyBorder="1" applyProtection="1"/>
    <xf numFmtId="0" fontId="7" fillId="6" borderId="9" xfId="0" applyFont="1" applyFill="1" applyBorder="1" applyAlignment="1" applyProtection="1">
      <alignment horizontal="centerContinuous" vertical="center" wrapText="1"/>
    </xf>
    <xf numFmtId="175" fontId="0" fillId="5" borderId="0" xfId="0" applyNumberFormat="1" applyFill="1" applyAlignment="1" applyProtection="1">
      <alignment vertical="center"/>
      <protection locked="0"/>
    </xf>
    <xf numFmtId="0" fontId="0" fillId="5" borderId="30" xfId="0" applyFill="1" applyBorder="1" applyAlignment="1" applyProtection="1">
      <alignment horizontal="center" vertical="center"/>
    </xf>
    <xf numFmtId="0" fontId="0" fillId="5" borderId="17" xfId="0" applyFill="1" applyBorder="1" applyAlignment="1" applyProtection="1">
      <alignment horizontal="center" vertical="center"/>
    </xf>
    <xf numFmtId="0" fontId="8" fillId="5" borderId="11" xfId="0" applyFont="1" applyFill="1" applyBorder="1" applyAlignment="1" applyProtection="1">
      <alignment horizontal="center" vertical="center" wrapText="1"/>
    </xf>
    <xf numFmtId="0" fontId="5" fillId="0" borderId="3" xfId="0" applyFont="1" applyBorder="1" applyAlignment="1">
      <alignment vertical="center" wrapText="1"/>
    </xf>
  </cellXfs>
  <cellStyles count="4">
    <cellStyle name="Euro" xfId="1"/>
    <cellStyle name="Millares" xfId="2" builtinId="3"/>
    <cellStyle name="Normal" xfId="0" builtinId="0"/>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chartsheet" Target="chartsheets/sheet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strRef>
          <c:f>Ingresos!$B$182</c:f>
          <c:strCache>
            <c:ptCount val="1"/>
            <c:pt idx="0">
              <c:v>MUNICIPIO DE CUNDAY SUPERAVIT O AHORRO PRIMARIO 2011</c:v>
            </c:pt>
          </c:strCache>
        </c:strRef>
      </c:tx>
      <c:layout>
        <c:manualLayout>
          <c:xMode val="edge"/>
          <c:yMode val="edge"/>
          <c:x val="0.23839009287925728"/>
          <c:y val="2.0576131687242802E-2"/>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plotArea>
      <c:layout>
        <c:manualLayout>
          <c:layoutTarget val="inner"/>
          <c:xMode val="edge"/>
          <c:yMode val="edge"/>
          <c:x val="0.11558307533539731"/>
          <c:y val="0.10699588477366277"/>
          <c:w val="0.8441692466460281"/>
          <c:h val="0.87791495198902603"/>
        </c:manualLayout>
      </c:layout>
      <c:barChart>
        <c:barDir val="col"/>
        <c:grouping val="clustered"/>
        <c:ser>
          <c:idx val="0"/>
          <c:order val="0"/>
          <c:tx>
            <c:strRef>
              <c:f>'Balance Financiero'!$B$59</c:f>
              <c:strCache>
                <c:ptCount val="1"/>
                <c:pt idx="0">
                  <c:v> Intereses y Comisiones de Deuda Pública</c:v>
                </c:pt>
              </c:strCache>
            </c:strRef>
          </c:tx>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showVal val="1"/>
            <c:showSerName val="1"/>
          </c:dLbls>
          <c:val>
            <c:numRef>
              <c:f>'Balance Financiero'!$C$59</c:f>
              <c:numCache>
                <c:formatCode>#,##0</c:formatCode>
                <c:ptCount val="1"/>
                <c:pt idx="0">
                  <c:v>7433</c:v>
                </c:pt>
              </c:numCache>
            </c:numRef>
          </c:val>
        </c:ser>
        <c:ser>
          <c:idx val="1"/>
          <c:order val="1"/>
          <c:tx>
            <c:strRef>
              <c:f>'Balance Financiero'!$B$83</c:f>
              <c:strCache>
                <c:ptCount val="1"/>
                <c:pt idx="0">
                  <c:v>        Amortizaciones</c:v>
                </c:pt>
              </c:strCache>
            </c:strRef>
          </c:tx>
          <c:spPr>
            <a:solidFill>
              <a:srgbClr val="993366"/>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showVal val="1"/>
            <c:showSerName val="1"/>
          </c:dLbls>
          <c:val>
            <c:numRef>
              <c:f>'Balance Financiero'!$C$83</c:f>
              <c:numCache>
                <c:formatCode>#,##0</c:formatCode>
                <c:ptCount val="1"/>
                <c:pt idx="0">
                  <c:v>44996</c:v>
                </c:pt>
              </c:numCache>
            </c:numRef>
          </c:val>
        </c:ser>
        <c:ser>
          <c:idx val="2"/>
          <c:order val="2"/>
          <c:tx>
            <c:strRef>
              <c:f>'Balance Financiero'!$B$94</c:f>
              <c:strCache>
                <c:ptCount val="1"/>
                <c:pt idx="0">
                  <c:v>DÉFICIT O SUPERÁVIT PRIMARIO </c:v>
                </c:pt>
              </c:strCache>
            </c:strRef>
          </c:tx>
          <c:spPr>
            <a:solidFill>
              <a:srgbClr val="FFFF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showVal val="1"/>
            <c:showSerName val="1"/>
          </c:dLbls>
          <c:val>
            <c:numRef>
              <c:f>'Balance Financiero'!$C$94</c:f>
              <c:numCache>
                <c:formatCode>#,##0</c:formatCode>
                <c:ptCount val="1"/>
                <c:pt idx="0">
                  <c:v>1548676.6749999998</c:v>
                </c:pt>
              </c:numCache>
            </c:numRef>
          </c:val>
        </c:ser>
        <c:dLbls>
          <c:showVal val="1"/>
          <c:showSerName val="1"/>
        </c:dLbls>
        <c:axId val="101901440"/>
        <c:axId val="101902976"/>
      </c:barChart>
      <c:catAx>
        <c:axId val="101901440"/>
        <c:scaling>
          <c:orientation val="minMax"/>
        </c:scaling>
        <c:delete val="1"/>
        <c:axPos val="b"/>
        <c:tickLblPos val="none"/>
        <c:crossAx val="101902976"/>
        <c:crosses val="autoZero"/>
        <c:lblAlgn val="ctr"/>
        <c:lblOffset val="100"/>
      </c:catAx>
      <c:valAx>
        <c:axId val="101902976"/>
        <c:scaling>
          <c:orientation val="minMax"/>
        </c:scaling>
        <c:axPos val="l"/>
        <c:title>
          <c:tx>
            <c:rich>
              <a:bodyPr/>
              <a:lstStyle/>
              <a:p>
                <a:pPr>
                  <a:defRPr sz="1000" b="0" i="0" u="none" strike="noStrike" baseline="0">
                    <a:solidFill>
                      <a:srgbClr val="000000"/>
                    </a:solidFill>
                    <a:latin typeface="Arial Narrow"/>
                    <a:ea typeface="Arial Narrow"/>
                    <a:cs typeface="Arial Narrow"/>
                  </a:defRPr>
                </a:pPr>
                <a:r>
                  <a:rPr lang="es-ES"/>
                  <a:t>Millones de Pesos</a:t>
                </a:r>
              </a:p>
            </c:rich>
          </c:tx>
          <c:layout>
            <c:manualLayout>
              <c:xMode val="edge"/>
              <c:yMode val="edge"/>
              <c:x val="2.9927760577915432E-2"/>
              <c:y val="0.48559670781893038"/>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s-CO"/>
          </a:p>
        </c:txPr>
        <c:crossAx val="101901440"/>
        <c:crosses val="autoZero"/>
        <c:crossBetween val="between"/>
      </c:valAx>
      <c:spPr>
        <a:noFill/>
        <a:ln w="25400">
          <a:noFill/>
        </a:ln>
      </c:spPr>
    </c:plotArea>
    <c:plotVisOnly val="1"/>
    <c:dispBlanksAs val="gap"/>
  </c:chart>
  <c:spPr>
    <a:gradFill rotWithShape="0">
      <a:gsLst>
        <a:gs pos="0">
          <a:srgbClr val="CCFFFF"/>
        </a:gs>
        <a:gs pos="50000">
          <a:srgbClr val="FFFFFF"/>
        </a:gs>
        <a:gs pos="100000">
          <a:srgbClr val="CCFFFF"/>
        </a:gs>
      </a:gsLst>
      <a:lin ang="5400000" scaled="1"/>
    </a:gradFill>
    <a:ln w="9525">
      <a:noFill/>
    </a:ln>
  </c:spPr>
  <c:txPr>
    <a:bodyPr/>
    <a:lstStyle/>
    <a:p>
      <a:pPr>
        <a:defRPr sz="1000" b="0" i="0" u="none" strike="noStrike" baseline="0">
          <a:solidFill>
            <a:srgbClr val="000000"/>
          </a:solidFill>
          <a:latin typeface="Arial Narrow"/>
          <a:ea typeface="Arial Narrow"/>
          <a:cs typeface="Arial Narrow"/>
        </a:defRPr>
      </a:pPr>
      <a:endParaRPr lang="es-CO"/>
    </a:p>
  </c:txPr>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strRef>
          <c:f>Ingresos!$B$183</c:f>
          <c:strCache>
            <c:ptCount val="1"/>
            <c:pt idx="0">
              <c:v>MUNICIPIO DE CUNDAY DEFICIT O AHORRO CORRIENTE 2011</c:v>
            </c:pt>
          </c:strCache>
        </c:strRef>
      </c:tx>
      <c:layout>
        <c:manualLayout>
          <c:xMode val="edge"/>
          <c:yMode val="edge"/>
          <c:x val="0.24458204334365322"/>
          <c:y val="2.0576131687242802E-2"/>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plotArea>
      <c:layout>
        <c:manualLayout>
          <c:layoutTarget val="inner"/>
          <c:xMode val="edge"/>
          <c:yMode val="edge"/>
          <c:x val="0.11145510835913311"/>
          <c:y val="9.8765432098765746E-2"/>
          <c:w val="0.8441692466460281"/>
          <c:h val="0.87928669410150895"/>
        </c:manualLayout>
      </c:layout>
      <c:barChart>
        <c:barDir val="col"/>
        <c:grouping val="clustered"/>
        <c:ser>
          <c:idx val="0"/>
          <c:order val="0"/>
          <c:tx>
            <c:strRef>
              <c:f>'Balance Financiero'!$B$26</c:f>
              <c:strCache>
                <c:ptCount val="1"/>
                <c:pt idx="0">
                  <c:v>INGRESOS CORRIENTES</c:v>
                </c:pt>
              </c:strCache>
            </c:strRef>
          </c:tx>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showVal val="1"/>
            <c:showSerName val="1"/>
          </c:dLbls>
          <c:val>
            <c:numRef>
              <c:f>'Balance Financiero'!$C$26</c:f>
              <c:numCache>
                <c:formatCode>#,##0</c:formatCode>
                <c:ptCount val="1"/>
                <c:pt idx="0">
                  <c:v>4978908.12</c:v>
                </c:pt>
              </c:numCache>
            </c:numRef>
          </c:val>
        </c:ser>
        <c:ser>
          <c:idx val="1"/>
          <c:order val="1"/>
          <c:tx>
            <c:strRef>
              <c:f>'Balance Financiero'!$B$45</c:f>
              <c:strCache>
                <c:ptCount val="1"/>
                <c:pt idx="0">
                  <c:v>GASTOS CORRIENTES</c:v>
                </c:pt>
              </c:strCache>
            </c:strRef>
          </c:tx>
          <c:spPr>
            <a:solidFill>
              <a:srgbClr val="993366"/>
            </a:solidFill>
            <a:ln w="12700">
              <a:solidFill>
                <a:srgbClr val="000000"/>
              </a:solidFill>
              <a:prstDash val="solid"/>
            </a:ln>
          </c:spPr>
          <c:dLbls>
            <c:delete val="1"/>
          </c:dLbls>
          <c:val>
            <c:numRef>
              <c:f>'Balance Financiero'!$C$45</c:f>
              <c:numCache>
                <c:formatCode>#,##0</c:formatCode>
                <c:ptCount val="1"/>
                <c:pt idx="0">
                  <c:v>1018804</c:v>
                </c:pt>
              </c:numCache>
            </c:numRef>
          </c:val>
        </c:ser>
        <c:ser>
          <c:idx val="2"/>
          <c:order val="2"/>
          <c:tx>
            <c:strRef>
              <c:f>'Balance Financiero'!$B$65</c:f>
              <c:strCache>
                <c:ptCount val="1"/>
                <c:pt idx="0">
                  <c:v>DÉFICIT O AHORRO CORRIENTE</c:v>
                </c:pt>
              </c:strCache>
            </c:strRef>
          </c:tx>
          <c:spPr>
            <a:solidFill>
              <a:srgbClr val="FFFF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showVal val="1"/>
            <c:showSerName val="1"/>
          </c:dLbls>
          <c:val>
            <c:numRef>
              <c:f>'Balance Financiero'!$C$65</c:f>
              <c:numCache>
                <c:formatCode>#,##0</c:formatCode>
                <c:ptCount val="1"/>
                <c:pt idx="0">
                  <c:v>3960104.12</c:v>
                </c:pt>
              </c:numCache>
            </c:numRef>
          </c:val>
        </c:ser>
        <c:dLbls>
          <c:showVal val="1"/>
          <c:showSerName val="1"/>
        </c:dLbls>
        <c:axId val="102638720"/>
        <c:axId val="102640256"/>
      </c:barChart>
      <c:catAx>
        <c:axId val="102638720"/>
        <c:scaling>
          <c:orientation val="minMax"/>
        </c:scaling>
        <c:delete val="1"/>
        <c:axPos val="b"/>
        <c:tickLblPos val="none"/>
        <c:crossAx val="102640256"/>
        <c:crosses val="autoZero"/>
        <c:lblAlgn val="ctr"/>
        <c:lblOffset val="100"/>
      </c:catAx>
      <c:valAx>
        <c:axId val="102640256"/>
        <c:scaling>
          <c:orientation val="minMax"/>
        </c:scaling>
        <c:axPos val="l"/>
        <c:title>
          <c:tx>
            <c:rich>
              <a:bodyPr/>
              <a:lstStyle/>
              <a:p>
                <a:pPr>
                  <a:defRPr sz="1000" b="0" i="0" u="none" strike="noStrike" baseline="0">
                    <a:solidFill>
                      <a:srgbClr val="000000"/>
                    </a:solidFill>
                    <a:latin typeface="Arial Narrow"/>
                    <a:ea typeface="Arial Narrow"/>
                    <a:cs typeface="Arial Narrow"/>
                  </a:defRPr>
                </a:pPr>
                <a:r>
                  <a:rPr lang="es-ES"/>
                  <a:t>Millones de Pesos</a:t>
                </a:r>
              </a:p>
            </c:rich>
          </c:tx>
          <c:layout>
            <c:manualLayout>
              <c:xMode val="edge"/>
              <c:yMode val="edge"/>
              <c:x val="2.5799793601651192E-2"/>
              <c:y val="0.47736625514403364"/>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s-CO"/>
          </a:p>
        </c:txPr>
        <c:crossAx val="102638720"/>
        <c:crosses val="autoZero"/>
        <c:crossBetween val="between"/>
      </c:valAx>
      <c:spPr>
        <a:noFill/>
        <a:ln w="25400">
          <a:noFill/>
        </a:ln>
      </c:spPr>
    </c:plotArea>
    <c:plotVisOnly val="1"/>
    <c:dispBlanksAs val="gap"/>
  </c:chart>
  <c:spPr>
    <a:gradFill rotWithShape="0">
      <a:gsLst>
        <a:gs pos="0">
          <a:srgbClr val="CCFFFF"/>
        </a:gs>
        <a:gs pos="50000">
          <a:srgbClr val="FFFFFF"/>
        </a:gs>
        <a:gs pos="100000">
          <a:srgbClr val="CCFFFF"/>
        </a:gs>
      </a:gsLst>
      <a:lin ang="5400000" scaled="1"/>
    </a:gradFill>
    <a:ln w="9525">
      <a:noFill/>
    </a:ln>
  </c:spPr>
  <c:txPr>
    <a:bodyPr/>
    <a:lstStyle/>
    <a:p>
      <a:pPr>
        <a:defRPr sz="1000" b="0" i="0" u="none" strike="noStrike" baseline="0">
          <a:solidFill>
            <a:srgbClr val="000000"/>
          </a:solidFill>
          <a:latin typeface="Arial Narrow"/>
          <a:ea typeface="Arial Narrow"/>
          <a:cs typeface="Arial Narrow"/>
        </a:defRPr>
      </a:pPr>
      <a:endParaRPr lang="es-CO"/>
    </a:p>
  </c:txPr>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strRef>
          <c:f>Ingresos!$B$184</c:f>
          <c:strCache>
            <c:ptCount val="1"/>
            <c:pt idx="0">
              <c:v>MUNICIPIO DE CUNDAY DEFICIT O AHORRO TOTAL 2011</c:v>
            </c:pt>
          </c:strCache>
        </c:strRef>
      </c:tx>
      <c:layout>
        <c:manualLayout>
          <c:xMode val="edge"/>
          <c:yMode val="edge"/>
          <c:x val="0.2641898864809083"/>
          <c:y val="2.0576131687242802E-2"/>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plotArea>
      <c:layout>
        <c:manualLayout>
          <c:layoutTarget val="inner"/>
          <c:xMode val="edge"/>
          <c:yMode val="edge"/>
          <c:x val="9.2879256965944179E-2"/>
          <c:y val="0.11522633744856003"/>
          <c:w val="0.89680082559339691"/>
          <c:h val="0.85322359396433467"/>
        </c:manualLayout>
      </c:layout>
      <c:barChart>
        <c:barDir val="col"/>
        <c:grouping val="clustered"/>
        <c:ser>
          <c:idx val="0"/>
          <c:order val="0"/>
          <c:tx>
            <c:strRef>
              <c:f>'Balance Financiero'!$B$25</c:f>
              <c:strCache>
                <c:ptCount val="1"/>
                <c:pt idx="0">
                  <c:v>INGRESOS TOTALES</c:v>
                </c:pt>
              </c:strCache>
            </c:strRef>
          </c:tx>
          <c:spPr>
            <a:solidFill>
              <a:srgbClr val="9999FF"/>
            </a:solidFill>
            <a:ln w="12700">
              <a:solidFill>
                <a:srgbClr val="000000"/>
              </a:solidFill>
              <a:prstDash val="solid"/>
            </a:ln>
          </c:spPr>
          <c:dLbls>
            <c:delete val="1"/>
          </c:dLbls>
          <c:val>
            <c:numRef>
              <c:f>'Balance Financiero'!$C$25</c:f>
              <c:numCache>
                <c:formatCode>#,##0</c:formatCode>
                <c:ptCount val="1"/>
                <c:pt idx="0">
                  <c:v>6706172.1200000001</c:v>
                </c:pt>
              </c:numCache>
            </c:numRef>
          </c:val>
        </c:ser>
        <c:ser>
          <c:idx val="1"/>
          <c:order val="1"/>
          <c:tx>
            <c:strRef>
              <c:f>'Balance Financiero'!$B$44</c:f>
              <c:strCache>
                <c:ptCount val="1"/>
                <c:pt idx="0">
                  <c:v>GASTOS  TOTALES</c:v>
                </c:pt>
              </c:strCache>
            </c:strRef>
          </c:tx>
          <c:spPr>
            <a:solidFill>
              <a:srgbClr val="993366"/>
            </a:solidFill>
            <a:ln w="12700">
              <a:solidFill>
                <a:srgbClr val="000000"/>
              </a:solidFill>
              <a:prstDash val="solid"/>
            </a:ln>
          </c:spPr>
          <c:dLbls>
            <c:delete val="1"/>
          </c:dLbls>
          <c:val>
            <c:numRef>
              <c:f>'Balance Financiero'!$C$44</c:f>
              <c:numCache>
                <c:formatCode>#,##0</c:formatCode>
                <c:ptCount val="1"/>
                <c:pt idx="0">
                  <c:v>5164928.4450000003</c:v>
                </c:pt>
              </c:numCache>
            </c:numRef>
          </c:val>
        </c:ser>
        <c:ser>
          <c:idx val="2"/>
          <c:order val="2"/>
          <c:tx>
            <c:strRef>
              <c:f>'Balance Financiero'!$B$78</c:f>
              <c:strCache>
                <c:ptCount val="1"/>
                <c:pt idx="0">
                  <c:v>DÉFICIT O SUPERÁVIT TOTAL</c:v>
                </c:pt>
              </c:strCache>
            </c:strRef>
          </c:tx>
          <c:spPr>
            <a:solidFill>
              <a:srgbClr val="FFFFCC"/>
            </a:solidFill>
            <a:ln w="12700">
              <a:solidFill>
                <a:srgbClr val="000000"/>
              </a:solidFill>
              <a:prstDash val="solid"/>
            </a:ln>
          </c:spPr>
          <c:dLbls>
            <c:delete val="1"/>
          </c:dLbls>
          <c:val>
            <c:numRef>
              <c:f>'Balance Financiero'!$C$78</c:f>
              <c:numCache>
                <c:formatCode>#,##0</c:formatCode>
                <c:ptCount val="1"/>
                <c:pt idx="0">
                  <c:v>1541243.6750000003</c:v>
                </c:pt>
              </c:numCache>
            </c:numRef>
          </c:val>
        </c:ser>
        <c:ser>
          <c:idx val="3"/>
          <c:order val="3"/>
          <c:tx>
            <c:strRef>
              <c:f>'Balance Financiero'!$B$105</c:f>
              <c:strCache>
                <c:ptCount val="1"/>
                <c:pt idx="0">
                  <c:v>DEFICIT O SUPERAVIT PRESUPUESTAL</c:v>
                </c:pt>
              </c:strCache>
            </c:strRef>
          </c:tx>
          <c:spPr>
            <a:solidFill>
              <a:srgbClr val="CCFFFF"/>
            </a:solidFill>
            <a:ln w="12700">
              <a:solidFill>
                <a:srgbClr val="000000"/>
              </a:solidFill>
              <a:prstDash val="solid"/>
            </a:ln>
          </c:spPr>
          <c:dLbls>
            <c:dLbl>
              <c:idx val="0"/>
              <c:layout>
                <c:manualLayout>
                  <c:x val="4.0316477468180414E-2"/>
                  <c:y val="-1.8465449020518481E-2"/>
                </c:manualLayout>
              </c:layout>
              <c:dLblPos val="outEnd"/>
              <c:showVal val="1"/>
              <c:showSerName val="1"/>
            </c:dLbl>
            <c:spPr>
              <a:noFill/>
              <a:ln w="25400">
                <a:noFill/>
              </a:ln>
            </c:spPr>
            <c:txPr>
              <a:bodyPr/>
              <a:lstStyle/>
              <a:p>
                <a:pPr>
                  <a:defRPr sz="925" b="0" i="0" u="none" strike="noStrike" baseline="0">
                    <a:solidFill>
                      <a:srgbClr val="000000"/>
                    </a:solidFill>
                    <a:latin typeface="Arial Narrow"/>
                    <a:ea typeface="Arial Narrow"/>
                    <a:cs typeface="Arial Narrow"/>
                  </a:defRPr>
                </a:pPr>
                <a:endParaRPr lang="es-CO"/>
              </a:p>
            </c:txPr>
            <c:showVal val="1"/>
            <c:showSerName val="1"/>
          </c:dLbls>
          <c:val>
            <c:numRef>
              <c:f>'Balance Financiero'!$C$105</c:f>
              <c:numCache>
                <c:formatCode>#,##0</c:formatCode>
                <c:ptCount val="1"/>
                <c:pt idx="0">
                  <c:v>1496247.6749999998</c:v>
                </c:pt>
              </c:numCache>
            </c:numRef>
          </c:val>
        </c:ser>
        <c:dLbls>
          <c:showVal val="1"/>
          <c:showSerName val="1"/>
        </c:dLbls>
        <c:axId val="102688256"/>
        <c:axId val="102689792"/>
      </c:barChart>
      <c:catAx>
        <c:axId val="102688256"/>
        <c:scaling>
          <c:orientation val="minMax"/>
        </c:scaling>
        <c:delete val="1"/>
        <c:axPos val="b"/>
        <c:tickLblPos val="none"/>
        <c:crossAx val="102689792"/>
        <c:crosses val="autoZero"/>
        <c:lblAlgn val="ctr"/>
        <c:lblOffset val="100"/>
      </c:catAx>
      <c:valAx>
        <c:axId val="102689792"/>
        <c:scaling>
          <c:orientation val="minMax"/>
        </c:scaling>
        <c:axPos val="l"/>
        <c:title>
          <c:tx>
            <c:rich>
              <a:bodyPr/>
              <a:lstStyle/>
              <a:p>
                <a:pPr>
                  <a:defRPr sz="925" b="0" i="0" u="none" strike="noStrike" baseline="0">
                    <a:solidFill>
                      <a:srgbClr val="000000"/>
                    </a:solidFill>
                    <a:latin typeface="Arial Narrow"/>
                    <a:ea typeface="Arial Narrow"/>
                    <a:cs typeface="Arial Narrow"/>
                  </a:defRPr>
                </a:pPr>
                <a:r>
                  <a:rPr lang="es-ES"/>
                  <a:t>Millones de Pesos</a:t>
                </a:r>
              </a:p>
            </c:rich>
          </c:tx>
          <c:layout>
            <c:manualLayout>
              <c:xMode val="edge"/>
              <c:yMode val="edge"/>
              <c:x val="1.1351909184726523E-2"/>
              <c:y val="0.48559670781893038"/>
            </c:manualLayout>
          </c:layout>
          <c:spPr>
            <a:noFill/>
            <a:ln w="25400">
              <a:noFill/>
            </a:ln>
          </c:spPr>
        </c:title>
        <c:numFmt formatCode="#,##0"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Narrow"/>
                <a:ea typeface="Arial Narrow"/>
                <a:cs typeface="Arial Narrow"/>
              </a:defRPr>
            </a:pPr>
            <a:endParaRPr lang="es-CO"/>
          </a:p>
        </c:txPr>
        <c:crossAx val="102688256"/>
        <c:crosses val="autoZero"/>
        <c:crossBetween val="between"/>
      </c:valAx>
      <c:spPr>
        <a:noFill/>
        <a:ln w="25400">
          <a:noFill/>
        </a:ln>
      </c:spPr>
    </c:plotArea>
    <c:plotVisOnly val="1"/>
    <c:dispBlanksAs val="gap"/>
  </c:chart>
  <c:spPr>
    <a:gradFill rotWithShape="0">
      <a:gsLst>
        <a:gs pos="0">
          <a:srgbClr val="CCFFFF"/>
        </a:gs>
        <a:gs pos="50000">
          <a:srgbClr val="FFFFFF"/>
        </a:gs>
        <a:gs pos="100000">
          <a:srgbClr val="CCFFFF"/>
        </a:gs>
      </a:gsLst>
      <a:lin ang="5400000" scaled="1"/>
    </a:gradFill>
    <a:ln w="9525">
      <a:noFill/>
    </a:ln>
  </c:spPr>
  <c:txPr>
    <a:bodyPr/>
    <a:lstStyle/>
    <a:p>
      <a:pPr>
        <a:defRPr sz="925" b="0" i="0" u="none" strike="noStrike" baseline="0">
          <a:solidFill>
            <a:srgbClr val="000000"/>
          </a:solidFill>
          <a:latin typeface="Arial Narrow"/>
          <a:ea typeface="Arial Narrow"/>
          <a:cs typeface="Arial Narrow"/>
        </a:defRPr>
      </a:pPr>
      <a:endParaRPr lang="es-CO"/>
    </a:p>
  </c:txPr>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strRef>
          <c:f>Ingresos!$B$185</c:f>
          <c:strCache>
            <c:ptCount val="1"/>
            <c:pt idx="0">
              <c:v>MUNICIPIO DE CUNDAY COMPOSICION INGRESOS TRIBUTARIOS 2011</c:v>
            </c:pt>
          </c:strCache>
        </c:strRef>
      </c:tx>
      <c:layout>
        <c:manualLayout>
          <c:xMode val="edge"/>
          <c:yMode val="edge"/>
          <c:x val="0.21981424148606885"/>
          <c:y val="2.4691358024691412E-2"/>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view3D>
      <c:rotY val="170"/>
      <c:perspective val="0"/>
    </c:view3D>
    <c:plotArea>
      <c:layout>
        <c:manualLayout>
          <c:layoutTarget val="inner"/>
          <c:xMode val="edge"/>
          <c:yMode val="edge"/>
          <c:x val="0.39318885448916491"/>
          <c:y val="0.46776406035665374"/>
          <c:w val="0.27760577915376738"/>
          <c:h val="0.14677640603566541"/>
        </c:manualLayout>
      </c:layout>
      <c:pie3DChart>
        <c:varyColors val="1"/>
        <c:ser>
          <c:idx val="0"/>
          <c:order val="0"/>
          <c:spPr>
            <a:solidFill>
              <a:srgbClr val="9999FF"/>
            </a:solidFill>
            <a:ln w="12700">
              <a:solidFill>
                <a:srgbClr val="000000"/>
              </a:solidFill>
              <a:prstDash val="solid"/>
            </a:ln>
          </c:spPr>
          <c:explosion val="27"/>
          <c:dPt>
            <c:idx val="0"/>
            <c:spPr>
              <a:pattFill prst="ltDnDiag">
                <a:fgClr>
                  <a:srgbClr val="9999FF"/>
                </a:fgClr>
                <a:bgClr>
                  <a:srgbClr val="FFFFFF"/>
                </a:bgClr>
              </a:pattFill>
              <a:ln w="12700">
                <a:solidFill>
                  <a:srgbClr val="000000"/>
                </a:solidFill>
                <a:prstDash val="solid"/>
              </a:ln>
            </c:spPr>
          </c:dPt>
          <c:dPt>
            <c:idx val="1"/>
            <c:spPr>
              <a:solidFill>
                <a:srgbClr val="993366"/>
              </a:solidFill>
              <a:ln w="12700">
                <a:solidFill>
                  <a:srgbClr val="000000"/>
                </a:solidFill>
                <a:prstDash val="solid"/>
              </a:ln>
            </c:spPr>
          </c:dPt>
          <c:dPt>
            <c:idx val="2"/>
            <c:spPr>
              <a:pattFill prst="dkUpDiag">
                <a:fgClr>
                  <a:srgbClr val="FF0000"/>
                </a:fgClr>
                <a:bgClr>
                  <a:srgbClr val="FFFFFF"/>
                </a:bgClr>
              </a:pattFill>
              <a:ln w="12700">
                <a:solidFill>
                  <a:srgbClr val="000000"/>
                </a:solidFill>
                <a:prstDash val="solid"/>
              </a:ln>
            </c:spPr>
          </c:dPt>
          <c:dPt>
            <c:idx val="3"/>
            <c:spPr>
              <a:pattFill prst="ltUpDiag">
                <a:fgClr>
                  <a:srgbClr val="0000FF"/>
                </a:fgClr>
                <a:bgClr>
                  <a:srgbClr val="FFFFFF"/>
                </a:bgClr>
              </a:pattFill>
              <a:ln w="12700">
                <a:solidFill>
                  <a:srgbClr val="000000"/>
                </a:solidFill>
                <a:prstDash val="solid"/>
              </a:ln>
            </c:spPr>
          </c:dPt>
          <c:dPt>
            <c:idx val="4"/>
            <c:spPr>
              <a:solidFill>
                <a:srgbClr val="660066"/>
              </a:solidFill>
              <a:ln w="12700">
                <a:solidFill>
                  <a:srgbClr val="000000"/>
                </a:solidFill>
                <a:prstDash val="solid"/>
              </a:ln>
            </c:spPr>
          </c:dPt>
          <c:dLbls>
            <c:dLbl>
              <c:idx val="0"/>
              <c:layout>
                <c:manualLayout>
                  <c:x val="-6.3708723716037099E-2"/>
                  <c:y val="1.1086556567260429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1"/>
              <c:layout>
                <c:manualLayout>
                  <c:x val="-0.12460717952051674"/>
                  <c:y val="0.1672780820092965"/>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2"/>
              <c:layout>
                <c:manualLayout>
                  <c:x val="-7.0163412236009234E-2"/>
                  <c:y val="2.2644473967502996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3"/>
              <c:layout>
                <c:manualLayout>
                  <c:x val="-5.7538008987265904E-3"/>
                  <c:y val="-6.6498025195410274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4"/>
              <c:layout>
                <c:manualLayout>
                  <c:x val="6.1208107500494345E-2"/>
                  <c:y val="2.3837925609093109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numFmt formatCode="0%" sourceLinked="0"/>
            <c:spPr>
              <a:noFill/>
              <a:ln w="25400">
                <a:noFill/>
              </a:ln>
            </c:spPr>
            <c:txPr>
              <a:bodyPr/>
              <a:lstStyle/>
              <a:p>
                <a:pPr>
                  <a:defRPr sz="925" b="0" i="0" u="none" strike="noStrike" baseline="0">
                    <a:solidFill>
                      <a:srgbClr val="000000"/>
                    </a:solidFill>
                    <a:latin typeface="Arial Narrow"/>
                    <a:ea typeface="Arial Narrow"/>
                    <a:cs typeface="Arial Narrow"/>
                  </a:defRPr>
                </a:pPr>
                <a:endParaRPr lang="es-CO"/>
              </a:p>
            </c:txPr>
            <c:dLblPos val="outEnd"/>
            <c:showCatName val="1"/>
            <c:showPercent val="1"/>
            <c:showLeaderLines val="1"/>
          </c:dLbls>
          <c:cat>
            <c:strRef>
              <c:f>('Balance Financiero'!$B$28,'Balance Financiero'!$B$29,'Balance Financiero'!$B$30,'Balance Financiero'!$B$31,'Balance Financiero'!$B$32)</c:f>
              <c:strCache>
                <c:ptCount val="5"/>
                <c:pt idx="0">
                  <c:v>    Impuesto Predial Unificado (Incluye Compensación por predial de Resguardos Indigenas)</c:v>
                </c:pt>
                <c:pt idx="1">
                  <c:v>    Impuesto de Circulación y Tránsito Servicio Público</c:v>
                </c:pt>
                <c:pt idx="2">
                  <c:v>    Impuesto de Industria y Comercio</c:v>
                </c:pt>
                <c:pt idx="3">
                  <c:v>    Sobretasa a la Gasolina</c:v>
                </c:pt>
                <c:pt idx="4">
                  <c:v>  Otros Ingresos Tributarios</c:v>
                </c:pt>
              </c:strCache>
            </c:strRef>
          </c:cat>
          <c:val>
            <c:numRef>
              <c:f>('Balance Financiero'!$C$28,'Balance Financiero'!$C$29,'Balance Financiero'!$C$30,'Balance Financiero'!$C$31,'Balance Financiero'!$C$32)</c:f>
              <c:numCache>
                <c:formatCode>#,##0</c:formatCode>
                <c:ptCount val="5"/>
                <c:pt idx="0">
                  <c:v>275912</c:v>
                </c:pt>
                <c:pt idx="1">
                  <c:v>0</c:v>
                </c:pt>
                <c:pt idx="2">
                  <c:v>42779</c:v>
                </c:pt>
                <c:pt idx="3">
                  <c:v>42951</c:v>
                </c:pt>
                <c:pt idx="4">
                  <c:v>141344</c:v>
                </c:pt>
              </c:numCache>
            </c:numRef>
          </c:val>
        </c:ser>
        <c:dLbls>
          <c:showCatName val="1"/>
          <c:showPercent val="1"/>
        </c:dLbls>
      </c:pie3DChart>
      <c:spPr>
        <a:noFill/>
        <a:ln w="25400">
          <a:noFill/>
        </a:ln>
      </c:spPr>
    </c:plotArea>
    <c:plotVisOnly val="1"/>
    <c:dispBlanksAs val="zero"/>
  </c:chart>
  <c:spPr>
    <a:gradFill rotWithShape="0">
      <a:gsLst>
        <a:gs pos="0">
          <a:srgbClr val="CCFFFF"/>
        </a:gs>
        <a:gs pos="50000">
          <a:srgbClr val="FFFFFF"/>
        </a:gs>
        <a:gs pos="100000">
          <a:srgbClr val="CCFFFF"/>
        </a:gs>
      </a:gsLst>
      <a:lin ang="5400000" scaled="1"/>
    </a:gradFill>
    <a:ln w="9525">
      <a:noFill/>
    </a:ln>
  </c:spPr>
  <c:txPr>
    <a:bodyPr/>
    <a:lstStyle/>
    <a:p>
      <a:pPr>
        <a:defRPr sz="925" b="0" i="0" u="none" strike="noStrike" baseline="0">
          <a:solidFill>
            <a:srgbClr val="000000"/>
          </a:solidFill>
          <a:latin typeface="Arial Narrow"/>
          <a:ea typeface="Arial Narrow"/>
          <a:cs typeface="Arial Narrow"/>
        </a:defRPr>
      </a:pPr>
      <a:endParaRPr lang="es-CO"/>
    </a:p>
  </c:txPr>
</c:chartSpace>
</file>

<file path=xl/charts/chart5.xml><?xml version="1.0" encoding="utf-8"?>
<c:chartSpace xmlns:c="http://schemas.openxmlformats.org/drawingml/2006/chart" xmlns:a="http://schemas.openxmlformats.org/drawingml/2006/main" xmlns:r="http://schemas.openxmlformats.org/officeDocument/2006/relationships">
  <c:lang val="es-CO"/>
  <c:chart>
    <c:title>
      <c:tx>
        <c:strRef>
          <c:f>Ingresos!$B$186</c:f>
          <c:strCache>
            <c:ptCount val="1"/>
            <c:pt idx="0">
              <c:v>MUNICIPIO DE CUNDAY COMPOSICION GASTOS DE FUNCIONAMIENTO 2011</c:v>
            </c:pt>
          </c:strCache>
        </c:strRef>
      </c:tx>
      <c:layout>
        <c:manualLayout>
          <c:xMode val="edge"/>
          <c:yMode val="edge"/>
          <c:x val="0.1661506707946333"/>
          <c:y val="1.3717421124828557E-3"/>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view3D>
      <c:rotY val="200"/>
      <c:perspective val="0"/>
    </c:view3D>
    <c:plotArea>
      <c:layout>
        <c:manualLayout>
          <c:layoutTarget val="inner"/>
          <c:xMode val="edge"/>
          <c:yMode val="edge"/>
          <c:x val="0.21259029927760612"/>
          <c:y val="0.37860082304526854"/>
          <c:w val="0.54385964912280704"/>
          <c:h val="0.28532235939643424"/>
        </c:manualLayout>
      </c:layout>
      <c:pie3DChart>
        <c:varyColors val="1"/>
        <c:ser>
          <c:idx val="0"/>
          <c:order val="0"/>
          <c:spPr>
            <a:solidFill>
              <a:srgbClr val="9999FF"/>
            </a:solidFill>
            <a:ln w="12700">
              <a:solidFill>
                <a:srgbClr val="000000"/>
              </a:solidFill>
              <a:prstDash val="solid"/>
            </a:ln>
          </c:spPr>
          <c:explosion val="8"/>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0"/>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1"/>
              <c:layout>
                <c:manualLayout>
                  <c:x val="0.10144300073945875"/>
                  <c:y val="-0.11776949691988089"/>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dLbl>
              <c:idx val="2"/>
              <c:layout>
                <c:manualLayout>
                  <c:x val="2.9031200821259583E-3"/>
                  <c:y val="9.5665078902174502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showCatName val="1"/>
              <c:showPercent val="1"/>
            </c:dLbl>
            <c:numFmt formatCode="0%" sourceLinked="0"/>
            <c:spPr>
              <a:noFill/>
              <a:ln w="25400">
                <a:noFill/>
              </a:ln>
            </c:spPr>
            <c:txPr>
              <a:bodyPr/>
              <a:lstStyle/>
              <a:p>
                <a:pPr>
                  <a:defRPr sz="575" b="0" i="0" u="none" strike="noStrike" baseline="0">
                    <a:solidFill>
                      <a:srgbClr val="000000"/>
                    </a:solidFill>
                    <a:latin typeface="Arial Narrow"/>
                    <a:ea typeface="Arial Narrow"/>
                    <a:cs typeface="Arial Narrow"/>
                  </a:defRPr>
                </a:pPr>
                <a:endParaRPr lang="es-CO"/>
              </a:p>
            </c:txPr>
            <c:dLblPos val="outEnd"/>
            <c:showCatName val="1"/>
            <c:showPercent val="1"/>
            <c:showLeaderLines val="1"/>
          </c:dLbls>
          <c:cat>
            <c:strRef>
              <c:f>'Balance Financiero'!$B$47:$B$49</c:f>
              <c:strCache>
                <c:ptCount val="3"/>
                <c:pt idx="0">
                  <c:v>  GASTOS DE PERSONAL</c:v>
                </c:pt>
                <c:pt idx="1">
                  <c:v>  GASTOS GENERALES</c:v>
                </c:pt>
                <c:pt idx="2">
                  <c:v>  TRANSFERENCIAS</c:v>
                </c:pt>
              </c:strCache>
            </c:strRef>
          </c:cat>
          <c:val>
            <c:numRef>
              <c:f>'Balance Financiero'!$E$47:$E$49</c:f>
              <c:numCache>
                <c:formatCode>0%</c:formatCode>
                <c:ptCount val="3"/>
                <c:pt idx="0">
                  <c:v>0.33824778444309755</c:v>
                </c:pt>
                <c:pt idx="1">
                  <c:v>0.10579500499816585</c:v>
                </c:pt>
                <c:pt idx="2">
                  <c:v>0.55595721055873659</c:v>
                </c:pt>
              </c:numCache>
            </c:numRef>
          </c:val>
        </c:ser>
        <c:dLbls>
          <c:showCatName val="1"/>
          <c:showPercent val="1"/>
        </c:dLbls>
      </c:pie3DChart>
      <c:spPr>
        <a:noFill/>
        <a:ln w="25400">
          <a:noFill/>
        </a:ln>
      </c:spPr>
    </c:plotArea>
    <c:plotVisOnly val="1"/>
    <c:dispBlanksAs val="zero"/>
  </c:chart>
  <c:spPr>
    <a:gradFill rotWithShape="0">
      <a:gsLst>
        <a:gs pos="0">
          <a:srgbClr val="CCFFFF"/>
        </a:gs>
        <a:gs pos="50000">
          <a:srgbClr val="FFFFFF"/>
        </a:gs>
        <a:gs pos="100000">
          <a:srgbClr val="CCFFFF"/>
        </a:gs>
      </a:gsLst>
      <a:lin ang="5400000" scaled="1"/>
    </a:gradFill>
    <a:ln w="9525">
      <a:noFill/>
    </a:ln>
  </c:spPr>
  <c:txPr>
    <a:bodyPr/>
    <a:lstStyle/>
    <a:p>
      <a:pPr>
        <a:defRPr sz="925" b="0" i="0" u="none" strike="noStrike" baseline="0">
          <a:solidFill>
            <a:srgbClr val="000000"/>
          </a:solidFill>
          <a:latin typeface="Arial Narrow"/>
          <a:ea typeface="Arial Narrow"/>
          <a:cs typeface="Arial Narrow"/>
        </a:defRPr>
      </a:pPr>
      <a:endParaRPr lang="es-CO"/>
    </a:p>
  </c:txPr>
</c:chartSpace>
</file>

<file path=xl/charts/chart6.xml><?xml version="1.0" encoding="utf-8"?>
<c:chartSpace xmlns:c="http://schemas.openxmlformats.org/drawingml/2006/chart" xmlns:a="http://schemas.openxmlformats.org/drawingml/2006/main" xmlns:r="http://schemas.openxmlformats.org/officeDocument/2006/relationships">
  <c:lang val="es-CO"/>
  <c:chart>
    <c:title>
      <c:tx>
        <c:strRef>
          <c:f>Ingresos!$B$187</c:f>
          <c:strCache>
            <c:ptCount val="1"/>
            <c:pt idx="0">
              <c:v>MUNICIPIO DE CUNDAY COMPOSICION DE INGRESOS 2011</c:v>
            </c:pt>
          </c:strCache>
        </c:strRef>
      </c:tx>
      <c:layout>
        <c:manualLayout>
          <c:xMode val="edge"/>
          <c:yMode val="edge"/>
          <c:x val="0.26315789473684231"/>
          <c:y val="3.1550068587105642E-2"/>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view3D>
      <c:perspective val="0"/>
    </c:view3D>
    <c:plotArea>
      <c:layout>
        <c:manualLayout>
          <c:layoutTarget val="inner"/>
          <c:xMode val="edge"/>
          <c:yMode val="edge"/>
          <c:x val="0.23942208462332346"/>
          <c:y val="0.48696844993141386"/>
          <c:w val="0.47678018575851455"/>
          <c:h val="0.25240054869684497"/>
        </c:manualLayout>
      </c:layout>
      <c:pie3DChart>
        <c:varyColors val="1"/>
        <c:ser>
          <c:idx val="0"/>
          <c:order val="0"/>
          <c:spPr>
            <a:solidFill>
              <a:srgbClr val="9999FF"/>
            </a:solidFill>
            <a:ln w="12700">
              <a:solidFill>
                <a:srgbClr val="000000"/>
              </a:solidFill>
              <a:prstDash val="solid"/>
            </a:ln>
          </c:spPr>
          <c:dPt>
            <c:idx val="0"/>
            <c:spPr>
              <a:pattFill prst="dkDnDiag">
                <a:fgClr>
                  <a:srgbClr val="9999FF"/>
                </a:fgClr>
                <a:bgClr>
                  <a:srgbClr val="FFFFFF"/>
                </a:bgClr>
              </a:patt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Lbls>
            <c:dLbl>
              <c:idx val="0"/>
              <c:layout>
                <c:manualLayout>
                  <c:x val="7.9591537125970932E-2"/>
                  <c:y val="-0.19469650655807938"/>
                </c:manualLayout>
              </c:layout>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es-CO"/>
                </a:p>
              </c:txPr>
              <c:dLblPos val="bestFit"/>
              <c:showCatName val="1"/>
              <c:showPercent val="1"/>
            </c:dLbl>
            <c:dLbl>
              <c:idx val="1"/>
              <c:layout>
                <c:manualLayout>
                  <c:x val="5.3555875175045745E-2"/>
                  <c:y val="-6.3222405841245194E-2"/>
                </c:manualLayout>
              </c:layout>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es-CO"/>
                </a:p>
              </c:txPr>
              <c:dLblPos val="bestFit"/>
              <c:showCatName val="1"/>
              <c:showPercent val="1"/>
            </c:dLbl>
            <c:dLbl>
              <c:idx val="2"/>
              <c:layout>
                <c:manualLayout>
                  <c:x val="0.11282741360116341"/>
                  <c:y val="9.0749993699347276E-2"/>
                </c:manualLayout>
              </c:layout>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es-CO"/>
                </a:p>
              </c:txPr>
              <c:dLblPos val="bestFit"/>
              <c:showCatName val="1"/>
              <c:showPercent val="1"/>
            </c:dLbl>
            <c:dLbl>
              <c:idx val="3"/>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es-CO"/>
                </a:p>
              </c:txPr>
              <c:dLblPos val="bestFit"/>
              <c:showCatName val="1"/>
              <c:showPercent val="1"/>
            </c:dLbl>
            <c:dLbl>
              <c:idx val="4"/>
              <c:layout>
                <c:manualLayout>
                  <c:x val="-4.5604283984625814E-2"/>
                  <c:y val="-9.9754238539113013E-2"/>
                </c:manualLayout>
              </c:layout>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es-CO"/>
                </a:p>
              </c:txPr>
              <c:dLblPos val="bestFit"/>
              <c:showCatName val="1"/>
              <c:showPercent val="1"/>
            </c:dLbl>
            <c:numFmt formatCode="0%" sourceLinked="0"/>
            <c:spPr>
              <a:noFill/>
              <a:ln w="25400">
                <a:noFill/>
              </a:ln>
            </c:spPr>
            <c:txPr>
              <a:bodyPr/>
              <a:lstStyle/>
              <a:p>
                <a:pPr>
                  <a:defRPr sz="925" b="0" i="0" u="none" strike="noStrike" baseline="0">
                    <a:solidFill>
                      <a:srgbClr val="000000"/>
                    </a:solidFill>
                    <a:latin typeface="Arial Narrow"/>
                    <a:ea typeface="Arial Narrow"/>
                    <a:cs typeface="Arial Narrow"/>
                  </a:defRPr>
                </a:pPr>
                <a:endParaRPr lang="es-CO"/>
              </a:p>
            </c:txPr>
            <c:dLblPos val="outEnd"/>
            <c:showCatName val="1"/>
            <c:showPercent val="1"/>
            <c:showLeaderLines val="1"/>
          </c:dLbls>
          <c:cat>
            <c:strRef>
              <c:f>('Balance Financiero'!$B$27,'Balance Financiero'!$B$33,'Balance Financiero'!$B$36,'Balance Financiero'!$B$66,'Balance Financiero'!$B$82)</c:f>
              <c:strCache>
                <c:ptCount val="5"/>
                <c:pt idx="0">
                  <c:v>TRIBUTARIOS</c:v>
                </c:pt>
                <c:pt idx="1">
                  <c:v>NO TRIBUTARIOS</c:v>
                </c:pt>
                <c:pt idx="2">
                  <c:v>       Transferencias</c:v>
                </c:pt>
                <c:pt idx="3">
                  <c:v>INGRESOS DE CAPITAL</c:v>
                </c:pt>
                <c:pt idx="4">
                  <c:v>        Desembolsos</c:v>
                </c:pt>
              </c:strCache>
            </c:strRef>
          </c:cat>
          <c:val>
            <c:numRef>
              <c:f>('Balance Financiero'!$E$27,'Balance Financiero'!$E$33,'Balance Financiero'!$E$36,'Balance Financiero'!$E$66,'Balance Financiero'!$E$82)</c:f>
              <c:numCache>
                <c:formatCode>0%</c:formatCode>
                <c:ptCount val="5"/>
                <c:pt idx="0">
                  <c:v>7.5003443245951165E-2</c:v>
                </c:pt>
                <c:pt idx="1">
                  <c:v>6.1415065499392518E-3</c:v>
                </c:pt>
                <c:pt idx="2">
                  <c:v>0.66129172360103394</c:v>
                </c:pt>
                <c:pt idx="3">
                  <c:v>0.25756332660307563</c:v>
                </c:pt>
                <c:pt idx="4">
                  <c:v>0</c:v>
                </c:pt>
              </c:numCache>
            </c:numRef>
          </c:val>
        </c:ser>
        <c:dLbls>
          <c:showCatName val="1"/>
          <c:showPercent val="1"/>
        </c:dLbls>
      </c:pie3DChart>
      <c:spPr>
        <a:noFill/>
        <a:ln w="25400">
          <a:noFill/>
        </a:ln>
      </c:spPr>
    </c:plotArea>
    <c:plotVisOnly val="1"/>
    <c:dispBlanksAs val="zero"/>
  </c:chart>
  <c:spPr>
    <a:gradFill rotWithShape="0">
      <a:gsLst>
        <a:gs pos="0">
          <a:srgbClr val="CCFFFF"/>
        </a:gs>
        <a:gs pos="50000">
          <a:srgbClr val="FFFFFF"/>
        </a:gs>
        <a:gs pos="100000">
          <a:srgbClr val="CCFFFF"/>
        </a:gs>
      </a:gsLst>
      <a:lin ang="5400000" scaled="1"/>
    </a:gradFill>
    <a:ln w="9525">
      <a:noFill/>
    </a:ln>
  </c:spPr>
  <c:txPr>
    <a:bodyPr/>
    <a:lstStyle/>
    <a:p>
      <a:pPr>
        <a:defRPr sz="925" b="0" i="0" u="none" strike="noStrike" baseline="0">
          <a:solidFill>
            <a:srgbClr val="000000"/>
          </a:solidFill>
          <a:latin typeface="Arial Narrow"/>
          <a:ea typeface="Arial Narrow"/>
          <a:cs typeface="Arial Narrow"/>
        </a:defRPr>
      </a:pPr>
      <a:endParaRPr lang="es-CO"/>
    </a:p>
  </c:txPr>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strRef>
          <c:f>Ingresos!$B$188</c:f>
          <c:strCache>
            <c:ptCount val="1"/>
            <c:pt idx="0">
              <c:v>MUNICIPIO DE CUNDAY COMPOSICION DE GASTOS 2011</c:v>
            </c:pt>
          </c:strCache>
        </c:strRef>
      </c:tx>
      <c:layout>
        <c:manualLayout>
          <c:xMode val="edge"/>
          <c:yMode val="edge"/>
          <c:x val="0.27347781217750317"/>
          <c:y val="1.3717421124828557E-3"/>
        </c:manualLayout>
      </c:layout>
      <c:spPr>
        <a:noFill/>
        <a:ln w="25400">
          <a:noFill/>
        </a:ln>
      </c:spPr>
      <c:txPr>
        <a:bodyPr/>
        <a:lstStyle/>
        <a:p>
          <a:pPr>
            <a:defRPr sz="1400" b="1" i="0" u="none" strike="noStrike" baseline="0">
              <a:solidFill>
                <a:srgbClr val="000000"/>
              </a:solidFill>
              <a:latin typeface="Arial Narrow"/>
              <a:ea typeface="Arial Narrow"/>
              <a:cs typeface="Arial Narrow"/>
            </a:defRPr>
          </a:pPr>
          <a:endParaRPr lang="es-CO"/>
        </a:p>
      </c:txPr>
    </c:title>
    <c:view3D>
      <c:perspective val="0"/>
    </c:view3D>
    <c:plotArea>
      <c:layout>
        <c:manualLayout>
          <c:layoutTarget val="inner"/>
          <c:xMode val="edge"/>
          <c:yMode val="edge"/>
          <c:x val="0.32817337461300372"/>
          <c:y val="0.59396433470507548"/>
          <c:w val="0.27038183694530482"/>
          <c:h val="0.14266117969821668"/>
        </c:manualLayout>
      </c:layout>
      <c:pie3DChart>
        <c:varyColors val="1"/>
        <c:ser>
          <c:idx val="0"/>
          <c:order val="0"/>
          <c:spPr>
            <a:solidFill>
              <a:srgbClr val="9999FF"/>
            </a:solidFill>
            <a:ln w="12700">
              <a:solidFill>
                <a:srgbClr val="000000"/>
              </a:solidFill>
              <a:prstDash val="solid"/>
            </a:ln>
          </c:spPr>
          <c:explosion val="28"/>
          <c:dPt>
            <c:idx val="0"/>
            <c:spPr>
              <a:pattFill prst="dkUpDiag">
                <a:fgClr>
                  <a:srgbClr val="9999FF"/>
                </a:fgClr>
                <a:bgClr>
                  <a:srgbClr val="FFFFFF"/>
                </a:bgClr>
              </a:pattFill>
              <a:ln w="12700">
                <a:solidFill>
                  <a:srgbClr val="000000"/>
                </a:solidFill>
                <a:prstDash val="solid"/>
              </a:ln>
            </c:spPr>
          </c:dPt>
          <c:dPt>
            <c:idx val="1"/>
            <c:spPr>
              <a:solidFill>
                <a:srgbClr val="993366"/>
              </a:solidFill>
              <a:ln w="12700">
                <a:solidFill>
                  <a:srgbClr val="000000"/>
                </a:solidFill>
                <a:prstDash val="solid"/>
              </a:ln>
            </c:spPr>
          </c:dPt>
          <c:dPt>
            <c:idx val="2"/>
            <c:spPr>
              <a:pattFill prst="pct30">
                <a:fgClr>
                  <a:srgbClr val="FF00FF"/>
                </a:fgClr>
                <a:bgClr>
                  <a:srgbClr val="FFFFFF"/>
                </a:bgClr>
              </a:patt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manualLayout>
                  <c:x val="-6.4290647879541585E-2"/>
                  <c:y val="-6.1312768002765014E-2"/>
                </c:manualLayout>
              </c:layout>
              <c:numFmt formatCode="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s-CO"/>
                </a:p>
              </c:txPr>
              <c:dLblPos val="bestFit"/>
              <c:showCatName val="1"/>
              <c:showPercent val="1"/>
            </c:dLbl>
            <c:dLbl>
              <c:idx val="1"/>
              <c:layout>
                <c:manualLayout>
                  <c:x val="8.2616654342355739E-2"/>
                  <c:y val="-0.16453445376941092"/>
                </c:manualLayout>
              </c:layout>
              <c:dLblPos val="bestFit"/>
              <c:showCatName val="1"/>
              <c:showPercent val="1"/>
            </c:dLbl>
            <c:dLbl>
              <c:idx val="2"/>
              <c:layout>
                <c:manualLayout>
                  <c:x val="0.10632906180845036"/>
                  <c:y val="8.4608765468102646E-3"/>
                </c:manualLayout>
              </c:layout>
              <c:tx>
                <c:strRef>
                  <c:f>Ingresos!$B$188</c:f>
                  <c:strCache>
                    <c:ptCount val="1"/>
                    <c:pt idx="0">
                      <c:v>MUNICIPIO DE CUNDAY COMPOSICION DE GASTOS 2011</c:v>
                    </c:pt>
                  </c:strCache>
                </c:strRef>
              </c:tx>
              <c:spPr>
                <a:noFill/>
                <a:ln w="25400">
                  <a:noFill/>
                </a:ln>
              </c:spPr>
              <c:txPr>
                <a:bodyPr/>
                <a:lstStyle/>
                <a:p>
                  <a:pPr>
                    <a:defRPr sz="1000" b="0" i="0" u="none" strike="noStrike" baseline="0">
                      <a:solidFill>
                        <a:srgbClr val="000000"/>
                      </a:solidFill>
                      <a:latin typeface="Arial Narrow"/>
                      <a:ea typeface="Arial Narrow"/>
                      <a:cs typeface="Arial Narrow"/>
                    </a:defRPr>
                  </a:pPr>
                  <a:endParaRPr lang="es-CO"/>
                </a:p>
              </c:txPr>
              <c:dLblPos val="bestFit"/>
            </c:dLbl>
            <c:dLbl>
              <c:idx val="3"/>
              <c:layout>
                <c:manualLayout>
                  <c:x val="-3.7963536291709669E-2"/>
                  <c:y val="-1.1086844597100225E-2"/>
                </c:manualLayout>
              </c:layout>
              <c:dLblPos val="bestFit"/>
              <c:showCatName val="1"/>
              <c:showPercent val="1"/>
            </c:dLbl>
            <c:dLbl>
              <c:idx val="4"/>
              <c:layout>
                <c:manualLayout>
                  <c:x val="-4.6722302127094779E-2"/>
                  <c:y val="-0.23468080893180535"/>
                </c:manualLayout>
              </c:layout>
              <c:dLblPos val="bestFit"/>
              <c:showCatName val="1"/>
              <c:showPercent val="1"/>
            </c:dLbl>
            <c:dLbl>
              <c:idx val="5"/>
              <c:layout>
                <c:manualLayout>
                  <c:x val="-5.2200471845044352E-2"/>
                  <c:y val="-8.5822379198485316E-2"/>
                </c:manualLayout>
              </c:layout>
              <c:dLblPos val="bestFit"/>
              <c:showCatName val="1"/>
              <c:showPercent val="1"/>
            </c:dLbl>
            <c:dLbl>
              <c:idx val="6"/>
              <c:layout>
                <c:manualLayout>
                  <c:x val="-9.2800706413246323E-2"/>
                  <c:y val="-0.13152205768517622"/>
                </c:manualLayout>
              </c:layout>
              <c:dLblPos val="bestFit"/>
              <c:showCatName val="1"/>
              <c:showPercent val="1"/>
            </c:dLbl>
            <c:numFmt formatCode="0%" sourceLinked="0"/>
            <c:spPr>
              <a:noFill/>
              <a:ln w="25400">
                <a:noFill/>
              </a:ln>
            </c:spPr>
            <c:txPr>
              <a:bodyPr/>
              <a:lstStyle/>
              <a:p>
                <a:pPr>
                  <a:defRPr sz="1200" b="0" i="0" u="none" strike="noStrike" baseline="0">
                    <a:solidFill>
                      <a:srgbClr val="000000"/>
                    </a:solidFill>
                    <a:latin typeface="Arial Narrow"/>
                    <a:ea typeface="Arial Narrow"/>
                    <a:cs typeface="Arial Narrow"/>
                  </a:defRPr>
                </a:pPr>
                <a:endParaRPr lang="es-CO"/>
              </a:p>
            </c:txPr>
            <c:dLblPos val="outEnd"/>
            <c:showCatName val="1"/>
            <c:showPercent val="1"/>
            <c:showLeaderLines val="1"/>
          </c:dLbls>
          <c:cat>
            <c:strRef>
              <c:f>('Balance Financiero'!$B$46,'Balance Financiero'!$B$59,'Balance Financiero'!$B$62,'Balance Financiero'!$B$63,'Balance Financiero'!$B$64,'Balance Financiero'!$B$74,'Balance Financiero'!$B$83)</c:f>
              <c:strCache>
                <c:ptCount val="7"/>
                <c:pt idx="0">
                  <c:v>FUNCIONAMIENTO</c:v>
                </c:pt>
                <c:pt idx="1">
                  <c:v> Intereses y Comisiones de Deuda Pública</c:v>
                </c:pt>
                <c:pt idx="2">
                  <c:v>Gastos operativos en sectores sociales (remuneración al trabajo, prestaciones, subsidios en educación, salud y otros sectores de inversión)</c:v>
                </c:pt>
                <c:pt idx="3">
                  <c:v>Déficit de Vigencias anteriores por funcionamiento</c:v>
                </c:pt>
                <c:pt idx="4">
                  <c:v>Amortización de Bonos Pensionales</c:v>
                </c:pt>
                <c:pt idx="5">
                  <c:v>GASTOS DE CAPITAL</c:v>
                </c:pt>
                <c:pt idx="6">
                  <c:v>        Amortizaciones</c:v>
                </c:pt>
              </c:strCache>
            </c:strRef>
          </c:cat>
          <c:val>
            <c:numRef>
              <c:f>('Balance Financiero'!$C$46,'Balance Financiero'!$C$59,'Balance Financiero'!$C$62,'Balance Financiero'!$C$63,'Balance Financiero'!$C$64,'Balance Financiero'!$C$74,'Balance Financiero'!$C$83)</c:f>
              <c:numCache>
                <c:formatCode>#,##0</c:formatCode>
                <c:ptCount val="7"/>
                <c:pt idx="0">
                  <c:v>1011371</c:v>
                </c:pt>
                <c:pt idx="1">
                  <c:v>7433</c:v>
                </c:pt>
                <c:pt idx="2">
                  <c:v>0</c:v>
                </c:pt>
                <c:pt idx="3">
                  <c:v>0</c:v>
                </c:pt>
                <c:pt idx="4">
                  <c:v>0</c:v>
                </c:pt>
                <c:pt idx="5">
                  <c:v>4146124.4449999998</c:v>
                </c:pt>
                <c:pt idx="6">
                  <c:v>44996</c:v>
                </c:pt>
              </c:numCache>
            </c:numRef>
          </c:val>
        </c:ser>
        <c:dLbls>
          <c:showCatName val="1"/>
          <c:showPercent val="1"/>
        </c:dLbls>
      </c:pie3DChart>
      <c:spPr>
        <a:noFill/>
        <a:ln w="25400">
          <a:noFill/>
        </a:ln>
      </c:spPr>
    </c:plotArea>
    <c:plotVisOnly val="1"/>
    <c:dispBlanksAs val="zero"/>
  </c:chart>
  <c:spPr>
    <a:gradFill rotWithShape="0">
      <a:gsLst>
        <a:gs pos="0">
          <a:srgbClr val="CCFFFF"/>
        </a:gs>
        <a:gs pos="50000">
          <a:srgbClr val="FFFFFF"/>
        </a:gs>
        <a:gs pos="100000">
          <a:srgbClr val="CCFFFF"/>
        </a:gs>
      </a:gsLst>
      <a:lin ang="5400000" scaled="1"/>
    </a:gradFill>
    <a:ln w="9525">
      <a:noFill/>
    </a:ln>
  </c:spPr>
  <c:txPr>
    <a:bodyPr/>
    <a:lstStyle/>
    <a:p>
      <a:pPr>
        <a:defRPr sz="925" b="0" i="0" u="none" strike="noStrike" baseline="0">
          <a:solidFill>
            <a:srgbClr val="000000"/>
          </a:solidFill>
          <a:latin typeface="Arial Narrow"/>
          <a:ea typeface="Arial Narrow"/>
          <a:cs typeface="Arial Narrow"/>
        </a:defRPr>
      </a:pPr>
      <a:endParaRPr lang="es-CO"/>
    </a:p>
  </c:txPr>
</c:chartSpace>
</file>

<file path=xl/charts/chart8.xml><?xml version="1.0" encoding="utf-8"?>
<c:chartSpace xmlns:c="http://schemas.openxmlformats.org/drawingml/2006/chart" xmlns:a="http://schemas.openxmlformats.org/drawingml/2006/main" xmlns:r="http://schemas.openxmlformats.org/officeDocument/2006/relationships">
  <c:lang val="es-CO"/>
  <c:chart>
    <c:title>
      <c:tx>
        <c:strRef>
          <c:f>Ingresos!$B$189</c:f>
          <c:strCache>
            <c:ptCount val="1"/>
            <c:pt idx="0">
              <c:v>MUNICIPIO DE CUNDAY COMPOSICION DE TRANSFERENCIAS 2011</c:v>
            </c:pt>
          </c:strCache>
        </c:strRef>
      </c:tx>
      <c:layout>
        <c:manualLayout>
          <c:xMode val="edge"/>
          <c:yMode val="edge"/>
          <c:x val="0.20674234606123193"/>
          <c:y val="6.2642889803383631E-2"/>
        </c:manualLayout>
      </c:layout>
      <c:spPr>
        <a:noFill/>
        <a:ln w="25400">
          <a:noFill/>
        </a:ln>
      </c:spPr>
      <c:txPr>
        <a:bodyPr/>
        <a:lstStyle/>
        <a:p>
          <a:pPr>
            <a:defRPr sz="1475" b="1" i="0" u="none" strike="noStrike" baseline="0">
              <a:solidFill>
                <a:srgbClr val="000000"/>
              </a:solidFill>
              <a:latin typeface="Arial Narrow"/>
              <a:ea typeface="Arial Narrow"/>
              <a:cs typeface="Arial Narrow"/>
            </a:defRPr>
          </a:pPr>
          <a:endParaRPr lang="es-CO"/>
        </a:p>
      </c:txPr>
    </c:title>
    <c:view3D>
      <c:perspective val="0"/>
    </c:view3D>
    <c:plotArea>
      <c:layout>
        <c:manualLayout>
          <c:layoutTarget val="inner"/>
          <c:xMode val="edge"/>
          <c:yMode val="edge"/>
          <c:x val="0.24458204334365322"/>
          <c:y val="0.40466392318244276"/>
          <c:w val="0.56346749226006188"/>
          <c:h val="0.29629629629629628"/>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Lbls>
            <c:dLbl>
              <c:idx val="0"/>
              <c:dLblPos val="bestFit"/>
              <c:showCatName val="1"/>
              <c:showPercent val="1"/>
            </c:dLbl>
            <c:dLbl>
              <c:idx val="1"/>
              <c:dLblPos val="bestFit"/>
              <c:showCatName val="1"/>
              <c:showPercent val="1"/>
            </c:dLbl>
            <c:dLbl>
              <c:idx val="2"/>
              <c:layout>
                <c:manualLayout>
                  <c:x val="-0.10156358938104873"/>
                  <c:y val="-0.44403601813147825"/>
                </c:manualLayout>
              </c:layout>
              <c:dLblPos val="bestFit"/>
              <c:showCatName val="1"/>
              <c:showPercent val="1"/>
            </c:dLbl>
            <c:dLbl>
              <c:idx val="3"/>
              <c:layout>
                <c:manualLayout>
                  <c:x val="-0.22853541140174821"/>
                  <c:y val="-0.45409546028968639"/>
                </c:manualLayout>
              </c:layout>
              <c:dLblPos val="bestFit"/>
              <c:showCatName val="1"/>
              <c:showPercent val="1"/>
            </c:dLbl>
            <c:dLbl>
              <c:idx val="4"/>
              <c:layout>
                <c:manualLayout>
                  <c:x val="0.75266890400310016"/>
                  <c:y val="-0.12297866058923709"/>
                </c:manualLayout>
              </c:layout>
              <c:numFmt formatCode="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s-CO"/>
                </a:p>
              </c:txPr>
              <c:dLblPos val="bestFit"/>
              <c:showCatName val="1"/>
              <c:showPercent val="1"/>
            </c:dLbl>
            <c:dLbl>
              <c:idx val="5"/>
              <c:layout>
                <c:manualLayout>
                  <c:x val="0.22397254522751217"/>
                  <c:y val="-2.2361052605049891E-2"/>
                </c:manualLayout>
              </c:layout>
              <c:numFmt formatCode="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s-CO"/>
                </a:p>
              </c:txPr>
              <c:dLblPos val="bestFit"/>
              <c:showCatName val="1"/>
              <c:showPercent val="1"/>
            </c:dLbl>
            <c:dLbl>
              <c:idx val="6"/>
              <c:layout>
                <c:manualLayout>
                  <c:x val="0.16900525205247227"/>
                  <c:y val="-0.15679177962836954"/>
                </c:manualLayout>
              </c:layout>
              <c:numFmt formatCode="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s-CO"/>
                </a:p>
              </c:txPr>
              <c:dLblPos val="bestFit"/>
              <c:showCatName val="1"/>
              <c:showPercent val="1"/>
            </c:dLbl>
            <c:dLbl>
              <c:idx val="7"/>
              <c:layout>
                <c:manualLayout>
                  <c:x val="-0.20103946758977148"/>
                  <c:y val="-0.11975474259133269"/>
                </c:manualLayout>
              </c:layout>
              <c:numFmt formatCode="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s-CO"/>
                </a:p>
              </c:txPr>
              <c:dLblPos val="bestFit"/>
              <c:showCatName val="1"/>
              <c:showPercent val="1"/>
            </c:dLbl>
            <c:dLbl>
              <c:idx val="8"/>
              <c:layout>
                <c:manualLayout>
                  <c:x val="0.17004406956870341"/>
                  <c:y val="0.20445193322028171"/>
                </c:manualLayout>
              </c:layout>
              <c:dLblPos val="bestFit"/>
              <c:showCatName val="1"/>
              <c:showPercent val="1"/>
            </c:dLbl>
            <c:numFmt formatCode="0%" sourceLinked="0"/>
            <c:spPr>
              <a:noFill/>
              <a:ln w="25400">
                <a:noFill/>
              </a:ln>
            </c:spPr>
            <c:txPr>
              <a:bodyPr/>
              <a:lstStyle/>
              <a:p>
                <a:pPr>
                  <a:defRPr sz="550" b="0" i="0" u="none" strike="noStrike" baseline="0">
                    <a:solidFill>
                      <a:srgbClr val="000000"/>
                    </a:solidFill>
                    <a:latin typeface="Arial Narrow"/>
                    <a:ea typeface="Arial Narrow"/>
                    <a:cs typeface="Arial Narrow"/>
                  </a:defRPr>
                </a:pPr>
                <a:endParaRPr lang="es-CO"/>
              </a:p>
            </c:txPr>
            <c:dLblPos val="outEnd"/>
            <c:showCatName val="1"/>
            <c:showPercent val="1"/>
          </c:dLbls>
          <c:cat>
            <c:strRef>
              <c:f>'Balance Financiero'!$B$50:$B$58</c:f>
              <c:strCache>
                <c:ptCount val="9"/>
                <c:pt idx="0">
                  <c:v>          Pensiones (mesadas)</c:v>
                </c:pt>
                <c:pt idx="1">
                  <c:v>        Previsión Social (cesantías y otras prestaciones)</c:v>
                </c:pt>
                <c:pt idx="2">
                  <c:v>        A Entidades  Nacionales (Fonpet y otros)</c:v>
                </c:pt>
                <c:pt idx="3">
                  <c:v>        A Entidades Departamentales</c:v>
                </c:pt>
                <c:pt idx="4">
                  <c:v>        A Entidades Municipales</c:v>
                </c:pt>
                <c:pt idx="5">
                  <c:v>        Cuota de auditaje</c:v>
                </c:pt>
                <c:pt idx="6">
                  <c:v>         Indemnizaciones por retiros de personal</c:v>
                </c:pt>
                <c:pt idx="7">
                  <c:v>        Sentencias y Conciliaciones</c:v>
                </c:pt>
                <c:pt idx="8">
                  <c:v>        Otras Transferencias</c:v>
                </c:pt>
              </c:strCache>
            </c:strRef>
          </c:cat>
          <c:val>
            <c:numRef>
              <c:f>'Balance Financiero'!$C$50:$C$58</c:f>
              <c:numCache>
                <c:formatCode>#,##0</c:formatCode>
                <c:ptCount val="9"/>
                <c:pt idx="0">
                  <c:v>176352</c:v>
                </c:pt>
                <c:pt idx="1">
                  <c:v>0</c:v>
                </c:pt>
                <c:pt idx="2">
                  <c:v>0</c:v>
                </c:pt>
                <c:pt idx="3">
                  <c:v>0</c:v>
                </c:pt>
                <c:pt idx="4">
                  <c:v>179461</c:v>
                </c:pt>
                <c:pt idx="5">
                  <c:v>0</c:v>
                </c:pt>
                <c:pt idx="6">
                  <c:v>0</c:v>
                </c:pt>
                <c:pt idx="7">
                  <c:v>4073</c:v>
                </c:pt>
                <c:pt idx="8">
                  <c:v>202393</c:v>
                </c:pt>
              </c:numCache>
            </c:numRef>
          </c:val>
        </c:ser>
        <c:dLbls>
          <c:showCatName val="1"/>
          <c:showPercent val="1"/>
        </c:dLbls>
      </c:pie3DChart>
      <c:spPr>
        <a:noFill/>
        <a:ln w="25400">
          <a:noFill/>
        </a:ln>
      </c:spPr>
    </c:plotArea>
    <c:plotVisOnly val="1"/>
    <c:dispBlanksAs val="zero"/>
  </c:chart>
  <c:spPr>
    <a:gradFill rotWithShape="0">
      <a:gsLst>
        <a:gs pos="0">
          <a:srgbClr val="CCFFFF"/>
        </a:gs>
        <a:gs pos="50000">
          <a:srgbClr val="FFFFFF"/>
        </a:gs>
        <a:gs pos="100000">
          <a:srgbClr val="CCFFFF"/>
        </a:gs>
      </a:gsLst>
      <a:lin ang="5400000" scaled="1"/>
    </a:gradFill>
    <a:ln w="9525">
      <a:noFill/>
    </a:ln>
  </c:spPr>
  <c:txPr>
    <a:bodyPr/>
    <a:lstStyle/>
    <a:p>
      <a:pPr>
        <a:defRPr sz="450" b="0" i="0" u="none" strike="noStrike" baseline="0">
          <a:solidFill>
            <a:srgbClr val="000000"/>
          </a:solidFill>
          <a:latin typeface="Arial"/>
          <a:ea typeface="Arial"/>
          <a:cs typeface="Arial"/>
        </a:defRPr>
      </a:pPr>
      <a:endParaRPr lang="es-CO"/>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chartsheets/sheet1.xml><?xml version="1.0" encoding="utf-8"?>
<chartsheet xmlns="http://schemas.openxmlformats.org/spreadsheetml/2006/main" xmlns:r="http://schemas.openxmlformats.org/officeDocument/2006/relationships">
  <sheetPr codeName="Gráfico14"/>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2.xml><?xml version="1.0" encoding="utf-8"?>
<chartsheet xmlns="http://schemas.openxmlformats.org/spreadsheetml/2006/main" xmlns:r="http://schemas.openxmlformats.org/officeDocument/2006/relationships">
  <sheetPr codeName="Gráfico15"/>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Footer>&amp;L&amp;"Arial,Negrita"&amp;F &amp;A&amp;R&amp;"Arial,Negrita"Página &amp;P de &amp;N</oddFooter>
  </headerFooter>
  <drawing r:id="rId2"/>
</chartsheet>
</file>

<file path=xl/chartsheets/sheet3.xml><?xml version="1.0" encoding="utf-8"?>
<chartsheet xmlns="http://schemas.openxmlformats.org/spreadsheetml/2006/main" xmlns:r="http://schemas.openxmlformats.org/officeDocument/2006/relationships">
  <sheetPr codeName="Gráfico16"/>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4.xml><?xml version="1.0" encoding="utf-8"?>
<chartsheet xmlns="http://schemas.openxmlformats.org/spreadsheetml/2006/main" xmlns:r="http://schemas.openxmlformats.org/officeDocument/2006/relationships">
  <sheetPr codeName="Gráfico17"/>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5.xml><?xml version="1.0" encoding="utf-8"?>
<chartsheet xmlns="http://schemas.openxmlformats.org/spreadsheetml/2006/main" xmlns:r="http://schemas.openxmlformats.org/officeDocument/2006/relationships">
  <sheetPr codeName="Gráfico18"/>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6.xml><?xml version="1.0" encoding="utf-8"?>
<chartsheet xmlns="http://schemas.openxmlformats.org/spreadsheetml/2006/main" xmlns:r="http://schemas.openxmlformats.org/officeDocument/2006/relationships">
  <sheetPr codeName="Gráfico19"/>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7.xml><?xml version="1.0" encoding="utf-8"?>
<chartsheet xmlns="http://schemas.openxmlformats.org/spreadsheetml/2006/main" xmlns:r="http://schemas.openxmlformats.org/officeDocument/2006/relationships">
  <sheetPr codeName="Gráfico20"/>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chartsheets/sheet8.xml><?xml version="1.0" encoding="utf-8"?>
<chartsheet xmlns="http://schemas.openxmlformats.org/spreadsheetml/2006/main" xmlns:r="http://schemas.openxmlformats.org/officeDocument/2006/relationships">
  <sheetPr codeName="Gráfico21"/>
  <sheetViews>
    <sheetView zoomScale="77" workbookViewId="0" zoomToFit="1"/>
  </sheetViews>
  <pageMargins left="0.39370078740157483" right="0.39370078740157483" top="0.39370078740157483" bottom="0.39370078740157483" header="0" footer="0"/>
  <pageSetup orientation="landscape" horizontalDpi="4294967293" r:id="rId1"/>
  <headerFooter alignWithMargins="0">
    <oddHeader>&amp;C&amp;"Arial,Negrita"&amp;12&amp;F</oddHeader>
    <oddFooter>&amp;L&amp;"Arial,Negrita"&amp;F &amp;A&amp;R&amp;"Arial,Negrita"Página &amp;P de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28117" cy="6939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Q218"/>
  <sheetViews>
    <sheetView tabSelected="1" topLeftCell="B13" zoomScaleNormal="75" workbookViewId="0">
      <pane xSplit="5" ySplit="20" topLeftCell="J33" activePane="bottomRight" state="frozen"/>
      <selection activeCell="B13" sqref="B13"/>
      <selection pane="topRight" activeCell="G13" sqref="G13"/>
      <selection pane="bottomLeft" activeCell="B33" sqref="B33"/>
      <selection pane="bottomRight" activeCell="J127" sqref="J127"/>
    </sheetView>
  </sheetViews>
  <sheetFormatPr baseColWidth="10" defaultColWidth="12" defaultRowHeight="12.75"/>
  <cols>
    <col min="1" max="1" width="18.7109375" style="10" customWidth="1"/>
    <col min="2" max="2" width="52" style="10" customWidth="1"/>
    <col min="3" max="3" width="14.85546875" style="10" customWidth="1"/>
    <col min="4" max="4" width="18" style="10" customWidth="1"/>
    <col min="5" max="5" width="12" style="10" customWidth="1"/>
    <col min="6" max="6" width="13" style="10" customWidth="1"/>
    <col min="7" max="9" width="12" style="10" customWidth="1"/>
    <col min="10" max="10" width="13.5703125" style="10" customWidth="1"/>
    <col min="11" max="11" width="12" style="10" customWidth="1"/>
    <col min="12" max="12" width="16" style="10" customWidth="1"/>
    <col min="13" max="13" width="14.28515625" style="10" customWidth="1"/>
    <col min="14" max="16384" width="12" style="10"/>
  </cols>
  <sheetData>
    <row r="1" spans="1:17" s="438" customFormat="1" ht="12.75" customHeight="1">
      <c r="A1" s="448" t="s">
        <v>1224</v>
      </c>
      <c r="B1" s="448"/>
      <c r="C1" s="448"/>
      <c r="D1" s="448"/>
      <c r="E1" s="448"/>
      <c r="O1" s="10"/>
      <c r="P1" s="10"/>
      <c r="Q1" s="10"/>
    </row>
    <row r="2" spans="1:17" s="438" customFormat="1" ht="12.75" customHeight="1">
      <c r="A2" s="448" t="s">
        <v>1225</v>
      </c>
      <c r="B2" s="448"/>
      <c r="C2" s="448"/>
      <c r="D2" s="448"/>
      <c r="E2" s="448"/>
      <c r="O2" s="10"/>
      <c r="P2" s="10"/>
      <c r="Q2" s="10"/>
    </row>
    <row r="3" spans="1:17" s="438" customFormat="1" ht="3" customHeight="1">
      <c r="A3" s="449"/>
      <c r="B3" s="449"/>
      <c r="C3" s="449"/>
      <c r="O3" s="10"/>
      <c r="P3" s="10"/>
      <c r="Q3" s="10"/>
    </row>
    <row r="4" spans="1:17" s="438" customFormat="1" ht="3" customHeight="1">
      <c r="A4" s="450"/>
      <c r="B4" s="450"/>
      <c r="C4" s="450"/>
      <c r="D4" s="441"/>
      <c r="E4" s="441"/>
      <c r="O4" s="10"/>
      <c r="P4" s="10"/>
      <c r="Q4" s="10"/>
    </row>
    <row r="5" spans="1:17" s="438" customFormat="1" ht="3" customHeight="1">
      <c r="A5" s="451"/>
      <c r="B5" s="451"/>
      <c r="C5" s="452"/>
      <c r="D5" s="441"/>
      <c r="E5" s="441"/>
      <c r="O5" s="10"/>
      <c r="P5" s="10"/>
      <c r="Q5" s="10"/>
    </row>
    <row r="6" spans="1:17" s="481" customFormat="1" ht="17.100000000000001" hidden="1" customHeight="1">
      <c r="A6" s="481" t="s">
        <v>1226</v>
      </c>
      <c r="B6" s="976"/>
      <c r="C6" s="497"/>
      <c r="D6" s="482"/>
      <c r="E6" s="483"/>
      <c r="F6" s="483"/>
      <c r="G6" s="483"/>
      <c r="H6" s="483"/>
      <c r="I6" s="483"/>
      <c r="O6" s="1308"/>
      <c r="P6" s="1308"/>
      <c r="Q6" s="1308"/>
    </row>
    <row r="7" spans="1:17" s="438" customFormat="1" ht="12.75" hidden="1" customHeight="1">
      <c r="A7" s="441"/>
      <c r="B7" s="442"/>
      <c r="C7" s="444"/>
      <c r="D7" s="439"/>
      <c r="E7" s="440"/>
      <c r="F7" s="440"/>
      <c r="G7" s="440"/>
      <c r="H7" s="440"/>
      <c r="I7" s="440"/>
      <c r="O7" s="10"/>
      <c r="P7" s="10"/>
      <c r="Q7" s="10"/>
    </row>
    <row r="8" spans="1:17" s="481" customFormat="1" ht="17.100000000000001" customHeight="1">
      <c r="A8" s="481" t="s">
        <v>1227</v>
      </c>
      <c r="B8" s="1407" t="s">
        <v>1373</v>
      </c>
      <c r="C8" s="486"/>
      <c r="D8" s="482"/>
      <c r="E8" s="483"/>
      <c r="F8" s="483"/>
      <c r="G8" s="483"/>
      <c r="H8" s="483"/>
      <c r="I8" s="483"/>
      <c r="O8" s="1308"/>
      <c r="P8" s="1308"/>
      <c r="Q8" s="1308"/>
    </row>
    <row r="9" spans="1:17" s="438" customFormat="1" ht="12.75" customHeight="1">
      <c r="A9" s="441"/>
      <c r="B9" s="443"/>
      <c r="C9" s="444"/>
      <c r="D9" s="439"/>
      <c r="E9" s="440"/>
      <c r="F9" s="440"/>
      <c r="G9" s="440"/>
      <c r="H9" s="440"/>
      <c r="I9" s="440"/>
      <c r="O9" s="10"/>
      <c r="P9" s="10"/>
      <c r="Q9" s="10"/>
    </row>
    <row r="10" spans="1:17" s="481" customFormat="1" ht="17.100000000000001" customHeight="1">
      <c r="A10" s="481" t="s">
        <v>1228</v>
      </c>
      <c r="B10" s="1404">
        <v>2011</v>
      </c>
      <c r="C10" s="482"/>
      <c r="D10" s="484" t="s">
        <v>1229</v>
      </c>
      <c r="E10" s="1405">
        <v>12</v>
      </c>
      <c r="F10" s="483"/>
      <c r="G10" s="483"/>
      <c r="H10" s="483"/>
      <c r="I10" s="483"/>
      <c r="O10" s="1308"/>
      <c r="P10" s="1308"/>
      <c r="Q10" s="1308"/>
    </row>
    <row r="11" spans="1:17" s="438" customFormat="1" ht="12.75" customHeight="1">
      <c r="B11" s="443"/>
      <c r="C11" s="439"/>
      <c r="D11" s="439"/>
      <c r="E11" s="440"/>
      <c r="F11" s="440"/>
      <c r="G11" s="440"/>
      <c r="H11" s="440"/>
      <c r="I11" s="440"/>
      <c r="O11" s="10"/>
      <c r="P11" s="10"/>
      <c r="Q11" s="10"/>
    </row>
    <row r="12" spans="1:17" s="481" customFormat="1" ht="17.100000000000001" customHeight="1">
      <c r="A12" s="481" t="s">
        <v>1230</v>
      </c>
      <c r="B12" s="981">
        <v>6</v>
      </c>
      <c r="C12" s="483"/>
      <c r="D12" s="482"/>
      <c r="E12" s="483"/>
      <c r="F12" s="483"/>
      <c r="G12" s="483"/>
      <c r="H12" s="483"/>
      <c r="I12" s="483"/>
      <c r="O12" s="1308"/>
      <c r="P12" s="1308"/>
      <c r="Q12" s="1308"/>
    </row>
    <row r="13" spans="1:17" s="438" customFormat="1" ht="12.75" customHeight="1">
      <c r="A13" s="441"/>
      <c r="B13" s="446"/>
      <c r="C13" s="440"/>
      <c r="D13" s="439"/>
      <c r="E13" s="440"/>
      <c r="F13" s="440"/>
      <c r="G13" s="440"/>
      <c r="H13" s="440"/>
      <c r="I13" s="440"/>
    </row>
    <row r="14" spans="1:17" s="481" customFormat="1" ht="17.100000000000001" hidden="1" customHeight="1">
      <c r="A14" s="481" t="s">
        <v>1231</v>
      </c>
      <c r="B14" s="1438"/>
      <c r="C14" s="1439"/>
      <c r="D14" s="482"/>
      <c r="E14" s="483"/>
      <c r="F14" s="483"/>
      <c r="G14" s="483"/>
      <c r="H14" s="483"/>
      <c r="I14" s="483"/>
    </row>
    <row r="15" spans="1:17" s="438" customFormat="1" ht="3.75" customHeight="1">
      <c r="B15" s="440"/>
      <c r="C15" s="440"/>
      <c r="D15" s="440"/>
      <c r="E15" s="440"/>
      <c r="F15" s="440"/>
      <c r="G15" s="440"/>
      <c r="H15" s="440"/>
      <c r="I15" s="440"/>
    </row>
    <row r="16" spans="1:17" s="481" customFormat="1" ht="17.100000000000001" customHeight="1">
      <c r="A16" s="481" t="s">
        <v>1232</v>
      </c>
      <c r="B16" s="483"/>
      <c r="C16" s="483"/>
      <c r="D16" s="483"/>
      <c r="E16" s="483"/>
      <c r="F16" s="483"/>
      <c r="G16" s="483"/>
      <c r="H16" s="483"/>
      <c r="I16" s="483"/>
    </row>
    <row r="17" spans="1:13" s="481" customFormat="1" ht="17.100000000000001" customHeight="1">
      <c r="A17" s="481" t="s">
        <v>1233</v>
      </c>
      <c r="B17" s="1405">
        <v>617</v>
      </c>
      <c r="C17" s="483"/>
      <c r="D17" s="483"/>
      <c r="E17" s="483"/>
      <c r="F17" s="483"/>
      <c r="G17" s="483"/>
      <c r="H17" s="483"/>
      <c r="I17" s="1437"/>
    </row>
    <row r="18" spans="1:13" s="481" customFormat="1" ht="17.100000000000001" hidden="1" customHeight="1">
      <c r="A18" s="481" t="s">
        <v>1234</v>
      </c>
      <c r="B18" s="487"/>
      <c r="C18" s="483"/>
      <c r="D18" s="483"/>
      <c r="E18" s="483"/>
      <c r="F18" s="483"/>
      <c r="G18" s="483"/>
      <c r="H18" s="483"/>
      <c r="I18" s="483"/>
    </row>
    <row r="19" spans="1:13" s="481" customFormat="1" ht="17.100000000000001" hidden="1" customHeight="1">
      <c r="A19" s="481" t="s">
        <v>1235</v>
      </c>
      <c r="B19" s="487"/>
      <c r="C19" s="483"/>
      <c r="D19" s="483"/>
      <c r="E19" s="483"/>
      <c r="F19" s="483"/>
      <c r="G19" s="483"/>
      <c r="H19" s="483"/>
      <c r="I19" s="483"/>
    </row>
    <row r="20" spans="1:13" s="438" customFormat="1" ht="3.75" customHeight="1">
      <c r="B20" s="440"/>
      <c r="C20" s="440"/>
      <c r="D20" s="440"/>
      <c r="E20" s="440"/>
      <c r="F20" s="440"/>
      <c r="G20" s="440"/>
      <c r="H20" s="440"/>
      <c r="I20" s="440"/>
    </row>
    <row r="21" spans="1:13" s="481" customFormat="1" ht="17.100000000000001" customHeight="1" thickBot="1">
      <c r="A21" s="966" t="s">
        <v>1236</v>
      </c>
      <c r="D21" s="1174"/>
      <c r="E21" s="483"/>
      <c r="F21" s="485"/>
      <c r="G21" s="485"/>
      <c r="H21" s="485" t="s">
        <v>1166</v>
      </c>
      <c r="I21" s="1330">
        <v>40178</v>
      </c>
    </row>
    <row r="22" spans="1:13" s="438" customFormat="1" ht="12.75" customHeight="1" thickBot="1">
      <c r="A22" s="1173" t="s">
        <v>1238</v>
      </c>
      <c r="B22" s="1172"/>
      <c r="C22" s="440"/>
      <c r="D22" s="1406" t="s">
        <v>99</v>
      </c>
      <c r="E22" s="440"/>
      <c r="F22" s="447"/>
      <c r="G22" s="447"/>
      <c r="H22" s="447" t="s">
        <v>1167</v>
      </c>
      <c r="I22" s="1306">
        <v>45291</v>
      </c>
    </row>
    <row r="23" spans="1:13" s="438" customFormat="1" ht="3.75" customHeight="1">
      <c r="A23" s="456"/>
      <c r="F23" s="458"/>
      <c r="G23" s="458"/>
    </row>
    <row r="24" spans="1:13" s="438" customFormat="1" ht="3.75" customHeight="1" thickBot="1">
      <c r="G24" s="441"/>
    </row>
    <row r="25" spans="1:13" s="59" customFormat="1" ht="66" customHeight="1" thickBot="1">
      <c r="A25" s="409" t="s">
        <v>1240</v>
      </c>
      <c r="B25" s="409" t="s">
        <v>1241</v>
      </c>
      <c r="C25" s="409" t="str">
        <f>"Escenario Financiero Año"&amp;" "&amp;(Ingresos!$B$10)</f>
        <v>Escenario Financiero Año 2011</v>
      </c>
      <c r="D25" s="409" t="s">
        <v>1242</v>
      </c>
      <c r="E25" s="409" t="s">
        <v>1243</v>
      </c>
      <c r="F25" s="409" t="s">
        <v>1244</v>
      </c>
      <c r="G25" s="409" t="s">
        <v>1245</v>
      </c>
      <c r="H25" s="409" t="s">
        <v>1246</v>
      </c>
      <c r="I25" s="409" t="s">
        <v>1247</v>
      </c>
      <c r="J25" s="409" t="s">
        <v>1248</v>
      </c>
      <c r="K25" s="409" t="s">
        <v>1249</v>
      </c>
      <c r="L25" s="94" t="s">
        <v>1250</v>
      </c>
      <c r="M25" s="1400" t="s">
        <v>1251</v>
      </c>
    </row>
    <row r="26" spans="1:13" ht="7.5" hidden="1" customHeight="1">
      <c r="A26" s="499"/>
      <c r="B26" s="331"/>
      <c r="C26" s="331"/>
      <c r="D26" s="331"/>
      <c r="E26" s="331"/>
      <c r="F26" s="331"/>
      <c r="G26" s="331"/>
      <c r="H26" s="331"/>
      <c r="I26" s="331"/>
      <c r="J26" s="331"/>
      <c r="K26" s="331"/>
      <c r="L26" s="489"/>
      <c r="M26" s="331"/>
    </row>
    <row r="27" spans="1:13">
      <c r="A27" s="500" t="s">
        <v>1252</v>
      </c>
      <c r="B27" s="506" t="s">
        <v>1253</v>
      </c>
      <c r="C27" s="498">
        <f>+C28+C87</f>
        <v>6706172.0992000001</v>
      </c>
      <c r="D27" s="498">
        <f>+D28+D87</f>
        <v>3270300</v>
      </c>
      <c r="E27" s="498">
        <f>+E28+E87</f>
        <v>6706172.1200000001</v>
      </c>
      <c r="F27" s="498">
        <f>+E27-D27</f>
        <v>3435872.12</v>
      </c>
      <c r="G27" s="498">
        <f>+G28+G87</f>
        <v>6706172.1200000001</v>
      </c>
      <c r="H27" s="498">
        <f>+H28+H87</f>
        <v>6706172.1200000001</v>
      </c>
      <c r="I27" s="490">
        <f t="shared" ref="I27:I57" si="0">+H27/E27</f>
        <v>1</v>
      </c>
      <c r="J27" s="498">
        <f>+J28+J87</f>
        <v>6291226</v>
      </c>
      <c r="K27" s="490">
        <f t="shared" ref="K27:K58" si="1">+(H27/J27)-1</f>
        <v>6.5956320755286901E-2</v>
      </c>
      <c r="L27" s="490">
        <f>+H27/C27</f>
        <v>1.0000000031016203</v>
      </c>
      <c r="M27" s="498">
        <f>+M28+M87</f>
        <v>5830744.4800000004</v>
      </c>
    </row>
    <row r="28" spans="1:13">
      <c r="A28" s="500" t="s">
        <v>1254</v>
      </c>
      <c r="B28" s="506" t="s">
        <v>1255</v>
      </c>
      <c r="C28" s="498">
        <f>+C29+C50</f>
        <v>4978908.12</v>
      </c>
      <c r="D28" s="498">
        <f>+D29+D50</f>
        <v>3270300</v>
      </c>
      <c r="E28" s="498">
        <f>+E29+E50</f>
        <v>4978908.12</v>
      </c>
      <c r="F28" s="498">
        <f>+E28-D28</f>
        <v>1708608.12</v>
      </c>
      <c r="G28" s="498">
        <f>+G29+G50</f>
        <v>4978908.12</v>
      </c>
      <c r="H28" s="498">
        <f>+H29+H50</f>
        <v>4978908.12</v>
      </c>
      <c r="I28" s="490">
        <f t="shared" si="0"/>
        <v>1</v>
      </c>
      <c r="J28" s="498">
        <f>+J29+J50</f>
        <v>6069096</v>
      </c>
      <c r="K28" s="490">
        <f t="shared" si="1"/>
        <v>-0.17962936819585651</v>
      </c>
      <c r="L28" s="490">
        <f t="shared" ref="L28:L57" si="2">+H28/C28</f>
        <v>1</v>
      </c>
      <c r="M28" s="498">
        <f>+M29+M50</f>
        <v>5608614</v>
      </c>
    </row>
    <row r="29" spans="1:13">
      <c r="A29" s="500" t="s">
        <v>1256</v>
      </c>
      <c r="B29" s="506" t="s">
        <v>1257</v>
      </c>
      <c r="C29" s="498">
        <f>+C30+C32+C33+C34+C35+C36+C37+C38+C39+C40+C42+C48+C49+C31+C41</f>
        <v>602986</v>
      </c>
      <c r="D29" s="498">
        <f>+D30+D32+D33+D34+D35+D36+D37+D38+D39+D40+D42+D48+D49+D31+D41</f>
        <v>229300</v>
      </c>
      <c r="E29" s="498">
        <f>+E30+E32+E33+E34+E35+E36+E37+E38+E39+E40+E42+E48+E49+E31+E41</f>
        <v>502986</v>
      </c>
      <c r="F29" s="498">
        <f>+E29-D29</f>
        <v>273686</v>
      </c>
      <c r="G29" s="498">
        <f>+G30+G32+G33+G34+G35+G36+G37+G38+G39+G40+G42+G48+G49+G31+G41</f>
        <v>502986</v>
      </c>
      <c r="H29" s="498">
        <f>+H30+H32+H33+H34+H35+H36+H37+H38+H39+H40+H42+H48+H49+H31+H41</f>
        <v>502986</v>
      </c>
      <c r="I29" s="490">
        <f t="shared" si="0"/>
        <v>1</v>
      </c>
      <c r="J29" s="498">
        <f>+J30+J32+J33+J34+J35+J36+J37+J38+J39+J40+J42+J48+J49+J31+J41</f>
        <v>571262</v>
      </c>
      <c r="K29" s="490">
        <f t="shared" si="1"/>
        <v>-0.11951783945019978</v>
      </c>
      <c r="L29" s="490">
        <f t="shared" si="2"/>
        <v>0.83415867035055535</v>
      </c>
      <c r="M29" s="498">
        <f>+M30+M32+M33+M34+M35+M36+M37+M38+M39+M40+M42+M48+M49+M31+M41</f>
        <v>571262</v>
      </c>
    </row>
    <row r="30" spans="1:13">
      <c r="A30" s="501" t="s">
        <v>1258</v>
      </c>
      <c r="B30" s="507" t="s">
        <v>1259</v>
      </c>
      <c r="C30" s="1311">
        <f>VLOOKUP(A30,'Ingresos Proyecciones'!$A$24:$Q$127,LOOKUP($C$25,'Ingresos Proyecciones'!$C$22:$Q$22,'Ingresos Proyecciones'!$C$184:$Q$184),FALSE)</f>
        <v>375912</v>
      </c>
      <c r="D30" s="7">
        <v>134000</v>
      </c>
      <c r="E30" s="7">
        <v>275912</v>
      </c>
      <c r="F30" s="491">
        <f>+E30-D30</f>
        <v>141912</v>
      </c>
      <c r="G30" s="7">
        <v>275912</v>
      </c>
      <c r="H30" s="7">
        <v>275912</v>
      </c>
      <c r="I30" s="492">
        <f t="shared" si="0"/>
        <v>1</v>
      </c>
      <c r="J30" s="7">
        <v>310512</v>
      </c>
      <c r="K30" s="492">
        <f t="shared" si="1"/>
        <v>-0.11142886587313861</v>
      </c>
      <c r="L30" s="492">
        <f t="shared" si="2"/>
        <v>0.73398029326012471</v>
      </c>
      <c r="M30" s="7">
        <f>VLOOKUP(A30,'Ingresos Proyecciones'!$A$24:$Q$127,LOOKUP($O$190,'Ingresos Proyecciones'!$C$22:$Q$22,'Ingresos Proyecciones'!$C$184:$Q$184),FALSE)</f>
        <v>310512</v>
      </c>
    </row>
    <row r="31" spans="1:13">
      <c r="A31" s="501" t="s">
        <v>1260</v>
      </c>
      <c r="B31" s="507" t="s">
        <v>1261</v>
      </c>
      <c r="C31" s="1311">
        <f>VLOOKUP(A31,'Ingresos Proyecciones'!$A$24:$Q$127,LOOKUP($C$25,'Ingresos Proyecciones'!$C$22:$Q$22,'Ingresos Proyecciones'!$C$184:$Q$184),FALSE)</f>
        <v>60785</v>
      </c>
      <c r="D31" s="7">
        <v>20000</v>
      </c>
      <c r="E31" s="7">
        <v>60785</v>
      </c>
      <c r="F31" s="491">
        <f>+E31-D31</f>
        <v>40785</v>
      </c>
      <c r="G31" s="7">
        <v>60785</v>
      </c>
      <c r="H31" s="7">
        <v>60785</v>
      </c>
      <c r="I31" s="492">
        <f t="shared" si="0"/>
        <v>1</v>
      </c>
      <c r="J31" s="7">
        <v>117986</v>
      </c>
      <c r="K31" s="492">
        <f t="shared" si="1"/>
        <v>-0.48481175732714055</v>
      </c>
      <c r="L31" s="492">
        <f t="shared" si="2"/>
        <v>1</v>
      </c>
      <c r="M31" s="7">
        <f>VLOOKUP(A31,'Ingresos Proyecciones'!$A$24:$Q$127,LOOKUP($O$190,'Ingresos Proyecciones'!$C$22:$Q$22,'Ingresos Proyecciones'!$C$184:$Q$184),FALSE)</f>
        <v>117986</v>
      </c>
    </row>
    <row r="32" spans="1:13">
      <c r="A32" s="500" t="s">
        <v>1262</v>
      </c>
      <c r="B32" s="507" t="s">
        <v>1263</v>
      </c>
      <c r="C32" s="1311">
        <f>VLOOKUP(A32,'Ingresos Proyecciones'!$A$24:$Q$127,LOOKUP($C$25,'Ingresos Proyecciones'!$C$22:$Q$22,'Ingresos Proyecciones'!$C$184:$Q$184),FALSE)</f>
        <v>0</v>
      </c>
      <c r="D32" s="7">
        <v>0</v>
      </c>
      <c r="E32" s="7">
        <v>0</v>
      </c>
      <c r="F32" s="491">
        <f t="shared" ref="F32:F41" si="3">+E32-D32</f>
        <v>0</v>
      </c>
      <c r="G32" s="7">
        <v>0</v>
      </c>
      <c r="H32" s="7">
        <v>0</v>
      </c>
      <c r="I32" s="492" t="e">
        <f t="shared" si="0"/>
        <v>#DIV/0!</v>
      </c>
      <c r="J32" s="7">
        <v>0</v>
      </c>
      <c r="K32" s="492" t="e">
        <f t="shared" si="1"/>
        <v>#DIV/0!</v>
      </c>
      <c r="L32" s="492" t="e">
        <f t="shared" si="2"/>
        <v>#DIV/0!</v>
      </c>
      <c r="M32" s="7">
        <f>VLOOKUP(A32,'Ingresos Proyecciones'!$A$24:$Q$127,LOOKUP($O$190,'Ingresos Proyecciones'!$C$22:$Q$22,'Ingresos Proyecciones'!$C$184:$Q$184),FALSE)</f>
        <v>0</v>
      </c>
    </row>
    <row r="33" spans="1:13">
      <c r="A33" s="500" t="s">
        <v>1264</v>
      </c>
      <c r="B33" s="507" t="s">
        <v>1265</v>
      </c>
      <c r="C33" s="1311">
        <f>VLOOKUP(A33,'Ingresos Proyecciones'!$A$24:$Q$127,LOOKUP($C$25,'Ingresos Proyecciones'!$C$22:$Q$22,'Ingresos Proyecciones'!$C$184:$Q$184),FALSE)</f>
        <v>42779</v>
      </c>
      <c r="D33" s="7">
        <v>25000</v>
      </c>
      <c r="E33" s="7">
        <v>42779</v>
      </c>
      <c r="F33" s="491">
        <f t="shared" si="3"/>
        <v>17779</v>
      </c>
      <c r="G33" s="7">
        <v>42779</v>
      </c>
      <c r="H33" s="7">
        <v>42779</v>
      </c>
      <c r="I33" s="492">
        <f t="shared" si="0"/>
        <v>1</v>
      </c>
      <c r="J33" s="7">
        <v>31883</v>
      </c>
      <c r="K33" s="492">
        <f t="shared" si="1"/>
        <v>0.34174952168867412</v>
      </c>
      <c r="L33" s="492">
        <f t="shared" si="2"/>
        <v>1</v>
      </c>
      <c r="M33" s="7">
        <f>VLOOKUP(A33,'Ingresos Proyecciones'!$A$24:$Q$127,LOOKUP($O$190,'Ingresos Proyecciones'!$C$22:$Q$22,'Ingresos Proyecciones'!$C$184:$Q$184),FALSE)</f>
        <v>31883</v>
      </c>
    </row>
    <row r="34" spans="1:13">
      <c r="A34" s="500" t="s">
        <v>1266</v>
      </c>
      <c r="B34" s="507" t="s">
        <v>1267</v>
      </c>
      <c r="C34" s="1311">
        <f>VLOOKUP(A34,'Ingresos Proyecciones'!$A$24:$Q$127,LOOKUP($C$25,'Ingresos Proyecciones'!$C$22:$Q$22,'Ingresos Proyecciones'!$C$184:$Q$184),FALSE)</f>
        <v>42951</v>
      </c>
      <c r="D34" s="7">
        <v>30000</v>
      </c>
      <c r="E34" s="7">
        <v>42951</v>
      </c>
      <c r="F34" s="491">
        <f t="shared" si="3"/>
        <v>12951</v>
      </c>
      <c r="G34" s="7">
        <v>42951</v>
      </c>
      <c r="H34" s="7">
        <v>42951</v>
      </c>
      <c r="I34" s="492">
        <f t="shared" si="0"/>
        <v>1</v>
      </c>
      <c r="J34" s="7">
        <v>46000</v>
      </c>
      <c r="K34" s="492">
        <f t="shared" si="1"/>
        <v>-6.6282608695652168E-2</v>
      </c>
      <c r="L34" s="492">
        <f t="shared" si="2"/>
        <v>1</v>
      </c>
      <c r="M34" s="7">
        <f>VLOOKUP(A34,'Ingresos Proyecciones'!$A$24:$Q$127,LOOKUP($O$190,'Ingresos Proyecciones'!$C$22:$Q$22,'Ingresos Proyecciones'!$C$184:$Q$184),FALSE)</f>
        <v>46000</v>
      </c>
    </row>
    <row r="35" spans="1:13">
      <c r="A35" s="500" t="s">
        <v>1268</v>
      </c>
      <c r="B35" s="507" t="s">
        <v>1269</v>
      </c>
      <c r="C35" s="1311">
        <f>VLOOKUP(A35,'Ingresos Proyecciones'!$A$24:$Q$127,LOOKUP($C$25,'Ingresos Proyecciones'!$C$22:$Q$22,'Ingresos Proyecciones'!$C$184:$Q$184),FALSE)</f>
        <v>0</v>
      </c>
      <c r="D35" s="7">
        <v>0</v>
      </c>
      <c r="E35" s="7">
        <v>0</v>
      </c>
      <c r="F35" s="491">
        <f t="shared" si="3"/>
        <v>0</v>
      </c>
      <c r="G35" s="7">
        <v>0</v>
      </c>
      <c r="H35" s="7">
        <v>0</v>
      </c>
      <c r="I35" s="492" t="e">
        <f t="shared" si="0"/>
        <v>#DIV/0!</v>
      </c>
      <c r="J35" s="7">
        <v>0</v>
      </c>
      <c r="K35" s="492" t="e">
        <f t="shared" si="1"/>
        <v>#DIV/0!</v>
      </c>
      <c r="L35" s="492" t="e">
        <f t="shared" si="2"/>
        <v>#DIV/0!</v>
      </c>
      <c r="M35" s="7">
        <f>VLOOKUP(A35,'Ingresos Proyecciones'!$A$24:$Q$127,LOOKUP($O$190,'Ingresos Proyecciones'!$C$22:$Q$22,'Ingresos Proyecciones'!$C$184:$Q$184),FALSE)</f>
        <v>0</v>
      </c>
    </row>
    <row r="36" spans="1:13">
      <c r="A36" s="500" t="s">
        <v>1270</v>
      </c>
      <c r="B36" s="507" t="s">
        <v>1271</v>
      </c>
      <c r="C36" s="1311">
        <f>VLOOKUP(A36,'Ingresos Proyecciones'!$A$24:$Q$127,LOOKUP($C$25,'Ingresos Proyecciones'!$C$22:$Q$22,'Ingresos Proyecciones'!$C$184:$Q$184),FALSE)</f>
        <v>0</v>
      </c>
      <c r="D36" s="7">
        <v>0</v>
      </c>
      <c r="E36" s="7">
        <v>0</v>
      </c>
      <c r="F36" s="491">
        <f t="shared" si="3"/>
        <v>0</v>
      </c>
      <c r="G36" s="7">
        <v>0</v>
      </c>
      <c r="H36" s="7">
        <v>0</v>
      </c>
      <c r="I36" s="492" t="e">
        <f t="shared" si="0"/>
        <v>#DIV/0!</v>
      </c>
      <c r="J36" s="7">
        <v>0</v>
      </c>
      <c r="K36" s="492" t="e">
        <f t="shared" si="1"/>
        <v>#DIV/0!</v>
      </c>
      <c r="L36" s="492" t="e">
        <f t="shared" si="2"/>
        <v>#DIV/0!</v>
      </c>
      <c r="M36" s="7">
        <f>VLOOKUP(A36,'Ingresos Proyecciones'!$A$24:$Q$127,LOOKUP($O$190,'Ingresos Proyecciones'!$C$22:$Q$22,'Ingresos Proyecciones'!$C$184:$Q$184),FALSE)</f>
        <v>0</v>
      </c>
    </row>
    <row r="37" spans="1:13">
      <c r="A37" s="500" t="s">
        <v>1272</v>
      </c>
      <c r="B37" s="507" t="s">
        <v>1273</v>
      </c>
      <c r="C37" s="1311">
        <f>VLOOKUP(A37,'Ingresos Proyecciones'!$A$24:$Q$127,LOOKUP($C$25,'Ingresos Proyecciones'!$C$22:$Q$22,'Ingresos Proyecciones'!$C$184:$Q$184),FALSE)</f>
        <v>4658</v>
      </c>
      <c r="D37" s="7">
        <v>2000</v>
      </c>
      <c r="E37" s="7">
        <v>4658</v>
      </c>
      <c r="F37" s="491">
        <f t="shared" si="3"/>
        <v>2658</v>
      </c>
      <c r="G37" s="7">
        <v>4658</v>
      </c>
      <c r="H37" s="7">
        <v>4658</v>
      </c>
      <c r="I37" s="492">
        <f t="shared" si="0"/>
        <v>1</v>
      </c>
      <c r="J37" s="7">
        <v>4615</v>
      </c>
      <c r="K37" s="492">
        <f t="shared" si="1"/>
        <v>9.3174431202600605E-3</v>
      </c>
      <c r="L37" s="492">
        <f t="shared" si="2"/>
        <v>1</v>
      </c>
      <c r="M37" s="7">
        <f>VLOOKUP(A37,'Ingresos Proyecciones'!$A$24:$Q$127,LOOKUP($O$190,'Ingresos Proyecciones'!$C$22:$Q$22,'Ingresos Proyecciones'!$C$184:$Q$184),FALSE)</f>
        <v>4615</v>
      </c>
    </row>
    <row r="38" spans="1:13">
      <c r="A38" s="500" t="s">
        <v>1274</v>
      </c>
      <c r="B38" s="507" t="s">
        <v>1275</v>
      </c>
      <c r="C38" s="1311">
        <f>VLOOKUP(A38,'Ingresos Proyecciones'!$A$24:$Q$127,LOOKUP($C$25,'Ingresos Proyecciones'!$C$22:$Q$22,'Ingresos Proyecciones'!$C$184:$Q$184),FALSE)</f>
        <v>400</v>
      </c>
      <c r="D38" s="7">
        <v>400</v>
      </c>
      <c r="E38" s="7">
        <v>400</v>
      </c>
      <c r="F38" s="491">
        <f>+E38-D38</f>
        <v>0</v>
      </c>
      <c r="G38" s="7">
        <v>400</v>
      </c>
      <c r="H38" s="7">
        <v>400</v>
      </c>
      <c r="I38" s="492">
        <f t="shared" si="0"/>
        <v>1</v>
      </c>
      <c r="J38" s="7">
        <v>993</v>
      </c>
      <c r="K38" s="492">
        <f t="shared" si="1"/>
        <v>-0.5971802618328298</v>
      </c>
      <c r="L38" s="492">
        <f t="shared" si="2"/>
        <v>1</v>
      </c>
      <c r="M38" s="7">
        <f>VLOOKUP(A38,'Ingresos Proyecciones'!$A$24:$Q$127,LOOKUP($O$190,'Ingresos Proyecciones'!$C$22:$Q$22,'Ingresos Proyecciones'!$C$184:$Q$184),FALSE)</f>
        <v>993</v>
      </c>
    </row>
    <row r="39" spans="1:13">
      <c r="A39" s="500" t="s">
        <v>1276</v>
      </c>
      <c r="B39" s="507" t="s">
        <v>1277</v>
      </c>
      <c r="C39" s="1311">
        <f>VLOOKUP(A39,'Ingresos Proyecciones'!$A$24:$Q$127,LOOKUP($C$25,'Ingresos Proyecciones'!$C$22:$Q$22,'Ingresos Proyecciones'!$C$184:$Q$184),FALSE)</f>
        <v>0</v>
      </c>
      <c r="D39" s="7">
        <v>0</v>
      </c>
      <c r="E39" s="7">
        <v>0</v>
      </c>
      <c r="F39" s="491">
        <f t="shared" si="3"/>
        <v>0</v>
      </c>
      <c r="G39" s="7">
        <v>0</v>
      </c>
      <c r="H39" s="7">
        <v>0</v>
      </c>
      <c r="I39" s="492" t="e">
        <f t="shared" si="0"/>
        <v>#DIV/0!</v>
      </c>
      <c r="J39" s="7">
        <v>0</v>
      </c>
      <c r="K39" s="492" t="e">
        <f t="shared" si="1"/>
        <v>#DIV/0!</v>
      </c>
      <c r="L39" s="492" t="e">
        <f t="shared" si="2"/>
        <v>#DIV/0!</v>
      </c>
      <c r="M39" s="7">
        <f>VLOOKUP(A39,'Ingresos Proyecciones'!$A$24:$Q$127,LOOKUP($O$190,'Ingresos Proyecciones'!$C$22:$Q$22,'Ingresos Proyecciones'!$C$184:$Q$184),FALSE)</f>
        <v>0</v>
      </c>
    </row>
    <row r="40" spans="1:13">
      <c r="A40" s="500" t="s">
        <v>1278</v>
      </c>
      <c r="B40" s="507" t="s">
        <v>1279</v>
      </c>
      <c r="C40" s="1311">
        <f>VLOOKUP(A40,'Ingresos Proyecciones'!$A$24:$Q$127,LOOKUP($C$25,'Ingresos Proyecciones'!$C$22:$Q$22,'Ingresos Proyecciones'!$C$184:$Q$184),FALSE)</f>
        <v>0</v>
      </c>
      <c r="D40" s="7">
        <v>0</v>
      </c>
      <c r="E40" s="7">
        <v>0</v>
      </c>
      <c r="F40" s="491">
        <f t="shared" si="3"/>
        <v>0</v>
      </c>
      <c r="G40" s="7">
        <v>0</v>
      </c>
      <c r="H40" s="7">
        <v>0</v>
      </c>
      <c r="I40" s="492" t="e">
        <f t="shared" si="0"/>
        <v>#DIV/0!</v>
      </c>
      <c r="J40" s="7">
        <v>17</v>
      </c>
      <c r="K40" s="492">
        <f t="shared" si="1"/>
        <v>-1</v>
      </c>
      <c r="L40" s="492" t="e">
        <f t="shared" si="2"/>
        <v>#DIV/0!</v>
      </c>
      <c r="M40" s="7">
        <f>VLOOKUP(A40,'Ingresos Proyecciones'!$A$24:$Q$127,LOOKUP($O$190,'Ingresos Proyecciones'!$C$22:$Q$22,'Ingresos Proyecciones'!$C$184:$Q$184),FALSE)</f>
        <v>17</v>
      </c>
    </row>
    <row r="41" spans="1:13">
      <c r="A41" s="500" t="s">
        <v>1280</v>
      </c>
      <c r="B41" s="507" t="s">
        <v>1281</v>
      </c>
      <c r="C41" s="1311">
        <f>VLOOKUP(A41,'Ingresos Proyecciones'!$A$24:$Q$127,LOOKUP($C$25,'Ingresos Proyecciones'!$C$22:$Q$22,'Ingresos Proyecciones'!$C$184:$Q$184),FALSE)</f>
        <v>0</v>
      </c>
      <c r="D41" s="7">
        <v>0</v>
      </c>
      <c r="E41" s="7">
        <v>0</v>
      </c>
      <c r="F41" s="491">
        <f t="shared" si="3"/>
        <v>0</v>
      </c>
      <c r="G41" s="7">
        <v>0</v>
      </c>
      <c r="H41" s="7">
        <v>0</v>
      </c>
      <c r="I41" s="492" t="e">
        <f t="shared" si="0"/>
        <v>#DIV/0!</v>
      </c>
      <c r="J41" s="7">
        <v>0</v>
      </c>
      <c r="K41" s="492" t="e">
        <f t="shared" si="1"/>
        <v>#DIV/0!</v>
      </c>
      <c r="L41" s="492" t="e">
        <f t="shared" si="2"/>
        <v>#DIV/0!</v>
      </c>
      <c r="M41" s="7">
        <f>VLOOKUP(A41,'Ingresos Proyecciones'!$A$24:$Q$127,LOOKUP($O$190,'Ingresos Proyecciones'!$C$22:$Q$22,'Ingresos Proyecciones'!$C$184:$Q$184),FALSE)</f>
        <v>0</v>
      </c>
    </row>
    <row r="42" spans="1:13">
      <c r="A42" s="500" t="s">
        <v>1282</v>
      </c>
      <c r="B42" s="507" t="s">
        <v>1283</v>
      </c>
      <c r="C42" s="1312">
        <f>SUM(C43:C47)</f>
        <v>62089</v>
      </c>
      <c r="D42" s="42">
        <f>SUM(D43:D47)</f>
        <v>10000</v>
      </c>
      <c r="E42" s="42">
        <f>SUM(E43:E47)</f>
        <v>62089</v>
      </c>
      <c r="F42" s="498">
        <f>+E42-D42</f>
        <v>52089</v>
      </c>
      <c r="G42" s="42">
        <f>SUM(G43:G47)</f>
        <v>62089</v>
      </c>
      <c r="H42" s="42">
        <f>SUM(H43:H47)</f>
        <v>62089</v>
      </c>
      <c r="I42" s="490">
        <f t="shared" si="0"/>
        <v>1</v>
      </c>
      <c r="J42" s="42">
        <f>SUM(J43:J47)</f>
        <v>22233</v>
      </c>
      <c r="K42" s="490">
        <f t="shared" si="1"/>
        <v>1.7926505644762289</v>
      </c>
      <c r="L42" s="490">
        <f t="shared" si="2"/>
        <v>1</v>
      </c>
      <c r="M42" s="42">
        <f>SUM(M43:M47)</f>
        <v>22233</v>
      </c>
    </row>
    <row r="43" spans="1:13">
      <c r="A43" s="500" t="s">
        <v>1284</v>
      </c>
      <c r="B43" s="507" t="s">
        <v>1285</v>
      </c>
      <c r="C43" s="1311">
        <f>VLOOKUP(A43,'Ingresos Proyecciones'!$A$24:$Q$127,LOOKUP($C$25,'Ingresos Proyecciones'!$C$22:$Q$22,'Ingresos Proyecciones'!$C$184:$Q$184),FALSE)</f>
        <v>0</v>
      </c>
      <c r="D43" s="7">
        <v>0</v>
      </c>
      <c r="E43" s="7">
        <v>0</v>
      </c>
      <c r="F43" s="491">
        <f t="shared" ref="F43:F49" si="4">+E43-D43</f>
        <v>0</v>
      </c>
      <c r="G43" s="7">
        <v>0</v>
      </c>
      <c r="H43" s="7">
        <v>0</v>
      </c>
      <c r="I43" s="492" t="e">
        <f t="shared" si="0"/>
        <v>#DIV/0!</v>
      </c>
      <c r="J43" s="7">
        <v>0</v>
      </c>
      <c r="K43" s="492" t="e">
        <f t="shared" si="1"/>
        <v>#DIV/0!</v>
      </c>
      <c r="L43" s="492" t="e">
        <f t="shared" si="2"/>
        <v>#DIV/0!</v>
      </c>
      <c r="M43" s="7">
        <f>VLOOKUP(A43,'Ingresos Proyecciones'!$A$24:$Q$127,LOOKUP($O$190,'Ingresos Proyecciones'!$C$22:$Q$22,'Ingresos Proyecciones'!$C$184:$Q$184),FALSE)</f>
        <v>0</v>
      </c>
    </row>
    <row r="44" spans="1:13">
      <c r="A44" s="500" t="s">
        <v>1286</v>
      </c>
      <c r="B44" s="507" t="s">
        <v>1287</v>
      </c>
      <c r="C44" s="1311">
        <f>VLOOKUP(A44,'Ingresos Proyecciones'!$A$24:$Q$127,LOOKUP($C$25,'Ingresos Proyecciones'!$C$22:$Q$22,'Ingresos Proyecciones'!$C$184:$Q$184),FALSE)</f>
        <v>0</v>
      </c>
      <c r="D44" s="7">
        <v>0</v>
      </c>
      <c r="E44" s="7">
        <v>0</v>
      </c>
      <c r="F44" s="491">
        <f t="shared" si="4"/>
        <v>0</v>
      </c>
      <c r="G44" s="7">
        <v>0</v>
      </c>
      <c r="H44" s="7">
        <v>0</v>
      </c>
      <c r="I44" s="492" t="e">
        <f t="shared" si="0"/>
        <v>#DIV/0!</v>
      </c>
      <c r="J44" s="7">
        <v>0</v>
      </c>
      <c r="K44" s="492" t="e">
        <f t="shared" si="1"/>
        <v>#DIV/0!</v>
      </c>
      <c r="L44" s="492" t="e">
        <f t="shared" si="2"/>
        <v>#DIV/0!</v>
      </c>
      <c r="M44" s="7">
        <f>VLOOKUP(A44,'Ingresos Proyecciones'!$A$24:$Q$127,LOOKUP($O$190,'Ingresos Proyecciones'!$C$22:$Q$22,'Ingresos Proyecciones'!$C$184:$Q$184),FALSE)</f>
        <v>0</v>
      </c>
    </row>
    <row r="45" spans="1:13">
      <c r="A45" s="500" t="s">
        <v>1288</v>
      </c>
      <c r="B45" s="507" t="s">
        <v>1289</v>
      </c>
      <c r="C45" s="1311">
        <f>VLOOKUP(A45,'Ingresos Proyecciones'!$A$24:$Q$127,LOOKUP($C$25,'Ingresos Proyecciones'!$C$22:$Q$22,'Ingresos Proyecciones'!$C$184:$Q$184),FALSE)</f>
        <v>0</v>
      </c>
      <c r="D45" s="7">
        <v>0</v>
      </c>
      <c r="E45" s="7">
        <v>0</v>
      </c>
      <c r="F45" s="491">
        <f t="shared" si="4"/>
        <v>0</v>
      </c>
      <c r="G45" s="7">
        <v>0</v>
      </c>
      <c r="H45" s="7">
        <v>0</v>
      </c>
      <c r="I45" s="492" t="e">
        <f t="shared" si="0"/>
        <v>#DIV/0!</v>
      </c>
      <c r="J45" s="7">
        <v>0</v>
      </c>
      <c r="K45" s="492" t="e">
        <f t="shared" si="1"/>
        <v>#DIV/0!</v>
      </c>
      <c r="L45" s="492" t="e">
        <f t="shared" si="2"/>
        <v>#DIV/0!</v>
      </c>
      <c r="M45" s="7">
        <f>VLOOKUP(A45,'Ingresos Proyecciones'!$A$24:$Q$127,LOOKUP($O$190,'Ingresos Proyecciones'!$C$22:$Q$22,'Ingresos Proyecciones'!$C$184:$Q$184),FALSE)</f>
        <v>0</v>
      </c>
    </row>
    <row r="46" spans="1:13">
      <c r="A46" s="500" t="s">
        <v>1290</v>
      </c>
      <c r="B46" s="507" t="s">
        <v>1291</v>
      </c>
      <c r="C46" s="1311">
        <f>VLOOKUP(A46,'Ingresos Proyecciones'!$A$24:$Q$127,LOOKUP($C$25,'Ingresos Proyecciones'!$C$22:$Q$22,'Ingresos Proyecciones'!$C$184:$Q$184),FALSE)</f>
        <v>0</v>
      </c>
      <c r="D46" s="7">
        <v>0</v>
      </c>
      <c r="E46" s="7">
        <v>0</v>
      </c>
      <c r="F46" s="491">
        <f t="shared" si="4"/>
        <v>0</v>
      </c>
      <c r="G46" s="7">
        <v>0</v>
      </c>
      <c r="H46" s="7">
        <v>0</v>
      </c>
      <c r="I46" s="492" t="e">
        <f t="shared" si="0"/>
        <v>#DIV/0!</v>
      </c>
      <c r="J46" s="7">
        <v>0</v>
      </c>
      <c r="K46" s="492" t="e">
        <f t="shared" si="1"/>
        <v>#DIV/0!</v>
      </c>
      <c r="L46" s="492" t="e">
        <f t="shared" si="2"/>
        <v>#DIV/0!</v>
      </c>
      <c r="M46" s="7">
        <f>VLOOKUP(A46,'Ingresos Proyecciones'!$A$24:$Q$127,LOOKUP($O$190,'Ingresos Proyecciones'!$C$22:$Q$22,'Ingresos Proyecciones'!$C$184:$Q$184),FALSE)</f>
        <v>0</v>
      </c>
    </row>
    <row r="47" spans="1:13">
      <c r="A47" s="500" t="s">
        <v>1292</v>
      </c>
      <c r="B47" s="507" t="s">
        <v>1293</v>
      </c>
      <c r="C47" s="1311">
        <f>VLOOKUP(A47,'Ingresos Proyecciones'!$A$24:$Q$127,LOOKUP($C$25,'Ingresos Proyecciones'!$C$22:$Q$22,'Ingresos Proyecciones'!$C$184:$Q$184),FALSE)</f>
        <v>62089</v>
      </c>
      <c r="D47" s="7">
        <v>10000</v>
      </c>
      <c r="E47" s="7">
        <v>62089</v>
      </c>
      <c r="F47" s="491">
        <f t="shared" si="4"/>
        <v>52089</v>
      </c>
      <c r="G47" s="7">
        <v>62089</v>
      </c>
      <c r="H47" s="7">
        <v>62089</v>
      </c>
      <c r="I47" s="492">
        <f t="shared" si="0"/>
        <v>1</v>
      </c>
      <c r="J47" s="7">
        <v>22233</v>
      </c>
      <c r="K47" s="492">
        <f t="shared" si="1"/>
        <v>1.7926505644762289</v>
      </c>
      <c r="L47" s="492">
        <f t="shared" si="2"/>
        <v>1</v>
      </c>
      <c r="M47" s="7">
        <f>VLOOKUP(A47,'Ingresos Proyecciones'!$A$24:$Q$127,LOOKUP($O$190,'Ingresos Proyecciones'!$C$22:$Q$22,'Ingresos Proyecciones'!$C$184:$Q$184),FALSE)</f>
        <v>22233</v>
      </c>
    </row>
    <row r="48" spans="1:13">
      <c r="A48" s="500" t="s">
        <v>1294</v>
      </c>
      <c r="B48" s="507" t="s">
        <v>1295</v>
      </c>
      <c r="C48" s="1311">
        <f>VLOOKUP(A48,'Ingresos Proyecciones'!$A$24:$Q$127,LOOKUP($C$25,'Ingresos Proyecciones'!$C$22:$Q$22,'Ingresos Proyecciones'!$C$184:$Q$184),FALSE)</f>
        <v>4191</v>
      </c>
      <c r="D48" s="7">
        <v>3900</v>
      </c>
      <c r="E48" s="7">
        <v>4191</v>
      </c>
      <c r="F48" s="491">
        <f t="shared" si="4"/>
        <v>291</v>
      </c>
      <c r="G48" s="7">
        <v>4191</v>
      </c>
      <c r="H48" s="7">
        <v>4191</v>
      </c>
      <c r="I48" s="492">
        <f t="shared" si="0"/>
        <v>1</v>
      </c>
      <c r="J48" s="7">
        <v>15465</v>
      </c>
      <c r="K48" s="492">
        <f t="shared" si="1"/>
        <v>-0.72900096993210473</v>
      </c>
      <c r="L48" s="492">
        <f t="shared" si="2"/>
        <v>1</v>
      </c>
      <c r="M48" s="7">
        <f>VLOOKUP(A48,'Ingresos Proyecciones'!$A$24:$Q$127,LOOKUP($O$190,'Ingresos Proyecciones'!$C$22:$Q$22,'Ingresos Proyecciones'!$C$184:$Q$184),FALSE)</f>
        <v>15465</v>
      </c>
    </row>
    <row r="49" spans="1:14">
      <c r="A49" s="500" t="s">
        <v>1296</v>
      </c>
      <c r="B49" s="506" t="s">
        <v>1297</v>
      </c>
      <c r="C49" s="1311">
        <f>VLOOKUP(A49,'Ingresos Proyecciones'!$A$24:$Q$127,LOOKUP($C$25,'Ingresos Proyecciones'!$C$22:$Q$22,'Ingresos Proyecciones'!$C$184:$Q$184),FALSE)</f>
        <v>9221</v>
      </c>
      <c r="D49" s="7">
        <v>4000</v>
      </c>
      <c r="E49" s="7">
        <v>9221</v>
      </c>
      <c r="F49" s="491">
        <f t="shared" si="4"/>
        <v>5221</v>
      </c>
      <c r="G49" s="7">
        <v>9221</v>
      </c>
      <c r="H49" s="7">
        <v>9221</v>
      </c>
      <c r="I49" s="492">
        <f t="shared" si="0"/>
        <v>1</v>
      </c>
      <c r="J49" s="7">
        <v>21558</v>
      </c>
      <c r="K49" s="492">
        <f t="shared" si="1"/>
        <v>-0.57227015493088418</v>
      </c>
      <c r="L49" s="492">
        <f t="shared" si="2"/>
        <v>1</v>
      </c>
      <c r="M49" s="7">
        <f>VLOOKUP(A49,'Ingresos Proyecciones'!$A$24:$Q$127,LOOKUP($O$190,'Ingresos Proyecciones'!$C$22:$Q$22,'Ingresos Proyecciones'!$C$184:$Q$184),FALSE)</f>
        <v>21558</v>
      </c>
      <c r="N49" s="13"/>
    </row>
    <row r="50" spans="1:14">
      <c r="A50" s="500" t="s">
        <v>1298</v>
      </c>
      <c r="B50" s="506" t="s">
        <v>1299</v>
      </c>
      <c r="C50" s="1312">
        <f>SUM(C51:C54)+C57+C86+C82</f>
        <v>4375922.12</v>
      </c>
      <c r="D50" s="42">
        <f>SUM(D51:D54)+D57+D86+D82</f>
        <v>3041000</v>
      </c>
      <c r="E50" s="42">
        <f>SUM(E51:E54)+E57+E86+E82</f>
        <v>4475922.12</v>
      </c>
      <c r="F50" s="498">
        <f t="shared" ref="F50:F56" si="5">+E50-D50</f>
        <v>1434922.12</v>
      </c>
      <c r="G50" s="42">
        <f>SUM(G51:G54)+G57+G86+G82</f>
        <v>4475922.12</v>
      </c>
      <c r="H50" s="42">
        <f>SUM(H51:H54)+H57+H86+H82</f>
        <v>4475922.12</v>
      </c>
      <c r="I50" s="490">
        <f t="shared" si="0"/>
        <v>1</v>
      </c>
      <c r="J50" s="42">
        <f>SUM(J51:J54)+J57+J86+J82</f>
        <v>5497834</v>
      </c>
      <c r="K50" s="490">
        <f t="shared" si="1"/>
        <v>-0.18587536109675185</v>
      </c>
      <c r="L50" s="490">
        <f t="shared" si="2"/>
        <v>1.0228523262658065</v>
      </c>
      <c r="M50" s="42">
        <f>SUM(M51:M54)+M57+M86+M82</f>
        <v>5037352</v>
      </c>
    </row>
    <row r="51" spans="1:14">
      <c r="A51" s="500" t="s">
        <v>1300</v>
      </c>
      <c r="B51" s="507" t="s">
        <v>1301</v>
      </c>
      <c r="C51" s="1313">
        <f>VLOOKUP(A51,'Ingresos Proyecciones'!$A$24:$Q$127,LOOKUP($C$25,'Ingresos Proyecciones'!$C$22:$Q$22,'Ingresos Proyecciones'!$C$184:$Q$184),FALSE)</f>
        <v>6493</v>
      </c>
      <c r="D51" s="7">
        <v>0</v>
      </c>
      <c r="E51" s="7">
        <v>6493</v>
      </c>
      <c r="F51" s="58">
        <f t="shared" si="5"/>
        <v>6493</v>
      </c>
      <c r="G51" s="7">
        <v>6493</v>
      </c>
      <c r="H51" s="7">
        <v>6493</v>
      </c>
      <c r="I51" s="492">
        <f t="shared" si="0"/>
        <v>1</v>
      </c>
      <c r="J51" s="7">
        <v>0</v>
      </c>
      <c r="K51" s="492" t="e">
        <f t="shared" si="1"/>
        <v>#DIV/0!</v>
      </c>
      <c r="L51" s="492">
        <f>+H51/C51</f>
        <v>1</v>
      </c>
      <c r="M51" s="7">
        <f>VLOOKUP(A51,'Ingresos Proyecciones'!$A$24:$Q$127,LOOKUP($O$190,'Ingresos Proyecciones'!$C$22:$Q$22,'Ingresos Proyecciones'!$C$184:$Q$184),FALSE)</f>
        <v>0</v>
      </c>
    </row>
    <row r="52" spans="1:14">
      <c r="A52" s="500" t="s">
        <v>1302</v>
      </c>
      <c r="B52" s="507" t="s">
        <v>1303</v>
      </c>
      <c r="C52" s="1311">
        <f>VLOOKUP(A52,'Ingresos Proyecciones'!$A$24:$Q$127,LOOKUP($C$25,'Ingresos Proyecciones'!$C$22:$Q$22,'Ingresos Proyecciones'!$C$184:$Q$184),FALSE)</f>
        <v>26815</v>
      </c>
      <c r="D52" s="7">
        <v>0</v>
      </c>
      <c r="E52" s="7">
        <v>16815</v>
      </c>
      <c r="F52" s="491">
        <f t="shared" si="5"/>
        <v>16815</v>
      </c>
      <c r="G52" s="7">
        <v>16815</v>
      </c>
      <c r="H52" s="7">
        <v>16815</v>
      </c>
      <c r="I52" s="492">
        <f t="shared" si="0"/>
        <v>1</v>
      </c>
      <c r="J52" s="7">
        <v>26919</v>
      </c>
      <c r="K52" s="492">
        <f t="shared" si="1"/>
        <v>-0.37534826702329205</v>
      </c>
      <c r="L52" s="492">
        <f t="shared" si="2"/>
        <v>0.62707439865746784</v>
      </c>
      <c r="M52" s="7">
        <f>VLOOKUP(A52,'Ingresos Proyecciones'!$A$24:$Q$127,LOOKUP($O$190,'Ingresos Proyecciones'!$C$22:$Q$22,'Ingresos Proyecciones'!$C$184:$Q$184),FALSE)</f>
        <v>26919</v>
      </c>
    </row>
    <row r="53" spans="1:14">
      <c r="A53" s="500" t="s">
        <v>1304</v>
      </c>
      <c r="B53" s="507" t="s">
        <v>1305</v>
      </c>
      <c r="C53" s="1311">
        <f>VLOOKUP(A53,'Ingresos Proyecciones'!$A$24:$Q$127,LOOKUP($C$25,'Ingresos Proyecciones'!$C$22:$Q$22,'Ingresos Proyecciones'!$C$184:$Q$184),FALSE)</f>
        <v>500</v>
      </c>
      <c r="D53" s="7">
        <v>0</v>
      </c>
      <c r="E53" s="7">
        <v>500</v>
      </c>
      <c r="F53" s="491">
        <f t="shared" si="5"/>
        <v>500</v>
      </c>
      <c r="G53" s="7">
        <v>500</v>
      </c>
      <c r="H53" s="7">
        <v>500</v>
      </c>
      <c r="I53" s="492">
        <f t="shared" si="0"/>
        <v>1</v>
      </c>
      <c r="J53" s="7">
        <v>12380</v>
      </c>
      <c r="K53" s="492">
        <f t="shared" si="1"/>
        <v>-0.95961227786752823</v>
      </c>
      <c r="L53" s="492">
        <f t="shared" si="2"/>
        <v>1</v>
      </c>
      <c r="M53" s="7">
        <f>VLOOKUP(A53,'Ingresos Proyecciones'!$A$24:$Q$127,LOOKUP($O$190,'Ingresos Proyecciones'!$C$22:$Q$22,'Ingresos Proyecciones'!$C$184:$Q$184),FALSE)</f>
        <v>12380</v>
      </c>
    </row>
    <row r="54" spans="1:14">
      <c r="A54" s="500" t="s">
        <v>1306</v>
      </c>
      <c r="B54" s="507" t="s">
        <v>1307</v>
      </c>
      <c r="C54" s="1312">
        <f>SUM(C55:C56)</f>
        <v>0</v>
      </c>
      <c r="D54" s="42">
        <f>SUM(D55:D56)</f>
        <v>0</v>
      </c>
      <c r="E54" s="42">
        <f>SUM(E55:E56)</f>
        <v>0</v>
      </c>
      <c r="F54" s="491">
        <f t="shared" si="5"/>
        <v>0</v>
      </c>
      <c r="G54" s="42">
        <f>SUM(G55:G56)</f>
        <v>0</v>
      </c>
      <c r="H54" s="42">
        <f>SUM(H55:H56)</f>
        <v>0</v>
      </c>
      <c r="I54" s="492" t="e">
        <f t="shared" si="0"/>
        <v>#DIV/0!</v>
      </c>
      <c r="J54" s="42">
        <f>SUM(J55:J56)</f>
        <v>0</v>
      </c>
      <c r="K54" s="492" t="e">
        <f t="shared" si="1"/>
        <v>#DIV/0!</v>
      </c>
      <c r="L54" s="492" t="e">
        <f t="shared" si="2"/>
        <v>#DIV/0!</v>
      </c>
      <c r="M54" s="42">
        <f>SUM(M55:M56)</f>
        <v>0</v>
      </c>
    </row>
    <row r="55" spans="1:14">
      <c r="A55" s="500" t="s">
        <v>1308</v>
      </c>
      <c r="B55" s="507" t="s">
        <v>1309</v>
      </c>
      <c r="C55" s="1311">
        <f>VLOOKUP(A55,'Ingresos Proyecciones'!$A$24:$Q$127,LOOKUP($C$25,'Ingresos Proyecciones'!$C$22:$Q$22,'Ingresos Proyecciones'!$C$184:$Q$184),FALSE)</f>
        <v>0</v>
      </c>
      <c r="D55" s="7">
        <v>0</v>
      </c>
      <c r="E55" s="7">
        <v>0</v>
      </c>
      <c r="F55" s="491">
        <f t="shared" si="5"/>
        <v>0</v>
      </c>
      <c r="G55" s="7">
        <v>0</v>
      </c>
      <c r="H55" s="7">
        <v>0</v>
      </c>
      <c r="I55" s="492" t="e">
        <f t="shared" si="0"/>
        <v>#DIV/0!</v>
      </c>
      <c r="J55" s="7"/>
      <c r="K55" s="492" t="e">
        <f t="shared" si="1"/>
        <v>#DIV/0!</v>
      </c>
      <c r="L55" s="492" t="e">
        <f t="shared" si="2"/>
        <v>#DIV/0!</v>
      </c>
      <c r="M55" s="7">
        <f>VLOOKUP(A55,'Ingresos Proyecciones'!$A$24:$Q$127,LOOKUP($O$190,'Ingresos Proyecciones'!$C$22:$Q$22,'Ingresos Proyecciones'!$C$184:$Q$184),FALSE)</f>
        <v>0</v>
      </c>
    </row>
    <row r="56" spans="1:14">
      <c r="A56" s="500" t="s">
        <v>1310</v>
      </c>
      <c r="B56" s="507" t="s">
        <v>1311</v>
      </c>
      <c r="C56" s="1311">
        <f>VLOOKUP(A56,'Ingresos Proyecciones'!$A$24:$Q$127,LOOKUP($C$25,'Ingresos Proyecciones'!$C$22:$Q$22,'Ingresos Proyecciones'!$C$184:$Q$184),FALSE)</f>
        <v>0</v>
      </c>
      <c r="D56" s="7">
        <v>0</v>
      </c>
      <c r="E56" s="7">
        <v>0</v>
      </c>
      <c r="F56" s="491">
        <f t="shared" si="5"/>
        <v>0</v>
      </c>
      <c r="G56" s="7">
        <v>0</v>
      </c>
      <c r="H56" s="7">
        <v>0</v>
      </c>
      <c r="I56" s="492" t="e">
        <f t="shared" si="0"/>
        <v>#DIV/0!</v>
      </c>
      <c r="J56" s="7"/>
      <c r="K56" s="492" t="e">
        <f t="shared" si="1"/>
        <v>#DIV/0!</v>
      </c>
      <c r="L56" s="492" t="e">
        <f t="shared" si="2"/>
        <v>#DIV/0!</v>
      </c>
      <c r="M56" s="7">
        <f>VLOOKUP(A56,'Ingresos Proyecciones'!$A$24:$Q$127,LOOKUP($O$190,'Ingresos Proyecciones'!$C$22:$Q$22,'Ingresos Proyecciones'!$C$184:$Q$184),FALSE)</f>
        <v>0</v>
      </c>
    </row>
    <row r="57" spans="1:14">
      <c r="A57" s="500" t="s">
        <v>1312</v>
      </c>
      <c r="B57" s="506" t="s">
        <v>1313</v>
      </c>
      <c r="C57" s="1312">
        <f>+C61+C58+C74+C78</f>
        <v>4283105.12</v>
      </c>
      <c r="D57" s="42">
        <f>+D61+D58+D74+D78</f>
        <v>3041000</v>
      </c>
      <c r="E57" s="42">
        <f>+E61+E58+E74+E78</f>
        <v>4434736.12</v>
      </c>
      <c r="F57" s="498">
        <f t="shared" ref="F57:F65" si="6">+E57-D57</f>
        <v>1393736.12</v>
      </c>
      <c r="G57" s="42">
        <f>+G61+G58+G74+G78</f>
        <v>4434736.12</v>
      </c>
      <c r="H57" s="42">
        <f>+H61+H58+H74+H78</f>
        <v>4434736.12</v>
      </c>
      <c r="I57" s="490">
        <f t="shared" si="0"/>
        <v>1</v>
      </c>
      <c r="J57" s="42">
        <f>+J61+J58+J74+J78</f>
        <v>4993677</v>
      </c>
      <c r="K57" s="490">
        <f t="shared" si="1"/>
        <v>-0.1119297223268545</v>
      </c>
      <c r="L57" s="490">
        <f t="shared" si="2"/>
        <v>1.0354021196659307</v>
      </c>
      <c r="M57" s="42">
        <f>+M61+M58+M74+M78</f>
        <v>4993677</v>
      </c>
    </row>
    <row r="58" spans="1:14">
      <c r="A58" s="500" t="s">
        <v>1314</v>
      </c>
      <c r="B58" s="506" t="s">
        <v>1315</v>
      </c>
      <c r="C58" s="1312">
        <f>SUM(C59:C60)</f>
        <v>872012</v>
      </c>
      <c r="D58" s="42">
        <f>+D59+D60</f>
        <v>476000</v>
      </c>
      <c r="E58" s="42">
        <f>+E59+E60</f>
        <v>602012</v>
      </c>
      <c r="F58" s="498">
        <f t="shared" si="6"/>
        <v>126012</v>
      </c>
      <c r="G58" s="42">
        <f>+G59+G60</f>
        <v>602012</v>
      </c>
      <c r="H58" s="42">
        <f>+H59+H60</f>
        <v>602012</v>
      </c>
      <c r="I58" s="490">
        <f t="shared" ref="I58:I91" si="7">+H58/E58</f>
        <v>1</v>
      </c>
      <c r="J58" s="42">
        <f>+J59+J60</f>
        <v>676572</v>
      </c>
      <c r="K58" s="490">
        <f t="shared" si="1"/>
        <v>-0.11020260962617434</v>
      </c>
      <c r="L58" s="490">
        <f t="shared" ref="L58:L91" si="8">+H58/C58</f>
        <v>0.69037123342339324</v>
      </c>
      <c r="M58" s="42">
        <f>+M59+M60</f>
        <v>676572</v>
      </c>
    </row>
    <row r="59" spans="1:14">
      <c r="A59" s="500" t="s">
        <v>1316</v>
      </c>
      <c r="B59" s="506" t="s">
        <v>1317</v>
      </c>
      <c r="C59" s="1311">
        <f>VLOOKUP(A59,'Ingresos Proyecciones'!$A$24:$Q$127,LOOKUP($C$25,'Ingresos Proyecciones'!$C$22:$Q$22,'Ingresos Proyecciones'!$C$184:$Q$184),FALSE)</f>
        <v>872012</v>
      </c>
      <c r="D59" s="7">
        <v>476000</v>
      </c>
      <c r="E59" s="7">
        <v>602012</v>
      </c>
      <c r="F59" s="491">
        <f t="shared" si="6"/>
        <v>126012</v>
      </c>
      <c r="G59" s="7">
        <v>602012</v>
      </c>
      <c r="H59" s="7">
        <v>602012</v>
      </c>
      <c r="I59" s="492">
        <f t="shared" si="7"/>
        <v>1</v>
      </c>
      <c r="J59" s="7">
        <v>676572</v>
      </c>
      <c r="K59" s="492">
        <f t="shared" ref="K59:K90" si="9">+(H59/J59)-1</f>
        <v>-0.11020260962617434</v>
      </c>
      <c r="L59" s="492">
        <f t="shared" si="8"/>
        <v>0.69037123342339324</v>
      </c>
      <c r="M59" s="7">
        <f>VLOOKUP(A59,'Ingresos Proyecciones'!$A$24:$Q$127,LOOKUP($O$190,'Ingresos Proyecciones'!$C$22:$Q$22,'Ingresos Proyecciones'!$C$184:$Q$184),FALSE)</f>
        <v>676572</v>
      </c>
    </row>
    <row r="60" spans="1:14">
      <c r="A60" s="500" t="s">
        <v>1318</v>
      </c>
      <c r="B60" s="506" t="s">
        <v>1319</v>
      </c>
      <c r="C60" s="1311">
        <f>VLOOKUP(A60,'Ingresos Proyecciones'!$A$24:$Q$127,LOOKUP($C$25,'Ingresos Proyecciones'!$C$22:$Q$22,'Ingresos Proyecciones'!$C$184:$Q$184),FALSE)</f>
        <v>0</v>
      </c>
      <c r="D60" s="7">
        <v>0</v>
      </c>
      <c r="E60" s="7">
        <v>0</v>
      </c>
      <c r="F60" s="491">
        <f t="shared" si="6"/>
        <v>0</v>
      </c>
      <c r="G60" s="7">
        <v>0</v>
      </c>
      <c r="H60" s="7">
        <v>0</v>
      </c>
      <c r="I60" s="492" t="e">
        <f t="shared" si="7"/>
        <v>#DIV/0!</v>
      </c>
      <c r="J60" s="7">
        <v>0</v>
      </c>
      <c r="K60" s="492" t="e">
        <f t="shared" si="9"/>
        <v>#DIV/0!</v>
      </c>
      <c r="L60" s="492" t="e">
        <f>+H60/C60</f>
        <v>#DIV/0!</v>
      </c>
      <c r="M60" s="7">
        <f>VLOOKUP(A60,'Ingresos Proyecciones'!$A$24:$Q$127,LOOKUP($O$190,'Ingresos Proyecciones'!$C$22:$Q$22,'Ingresos Proyecciones'!$C$184:$Q$184),FALSE)</f>
        <v>0</v>
      </c>
    </row>
    <row r="61" spans="1:14">
      <c r="A61" s="500" t="s">
        <v>1320</v>
      </c>
      <c r="B61" s="506" t="s">
        <v>1321</v>
      </c>
      <c r="C61" s="1312">
        <f>+C62+C65+C71+C72+C73</f>
        <v>2871484.12</v>
      </c>
      <c r="D61" s="42">
        <f>+D62+D65+D71+D72+D73</f>
        <v>2060000</v>
      </c>
      <c r="E61" s="42">
        <f>+E62+E65+E71+E72+E73</f>
        <v>2871484.12</v>
      </c>
      <c r="F61" s="498">
        <f t="shared" si="6"/>
        <v>811484.12000000011</v>
      </c>
      <c r="G61" s="42">
        <f>+G62+G65+G71+G72+G73</f>
        <v>2871484.12</v>
      </c>
      <c r="H61" s="42">
        <f>+H62+H65+H71+H72+H73</f>
        <v>2871484.12</v>
      </c>
      <c r="I61" s="490">
        <f t="shared" si="7"/>
        <v>1</v>
      </c>
      <c r="J61" s="42">
        <f>+J62+J65+J71+J72+J73</f>
        <v>2532983</v>
      </c>
      <c r="K61" s="490">
        <f t="shared" si="9"/>
        <v>0.13363734379583292</v>
      </c>
      <c r="L61" s="490">
        <f t="shared" si="8"/>
        <v>1</v>
      </c>
      <c r="M61" s="42">
        <f>+M62+M65+M71+M72+M73</f>
        <v>2532983</v>
      </c>
    </row>
    <row r="62" spans="1:14">
      <c r="A62" s="500" t="s">
        <v>1322</v>
      </c>
      <c r="B62" s="506" t="s">
        <v>1323</v>
      </c>
      <c r="C62" s="1312">
        <f>SUM(C63:C64)</f>
        <v>306838</v>
      </c>
      <c r="D62" s="42">
        <f>SUM(D63:D64)</f>
        <v>176000</v>
      </c>
      <c r="E62" s="42">
        <f>SUM(E63:E64)</f>
        <v>306838</v>
      </c>
      <c r="F62" s="498">
        <f t="shared" si="6"/>
        <v>130838</v>
      </c>
      <c r="G62" s="42">
        <f>SUM(G63:G64)</f>
        <v>306838</v>
      </c>
      <c r="H62" s="42">
        <f>SUM(H63:H64)</f>
        <v>306838</v>
      </c>
      <c r="I62" s="490">
        <f t="shared" si="7"/>
        <v>1</v>
      </c>
      <c r="J62" s="42">
        <f>SUM(J63:J64)</f>
        <v>242632</v>
      </c>
      <c r="K62" s="490">
        <f t="shared" si="9"/>
        <v>0.26462296811632435</v>
      </c>
      <c r="L62" s="490">
        <f t="shared" si="8"/>
        <v>1</v>
      </c>
      <c r="M62" s="42">
        <f>SUM(M63:M64)</f>
        <v>242632</v>
      </c>
    </row>
    <row r="63" spans="1:14">
      <c r="A63" s="500" t="s">
        <v>1324</v>
      </c>
      <c r="B63" s="507" t="s">
        <v>1325</v>
      </c>
      <c r="C63" s="1311">
        <f>VLOOKUP(A63,'Ingresos Proyecciones'!$A$24:$Q$127,LOOKUP($C$25,'Ingresos Proyecciones'!$C$22:$Q$22,'Ingresos Proyecciones'!$C$184:$Q$184),FALSE)</f>
        <v>75761</v>
      </c>
      <c r="D63" s="7">
        <v>0</v>
      </c>
      <c r="E63" s="7">
        <v>75761</v>
      </c>
      <c r="F63" s="491">
        <f t="shared" si="6"/>
        <v>75761</v>
      </c>
      <c r="G63" s="7">
        <v>75761</v>
      </c>
      <c r="H63" s="7">
        <v>75761</v>
      </c>
      <c r="I63" s="492">
        <f t="shared" si="7"/>
        <v>1</v>
      </c>
      <c r="J63" s="7">
        <v>68725</v>
      </c>
      <c r="K63" s="492">
        <f t="shared" si="9"/>
        <v>0.10237904692615496</v>
      </c>
      <c r="L63" s="492">
        <f t="shared" si="8"/>
        <v>1</v>
      </c>
      <c r="M63" s="7">
        <f>VLOOKUP(A63,'Ingresos Proyecciones'!$A$24:$Q$127,LOOKUP($O$190,'Ingresos Proyecciones'!$C$22:$Q$22,'Ingresos Proyecciones'!$C$184:$Q$184),FALSE)</f>
        <v>68725</v>
      </c>
    </row>
    <row r="64" spans="1:14">
      <c r="A64" s="500" t="s">
        <v>1326</v>
      </c>
      <c r="B64" s="507" t="s">
        <v>1327</v>
      </c>
      <c r="C64" s="1311">
        <f>VLOOKUP(A64,'Ingresos Proyecciones'!$A$24:$Q$127,LOOKUP($C$25,'Ingresos Proyecciones'!$C$22:$Q$22,'Ingresos Proyecciones'!$C$184:$Q$184),FALSE)</f>
        <v>231077</v>
      </c>
      <c r="D64" s="7">
        <v>176000</v>
      </c>
      <c r="E64" s="7">
        <v>231077</v>
      </c>
      <c r="F64" s="491">
        <f t="shared" si="6"/>
        <v>55077</v>
      </c>
      <c r="G64" s="7">
        <v>231077</v>
      </c>
      <c r="H64" s="7">
        <v>231077</v>
      </c>
      <c r="I64" s="492">
        <f t="shared" si="7"/>
        <v>1</v>
      </c>
      <c r="J64" s="7">
        <v>173907</v>
      </c>
      <c r="K64" s="492">
        <f t="shared" si="9"/>
        <v>0.32873892367759772</v>
      </c>
      <c r="L64" s="492">
        <f t="shared" si="8"/>
        <v>1</v>
      </c>
      <c r="M64" s="7">
        <f>VLOOKUP(A64,'Ingresos Proyecciones'!$A$24:$Q$127,LOOKUP($O$190,'Ingresos Proyecciones'!$C$22:$Q$22,'Ingresos Proyecciones'!$C$184:$Q$184),FALSE)</f>
        <v>173907</v>
      </c>
    </row>
    <row r="65" spans="1:15">
      <c r="A65" s="500" t="s">
        <v>1328</v>
      </c>
      <c r="B65" s="506" t="s">
        <v>1329</v>
      </c>
      <c r="C65" s="1312">
        <f>SUM(C66:C70)</f>
        <v>1771195.12</v>
      </c>
      <c r="D65" s="42">
        <f>SUM(D66:D70)</f>
        <v>1261000</v>
      </c>
      <c r="E65" s="42">
        <f>SUM(E66:E70)</f>
        <v>1771195.12</v>
      </c>
      <c r="F65" s="498">
        <f t="shared" si="6"/>
        <v>510195.12000000011</v>
      </c>
      <c r="G65" s="42">
        <f>SUM(G66:G70)</f>
        <v>1771195.12</v>
      </c>
      <c r="H65" s="42">
        <f>SUM(H66:H70)</f>
        <v>1771195.12</v>
      </c>
      <c r="I65" s="490">
        <f t="shared" si="7"/>
        <v>1</v>
      </c>
      <c r="J65" s="42">
        <f>SUM(J66:J70)</f>
        <v>1405815</v>
      </c>
      <c r="K65" s="490">
        <f t="shared" si="9"/>
        <v>0.2599062607811129</v>
      </c>
      <c r="L65" s="490">
        <f t="shared" si="8"/>
        <v>1</v>
      </c>
      <c r="M65" s="42">
        <f>SUM(M66:M70)</f>
        <v>1405815</v>
      </c>
    </row>
    <row r="66" spans="1:15">
      <c r="A66" s="500" t="s">
        <v>1330</v>
      </c>
      <c r="B66" s="507" t="s">
        <v>1331</v>
      </c>
      <c r="C66" s="1311">
        <f>VLOOKUP(A66,'Ingresos Proyecciones'!$A$24:$Q$127,LOOKUP($C$25,'Ingresos Proyecciones'!$C$22:$Q$22,'Ingresos Proyecciones'!$C$184:$Q$184),FALSE)</f>
        <v>1493834</v>
      </c>
      <c r="D66" s="7">
        <v>1177000</v>
      </c>
      <c r="E66" s="7">
        <v>1493834</v>
      </c>
      <c r="F66" s="491">
        <f t="shared" ref="F66:F73" si="10">+E66-D66</f>
        <v>316834</v>
      </c>
      <c r="G66" s="7">
        <v>1493834</v>
      </c>
      <c r="H66" s="7">
        <v>1493834</v>
      </c>
      <c r="I66" s="492">
        <f t="shared" si="7"/>
        <v>1</v>
      </c>
      <c r="J66" s="7">
        <v>1181726</v>
      </c>
      <c r="K66" s="492">
        <f t="shared" si="9"/>
        <v>0.26411198535024183</v>
      </c>
      <c r="L66" s="492">
        <f t="shared" si="8"/>
        <v>1</v>
      </c>
      <c r="M66" s="7">
        <f>VLOOKUP(A66,'Ingresos Proyecciones'!$A$24:$Q$127,LOOKUP($O$190,'Ingresos Proyecciones'!$C$22:$Q$22,'Ingresos Proyecciones'!$C$184:$Q$184),FALSE)</f>
        <v>1181726</v>
      </c>
    </row>
    <row r="67" spans="1:15">
      <c r="A67" s="500" t="s">
        <v>1332</v>
      </c>
      <c r="B67" s="507" t="s">
        <v>1333</v>
      </c>
      <c r="C67" s="1311">
        <f>VLOOKUP(A67,'Ingresos Proyecciones'!$A$24:$Q$127,LOOKUP($C$25,'Ingresos Proyecciones'!$C$22:$Q$22,'Ingresos Proyecciones'!$C$184:$Q$184),FALSE)</f>
        <v>9413</v>
      </c>
      <c r="D67" s="7">
        <v>0</v>
      </c>
      <c r="E67" s="7">
        <v>9413</v>
      </c>
      <c r="F67" s="491">
        <f t="shared" si="10"/>
        <v>9413</v>
      </c>
      <c r="G67" s="7">
        <v>9413</v>
      </c>
      <c r="H67" s="7">
        <v>9413</v>
      </c>
      <c r="I67" s="492">
        <f t="shared" si="7"/>
        <v>1</v>
      </c>
      <c r="J67" s="7">
        <v>0</v>
      </c>
      <c r="K67" s="492" t="e">
        <f t="shared" si="9"/>
        <v>#DIV/0!</v>
      </c>
      <c r="L67" s="492">
        <f t="shared" si="8"/>
        <v>1</v>
      </c>
      <c r="M67" s="7">
        <f>VLOOKUP(A67,'Ingresos Proyecciones'!$A$24:$Q$127,LOOKUP($O$190,'Ingresos Proyecciones'!$C$22:$Q$22,'Ingresos Proyecciones'!$C$184:$Q$184),FALSE)</f>
        <v>0</v>
      </c>
    </row>
    <row r="68" spans="1:15">
      <c r="A68" s="500" t="s">
        <v>1334</v>
      </c>
      <c r="B68" s="507" t="s">
        <v>1335</v>
      </c>
      <c r="C68" s="1311">
        <f>VLOOKUP(A68,'Ingresos Proyecciones'!$A$24:$Q$127,LOOKUP($C$25,'Ingresos Proyecciones'!$C$22:$Q$22,'Ingresos Proyecciones'!$C$184:$Q$184),FALSE)</f>
        <v>123147</v>
      </c>
      <c r="D68" s="7">
        <v>84000</v>
      </c>
      <c r="E68" s="7">
        <v>123147</v>
      </c>
      <c r="F68" s="491">
        <f t="shared" si="10"/>
        <v>39147</v>
      </c>
      <c r="G68" s="7">
        <v>123147</v>
      </c>
      <c r="H68" s="7">
        <v>123147</v>
      </c>
      <c r="I68" s="492">
        <f t="shared" si="7"/>
        <v>1</v>
      </c>
      <c r="J68" s="7">
        <v>84286</v>
      </c>
      <c r="K68" s="492">
        <f t="shared" si="9"/>
        <v>0.46106114894525785</v>
      </c>
      <c r="L68" s="492">
        <f t="shared" si="8"/>
        <v>1</v>
      </c>
      <c r="M68" s="7">
        <f>VLOOKUP(A68,'Ingresos Proyecciones'!$A$24:$Q$127,LOOKUP($O$190,'Ingresos Proyecciones'!$C$22:$Q$22,'Ingresos Proyecciones'!$C$184:$Q$184),FALSE)</f>
        <v>84286</v>
      </c>
    </row>
    <row r="69" spans="1:15">
      <c r="A69" s="500" t="s">
        <v>1336</v>
      </c>
      <c r="B69" s="507" t="s">
        <v>1337</v>
      </c>
      <c r="C69" s="1311">
        <f>VLOOKUP(A69,'Ingresos Proyecciones'!$A$24:$Q$127,LOOKUP($C$25,'Ingresos Proyecciones'!$C$22:$Q$22,'Ingresos Proyecciones'!$C$184:$Q$184),FALSE)</f>
        <v>73792</v>
      </c>
      <c r="D69" s="7">
        <v>0</v>
      </c>
      <c r="E69" s="7">
        <v>73792</v>
      </c>
      <c r="F69" s="491">
        <f t="shared" si="10"/>
        <v>73792</v>
      </c>
      <c r="G69" s="7">
        <v>73792</v>
      </c>
      <c r="H69" s="7">
        <v>73792</v>
      </c>
      <c r="I69" s="492">
        <f t="shared" si="7"/>
        <v>1</v>
      </c>
      <c r="J69" s="7">
        <v>71525</v>
      </c>
      <c r="K69" s="492">
        <f t="shared" si="9"/>
        <v>3.169521146452281E-2</v>
      </c>
      <c r="L69" s="492">
        <f t="shared" si="8"/>
        <v>1</v>
      </c>
      <c r="M69" s="7">
        <f>VLOOKUP(A69,'Ingresos Proyecciones'!$A$24:$Q$127,LOOKUP($O$190,'Ingresos Proyecciones'!$C$22:$Q$22,'Ingresos Proyecciones'!$C$184:$Q$184),FALSE)</f>
        <v>71525</v>
      </c>
    </row>
    <row r="70" spans="1:15">
      <c r="A70" s="500" t="s">
        <v>1338</v>
      </c>
      <c r="B70" s="507" t="s">
        <v>1339</v>
      </c>
      <c r="C70" s="1311">
        <f>VLOOKUP(A70,'Ingresos Proyecciones'!$A$24:$Q$127,LOOKUP($C$25,'Ingresos Proyecciones'!$C$22:$Q$22,'Ingresos Proyecciones'!$C$184:$Q$184),FALSE)</f>
        <v>71009.119999999995</v>
      </c>
      <c r="D70" s="7">
        <v>0</v>
      </c>
      <c r="E70" s="7">
        <v>71009.119999999995</v>
      </c>
      <c r="F70" s="491">
        <f t="shared" si="10"/>
        <v>71009.119999999995</v>
      </c>
      <c r="G70" s="7">
        <v>71009.119999999995</v>
      </c>
      <c r="H70" s="7">
        <v>71009.119999999995</v>
      </c>
      <c r="I70" s="492">
        <f t="shared" si="7"/>
        <v>1</v>
      </c>
      <c r="J70" s="7">
        <v>68278</v>
      </c>
      <c r="K70" s="492">
        <f t="shared" si="9"/>
        <v>4.0000000000000036E-2</v>
      </c>
      <c r="L70" s="492">
        <f t="shared" si="8"/>
        <v>1</v>
      </c>
      <c r="M70" s="7">
        <f>VLOOKUP(A70,'Ingresos Proyecciones'!$A$24:$Q$127,LOOKUP($O$190,'Ingresos Proyecciones'!$C$22:$Q$22,'Ingresos Proyecciones'!$C$184:$Q$184),FALSE)</f>
        <v>68278</v>
      </c>
    </row>
    <row r="71" spans="1:15">
      <c r="A71" s="500" t="s">
        <v>1340</v>
      </c>
      <c r="B71" s="506" t="s">
        <v>1341</v>
      </c>
      <c r="C71" s="1311">
        <f>VLOOKUP(A71,'Ingresos Proyecciones'!$A$24:$Q$127,LOOKUP($C$25,'Ingresos Proyecciones'!$C$22:$Q$22,'Ingresos Proyecciones'!$C$184:$Q$184),FALSE)</f>
        <v>752600</v>
      </c>
      <c r="D71" s="7">
        <v>586000</v>
      </c>
      <c r="E71" s="7">
        <v>752600</v>
      </c>
      <c r="F71" s="491">
        <f t="shared" si="10"/>
        <v>166600</v>
      </c>
      <c r="G71" s="7">
        <v>752600</v>
      </c>
      <c r="H71" s="7">
        <v>752600</v>
      </c>
      <c r="I71" s="492">
        <f t="shared" si="7"/>
        <v>1</v>
      </c>
      <c r="J71" s="7">
        <v>847021</v>
      </c>
      <c r="K71" s="492">
        <f t="shared" si="9"/>
        <v>-0.11147421374440536</v>
      </c>
      <c r="L71" s="492">
        <f t="shared" si="8"/>
        <v>1</v>
      </c>
      <c r="M71" s="7">
        <f>VLOOKUP(A71,'Ingresos Proyecciones'!$A$24:$Q$127,LOOKUP($O$190,'Ingresos Proyecciones'!$C$22:$Q$22,'Ingresos Proyecciones'!$C$184:$Q$184),FALSE)</f>
        <v>847021</v>
      </c>
      <c r="N71" s="59"/>
      <c r="O71" s="59"/>
    </row>
    <row r="72" spans="1:15">
      <c r="A72" s="500" t="s">
        <v>1342</v>
      </c>
      <c r="B72" s="506" t="s">
        <v>1343</v>
      </c>
      <c r="C72" s="1311">
        <f>VLOOKUP(A72,'Ingresos Proyecciones'!$A$24:$Q$127,LOOKUP($C$25,'Ingresos Proyecciones'!$C$22:$Q$22,'Ingresos Proyecciones'!$C$184:$Q$184),FALSE)</f>
        <v>40851</v>
      </c>
      <c r="D72" s="7">
        <v>37000</v>
      </c>
      <c r="E72" s="7">
        <v>40851</v>
      </c>
      <c r="F72" s="491">
        <f t="shared" si="10"/>
        <v>3851</v>
      </c>
      <c r="G72" s="7">
        <v>40851</v>
      </c>
      <c r="H72" s="7">
        <v>40851</v>
      </c>
      <c r="I72" s="492">
        <f t="shared" si="7"/>
        <v>1</v>
      </c>
      <c r="J72" s="7">
        <v>37515</v>
      </c>
      <c r="K72" s="492">
        <f t="shared" si="9"/>
        <v>8.8924430227908857E-2</v>
      </c>
      <c r="L72" s="492">
        <f t="shared" si="8"/>
        <v>1</v>
      </c>
      <c r="M72" s="7">
        <f>VLOOKUP(A72,'Ingresos Proyecciones'!$A$24:$Q$127,LOOKUP($O$190,'Ingresos Proyecciones'!$C$22:$Q$22,'Ingresos Proyecciones'!$C$184:$Q$184),FALSE)</f>
        <v>37515</v>
      </c>
      <c r="N72" s="59"/>
      <c r="O72" s="59"/>
    </row>
    <row r="73" spans="1:15">
      <c r="A73" s="500" t="s">
        <v>1344</v>
      </c>
      <c r="B73" s="506" t="s">
        <v>1345</v>
      </c>
      <c r="C73" s="1311">
        <f>VLOOKUP(A73,'Ingresos Proyecciones'!$A$24:$Q$127,LOOKUP($C$25,'Ingresos Proyecciones'!$C$22:$Q$22,'Ingresos Proyecciones'!$C$184:$Q$184),FALSE)</f>
        <v>0</v>
      </c>
      <c r="D73" s="7">
        <v>0</v>
      </c>
      <c r="E73" s="7">
        <v>0</v>
      </c>
      <c r="F73" s="491">
        <f t="shared" si="10"/>
        <v>0</v>
      </c>
      <c r="G73" s="7">
        <v>0</v>
      </c>
      <c r="H73" s="7">
        <v>0</v>
      </c>
      <c r="I73" s="492" t="e">
        <f t="shared" si="7"/>
        <v>#DIV/0!</v>
      </c>
      <c r="J73" s="7">
        <v>0</v>
      </c>
      <c r="K73" s="492" t="e">
        <f t="shared" si="9"/>
        <v>#DIV/0!</v>
      </c>
      <c r="L73" s="492" t="e">
        <f t="shared" si="8"/>
        <v>#DIV/0!</v>
      </c>
      <c r="M73" s="7">
        <f>VLOOKUP(A73,'Ingresos Proyecciones'!$A$24:$Q$127,LOOKUP($O$190,'Ingresos Proyecciones'!$C$22:$Q$22,'Ingresos Proyecciones'!$C$184:$Q$184),FALSE)</f>
        <v>0</v>
      </c>
      <c r="N73" s="59"/>
      <c r="O73" s="59"/>
    </row>
    <row r="74" spans="1:15">
      <c r="A74" s="500" t="s">
        <v>1346</v>
      </c>
      <c r="B74" s="506" t="s">
        <v>1347</v>
      </c>
      <c r="C74" s="1312">
        <f>SUM(C75:C77)</f>
        <v>517310</v>
      </c>
      <c r="D74" s="42">
        <f>SUM(D75:D77)</f>
        <v>499000</v>
      </c>
      <c r="E74" s="42">
        <f>SUM(E75:E77)</f>
        <v>717310</v>
      </c>
      <c r="F74" s="498">
        <f t="shared" ref="F74:F90" si="11">+E74-D74</f>
        <v>218310</v>
      </c>
      <c r="G74" s="42">
        <f>SUM(G75:G77)</f>
        <v>717310</v>
      </c>
      <c r="H74" s="42">
        <f>SUM(H75:H77)</f>
        <v>717310</v>
      </c>
      <c r="I74" s="490">
        <f t="shared" si="7"/>
        <v>1</v>
      </c>
      <c r="J74" s="42">
        <f>SUM(J75:J77)</f>
        <v>1590828</v>
      </c>
      <c r="K74" s="490">
        <f t="shared" si="9"/>
        <v>-0.54909644537310132</v>
      </c>
      <c r="L74" s="490">
        <f t="shared" si="8"/>
        <v>1.3866153756934914</v>
      </c>
      <c r="M74" s="42">
        <f>SUM(M75:M77)</f>
        <v>1590828</v>
      </c>
    </row>
    <row r="75" spans="1:15">
      <c r="A75" s="500" t="s">
        <v>1348</v>
      </c>
      <c r="B75" s="507" t="s">
        <v>1349</v>
      </c>
      <c r="C75" s="1311">
        <f>VLOOKUP(A75,'Ingresos Proyecciones'!$A$24:$Q$127,LOOKUP($C$25,'Ingresos Proyecciones'!$C$22:$Q$22,'Ingresos Proyecciones'!$C$184:$Q$184),FALSE)</f>
        <v>0</v>
      </c>
      <c r="D75" s="7">
        <v>0</v>
      </c>
      <c r="E75" s="7">
        <v>0</v>
      </c>
      <c r="F75" s="491">
        <f t="shared" si="11"/>
        <v>0</v>
      </c>
      <c r="G75" s="7">
        <v>0</v>
      </c>
      <c r="H75" s="7">
        <v>0</v>
      </c>
      <c r="I75" s="492" t="e">
        <f t="shared" si="7"/>
        <v>#DIV/0!</v>
      </c>
      <c r="J75" s="7">
        <v>104778</v>
      </c>
      <c r="K75" s="492">
        <f t="shared" si="9"/>
        <v>-1</v>
      </c>
      <c r="L75" s="492" t="e">
        <f t="shared" si="8"/>
        <v>#DIV/0!</v>
      </c>
      <c r="M75" s="7">
        <f>VLOOKUP(A75,'Ingresos Proyecciones'!$A$24:$Q$127,LOOKUP($O$190,'Ingresos Proyecciones'!$C$22:$Q$22,'Ingresos Proyecciones'!$C$184:$Q$184),FALSE)</f>
        <v>104778</v>
      </c>
    </row>
    <row r="76" spans="1:15">
      <c r="A76" s="500" t="s">
        <v>1350</v>
      </c>
      <c r="B76" s="507" t="s">
        <v>1351</v>
      </c>
      <c r="C76" s="1311">
        <f>VLOOKUP(A76,'Ingresos Proyecciones'!$A$24:$Q$127,LOOKUP($C$25,'Ingresos Proyecciones'!$C$22:$Q$22,'Ingresos Proyecciones'!$C$184:$Q$184),FALSE)</f>
        <v>107876</v>
      </c>
      <c r="D76" s="7">
        <v>0</v>
      </c>
      <c r="E76" s="7">
        <v>207876</v>
      </c>
      <c r="F76" s="491">
        <f t="shared" si="11"/>
        <v>207876</v>
      </c>
      <c r="G76" s="7">
        <v>207876</v>
      </c>
      <c r="H76" s="7">
        <v>207876</v>
      </c>
      <c r="I76" s="492">
        <f t="shared" si="7"/>
        <v>1</v>
      </c>
      <c r="J76" s="7">
        <v>921976</v>
      </c>
      <c r="K76" s="492">
        <f t="shared" si="9"/>
        <v>-0.77453209194165573</v>
      </c>
      <c r="L76" s="492">
        <f t="shared" si="8"/>
        <v>1.9269902480625904</v>
      </c>
      <c r="M76" s="7">
        <f>VLOOKUP(A76,'Ingresos Proyecciones'!$A$24:$Q$127,LOOKUP($O$190,'Ingresos Proyecciones'!$C$22:$Q$22,'Ingresos Proyecciones'!$C$184:$Q$184),FALSE)</f>
        <v>921976</v>
      </c>
    </row>
    <row r="77" spans="1:15">
      <c r="A77" s="500" t="s">
        <v>1352</v>
      </c>
      <c r="B77" s="507" t="s">
        <v>1353</v>
      </c>
      <c r="C77" s="1311">
        <f>VLOOKUP(A77,'Ingresos Proyecciones'!$A$24:$Q$127,LOOKUP($C$25,'Ingresos Proyecciones'!$C$22:$Q$22,'Ingresos Proyecciones'!$C$184:$Q$184),FALSE)</f>
        <v>409434</v>
      </c>
      <c r="D77" s="7">
        <v>499000</v>
      </c>
      <c r="E77" s="7">
        <v>509434</v>
      </c>
      <c r="F77" s="491">
        <f t="shared" si="11"/>
        <v>10434</v>
      </c>
      <c r="G77" s="7">
        <v>509434</v>
      </c>
      <c r="H77" s="7">
        <v>509434</v>
      </c>
      <c r="I77" s="492">
        <f t="shared" si="7"/>
        <v>1</v>
      </c>
      <c r="J77" s="7">
        <v>564074</v>
      </c>
      <c r="K77" s="492">
        <f t="shared" si="9"/>
        <v>-9.686672316043643E-2</v>
      </c>
      <c r="L77" s="492">
        <f t="shared" si="8"/>
        <v>1.2442396088258425</v>
      </c>
      <c r="M77" s="7">
        <f>VLOOKUP(A77,'Ingresos Proyecciones'!$A$24:$Q$127,LOOKUP($O$190,'Ingresos Proyecciones'!$C$22:$Q$22,'Ingresos Proyecciones'!$C$184:$Q$184),FALSE)</f>
        <v>564074</v>
      </c>
    </row>
    <row r="78" spans="1:15">
      <c r="A78" s="500" t="s">
        <v>1354</v>
      </c>
      <c r="B78" s="506" t="s">
        <v>1355</v>
      </c>
      <c r="C78" s="1312">
        <f>SUM(C79:C81)</f>
        <v>22299</v>
      </c>
      <c r="D78" s="42">
        <f>SUM(D79:D81)</f>
        <v>6000</v>
      </c>
      <c r="E78" s="42">
        <f>SUM(E79:E81)</f>
        <v>243930</v>
      </c>
      <c r="F78" s="498">
        <f t="shared" si="11"/>
        <v>237930</v>
      </c>
      <c r="G78" s="42">
        <f>SUM(G79:G81)</f>
        <v>243930</v>
      </c>
      <c r="H78" s="42">
        <f>SUM(H79:H81)</f>
        <v>243930</v>
      </c>
      <c r="I78" s="490">
        <f t="shared" si="7"/>
        <v>1</v>
      </c>
      <c r="J78" s="42">
        <f>SUM(J79:J81)</f>
        <v>193294</v>
      </c>
      <c r="K78" s="490">
        <f t="shared" si="9"/>
        <v>0.26196364087866142</v>
      </c>
      <c r="L78" s="490">
        <f t="shared" si="8"/>
        <v>10.939055563029733</v>
      </c>
      <c r="M78" s="42">
        <f>SUM(M79:M81)</f>
        <v>193294</v>
      </c>
    </row>
    <row r="79" spans="1:15">
      <c r="A79" s="500" t="s">
        <v>1356</v>
      </c>
      <c r="B79" s="507" t="s">
        <v>1357</v>
      </c>
      <c r="C79" s="1311">
        <f>VLOOKUP(A79,'Ingresos Proyecciones'!$A$24:$Q$127,LOOKUP($C$25,'Ingresos Proyecciones'!$C$22:$Q$22,'Ingresos Proyecciones'!$C$184:$Q$184),FALSE)</f>
        <v>3852</v>
      </c>
      <c r="D79" s="7">
        <v>0</v>
      </c>
      <c r="E79" s="7">
        <v>3852</v>
      </c>
      <c r="F79" s="491">
        <f t="shared" si="11"/>
        <v>3852</v>
      </c>
      <c r="G79" s="7">
        <v>3852</v>
      </c>
      <c r="H79" s="7">
        <v>3852</v>
      </c>
      <c r="I79" s="492">
        <f t="shared" si="7"/>
        <v>1</v>
      </c>
      <c r="J79" s="7">
        <v>0</v>
      </c>
      <c r="K79" s="492" t="e">
        <f t="shared" si="9"/>
        <v>#DIV/0!</v>
      </c>
      <c r="L79" s="492">
        <f t="shared" si="8"/>
        <v>1</v>
      </c>
      <c r="M79" s="7">
        <f>VLOOKUP(A79,'Ingresos Proyecciones'!$A$24:$Q$127,LOOKUP($O$190,'Ingresos Proyecciones'!$C$22:$Q$22,'Ingresos Proyecciones'!$C$184:$Q$184),FALSE)</f>
        <v>0</v>
      </c>
    </row>
    <row r="80" spans="1:15">
      <c r="A80" s="500" t="s">
        <v>1358</v>
      </c>
      <c r="B80" s="507" t="s">
        <v>1359</v>
      </c>
      <c r="C80" s="1311">
        <f>VLOOKUP(A80,'Ingresos Proyecciones'!$A$24:$Q$127,LOOKUP($C$25,'Ingresos Proyecciones'!$C$22:$Q$22,'Ingresos Proyecciones'!$C$184:$Q$184),FALSE)</f>
        <v>18447</v>
      </c>
      <c r="D80" s="7">
        <v>6000</v>
      </c>
      <c r="E80" s="7">
        <v>18447</v>
      </c>
      <c r="F80" s="491">
        <f t="shared" si="11"/>
        <v>12447</v>
      </c>
      <c r="G80" s="7">
        <v>18447</v>
      </c>
      <c r="H80" s="7">
        <v>18447</v>
      </c>
      <c r="I80" s="492">
        <f t="shared" si="7"/>
        <v>1</v>
      </c>
      <c r="J80" s="7">
        <v>16894</v>
      </c>
      <c r="K80" s="492">
        <f t="shared" si="9"/>
        <v>9.1926127619273101E-2</v>
      </c>
      <c r="L80" s="492">
        <f t="shared" si="8"/>
        <v>1</v>
      </c>
      <c r="M80" s="7">
        <f>VLOOKUP(A80,'Ingresos Proyecciones'!$A$24:$Q$127,LOOKUP($O$190,'Ingresos Proyecciones'!$C$22:$Q$22,'Ingresos Proyecciones'!$C$184:$Q$184),FALSE)</f>
        <v>16894</v>
      </c>
    </row>
    <row r="81" spans="1:15">
      <c r="A81" s="500" t="s">
        <v>1360</v>
      </c>
      <c r="B81" s="507" t="s">
        <v>1361</v>
      </c>
      <c r="C81" s="1311">
        <f>VLOOKUP(A81,'Ingresos Proyecciones'!$A$24:$Q$127,LOOKUP($C$25,'Ingresos Proyecciones'!$C$22:$Q$22,'Ingresos Proyecciones'!$C$184:$Q$184),FALSE)</f>
        <v>0</v>
      </c>
      <c r="D81" s="7">
        <v>0</v>
      </c>
      <c r="E81" s="7">
        <v>221631</v>
      </c>
      <c r="F81" s="491">
        <f t="shared" si="11"/>
        <v>221631</v>
      </c>
      <c r="G81" s="7">
        <v>221631</v>
      </c>
      <c r="H81" s="7">
        <v>221631</v>
      </c>
      <c r="I81" s="492">
        <f t="shared" si="7"/>
        <v>1</v>
      </c>
      <c r="J81" s="7">
        <v>176400</v>
      </c>
      <c r="K81" s="492">
        <f t="shared" si="9"/>
        <v>0.25641156462585024</v>
      </c>
      <c r="L81" s="492" t="e">
        <f t="shared" si="8"/>
        <v>#DIV/0!</v>
      </c>
      <c r="M81" s="7">
        <f>VLOOKUP(A81,'Ingresos Proyecciones'!$A$24:$Q$127,LOOKUP($O$190,'Ingresos Proyecciones'!$C$22:$Q$22,'Ingresos Proyecciones'!$C$184:$Q$184),FALSE)</f>
        <v>176400</v>
      </c>
    </row>
    <row r="82" spans="1:15">
      <c r="A82" s="500" t="s">
        <v>1362</v>
      </c>
      <c r="B82" s="506" t="s">
        <v>1363</v>
      </c>
      <c r="C82" s="1312">
        <f>SUM(C83:C85)</f>
        <v>17378</v>
      </c>
      <c r="D82" s="42">
        <f>SUM(D83:D85)</f>
        <v>0</v>
      </c>
      <c r="E82" s="42">
        <f>SUM(E83:E85)</f>
        <v>17378</v>
      </c>
      <c r="F82" s="498">
        <f t="shared" si="11"/>
        <v>17378</v>
      </c>
      <c r="G82" s="42">
        <f>SUM(G83:G85)</f>
        <v>17378</v>
      </c>
      <c r="H82" s="42">
        <f>SUM(H83:H85)</f>
        <v>17378</v>
      </c>
      <c r="I82" s="490">
        <f t="shared" si="7"/>
        <v>1</v>
      </c>
      <c r="J82" s="42">
        <f>SUM(J83:J85)</f>
        <v>464858</v>
      </c>
      <c r="K82" s="490">
        <f t="shared" si="9"/>
        <v>-0.962616540965198</v>
      </c>
      <c r="L82" s="490">
        <f t="shared" si="8"/>
        <v>1</v>
      </c>
      <c r="M82" s="42">
        <f>SUM(M83:M85)</f>
        <v>4376</v>
      </c>
    </row>
    <row r="83" spans="1:15">
      <c r="A83" s="500" t="s">
        <v>1364</v>
      </c>
      <c r="B83" s="507" t="s">
        <v>1365</v>
      </c>
      <c r="C83" s="1311">
        <f>VLOOKUP(A83,'Ingresos Proyecciones'!$A$24:$Q$127,LOOKUP($C$25,'Ingresos Proyecciones'!$C$22:$Q$22,'Ingresos Proyecciones'!$C$184:$Q$184),FALSE)</f>
        <v>0</v>
      </c>
      <c r="D83" s="7">
        <v>0</v>
      </c>
      <c r="E83" s="7">
        <v>0</v>
      </c>
      <c r="F83" s="491">
        <f t="shared" si="11"/>
        <v>0</v>
      </c>
      <c r="G83" s="7">
        <v>0</v>
      </c>
      <c r="H83" s="7">
        <v>0</v>
      </c>
      <c r="I83" s="492" t="e">
        <f t="shared" si="7"/>
        <v>#DIV/0!</v>
      </c>
      <c r="J83" s="7">
        <v>0</v>
      </c>
      <c r="K83" s="492" t="e">
        <f t="shared" si="9"/>
        <v>#DIV/0!</v>
      </c>
      <c r="L83" s="492" t="e">
        <f t="shared" si="8"/>
        <v>#DIV/0!</v>
      </c>
      <c r="M83" s="7">
        <f>VLOOKUP(A83,'Ingresos Proyecciones'!$A$24:$Q$127,LOOKUP($O$190,'Ingresos Proyecciones'!$C$22:$Q$22,'Ingresos Proyecciones'!$C$184:$Q$184),FALSE)</f>
        <v>0</v>
      </c>
    </row>
    <row r="84" spans="1:15">
      <c r="A84" s="500" t="s">
        <v>1366</v>
      </c>
      <c r="B84" s="507" t="s">
        <v>1367</v>
      </c>
      <c r="C84" s="1311">
        <f>VLOOKUP(A84,'Ingresos Proyecciones'!$A$24:$Q$127,LOOKUP($C$25,'Ingresos Proyecciones'!$C$22:$Q$22,'Ingresos Proyecciones'!$C$184:$Q$184),FALSE)</f>
        <v>17378</v>
      </c>
      <c r="D84" s="7">
        <v>0</v>
      </c>
      <c r="E84" s="7">
        <v>17378</v>
      </c>
      <c r="F84" s="491">
        <f t="shared" si="11"/>
        <v>17378</v>
      </c>
      <c r="G84" s="7">
        <v>17378</v>
      </c>
      <c r="H84" s="7">
        <v>17378</v>
      </c>
      <c r="I84" s="492">
        <f t="shared" si="7"/>
        <v>1</v>
      </c>
      <c r="J84" s="7">
        <v>4376</v>
      </c>
      <c r="K84" s="492">
        <f t="shared" si="9"/>
        <v>2.9712065813528334</v>
      </c>
      <c r="L84" s="492">
        <f t="shared" si="8"/>
        <v>1</v>
      </c>
      <c r="M84" s="7">
        <f>VLOOKUP(A84,'Ingresos Proyecciones'!$A$24:$Q$127,LOOKUP($O$190,'Ingresos Proyecciones'!$C$22:$Q$22,'Ingresos Proyecciones'!$C$184:$Q$184),FALSE)</f>
        <v>4376</v>
      </c>
    </row>
    <row r="85" spans="1:15">
      <c r="A85" s="500" t="s">
        <v>1368</v>
      </c>
      <c r="B85" s="507" t="s">
        <v>1369</v>
      </c>
      <c r="C85" s="1311">
        <f>VLOOKUP(A85,'Ingresos Proyecciones'!$A$24:$Q$127,LOOKUP($C$25,'Ingresos Proyecciones'!$C$22:$Q$22,'Ingresos Proyecciones'!$C$184:$Q$184),FALSE)</f>
        <v>0</v>
      </c>
      <c r="D85" s="7">
        <v>0</v>
      </c>
      <c r="E85" s="7">
        <v>0</v>
      </c>
      <c r="F85" s="491">
        <f t="shared" si="11"/>
        <v>0</v>
      </c>
      <c r="G85" s="7">
        <v>0</v>
      </c>
      <c r="H85" s="7">
        <v>0</v>
      </c>
      <c r="I85" s="492" t="e">
        <f t="shared" si="7"/>
        <v>#DIV/0!</v>
      </c>
      <c r="J85" s="7">
        <v>460482</v>
      </c>
      <c r="K85" s="492">
        <f t="shared" si="9"/>
        <v>-1</v>
      </c>
      <c r="L85" s="492" t="e">
        <f t="shared" si="8"/>
        <v>#DIV/0!</v>
      </c>
      <c r="M85" s="7">
        <f>VLOOKUP(A85,'Ingresos Proyecciones'!$A$24:$Q$127,LOOKUP($O$190,'Ingresos Proyecciones'!$C$22:$Q$22,'Ingresos Proyecciones'!$C$184:$Q$184),FALSE)</f>
        <v>0</v>
      </c>
    </row>
    <row r="86" spans="1:15">
      <c r="A86" s="500" t="s">
        <v>1370</v>
      </c>
      <c r="B86" s="506" t="s">
        <v>1371</v>
      </c>
      <c r="C86" s="1311">
        <f>VLOOKUP(A86,'Ingresos Proyecciones'!$A$24:$Q$127,LOOKUP($C$25,'Ingresos Proyecciones'!$C$22:$Q$22,'Ingresos Proyecciones'!$C$184:$Q$184),FALSE)</f>
        <v>41631</v>
      </c>
      <c r="D86" s="7">
        <v>0</v>
      </c>
      <c r="E86" s="7">
        <v>0</v>
      </c>
      <c r="F86" s="491">
        <f t="shared" si="11"/>
        <v>0</v>
      </c>
      <c r="G86" s="7">
        <v>0</v>
      </c>
      <c r="H86" s="7">
        <v>0</v>
      </c>
      <c r="I86" s="492" t="e">
        <f t="shared" si="7"/>
        <v>#DIV/0!</v>
      </c>
      <c r="J86" s="7">
        <v>0</v>
      </c>
      <c r="K86" s="492" t="e">
        <f t="shared" si="9"/>
        <v>#DIV/0!</v>
      </c>
      <c r="L86" s="492">
        <f t="shared" si="8"/>
        <v>0</v>
      </c>
      <c r="M86" s="7">
        <v>0</v>
      </c>
      <c r="N86" s="59"/>
      <c r="O86" s="59"/>
    </row>
    <row r="87" spans="1:15">
      <c r="A87" s="500" t="s">
        <v>1372</v>
      </c>
      <c r="B87" s="506" t="s">
        <v>0</v>
      </c>
      <c r="C87" s="1312">
        <f>+C88+C89+C90+C99+C111+C123+C124+C125+C128+C129+C130</f>
        <v>1727263.9791999999</v>
      </c>
      <c r="D87" s="42">
        <f>+D88+D89+D90+D99+D111+D123+D124+D125+D128+D129+D130</f>
        <v>0</v>
      </c>
      <c r="E87" s="42">
        <f>+E88+E89+E90+E99+E111+E123+E124+E125+E128+E129+E130</f>
        <v>1727264</v>
      </c>
      <c r="F87" s="498">
        <f t="shared" si="11"/>
        <v>1727264</v>
      </c>
      <c r="G87" s="42">
        <f>+G88+G89+G90+G99+G111+G123+G124+G125+G128+G129+G130</f>
        <v>1727264</v>
      </c>
      <c r="H87" s="42">
        <f>+H88+H89+H90+H99+H111+H123+H124+H125+H128+H129+H130</f>
        <v>1727264</v>
      </c>
      <c r="I87" s="490">
        <f t="shared" si="7"/>
        <v>1</v>
      </c>
      <c r="J87" s="42">
        <f>+J88+J89+J90+J99+J111+J123+J124+J125+J128+J129+J130</f>
        <v>222130</v>
      </c>
      <c r="K87" s="490">
        <f t="shared" si="9"/>
        <v>6.7759150047269614</v>
      </c>
      <c r="L87" s="490">
        <f t="shared" si="8"/>
        <v>1.0000000120421664</v>
      </c>
      <c r="M87" s="42">
        <f>+M88+M89+M90+M99+M111+M123+M124+M125+M128+M129+M130</f>
        <v>222130.48</v>
      </c>
    </row>
    <row r="88" spans="1:15">
      <c r="A88" s="500" t="s">
        <v>1</v>
      </c>
      <c r="B88" s="506" t="s">
        <v>2</v>
      </c>
      <c r="C88" s="1311">
        <f>VLOOKUP(A88,'Ingresos Proyecciones'!$A$24:$Q$127,LOOKUP($C$25,'Ingresos Proyecciones'!$C$22:$Q$22,'Ingresos Proyecciones'!$C$184:$Q$184),FALSE)</f>
        <v>0</v>
      </c>
      <c r="D88" s="7">
        <v>0</v>
      </c>
      <c r="E88" s="7">
        <v>0</v>
      </c>
      <c r="F88" s="491">
        <f t="shared" si="11"/>
        <v>0</v>
      </c>
      <c r="G88" s="7">
        <v>0</v>
      </c>
      <c r="H88" s="7">
        <v>0</v>
      </c>
      <c r="I88" s="492" t="e">
        <f t="shared" si="7"/>
        <v>#DIV/0!</v>
      </c>
      <c r="J88" s="7">
        <v>0</v>
      </c>
      <c r="K88" s="492" t="e">
        <f t="shared" si="9"/>
        <v>#DIV/0!</v>
      </c>
      <c r="L88" s="492" t="e">
        <f t="shared" si="8"/>
        <v>#DIV/0!</v>
      </c>
      <c r="M88" s="7">
        <f>VLOOKUP(A88,'Ingresos Proyecciones'!$A$24:$Q$127,LOOKUP($O$190,'Ingresos Proyecciones'!$C$22:$Q$22,'Ingresos Proyecciones'!$C$184:$Q$184),FALSE)</f>
        <v>0</v>
      </c>
    </row>
    <row r="89" spans="1:15">
      <c r="A89" s="500" t="s">
        <v>3</v>
      </c>
      <c r="B89" s="506" t="s">
        <v>4</v>
      </c>
      <c r="C89" s="1311">
        <f>VLOOKUP(A89,'Ingresos Proyecciones'!$A$24:$Q$127,LOOKUP($C$25,'Ingresos Proyecciones'!$C$22:$Q$22,'Ingresos Proyecciones'!$C$184:$Q$184),FALSE)</f>
        <v>0</v>
      </c>
      <c r="D89" s="7">
        <v>0</v>
      </c>
      <c r="E89" s="7">
        <v>0</v>
      </c>
      <c r="F89" s="491">
        <f t="shared" si="11"/>
        <v>0</v>
      </c>
      <c r="G89" s="7">
        <v>0</v>
      </c>
      <c r="H89" s="7">
        <v>0</v>
      </c>
      <c r="I89" s="492" t="e">
        <f t="shared" si="7"/>
        <v>#DIV/0!</v>
      </c>
      <c r="J89" s="7">
        <v>0</v>
      </c>
      <c r="K89" s="492" t="e">
        <f t="shared" si="9"/>
        <v>#DIV/0!</v>
      </c>
      <c r="L89" s="492" t="e">
        <f t="shared" si="8"/>
        <v>#DIV/0!</v>
      </c>
      <c r="M89" s="7">
        <f>VLOOKUP(A89,'Ingresos Proyecciones'!$A$24:$Q$127,LOOKUP($O$190,'Ingresos Proyecciones'!$C$22:$Q$22,'Ingresos Proyecciones'!$C$184:$Q$184),FALSE)</f>
        <v>0</v>
      </c>
    </row>
    <row r="90" spans="1:15">
      <c r="A90" s="500" t="s">
        <v>5</v>
      </c>
      <c r="B90" s="506" t="s">
        <v>6</v>
      </c>
      <c r="C90" s="1312">
        <f>SUM(C91:C98)</f>
        <v>1496248</v>
      </c>
      <c r="D90" s="42">
        <f>SUM(D91:D98)</f>
        <v>0</v>
      </c>
      <c r="E90" s="42">
        <f>SUM(E91:E98)</f>
        <v>1496248</v>
      </c>
      <c r="F90" s="498">
        <f t="shared" si="11"/>
        <v>1496248</v>
      </c>
      <c r="G90" s="42">
        <f>SUM(G91:G98)</f>
        <v>1496248</v>
      </c>
      <c r="H90" s="42">
        <f>SUM(H91:H98)</f>
        <v>1496248</v>
      </c>
      <c r="I90" s="490">
        <f t="shared" si="7"/>
        <v>1</v>
      </c>
      <c r="J90" s="42">
        <f>SUM(J91:J98)</f>
        <v>0</v>
      </c>
      <c r="K90" s="490" t="e">
        <f t="shared" si="9"/>
        <v>#DIV/0!</v>
      </c>
      <c r="L90" s="490">
        <f t="shared" si="8"/>
        <v>1</v>
      </c>
      <c r="M90" s="42">
        <f>SUM(M91:M98)</f>
        <v>0</v>
      </c>
    </row>
    <row r="91" spans="1:15">
      <c r="A91" s="500" t="s">
        <v>7</v>
      </c>
      <c r="B91" s="507" t="s">
        <v>8</v>
      </c>
      <c r="C91" s="1311">
        <f>VLOOKUP(A91,'Ingresos Proyecciones'!$A$24:$Q$127,LOOKUP($C$25,'Ingresos Proyecciones'!$C$22:$Q$22,'Ingresos Proyecciones'!$C$184:$Q$184),FALSE)</f>
        <v>0</v>
      </c>
      <c r="D91" s="7">
        <v>0</v>
      </c>
      <c r="E91" s="7">
        <v>1496248</v>
      </c>
      <c r="F91" s="491">
        <f t="shared" ref="F91:F98" si="12">+E91-D91</f>
        <v>1496248</v>
      </c>
      <c r="G91" s="7">
        <v>1496248</v>
      </c>
      <c r="H91" s="7">
        <v>1496248</v>
      </c>
      <c r="I91" s="492">
        <f t="shared" si="7"/>
        <v>1</v>
      </c>
      <c r="J91" s="7">
        <v>0</v>
      </c>
      <c r="K91" s="492" t="e">
        <f t="shared" ref="K91:K122" si="13">+(H91/J91)-1</f>
        <v>#DIV/0!</v>
      </c>
      <c r="L91" s="492" t="e">
        <f t="shared" si="8"/>
        <v>#DIV/0!</v>
      </c>
      <c r="M91" s="7">
        <f>VLOOKUP(A91,'Ingresos Proyecciones'!$A$24:$Q$127,LOOKUP($O$190,'Ingresos Proyecciones'!$C$22:$Q$22,'Ingresos Proyecciones'!$C$184:$Q$184),FALSE)</f>
        <v>0</v>
      </c>
    </row>
    <row r="92" spans="1:15">
      <c r="A92" s="500" t="s">
        <v>9</v>
      </c>
      <c r="B92" s="507" t="s">
        <v>10</v>
      </c>
      <c r="C92" s="1311">
        <f>VLOOKUP(A92,'Ingresos Proyecciones'!$A$24:$Q$127,LOOKUP($C$25,'Ingresos Proyecciones'!$C$22:$Q$22,'Ingresos Proyecciones'!$C$184:$Q$184),FALSE)</f>
        <v>0</v>
      </c>
      <c r="D92" s="7">
        <v>0</v>
      </c>
      <c r="E92" s="7">
        <v>0</v>
      </c>
      <c r="F92" s="491">
        <f t="shared" si="12"/>
        <v>0</v>
      </c>
      <c r="G92" s="7">
        <v>0</v>
      </c>
      <c r="H92" s="7">
        <v>0</v>
      </c>
      <c r="I92" s="492" t="e">
        <f t="shared" ref="I92:I124" si="14">+H92/E92</f>
        <v>#DIV/0!</v>
      </c>
      <c r="J92" s="7">
        <v>0</v>
      </c>
      <c r="K92" s="492" t="e">
        <f t="shared" si="13"/>
        <v>#DIV/0!</v>
      </c>
      <c r="L92" s="492" t="e">
        <f t="shared" ref="L92:L124" si="15">+H92/C92</f>
        <v>#DIV/0!</v>
      </c>
      <c r="M92" s="7">
        <f>VLOOKUP(A92,'Ingresos Proyecciones'!$A$24:$Q$127,LOOKUP($O$190,'Ingresos Proyecciones'!$C$22:$Q$22,'Ingresos Proyecciones'!$C$184:$Q$184),FALSE)</f>
        <v>0</v>
      </c>
    </row>
    <row r="93" spans="1:15">
      <c r="A93" s="500" t="s">
        <v>11</v>
      </c>
      <c r="B93" s="507" t="s">
        <v>12</v>
      </c>
      <c r="C93" s="1311">
        <f>VLOOKUP(A93,'Ingresos Proyecciones'!$A$24:$Q$127,LOOKUP($C$25,'Ingresos Proyecciones'!$C$22:$Q$22,'Ingresos Proyecciones'!$C$184:$Q$184),FALSE)</f>
        <v>0</v>
      </c>
      <c r="D93" s="7">
        <v>0</v>
      </c>
      <c r="E93" s="7">
        <v>0</v>
      </c>
      <c r="F93" s="491">
        <f t="shared" si="12"/>
        <v>0</v>
      </c>
      <c r="G93" s="7">
        <v>0</v>
      </c>
      <c r="H93" s="7">
        <v>0</v>
      </c>
      <c r="I93" s="492" t="e">
        <f t="shared" si="14"/>
        <v>#DIV/0!</v>
      </c>
      <c r="J93" s="7">
        <v>0</v>
      </c>
      <c r="K93" s="492" t="e">
        <f t="shared" si="13"/>
        <v>#DIV/0!</v>
      </c>
      <c r="L93" s="492" t="e">
        <f t="shared" si="15"/>
        <v>#DIV/0!</v>
      </c>
      <c r="M93" s="7">
        <f>VLOOKUP(A93,'Ingresos Proyecciones'!$A$24:$Q$127,LOOKUP($O$190,'Ingresos Proyecciones'!$C$22:$Q$22,'Ingresos Proyecciones'!$C$184:$Q$184),FALSE)</f>
        <v>0</v>
      </c>
    </row>
    <row r="94" spans="1:15">
      <c r="A94" s="500" t="s">
        <v>13</v>
      </c>
      <c r="B94" s="507" t="s">
        <v>14</v>
      </c>
      <c r="C94" s="1311">
        <f>VLOOKUP(A94,'Ingresos Proyecciones'!$A$24:$Q$127,LOOKUP($C$25,'Ingresos Proyecciones'!$C$22:$Q$22,'Ingresos Proyecciones'!$C$184:$Q$184),FALSE)</f>
        <v>0</v>
      </c>
      <c r="D94" s="7">
        <v>0</v>
      </c>
      <c r="E94" s="7">
        <v>0</v>
      </c>
      <c r="F94" s="491">
        <f t="shared" si="12"/>
        <v>0</v>
      </c>
      <c r="G94" s="7">
        <v>0</v>
      </c>
      <c r="H94" s="7">
        <v>0</v>
      </c>
      <c r="I94" s="492" t="e">
        <f t="shared" si="14"/>
        <v>#DIV/0!</v>
      </c>
      <c r="J94" s="7">
        <v>0</v>
      </c>
      <c r="K94" s="492" t="e">
        <f t="shared" si="13"/>
        <v>#DIV/0!</v>
      </c>
      <c r="L94" s="492" t="e">
        <f t="shared" si="15"/>
        <v>#DIV/0!</v>
      </c>
      <c r="M94" s="7">
        <f>VLOOKUP(A94,'Ingresos Proyecciones'!$A$24:$Q$127,LOOKUP($O$190,'Ingresos Proyecciones'!$C$22:$Q$22,'Ingresos Proyecciones'!$C$184:$Q$184),FALSE)</f>
        <v>0</v>
      </c>
    </row>
    <row r="95" spans="1:15">
      <c r="A95" s="500" t="s">
        <v>15</v>
      </c>
      <c r="B95" s="507" t="s">
        <v>16</v>
      </c>
      <c r="C95" s="1311">
        <f>VLOOKUP(A95,'Ingresos Proyecciones'!$A$24:$Q$127,LOOKUP($C$25,'Ingresos Proyecciones'!$C$22:$Q$22,'Ingresos Proyecciones'!$C$184:$Q$184),FALSE)</f>
        <v>0</v>
      </c>
      <c r="D95" s="7">
        <v>0</v>
      </c>
      <c r="E95" s="7">
        <v>0</v>
      </c>
      <c r="F95" s="491">
        <f t="shared" si="12"/>
        <v>0</v>
      </c>
      <c r="G95" s="7">
        <v>0</v>
      </c>
      <c r="H95" s="7">
        <v>0</v>
      </c>
      <c r="I95" s="492" t="e">
        <f t="shared" si="14"/>
        <v>#DIV/0!</v>
      </c>
      <c r="J95" s="7">
        <v>0</v>
      </c>
      <c r="K95" s="492" t="e">
        <f t="shared" si="13"/>
        <v>#DIV/0!</v>
      </c>
      <c r="L95" s="492" t="e">
        <f t="shared" si="15"/>
        <v>#DIV/0!</v>
      </c>
      <c r="M95" s="7">
        <f>VLOOKUP(A95,'Ingresos Proyecciones'!$A$24:$Q$127,LOOKUP($O$190,'Ingresos Proyecciones'!$C$22:$Q$22,'Ingresos Proyecciones'!$C$184:$Q$184),FALSE)</f>
        <v>0</v>
      </c>
    </row>
    <row r="96" spans="1:15">
      <c r="A96" s="500" t="s">
        <v>17</v>
      </c>
      <c r="B96" s="507" t="s">
        <v>18</v>
      </c>
      <c r="C96" s="1311">
        <f>VLOOKUP(A96,'Ingresos Proyecciones'!$A$24:$Q$127,LOOKUP($C$25,'Ingresos Proyecciones'!$C$22:$Q$22,'Ingresos Proyecciones'!$C$184:$Q$184),FALSE)</f>
        <v>0</v>
      </c>
      <c r="D96" s="7">
        <v>0</v>
      </c>
      <c r="E96" s="7">
        <v>0</v>
      </c>
      <c r="F96" s="491">
        <f t="shared" si="12"/>
        <v>0</v>
      </c>
      <c r="G96" s="7">
        <v>0</v>
      </c>
      <c r="H96" s="7">
        <v>0</v>
      </c>
      <c r="I96" s="492" t="e">
        <f t="shared" si="14"/>
        <v>#DIV/0!</v>
      </c>
      <c r="J96" s="7">
        <v>0</v>
      </c>
      <c r="K96" s="492" t="e">
        <f t="shared" si="13"/>
        <v>#DIV/0!</v>
      </c>
      <c r="L96" s="492" t="e">
        <f t="shared" si="15"/>
        <v>#DIV/0!</v>
      </c>
      <c r="M96" s="7">
        <f>VLOOKUP(A96,'Ingresos Proyecciones'!$A$24:$Q$127,LOOKUP($O$190,'Ingresos Proyecciones'!$C$22:$Q$22,'Ingresos Proyecciones'!$C$184:$Q$184),FALSE)</f>
        <v>0</v>
      </c>
    </row>
    <row r="97" spans="1:13">
      <c r="A97" s="500" t="s">
        <v>19</v>
      </c>
      <c r="B97" s="507" t="s">
        <v>20</v>
      </c>
      <c r="C97" s="1311">
        <f>VLOOKUP(A97,'Ingresos Proyecciones'!$A$24:$Q$127,LOOKUP($C$25,'Ingresos Proyecciones'!$C$22:$Q$22,'Ingresos Proyecciones'!$C$184:$Q$184),FALSE)</f>
        <v>0</v>
      </c>
      <c r="D97" s="7">
        <v>0</v>
      </c>
      <c r="E97" s="7">
        <v>0</v>
      </c>
      <c r="F97" s="491">
        <f t="shared" si="12"/>
        <v>0</v>
      </c>
      <c r="G97" s="7">
        <v>0</v>
      </c>
      <c r="H97" s="7">
        <v>0</v>
      </c>
      <c r="I97" s="492" t="e">
        <f t="shared" si="14"/>
        <v>#DIV/0!</v>
      </c>
      <c r="J97" s="7">
        <v>0</v>
      </c>
      <c r="K97" s="492" t="e">
        <f t="shared" si="13"/>
        <v>#DIV/0!</v>
      </c>
      <c r="L97" s="492" t="e">
        <f t="shared" si="15"/>
        <v>#DIV/0!</v>
      </c>
      <c r="M97" s="7">
        <f>VLOOKUP(A97,'Ingresos Proyecciones'!$A$24:$Q$127,LOOKUP($O$190,'Ingresos Proyecciones'!$C$22:$Q$22,'Ingresos Proyecciones'!$C$184:$Q$184),FALSE)</f>
        <v>0</v>
      </c>
    </row>
    <row r="98" spans="1:13">
      <c r="A98" s="500" t="s">
        <v>21</v>
      </c>
      <c r="B98" s="507" t="s">
        <v>22</v>
      </c>
      <c r="C98" s="1311">
        <f>VLOOKUP(A98,'Ingresos Proyecciones'!$A$24:$Q$127,LOOKUP($C$25,'Ingresos Proyecciones'!$C$22:$Q$22,'Ingresos Proyecciones'!$C$184:$Q$184),FALSE)</f>
        <v>1496248</v>
      </c>
      <c r="D98" s="7">
        <v>0</v>
      </c>
      <c r="E98" s="7">
        <v>0</v>
      </c>
      <c r="F98" s="491">
        <f t="shared" si="12"/>
        <v>0</v>
      </c>
      <c r="G98" s="7">
        <v>0</v>
      </c>
      <c r="H98" s="7">
        <v>0</v>
      </c>
      <c r="I98" s="492" t="e">
        <f t="shared" si="14"/>
        <v>#DIV/0!</v>
      </c>
      <c r="J98" s="7">
        <v>0</v>
      </c>
      <c r="K98" s="492" t="e">
        <f t="shared" si="13"/>
        <v>#DIV/0!</v>
      </c>
      <c r="L98" s="492">
        <f t="shared" si="15"/>
        <v>0</v>
      </c>
      <c r="M98" s="7">
        <f>VLOOKUP(A98,'Ingresos Proyecciones'!$A$24:$Q$127,LOOKUP($O$190,'Ingresos Proyecciones'!$C$22:$Q$22,'Ingresos Proyecciones'!$C$184:$Q$184),FALSE)</f>
        <v>0</v>
      </c>
    </row>
    <row r="99" spans="1:13">
      <c r="A99" s="500" t="s">
        <v>23</v>
      </c>
      <c r="B99" s="506" t="s">
        <v>24</v>
      </c>
      <c r="C99" s="1312">
        <f>+C100+C110</f>
        <v>0</v>
      </c>
      <c r="D99" s="42">
        <f>+D100+D110</f>
        <v>0</v>
      </c>
      <c r="E99" s="42">
        <f>+E100+E110</f>
        <v>0</v>
      </c>
      <c r="F99" s="498">
        <f t="shared" ref="F99:F110" si="16">+E99-D99</f>
        <v>0</v>
      </c>
      <c r="G99" s="42">
        <f>+G100+G110</f>
        <v>0</v>
      </c>
      <c r="H99" s="42">
        <f>+H100+H110</f>
        <v>0</v>
      </c>
      <c r="I99" s="490" t="e">
        <f t="shared" si="14"/>
        <v>#DIV/0!</v>
      </c>
      <c r="J99" s="42">
        <f>+J100+J110</f>
        <v>0</v>
      </c>
      <c r="K99" s="490" t="e">
        <f t="shared" si="13"/>
        <v>#DIV/0!</v>
      </c>
      <c r="L99" s="490" t="e">
        <f t="shared" si="15"/>
        <v>#DIV/0!</v>
      </c>
      <c r="M99" s="42">
        <f>+M100+M110</f>
        <v>0</v>
      </c>
    </row>
    <row r="100" spans="1:13">
      <c r="A100" s="500" t="s">
        <v>25</v>
      </c>
      <c r="B100" s="506" t="s">
        <v>26</v>
      </c>
      <c r="C100" s="1312">
        <f>+C101+C109</f>
        <v>0</v>
      </c>
      <c r="D100" s="42">
        <f>+D101+D109</f>
        <v>0</v>
      </c>
      <c r="E100" s="42">
        <f>+E101+E109</f>
        <v>0</v>
      </c>
      <c r="F100" s="498">
        <f t="shared" si="16"/>
        <v>0</v>
      </c>
      <c r="G100" s="42">
        <f>+G101+G109</f>
        <v>0</v>
      </c>
      <c r="H100" s="42">
        <f>+H101+H109</f>
        <v>0</v>
      </c>
      <c r="I100" s="490" t="e">
        <f t="shared" si="14"/>
        <v>#DIV/0!</v>
      </c>
      <c r="J100" s="42">
        <f>+J101+J109</f>
        <v>0</v>
      </c>
      <c r="K100" s="490" t="e">
        <f t="shared" si="13"/>
        <v>#DIV/0!</v>
      </c>
      <c r="L100" s="490" t="e">
        <f t="shared" si="15"/>
        <v>#DIV/0!</v>
      </c>
      <c r="M100" s="42">
        <f>+M101+M109</f>
        <v>0</v>
      </c>
    </row>
    <row r="101" spans="1:13">
      <c r="A101" s="500" t="s">
        <v>27</v>
      </c>
      <c r="B101" s="506" t="s">
        <v>28</v>
      </c>
      <c r="C101" s="1312">
        <f>SUM(C102:C108)</f>
        <v>0</v>
      </c>
      <c r="D101" s="42">
        <f>SUM(D102:D108)</f>
        <v>0</v>
      </c>
      <c r="E101" s="42">
        <f>SUM(E102:E108)</f>
        <v>0</v>
      </c>
      <c r="F101" s="498">
        <f t="shared" si="16"/>
        <v>0</v>
      </c>
      <c r="G101" s="42">
        <f>SUM(G102:G108)</f>
        <v>0</v>
      </c>
      <c r="H101" s="42">
        <f>SUM(H102:H108)</f>
        <v>0</v>
      </c>
      <c r="I101" s="490" t="e">
        <f t="shared" si="14"/>
        <v>#DIV/0!</v>
      </c>
      <c r="J101" s="42">
        <f>SUM(J102:J108)</f>
        <v>0</v>
      </c>
      <c r="K101" s="490" t="e">
        <f t="shared" si="13"/>
        <v>#DIV/0!</v>
      </c>
      <c r="L101" s="490" t="e">
        <f t="shared" si="15"/>
        <v>#DIV/0!</v>
      </c>
      <c r="M101" s="42">
        <f>SUM(M102:M108)</f>
        <v>0</v>
      </c>
    </row>
    <row r="102" spans="1:13">
      <c r="A102" s="500" t="s">
        <v>29</v>
      </c>
      <c r="B102" s="507" t="s">
        <v>30</v>
      </c>
      <c r="C102" s="1311">
        <f>VLOOKUP(A102,'Ingresos Proyecciones'!$A$24:$Q$127,LOOKUP($C$25,'Ingresos Proyecciones'!$C$22:$Q$22,'Ingresos Proyecciones'!$C$184:$Q$184),FALSE)</f>
        <v>0</v>
      </c>
      <c r="D102" s="7">
        <v>0</v>
      </c>
      <c r="E102" s="7">
        <v>0</v>
      </c>
      <c r="F102" s="491">
        <f t="shared" si="16"/>
        <v>0</v>
      </c>
      <c r="G102" s="7">
        <v>0</v>
      </c>
      <c r="H102" s="7">
        <v>0</v>
      </c>
      <c r="I102" s="492" t="e">
        <f t="shared" si="14"/>
        <v>#DIV/0!</v>
      </c>
      <c r="J102" s="7">
        <v>0</v>
      </c>
      <c r="K102" s="492" t="e">
        <f t="shared" si="13"/>
        <v>#DIV/0!</v>
      </c>
      <c r="L102" s="492" t="e">
        <f t="shared" si="15"/>
        <v>#DIV/0!</v>
      </c>
      <c r="M102" s="7">
        <f>VLOOKUP(A102,'Ingresos Proyecciones'!$A$24:$Q$127,LOOKUP($O$190,'Ingresos Proyecciones'!$C$22:$Q$22,'Ingresos Proyecciones'!$C$184:$Q$184),FALSE)</f>
        <v>0</v>
      </c>
    </row>
    <row r="103" spans="1:13">
      <c r="A103" s="500" t="s">
        <v>31</v>
      </c>
      <c r="B103" s="507" t="s">
        <v>32</v>
      </c>
      <c r="C103" s="1311">
        <f>VLOOKUP(A103,'Ingresos Proyecciones'!$A$24:$Q$127,LOOKUP($C$25,'Ingresos Proyecciones'!$C$22:$Q$22,'Ingresos Proyecciones'!$C$184:$Q$184),FALSE)</f>
        <v>0</v>
      </c>
      <c r="D103" s="7">
        <v>0</v>
      </c>
      <c r="E103" s="7">
        <v>0</v>
      </c>
      <c r="F103" s="491">
        <f t="shared" si="16"/>
        <v>0</v>
      </c>
      <c r="G103" s="7">
        <v>0</v>
      </c>
      <c r="H103" s="7">
        <v>0</v>
      </c>
      <c r="I103" s="492" t="e">
        <f t="shared" si="14"/>
        <v>#DIV/0!</v>
      </c>
      <c r="J103" s="7">
        <v>0</v>
      </c>
      <c r="K103" s="492" t="e">
        <f t="shared" si="13"/>
        <v>#DIV/0!</v>
      </c>
      <c r="L103" s="492" t="e">
        <f t="shared" si="15"/>
        <v>#DIV/0!</v>
      </c>
      <c r="M103" s="7">
        <f>VLOOKUP(A103,'Ingresos Proyecciones'!$A$24:$Q$127,LOOKUP($O$190,'Ingresos Proyecciones'!$C$22:$Q$22,'Ingresos Proyecciones'!$C$184:$Q$184),FALSE)</f>
        <v>0</v>
      </c>
    </row>
    <row r="104" spans="1:13">
      <c r="A104" s="500" t="s">
        <v>33</v>
      </c>
      <c r="B104" s="507" t="s">
        <v>34</v>
      </c>
      <c r="C104" s="1311">
        <f>VLOOKUP(A104,'Ingresos Proyecciones'!$A$24:$Q$127,LOOKUP($C$25,'Ingresos Proyecciones'!$C$22:$Q$22,'Ingresos Proyecciones'!$C$184:$Q$184),FALSE)</f>
        <v>0</v>
      </c>
      <c r="D104" s="7">
        <v>0</v>
      </c>
      <c r="E104" s="7">
        <v>0</v>
      </c>
      <c r="F104" s="491">
        <f t="shared" si="16"/>
        <v>0</v>
      </c>
      <c r="G104" s="7">
        <v>0</v>
      </c>
      <c r="H104" s="7">
        <v>0</v>
      </c>
      <c r="I104" s="492" t="e">
        <f t="shared" si="14"/>
        <v>#DIV/0!</v>
      </c>
      <c r="J104" s="7">
        <v>0</v>
      </c>
      <c r="K104" s="492" t="e">
        <f t="shared" si="13"/>
        <v>#DIV/0!</v>
      </c>
      <c r="L104" s="492" t="e">
        <f t="shared" si="15"/>
        <v>#DIV/0!</v>
      </c>
      <c r="M104" s="7">
        <f>VLOOKUP(A104,'Ingresos Proyecciones'!$A$24:$Q$127,LOOKUP($O$190,'Ingresos Proyecciones'!$C$22:$Q$22,'Ingresos Proyecciones'!$C$184:$Q$184),FALSE)</f>
        <v>0</v>
      </c>
    </row>
    <row r="105" spans="1:13">
      <c r="A105" s="500" t="s">
        <v>35</v>
      </c>
      <c r="B105" s="507" t="s">
        <v>36</v>
      </c>
      <c r="C105" s="1311">
        <f>VLOOKUP(A105,'Ingresos Proyecciones'!$A$24:$Q$127,LOOKUP($C$25,'Ingresos Proyecciones'!$C$22:$Q$22,'Ingresos Proyecciones'!$C$184:$Q$184),FALSE)</f>
        <v>0</v>
      </c>
      <c r="D105" s="7">
        <v>0</v>
      </c>
      <c r="E105" s="7">
        <v>0</v>
      </c>
      <c r="F105" s="491">
        <f t="shared" si="16"/>
        <v>0</v>
      </c>
      <c r="G105" s="7">
        <v>0</v>
      </c>
      <c r="H105" s="7">
        <v>0</v>
      </c>
      <c r="I105" s="492" t="e">
        <f t="shared" si="14"/>
        <v>#DIV/0!</v>
      </c>
      <c r="J105" s="7">
        <v>0</v>
      </c>
      <c r="K105" s="492" t="e">
        <f t="shared" si="13"/>
        <v>#DIV/0!</v>
      </c>
      <c r="L105" s="492" t="e">
        <f t="shared" si="15"/>
        <v>#DIV/0!</v>
      </c>
      <c r="M105" s="7">
        <f>VLOOKUP(A105,'Ingresos Proyecciones'!$A$24:$Q$127,LOOKUP($O$190,'Ingresos Proyecciones'!$C$22:$Q$22,'Ingresos Proyecciones'!$C$184:$Q$184),FALSE)</f>
        <v>0</v>
      </c>
    </row>
    <row r="106" spans="1:13">
      <c r="A106" s="500" t="s">
        <v>37</v>
      </c>
      <c r="B106" s="507" t="s">
        <v>38</v>
      </c>
      <c r="C106" s="1311">
        <f>VLOOKUP(A106,'Ingresos Proyecciones'!$A$24:$Q$127,LOOKUP($C$25,'Ingresos Proyecciones'!$C$22:$Q$22,'Ingresos Proyecciones'!$C$184:$Q$184),FALSE)</f>
        <v>0</v>
      </c>
      <c r="D106" s="7">
        <v>0</v>
      </c>
      <c r="E106" s="7">
        <v>0</v>
      </c>
      <c r="F106" s="491">
        <f t="shared" si="16"/>
        <v>0</v>
      </c>
      <c r="G106" s="7">
        <v>0</v>
      </c>
      <c r="H106" s="7">
        <v>0</v>
      </c>
      <c r="I106" s="492" t="e">
        <f t="shared" si="14"/>
        <v>#DIV/0!</v>
      </c>
      <c r="J106" s="7">
        <v>0</v>
      </c>
      <c r="K106" s="492" t="e">
        <f t="shared" si="13"/>
        <v>#DIV/0!</v>
      </c>
      <c r="L106" s="492" t="e">
        <f t="shared" si="15"/>
        <v>#DIV/0!</v>
      </c>
      <c r="M106" s="7">
        <f>VLOOKUP(A106,'Ingresos Proyecciones'!$A$24:$Q$127,LOOKUP($O$190,'Ingresos Proyecciones'!$C$22:$Q$22,'Ingresos Proyecciones'!$C$184:$Q$184),FALSE)</f>
        <v>0</v>
      </c>
    </row>
    <row r="107" spans="1:13">
      <c r="A107" s="500" t="s">
        <v>39</v>
      </c>
      <c r="B107" s="507" t="s">
        <v>40</v>
      </c>
      <c r="C107" s="1311">
        <f>VLOOKUP(A107,'Ingresos Proyecciones'!$A$24:$Q$127,LOOKUP($C$25,'Ingresos Proyecciones'!$C$22:$Q$22,'Ingresos Proyecciones'!$C$184:$Q$184),FALSE)</f>
        <v>0</v>
      </c>
      <c r="D107" s="7">
        <v>0</v>
      </c>
      <c r="E107" s="7">
        <v>0</v>
      </c>
      <c r="F107" s="491">
        <f t="shared" si="16"/>
        <v>0</v>
      </c>
      <c r="G107" s="7">
        <v>0</v>
      </c>
      <c r="H107" s="7">
        <v>0</v>
      </c>
      <c r="I107" s="492" t="e">
        <f t="shared" si="14"/>
        <v>#DIV/0!</v>
      </c>
      <c r="J107" s="7">
        <v>0</v>
      </c>
      <c r="K107" s="492" t="e">
        <f t="shared" si="13"/>
        <v>#DIV/0!</v>
      </c>
      <c r="L107" s="492" t="e">
        <f t="shared" si="15"/>
        <v>#DIV/0!</v>
      </c>
      <c r="M107" s="7">
        <f>VLOOKUP(A107,'Ingresos Proyecciones'!$A$24:$Q$127,LOOKUP($O$190,'Ingresos Proyecciones'!$C$22:$Q$22,'Ingresos Proyecciones'!$C$184:$Q$184),FALSE)</f>
        <v>0</v>
      </c>
    </row>
    <row r="108" spans="1:13">
      <c r="A108" s="500" t="s">
        <v>41</v>
      </c>
      <c r="B108" s="507" t="s">
        <v>42</v>
      </c>
      <c r="C108" s="1311">
        <f>VLOOKUP(A108,'Ingresos Proyecciones'!$A$24:$Q$127,LOOKUP($C$25,'Ingresos Proyecciones'!$C$22:$Q$22,'Ingresos Proyecciones'!$C$184:$Q$184),FALSE)</f>
        <v>0</v>
      </c>
      <c r="D108" s="7">
        <v>0</v>
      </c>
      <c r="E108" s="7">
        <v>0</v>
      </c>
      <c r="F108" s="491">
        <f t="shared" si="16"/>
        <v>0</v>
      </c>
      <c r="G108" s="7">
        <v>0</v>
      </c>
      <c r="H108" s="7">
        <v>0</v>
      </c>
      <c r="I108" s="492" t="e">
        <f t="shared" si="14"/>
        <v>#DIV/0!</v>
      </c>
      <c r="J108" s="7">
        <v>0</v>
      </c>
      <c r="K108" s="492" t="e">
        <f t="shared" si="13"/>
        <v>#DIV/0!</v>
      </c>
      <c r="L108" s="492" t="e">
        <f t="shared" si="15"/>
        <v>#DIV/0!</v>
      </c>
      <c r="M108" s="7">
        <f>VLOOKUP(A108,'Ingresos Proyecciones'!$A$24:$Q$127,LOOKUP($O$190,'Ingresos Proyecciones'!$C$22:$Q$22,'Ingresos Proyecciones'!$C$184:$Q$184),FALSE)</f>
        <v>0</v>
      </c>
    </row>
    <row r="109" spans="1:13">
      <c r="A109" s="500" t="s">
        <v>43</v>
      </c>
      <c r="B109" s="506" t="s">
        <v>44</v>
      </c>
      <c r="C109" s="1311">
        <f>VLOOKUP(A109,'Ingresos Proyecciones'!$A$24:$Q$127,LOOKUP($C$25,'Ingresos Proyecciones'!$C$22:$Q$22,'Ingresos Proyecciones'!$C$184:$Q$184),FALSE)</f>
        <v>0</v>
      </c>
      <c r="D109" s="7">
        <v>0</v>
      </c>
      <c r="E109" s="7">
        <v>0</v>
      </c>
      <c r="F109" s="491">
        <f t="shared" si="16"/>
        <v>0</v>
      </c>
      <c r="G109" s="7">
        <v>0</v>
      </c>
      <c r="H109" s="7">
        <v>0</v>
      </c>
      <c r="I109" s="492" t="e">
        <f t="shared" si="14"/>
        <v>#DIV/0!</v>
      </c>
      <c r="J109" s="7">
        <v>0</v>
      </c>
      <c r="K109" s="492" t="e">
        <f t="shared" si="13"/>
        <v>#DIV/0!</v>
      </c>
      <c r="L109" s="492" t="e">
        <f t="shared" si="15"/>
        <v>#DIV/0!</v>
      </c>
      <c r="M109" s="7">
        <f>VLOOKUP(A109,'Ingresos Proyecciones'!$A$24:$Q$127,LOOKUP($O$190,'Ingresos Proyecciones'!$C$22:$Q$22,'Ingresos Proyecciones'!$C$184:$Q$184),FALSE)</f>
        <v>0</v>
      </c>
    </row>
    <row r="110" spans="1:13">
      <c r="A110" s="500" t="s">
        <v>45</v>
      </c>
      <c r="B110" s="506" t="s">
        <v>46</v>
      </c>
      <c r="C110" s="1311">
        <f>VLOOKUP(A110,'Ingresos Proyecciones'!$A$24:$Q$127,LOOKUP($C$25,'Ingresos Proyecciones'!$C$22:$Q$22,'Ingresos Proyecciones'!$C$184:$Q$184),FALSE)</f>
        <v>0</v>
      </c>
      <c r="D110" s="7">
        <v>0</v>
      </c>
      <c r="E110" s="7">
        <v>0</v>
      </c>
      <c r="F110" s="491">
        <f t="shared" si="16"/>
        <v>0</v>
      </c>
      <c r="G110" s="7">
        <v>0</v>
      </c>
      <c r="H110" s="7">
        <v>0</v>
      </c>
      <c r="I110" s="492" t="e">
        <f t="shared" si="14"/>
        <v>#DIV/0!</v>
      </c>
      <c r="J110" s="7">
        <v>0</v>
      </c>
      <c r="K110" s="492" t="e">
        <f t="shared" si="13"/>
        <v>#DIV/0!</v>
      </c>
      <c r="L110" s="492" t="e">
        <f t="shared" si="15"/>
        <v>#DIV/0!</v>
      </c>
      <c r="M110" s="7">
        <v>0</v>
      </c>
    </row>
    <row r="111" spans="1:13">
      <c r="A111" s="500" t="s">
        <v>47</v>
      </c>
      <c r="B111" s="506" t="s">
        <v>48</v>
      </c>
      <c r="C111" s="1312">
        <f>+C112+C113+C118+C119+C120+C121+C122</f>
        <v>231003</v>
      </c>
      <c r="D111" s="42">
        <f>+D112+D113+D118+D119+D120+D121+D122</f>
        <v>0</v>
      </c>
      <c r="E111" s="42">
        <f>+E112+E113+E118+E119+E120+E121+E122</f>
        <v>231003</v>
      </c>
      <c r="F111" s="498">
        <f>+E111-D111</f>
        <v>231003</v>
      </c>
      <c r="G111" s="42">
        <f>+G112+G113+G118+G119+G120+G121+G122</f>
        <v>231003</v>
      </c>
      <c r="H111" s="42">
        <f>+H112+H113+H118+H119+H120+H121+H122</f>
        <v>231003</v>
      </c>
      <c r="I111" s="490">
        <f t="shared" si="14"/>
        <v>1</v>
      </c>
      <c r="J111" s="42">
        <f>+J112+J113+J118+J119+J120+J121+J122</f>
        <v>222118</v>
      </c>
      <c r="K111" s="490">
        <f t="shared" si="13"/>
        <v>4.0001260591217225E-2</v>
      </c>
      <c r="L111" s="490">
        <f t="shared" si="15"/>
        <v>1</v>
      </c>
      <c r="M111" s="42">
        <f>+M112+M113+M118+M119+M120+M121+M122</f>
        <v>222118</v>
      </c>
    </row>
    <row r="112" spans="1:13">
      <c r="A112" s="500" t="s">
        <v>49</v>
      </c>
      <c r="B112" s="506" t="s">
        <v>50</v>
      </c>
      <c r="C112" s="1311">
        <f>VLOOKUP(A112,'Ingresos Proyecciones'!$A$24:$Q$127,LOOKUP($C$25,'Ingresos Proyecciones'!$C$22:$Q$22,'Ingresos Proyecciones'!$C$184:$Q$184),FALSE)</f>
        <v>0</v>
      </c>
      <c r="D112" s="7">
        <v>0</v>
      </c>
      <c r="E112" s="7">
        <v>0</v>
      </c>
      <c r="F112" s="491">
        <f>+E112-D112</f>
        <v>0</v>
      </c>
      <c r="G112" s="7">
        <v>0</v>
      </c>
      <c r="H112" s="7">
        <v>0</v>
      </c>
      <c r="I112" s="492" t="e">
        <f t="shared" si="14"/>
        <v>#DIV/0!</v>
      </c>
      <c r="J112" s="7">
        <v>0</v>
      </c>
      <c r="K112" s="492" t="e">
        <f t="shared" si="13"/>
        <v>#DIV/0!</v>
      </c>
      <c r="L112" s="492" t="e">
        <f t="shared" si="15"/>
        <v>#DIV/0!</v>
      </c>
      <c r="M112" s="7">
        <v>0</v>
      </c>
    </row>
    <row r="113" spans="1:13">
      <c r="A113" s="500" t="s">
        <v>51</v>
      </c>
      <c r="B113" s="506" t="s">
        <v>52</v>
      </c>
      <c r="C113" s="1312">
        <f>SUM(C114:C117)</f>
        <v>231003</v>
      </c>
      <c r="D113" s="42">
        <f>SUM(D114:D117)</f>
        <v>0</v>
      </c>
      <c r="E113" s="42">
        <f>SUM(E114:E117)</f>
        <v>231003</v>
      </c>
      <c r="F113" s="498">
        <f>+E113-D113</f>
        <v>231003</v>
      </c>
      <c r="G113" s="42">
        <f>SUM(G114:G117)</f>
        <v>231003</v>
      </c>
      <c r="H113" s="42">
        <f>SUM(H114:H117)</f>
        <v>231003</v>
      </c>
      <c r="I113" s="490">
        <f t="shared" si="14"/>
        <v>1</v>
      </c>
      <c r="J113" s="42">
        <f>SUM(J114:J117)</f>
        <v>222118</v>
      </c>
      <c r="K113" s="490">
        <f t="shared" si="13"/>
        <v>4.0001260591217225E-2</v>
      </c>
      <c r="L113" s="490">
        <f t="shared" si="15"/>
        <v>1</v>
      </c>
      <c r="M113" s="42">
        <f>SUM(M114:M117)</f>
        <v>222118</v>
      </c>
    </row>
    <row r="114" spans="1:13">
      <c r="A114" s="500" t="s">
        <v>53</v>
      </c>
      <c r="B114" s="507" t="s">
        <v>54</v>
      </c>
      <c r="C114" s="1311">
        <f>VLOOKUP(A114,'Ingresos Proyecciones'!$A$24:$Q$127,LOOKUP($C$25,'Ingresos Proyecciones'!$C$22:$Q$22,'Ingresos Proyecciones'!$C$184:$Q$184),FALSE)</f>
        <v>231003</v>
      </c>
      <c r="D114" s="7">
        <v>0</v>
      </c>
      <c r="E114" s="7">
        <v>231003</v>
      </c>
      <c r="F114" s="491">
        <f t="shared" ref="F114:F124" si="17">+E114-D114</f>
        <v>231003</v>
      </c>
      <c r="G114" s="7">
        <v>231003</v>
      </c>
      <c r="H114" s="7">
        <v>231003</v>
      </c>
      <c r="I114" s="492">
        <f t="shared" si="14"/>
        <v>1</v>
      </c>
      <c r="J114" s="7">
        <v>222118</v>
      </c>
      <c r="K114" s="492">
        <f t="shared" si="13"/>
        <v>4.0001260591217225E-2</v>
      </c>
      <c r="L114" s="492">
        <f t="shared" si="15"/>
        <v>1</v>
      </c>
      <c r="M114" s="7">
        <f>VLOOKUP(A114,'Ingresos Proyecciones'!$A$24:$Q$127,LOOKUP($O$190,'Ingresos Proyecciones'!$C$22:$Q$22,'Ingresos Proyecciones'!$C$184:$Q$184),FALSE)</f>
        <v>222118</v>
      </c>
    </row>
    <row r="115" spans="1:13">
      <c r="A115" s="500" t="s">
        <v>55</v>
      </c>
      <c r="B115" s="507" t="s">
        <v>56</v>
      </c>
      <c r="C115" s="1311">
        <f>VLOOKUP(A115,'Ingresos Proyecciones'!$A$24:$Q$127,LOOKUP($C$25,'Ingresos Proyecciones'!$C$22:$Q$22,'Ingresos Proyecciones'!$C$184:$Q$184),FALSE)</f>
        <v>0</v>
      </c>
      <c r="D115" s="7">
        <v>0</v>
      </c>
      <c r="E115" s="7">
        <v>0</v>
      </c>
      <c r="F115" s="491">
        <f t="shared" si="17"/>
        <v>0</v>
      </c>
      <c r="G115" s="7">
        <v>0</v>
      </c>
      <c r="H115" s="7">
        <v>0</v>
      </c>
      <c r="I115" s="492" t="e">
        <f t="shared" si="14"/>
        <v>#DIV/0!</v>
      </c>
      <c r="J115" s="7">
        <v>0</v>
      </c>
      <c r="K115" s="492" t="e">
        <f t="shared" si="13"/>
        <v>#DIV/0!</v>
      </c>
      <c r="L115" s="492" t="e">
        <f t="shared" si="15"/>
        <v>#DIV/0!</v>
      </c>
      <c r="M115" s="7">
        <f>VLOOKUP(A115,'Ingresos Proyecciones'!$A$24:$Q$127,LOOKUP($O$190,'Ingresos Proyecciones'!$C$22:$Q$22,'Ingresos Proyecciones'!$C$184:$Q$184),FALSE)</f>
        <v>0</v>
      </c>
    </row>
    <row r="116" spans="1:13">
      <c r="A116" s="500" t="s">
        <v>57</v>
      </c>
      <c r="B116" s="507" t="s">
        <v>58</v>
      </c>
      <c r="C116" s="1311">
        <f>VLOOKUP(A116,'Ingresos Proyecciones'!$A$24:$Q$127,LOOKUP($C$25,'Ingresos Proyecciones'!$C$22:$Q$22,'Ingresos Proyecciones'!$C$184:$Q$184),FALSE)</f>
        <v>0</v>
      </c>
      <c r="D116" s="7">
        <v>0</v>
      </c>
      <c r="E116" s="7">
        <v>0</v>
      </c>
      <c r="F116" s="491">
        <f t="shared" si="17"/>
        <v>0</v>
      </c>
      <c r="G116" s="7">
        <v>0</v>
      </c>
      <c r="H116" s="7">
        <v>0</v>
      </c>
      <c r="I116" s="492" t="e">
        <f t="shared" si="14"/>
        <v>#DIV/0!</v>
      </c>
      <c r="J116" s="7">
        <v>0</v>
      </c>
      <c r="K116" s="492" t="e">
        <f t="shared" si="13"/>
        <v>#DIV/0!</v>
      </c>
      <c r="L116" s="492" t="e">
        <f t="shared" si="15"/>
        <v>#DIV/0!</v>
      </c>
      <c r="M116" s="7">
        <f>VLOOKUP(A116,'Ingresos Proyecciones'!$A$24:$Q$127,LOOKUP($O$190,'Ingresos Proyecciones'!$C$22:$Q$22,'Ingresos Proyecciones'!$C$184:$Q$184),FALSE)</f>
        <v>0</v>
      </c>
    </row>
    <row r="117" spans="1:13">
      <c r="A117" s="500" t="s">
        <v>59</v>
      </c>
      <c r="B117" s="507" t="s">
        <v>60</v>
      </c>
      <c r="C117" s="1311">
        <f>VLOOKUP(A117,'Ingresos Proyecciones'!$A$24:$Q$127,LOOKUP($C$25,'Ingresos Proyecciones'!$C$22:$Q$22,'Ingresos Proyecciones'!$C$184:$Q$184),FALSE)</f>
        <v>0</v>
      </c>
      <c r="D117" s="7">
        <v>0</v>
      </c>
      <c r="E117" s="7">
        <v>0</v>
      </c>
      <c r="F117" s="491">
        <f t="shared" si="17"/>
        <v>0</v>
      </c>
      <c r="G117" s="7">
        <v>0</v>
      </c>
      <c r="H117" s="7">
        <v>0</v>
      </c>
      <c r="I117" s="492" t="e">
        <f t="shared" si="14"/>
        <v>#DIV/0!</v>
      </c>
      <c r="J117" s="7">
        <v>0</v>
      </c>
      <c r="K117" s="492" t="e">
        <f t="shared" si="13"/>
        <v>#DIV/0!</v>
      </c>
      <c r="L117" s="492" t="e">
        <f t="shared" si="15"/>
        <v>#DIV/0!</v>
      </c>
      <c r="M117" s="7">
        <f>VLOOKUP(A117,'Ingresos Proyecciones'!$A$24:$Q$127,LOOKUP($O$190,'Ingresos Proyecciones'!$C$22:$Q$22,'Ingresos Proyecciones'!$C$184:$Q$184),FALSE)</f>
        <v>0</v>
      </c>
    </row>
    <row r="118" spans="1:13">
      <c r="A118" s="500" t="s">
        <v>61</v>
      </c>
      <c r="B118" s="506" t="s">
        <v>62</v>
      </c>
      <c r="C118" s="1313">
        <f>VLOOKUP(A118,'Ingresos Proyecciones'!$A$24:$Q$127,LOOKUP($C$25,'Ingresos Proyecciones'!$C$22:$Q$22,'Ingresos Proyecciones'!$C$184:$Q$184),FALSE)</f>
        <v>0</v>
      </c>
      <c r="D118" s="7">
        <v>0</v>
      </c>
      <c r="E118" s="7">
        <v>0</v>
      </c>
      <c r="F118" s="58">
        <f t="shared" si="17"/>
        <v>0</v>
      </c>
      <c r="G118" s="7">
        <v>0</v>
      </c>
      <c r="H118" s="7">
        <v>0</v>
      </c>
      <c r="I118" s="493" t="e">
        <f t="shared" si="14"/>
        <v>#DIV/0!</v>
      </c>
      <c r="J118" s="7">
        <v>0</v>
      </c>
      <c r="K118" s="492" t="e">
        <f t="shared" si="13"/>
        <v>#DIV/0!</v>
      </c>
      <c r="L118" s="492" t="e">
        <f t="shared" si="15"/>
        <v>#DIV/0!</v>
      </c>
      <c r="M118" s="7">
        <f>VLOOKUP(A118,'Ingresos Proyecciones'!$A$24:$Q$127,LOOKUP($O$190,'Ingresos Proyecciones'!$C$22:$Q$22,'Ingresos Proyecciones'!$C$184:$Q$184),FALSE)</f>
        <v>0</v>
      </c>
    </row>
    <row r="119" spans="1:13">
      <c r="A119" s="500" t="s">
        <v>63</v>
      </c>
      <c r="B119" s="506" t="s">
        <v>64</v>
      </c>
      <c r="C119" s="1311">
        <f>VLOOKUP(A119,'Ingresos Proyecciones'!$A$24:$Q$127,LOOKUP($C$25,'Ingresos Proyecciones'!$C$22:$Q$22,'Ingresos Proyecciones'!$C$184:$Q$184),FALSE)</f>
        <v>0</v>
      </c>
      <c r="D119" s="7">
        <v>0</v>
      </c>
      <c r="E119" s="7">
        <v>0</v>
      </c>
      <c r="F119" s="491">
        <f t="shared" si="17"/>
        <v>0</v>
      </c>
      <c r="G119" s="7">
        <v>0</v>
      </c>
      <c r="H119" s="7">
        <v>0</v>
      </c>
      <c r="I119" s="492" t="e">
        <f t="shared" si="14"/>
        <v>#DIV/0!</v>
      </c>
      <c r="J119" s="7">
        <v>0</v>
      </c>
      <c r="K119" s="492" t="e">
        <f t="shared" si="13"/>
        <v>#DIV/0!</v>
      </c>
      <c r="L119" s="492" t="e">
        <f t="shared" si="15"/>
        <v>#DIV/0!</v>
      </c>
      <c r="M119" s="7">
        <f>VLOOKUP(A119,'Ingresos Proyecciones'!$A$24:$Q$127,LOOKUP($O$190,'Ingresos Proyecciones'!$C$22:$Q$22,'Ingresos Proyecciones'!$C$184:$Q$184),FALSE)</f>
        <v>0</v>
      </c>
    </row>
    <row r="120" spans="1:13">
      <c r="A120" s="500" t="s">
        <v>65</v>
      </c>
      <c r="B120" s="506" t="s">
        <v>66</v>
      </c>
      <c r="C120" s="1311">
        <f>VLOOKUP(A120,'Ingresos Proyecciones'!$A$24:$Q$127,LOOKUP($C$25,'Ingresos Proyecciones'!$C$22:$Q$22,'Ingresos Proyecciones'!$C$184:$Q$184),FALSE)</f>
        <v>0</v>
      </c>
      <c r="D120" s="7">
        <v>0</v>
      </c>
      <c r="E120" s="7">
        <v>0</v>
      </c>
      <c r="F120" s="491">
        <f t="shared" si="17"/>
        <v>0</v>
      </c>
      <c r="G120" s="7">
        <v>0</v>
      </c>
      <c r="H120" s="7">
        <v>0</v>
      </c>
      <c r="I120" s="492" t="e">
        <f t="shared" si="14"/>
        <v>#DIV/0!</v>
      </c>
      <c r="J120" s="7">
        <v>0</v>
      </c>
      <c r="K120" s="492" t="e">
        <f t="shared" si="13"/>
        <v>#DIV/0!</v>
      </c>
      <c r="L120" s="492" t="e">
        <f t="shared" si="15"/>
        <v>#DIV/0!</v>
      </c>
      <c r="M120" s="7">
        <f>VLOOKUP(A120,'Ingresos Proyecciones'!$A$24:$Q$127,LOOKUP($O$190,'Ingresos Proyecciones'!$C$22:$Q$22,'Ingresos Proyecciones'!$C$184:$Q$184),FALSE)</f>
        <v>0</v>
      </c>
    </row>
    <row r="121" spans="1:13">
      <c r="A121" s="500" t="s">
        <v>67</v>
      </c>
      <c r="B121" s="506" t="s">
        <v>68</v>
      </c>
      <c r="C121" s="1311">
        <f>VLOOKUP(A121,'Ingresos Proyecciones'!$A$24:$Q$127,LOOKUP($C$25,'Ingresos Proyecciones'!$C$22:$Q$22,'Ingresos Proyecciones'!$C$184:$Q$184),FALSE)</f>
        <v>0</v>
      </c>
      <c r="D121" s="7">
        <v>0</v>
      </c>
      <c r="E121" s="7">
        <v>0</v>
      </c>
      <c r="F121" s="491">
        <f t="shared" si="17"/>
        <v>0</v>
      </c>
      <c r="G121" s="7">
        <v>0</v>
      </c>
      <c r="H121" s="7">
        <v>0</v>
      </c>
      <c r="I121" s="492" t="e">
        <f t="shared" si="14"/>
        <v>#DIV/0!</v>
      </c>
      <c r="J121" s="7">
        <v>0</v>
      </c>
      <c r="K121" s="492" t="e">
        <f t="shared" si="13"/>
        <v>#DIV/0!</v>
      </c>
      <c r="L121" s="492" t="e">
        <f t="shared" si="15"/>
        <v>#DIV/0!</v>
      </c>
      <c r="M121" s="7">
        <f>VLOOKUP(A121,'Ingresos Proyecciones'!$A$24:$Q$127,LOOKUP($O$190,'Ingresos Proyecciones'!$C$22:$Q$22,'Ingresos Proyecciones'!$C$184:$Q$184),FALSE)</f>
        <v>0</v>
      </c>
    </row>
    <row r="122" spans="1:13">
      <c r="A122" s="500" t="s">
        <v>69</v>
      </c>
      <c r="B122" s="506" t="s">
        <v>70</v>
      </c>
      <c r="C122" s="1311">
        <f>VLOOKUP(A122,'Ingresos Proyecciones'!$A$24:$Q$127,LOOKUP($C$25,'Ingresos Proyecciones'!$C$22:$Q$22,'Ingresos Proyecciones'!$C$184:$Q$184),FALSE)</f>
        <v>0</v>
      </c>
      <c r="D122" s="7">
        <v>0</v>
      </c>
      <c r="E122" s="7">
        <v>0</v>
      </c>
      <c r="F122" s="491">
        <f t="shared" si="17"/>
        <v>0</v>
      </c>
      <c r="G122" s="7">
        <v>0</v>
      </c>
      <c r="H122" s="7">
        <v>0</v>
      </c>
      <c r="I122" s="492" t="e">
        <f t="shared" si="14"/>
        <v>#DIV/0!</v>
      </c>
      <c r="J122" s="7">
        <v>0</v>
      </c>
      <c r="K122" s="492" t="e">
        <f t="shared" si="13"/>
        <v>#DIV/0!</v>
      </c>
      <c r="L122" s="492" t="e">
        <f t="shared" si="15"/>
        <v>#DIV/0!</v>
      </c>
      <c r="M122" s="7">
        <f>VLOOKUP(A122,'Ingresos Proyecciones'!$A$24:$Q$127,LOOKUP($O$190,'Ingresos Proyecciones'!$C$22:$Q$22,'Ingresos Proyecciones'!$C$184:$Q$184),FALSE)</f>
        <v>0</v>
      </c>
    </row>
    <row r="123" spans="1:13">
      <c r="A123" s="500" t="s">
        <v>71</v>
      </c>
      <c r="B123" s="506" t="s">
        <v>72</v>
      </c>
      <c r="C123" s="1311">
        <f>VLOOKUP(A123,'Ingresos Proyecciones'!$A$24:$Q$127,LOOKUP($C$25,'Ingresos Proyecciones'!$C$22:$Q$22,'Ingresos Proyecciones'!$C$184:$Q$184),FALSE)</f>
        <v>0</v>
      </c>
      <c r="D123" s="7">
        <v>0</v>
      </c>
      <c r="E123" s="7">
        <v>0</v>
      </c>
      <c r="F123" s="491">
        <f t="shared" si="17"/>
        <v>0</v>
      </c>
      <c r="G123" s="7">
        <v>0</v>
      </c>
      <c r="H123" s="7">
        <v>0</v>
      </c>
      <c r="I123" s="492" t="e">
        <f t="shared" si="14"/>
        <v>#DIV/0!</v>
      </c>
      <c r="J123" s="7">
        <v>0</v>
      </c>
      <c r="K123" s="492" t="e">
        <f t="shared" ref="K123:K130" si="18">+(H123/J123)-1</f>
        <v>#DIV/0!</v>
      </c>
      <c r="L123" s="492" t="e">
        <f t="shared" si="15"/>
        <v>#DIV/0!</v>
      </c>
      <c r="M123" s="7">
        <f>VLOOKUP(A123,'Ingresos Proyecciones'!$A$24:$Q$127,LOOKUP($O$190,'Ingresos Proyecciones'!$C$22:$Q$22,'Ingresos Proyecciones'!$C$184:$Q$184),FALSE)</f>
        <v>0</v>
      </c>
    </row>
    <row r="124" spans="1:13">
      <c r="A124" s="500" t="s">
        <v>73</v>
      </c>
      <c r="B124" s="506" t="s">
        <v>74</v>
      </c>
      <c r="C124" s="1311">
        <f>VLOOKUP(A124,'Ingresos Proyecciones'!$A$24:$Q$127,LOOKUP($C$25,'Ingresos Proyecciones'!$C$22:$Q$22,'Ingresos Proyecciones'!$C$184:$Q$184),FALSE)</f>
        <v>0</v>
      </c>
      <c r="D124" s="7">
        <v>0</v>
      </c>
      <c r="E124" s="7">
        <v>0</v>
      </c>
      <c r="F124" s="491">
        <f t="shared" si="17"/>
        <v>0</v>
      </c>
      <c r="G124" s="7">
        <v>0</v>
      </c>
      <c r="H124" s="7">
        <v>0</v>
      </c>
      <c r="I124" s="492" t="e">
        <f t="shared" si="14"/>
        <v>#DIV/0!</v>
      </c>
      <c r="J124" s="7">
        <v>0</v>
      </c>
      <c r="K124" s="492" t="e">
        <f t="shared" si="18"/>
        <v>#DIV/0!</v>
      </c>
      <c r="L124" s="492" t="e">
        <f t="shared" si="15"/>
        <v>#DIV/0!</v>
      </c>
      <c r="M124" s="7">
        <f>VLOOKUP(A124,'Ingresos Proyecciones'!$A$24:$Q$127,LOOKUP($O$190,'Ingresos Proyecciones'!$C$22:$Q$22,'Ingresos Proyecciones'!$C$184:$Q$184),FALSE)</f>
        <v>0</v>
      </c>
    </row>
    <row r="125" spans="1:13">
      <c r="A125" s="500" t="s">
        <v>75</v>
      </c>
      <c r="B125" s="506" t="s">
        <v>76</v>
      </c>
      <c r="C125" s="1312">
        <f>SUM(C126:C127)</f>
        <v>12.979200000000001</v>
      </c>
      <c r="D125" s="42">
        <f>SUM(D126:D127)</f>
        <v>0</v>
      </c>
      <c r="E125" s="42">
        <f>SUM(E126:E127)</f>
        <v>13</v>
      </c>
      <c r="F125" s="498">
        <f t="shared" ref="F125:F130" si="19">+E125-D125</f>
        <v>13</v>
      </c>
      <c r="G125" s="42">
        <f>SUM(G126:G127)</f>
        <v>13</v>
      </c>
      <c r="H125" s="42">
        <f>SUM(H126:H127)</f>
        <v>13</v>
      </c>
      <c r="I125" s="490">
        <f t="shared" ref="I125:I130" si="20">+H125/E125</f>
        <v>1</v>
      </c>
      <c r="J125" s="42">
        <f>SUM(J126:J127)</f>
        <v>12</v>
      </c>
      <c r="K125" s="490">
        <f t="shared" si="18"/>
        <v>8.3333333333333259E-2</v>
      </c>
      <c r="L125" s="490">
        <f t="shared" ref="L125:L130" si="21">+H125/C125</f>
        <v>1.0016025641025641</v>
      </c>
      <c r="M125" s="42">
        <f>SUM(M126:M127)</f>
        <v>12.48</v>
      </c>
    </row>
    <row r="126" spans="1:13">
      <c r="A126" s="500" t="s">
        <v>77</v>
      </c>
      <c r="B126" s="507" t="s">
        <v>78</v>
      </c>
      <c r="C126" s="1311">
        <f>VLOOKUP(A126,'Ingresos Proyecciones'!$A$24:$Q$127,LOOKUP($C$25,'Ingresos Proyecciones'!$C$22:$Q$22,'Ingresos Proyecciones'!$C$184:$Q$184),FALSE)</f>
        <v>12.979200000000001</v>
      </c>
      <c r="D126" s="7">
        <v>0</v>
      </c>
      <c r="E126" s="7">
        <v>13</v>
      </c>
      <c r="F126" s="491">
        <f t="shared" si="19"/>
        <v>13</v>
      </c>
      <c r="G126" s="7">
        <v>13</v>
      </c>
      <c r="H126" s="7">
        <v>13</v>
      </c>
      <c r="I126" s="492">
        <f t="shared" si="20"/>
        <v>1</v>
      </c>
      <c r="J126" s="7">
        <v>12</v>
      </c>
      <c r="K126" s="492">
        <f t="shared" si="18"/>
        <v>8.3333333333333259E-2</v>
      </c>
      <c r="L126" s="492">
        <f t="shared" si="21"/>
        <v>1.0016025641025641</v>
      </c>
      <c r="M126" s="7">
        <f>VLOOKUP(A126,'Ingresos Proyecciones'!$A$24:$Q$127,LOOKUP($O$190,'Ingresos Proyecciones'!$C$22:$Q$22,'Ingresos Proyecciones'!$C$184:$Q$184),FALSE)</f>
        <v>12.48</v>
      </c>
    </row>
    <row r="127" spans="1:13">
      <c r="A127" s="500" t="s">
        <v>79</v>
      </c>
      <c r="B127" s="507" t="s">
        <v>80</v>
      </c>
      <c r="C127" s="1311">
        <f>VLOOKUP(A127,'Ingresos Proyecciones'!$A$24:$Q$127,LOOKUP($C$25,'Ingresos Proyecciones'!$C$22:$Q$22,'Ingresos Proyecciones'!$C$184:$Q$184),FALSE)</f>
        <v>0</v>
      </c>
      <c r="D127" s="7">
        <v>0</v>
      </c>
      <c r="E127" s="7">
        <v>0</v>
      </c>
      <c r="F127" s="491">
        <f t="shared" si="19"/>
        <v>0</v>
      </c>
      <c r="G127" s="7">
        <v>0</v>
      </c>
      <c r="H127" s="7">
        <v>0</v>
      </c>
      <c r="I127" s="492" t="e">
        <f t="shared" si="20"/>
        <v>#DIV/0!</v>
      </c>
      <c r="J127" s="7">
        <v>0</v>
      </c>
      <c r="K127" s="492" t="e">
        <f t="shared" si="18"/>
        <v>#DIV/0!</v>
      </c>
      <c r="L127" s="492" t="e">
        <f t="shared" si="21"/>
        <v>#DIV/0!</v>
      </c>
      <c r="M127" s="7">
        <f>VLOOKUP(A127,'Ingresos Proyecciones'!$A$24:$Q$127,LOOKUP($O$190,'Ingresos Proyecciones'!$C$22:$Q$22,'Ingresos Proyecciones'!$C$184:$Q$184),FALSE)</f>
        <v>0</v>
      </c>
    </row>
    <row r="128" spans="1:13">
      <c r="A128" s="500" t="s">
        <v>81</v>
      </c>
      <c r="B128" s="506" t="s">
        <v>82</v>
      </c>
      <c r="C128" s="1313">
        <f>VLOOKUP(A128,'Ingresos Proyecciones'!$A$24:$Q$127,LOOKUP($C$25,'Ingresos Proyecciones'!$C$22:$Q$22,'Ingresos Proyecciones'!$C$184:$Q$184),FALSE)</f>
        <v>0</v>
      </c>
      <c r="D128" s="7">
        <v>0</v>
      </c>
      <c r="E128" s="7">
        <v>0</v>
      </c>
      <c r="F128" s="491">
        <f t="shared" si="19"/>
        <v>0</v>
      </c>
      <c r="G128" s="7">
        <v>0</v>
      </c>
      <c r="H128" s="7">
        <v>0</v>
      </c>
      <c r="I128" s="492" t="e">
        <f t="shared" si="20"/>
        <v>#DIV/0!</v>
      </c>
      <c r="J128" s="7">
        <v>0</v>
      </c>
      <c r="K128" s="492" t="e">
        <f t="shared" si="18"/>
        <v>#DIV/0!</v>
      </c>
      <c r="L128" s="492" t="e">
        <f t="shared" si="21"/>
        <v>#DIV/0!</v>
      </c>
      <c r="M128" s="7">
        <f>VLOOKUP(A128,'Ingresos Proyecciones'!$A$24:$Q$127,LOOKUP($O$190,'Ingresos Proyecciones'!$C$22:$Q$22,'Ingresos Proyecciones'!$C$184:$Q$184),FALSE)</f>
        <v>0</v>
      </c>
    </row>
    <row r="129" spans="1:13">
      <c r="A129" s="500" t="s">
        <v>83</v>
      </c>
      <c r="B129" s="506" t="s">
        <v>84</v>
      </c>
      <c r="C129" s="1313">
        <f>VLOOKUP(A129,'Ingresos Proyecciones'!$A$24:$Q$127,LOOKUP($C$25,'Ingresos Proyecciones'!$C$22:$Q$22,'Ingresos Proyecciones'!$C$184:$Q$184),FALSE)</f>
        <v>0</v>
      </c>
      <c r="D129" s="7">
        <v>0</v>
      </c>
      <c r="E129" s="7">
        <v>0</v>
      </c>
      <c r="F129" s="491">
        <f t="shared" si="19"/>
        <v>0</v>
      </c>
      <c r="G129" s="7">
        <v>0</v>
      </c>
      <c r="H129" s="7">
        <v>0</v>
      </c>
      <c r="I129" s="492" t="e">
        <f t="shared" si="20"/>
        <v>#DIV/0!</v>
      </c>
      <c r="J129" s="7">
        <v>0</v>
      </c>
      <c r="K129" s="492" t="e">
        <f t="shared" si="18"/>
        <v>#DIV/0!</v>
      </c>
      <c r="L129" s="492" t="e">
        <f t="shared" si="21"/>
        <v>#DIV/0!</v>
      </c>
      <c r="M129" s="7">
        <f>VLOOKUP(A129,'Ingresos Proyecciones'!$A$24:$Q$127,LOOKUP($O$190,'Ingresos Proyecciones'!$C$22:$Q$22,'Ingresos Proyecciones'!$C$184:$Q$184),FALSE)</f>
        <v>0</v>
      </c>
    </row>
    <row r="130" spans="1:13" ht="13.5" thickBot="1">
      <c r="A130" s="502" t="s">
        <v>85</v>
      </c>
      <c r="B130" s="1012" t="s">
        <v>86</v>
      </c>
      <c r="C130" s="1314">
        <f>VLOOKUP(A130,'Ingresos Proyecciones'!$A$24:$Q$127,LOOKUP($C$25,'Ingresos Proyecciones'!$C$22:$Q$22,'Ingresos Proyecciones'!$C$184:$Q$184),FALSE)</f>
        <v>0</v>
      </c>
      <c r="D130" s="87">
        <v>0</v>
      </c>
      <c r="E130" s="87">
        <v>0</v>
      </c>
      <c r="F130" s="60">
        <f t="shared" si="19"/>
        <v>0</v>
      </c>
      <c r="G130" s="87">
        <v>0</v>
      </c>
      <c r="H130" s="87">
        <v>0</v>
      </c>
      <c r="I130" s="494" t="e">
        <f t="shared" si="20"/>
        <v>#DIV/0!</v>
      </c>
      <c r="J130" s="87">
        <v>0</v>
      </c>
      <c r="K130" s="494" t="e">
        <f t="shared" si="18"/>
        <v>#DIV/0!</v>
      </c>
      <c r="L130" s="494" t="e">
        <f t="shared" si="21"/>
        <v>#DIV/0!</v>
      </c>
      <c r="M130" s="87">
        <f>VLOOKUP(A130,'Ingresos Proyecciones'!$A$24:$Q$127,LOOKUP($O$190,'Ingresos Proyecciones'!$C$22:$Q$22,'Ingresos Proyecciones'!$C$184:$Q$184),FALSE)</f>
        <v>0</v>
      </c>
    </row>
    <row r="132" spans="1:13" ht="15">
      <c r="A132" s="11"/>
    </row>
    <row r="133" spans="1:13">
      <c r="B133" s="495"/>
      <c r="C133" s="495"/>
      <c r="D133" s="495"/>
      <c r="E133" s="495"/>
    </row>
    <row r="134" spans="1:13">
      <c r="A134" s="495"/>
      <c r="B134" s="495"/>
      <c r="C134" s="495"/>
      <c r="D134" s="495"/>
      <c r="E134" s="495"/>
    </row>
    <row r="135" spans="1:13">
      <c r="A135" s="495"/>
      <c r="B135" s="495"/>
      <c r="C135" s="495"/>
      <c r="D135" s="495"/>
      <c r="E135" s="495"/>
    </row>
    <row r="178" spans="1:15">
      <c r="A178" s="1304" t="s">
        <v>1168</v>
      </c>
      <c r="B178" s="996"/>
    </row>
    <row r="179" spans="1:15" hidden="1">
      <c r="A179" s="996"/>
      <c r="B179" s="996"/>
      <c r="C179" s="10">
        <v>0</v>
      </c>
    </row>
    <row r="180" spans="1:15" hidden="1">
      <c r="A180" s="996"/>
      <c r="B180" s="996"/>
      <c r="C180" s="10">
        <v>1</v>
      </c>
    </row>
    <row r="181" spans="1:15" hidden="1">
      <c r="A181" s="996"/>
      <c r="B181" s="1376" t="s">
        <v>87</v>
      </c>
      <c r="C181" s="10">
        <v>2</v>
      </c>
    </row>
    <row r="182" spans="1:15" hidden="1">
      <c r="A182" s="996"/>
      <c r="B182" s="1172" t="str">
        <f>$B$8&amp;" "&amp;"SUPERAVIT O AHORRO PRIMARIO"&amp;" " &amp;$B$10</f>
        <v>MUNICIPIO DE CUNDAY SUPERAVIT O AHORRO PRIMARIO 2011</v>
      </c>
      <c r="C182" s="10">
        <v>3</v>
      </c>
    </row>
    <row r="183" spans="1:15" hidden="1">
      <c r="A183" s="996"/>
      <c r="B183" s="1172" t="str">
        <f>$B$8&amp;" "&amp; "DEFICIT O AHORRO CORRIENTE"&amp;" " &amp;$B$10</f>
        <v>MUNICIPIO DE CUNDAY DEFICIT O AHORRO CORRIENTE 2011</v>
      </c>
      <c r="C183" s="10">
        <v>4</v>
      </c>
    </row>
    <row r="184" spans="1:15" hidden="1">
      <c r="A184" s="996">
        <v>0</v>
      </c>
      <c r="B184" s="1172" t="str">
        <f>$B$8&amp;" "&amp; "DEFICIT O AHORRO TOTAL"&amp;" " &amp;$B$10</f>
        <v>MUNICIPIO DE CUNDAY DEFICIT O AHORRO TOTAL 2011</v>
      </c>
      <c r="C184" s="10">
        <v>5</v>
      </c>
    </row>
    <row r="185" spans="1:15" hidden="1">
      <c r="A185" s="996">
        <v>1</v>
      </c>
      <c r="B185" s="1172" t="str">
        <f>$B$8&amp;" "&amp; "COMPOSICION INGRESOS TRIBUTARIOS" &amp;" "&amp; $B$10</f>
        <v>MUNICIPIO DE CUNDAY COMPOSICION INGRESOS TRIBUTARIOS 2011</v>
      </c>
      <c r="C185" s="10">
        <v>6</v>
      </c>
    </row>
    <row r="186" spans="1:15" hidden="1">
      <c r="A186" s="996">
        <v>2</v>
      </c>
      <c r="B186" s="1172" t="str">
        <f>$B$8&amp;" "&amp;  "COMPOSICION GASTOS DE FUNCIONAMIENTO"&amp;" " &amp;$B$10</f>
        <v>MUNICIPIO DE CUNDAY COMPOSICION GASTOS DE FUNCIONAMIENTO 2011</v>
      </c>
      <c r="C186" s="10">
        <v>7</v>
      </c>
      <c r="D186" s="488"/>
      <c r="E186" s="488"/>
      <c r="F186" s="488"/>
      <c r="G186" s="488"/>
      <c r="H186" s="488"/>
      <c r="I186" s="488"/>
      <c r="J186" s="488"/>
      <c r="K186" s="488"/>
      <c r="L186" s="488"/>
      <c r="M186" s="488"/>
    </row>
    <row r="187" spans="1:15" hidden="1">
      <c r="A187" s="996">
        <v>3</v>
      </c>
      <c r="B187" s="1172" t="str">
        <f>$B$8&amp;" "&amp; "COMPOSICION DE INGRESOS"&amp;" "&amp;$B$10</f>
        <v>MUNICIPIO DE CUNDAY COMPOSICION DE INGRESOS 2011</v>
      </c>
      <c r="C187" s="10">
        <v>8</v>
      </c>
      <c r="D187" s="488"/>
      <c r="E187" s="488"/>
      <c r="F187" s="488"/>
      <c r="G187" s="488"/>
      <c r="H187" s="488"/>
      <c r="I187" s="488"/>
      <c r="J187" s="488"/>
      <c r="K187" s="488"/>
      <c r="L187" s="488"/>
      <c r="M187" s="488"/>
    </row>
    <row r="188" spans="1:15" hidden="1">
      <c r="A188" s="996">
        <v>4</v>
      </c>
      <c r="B188" s="1172" t="str">
        <f>$B$8&amp;" "&amp; "COMPOSICION DE GASTOS"&amp;" "&amp;$B$10</f>
        <v>MUNICIPIO DE CUNDAY COMPOSICION DE GASTOS 2011</v>
      </c>
      <c r="C188" s="10">
        <v>9</v>
      </c>
      <c r="D188" s="488"/>
      <c r="E188" s="488"/>
      <c r="F188" s="488"/>
      <c r="G188" s="488"/>
      <c r="H188" s="488"/>
      <c r="I188" s="488"/>
      <c r="J188" s="488"/>
      <c r="K188" s="488"/>
      <c r="L188" s="488"/>
      <c r="M188" s="488"/>
    </row>
    <row r="189" spans="1:15" ht="13.5" hidden="1" thickBot="1">
      <c r="A189" s="996">
        <v>5</v>
      </c>
      <c r="B189" s="1172" t="str">
        <f>$B$8&amp;" "&amp; "COMPOSICION DE TRANSFERENCIAS"&amp;" "&amp;$B$10</f>
        <v>MUNICIPIO DE CUNDAY COMPOSICION DE TRANSFERENCIAS 2011</v>
      </c>
      <c r="C189" s="10">
        <v>10</v>
      </c>
      <c r="D189" s="488"/>
      <c r="E189" s="488"/>
      <c r="F189" s="488" t="s">
        <v>88</v>
      </c>
      <c r="G189" s="488" t="s">
        <v>89</v>
      </c>
      <c r="H189" s="488" t="s">
        <v>90</v>
      </c>
      <c r="I189" s="488" t="s">
        <v>91</v>
      </c>
      <c r="J189" s="488" t="s">
        <v>92</v>
      </c>
      <c r="K189" s="488" t="s">
        <v>93</v>
      </c>
      <c r="L189" s="488" t="s">
        <v>94</v>
      </c>
      <c r="M189" s="488" t="s">
        <v>95</v>
      </c>
      <c r="N189" s="488" t="s">
        <v>96</v>
      </c>
    </row>
    <row r="190" spans="1:15" ht="39" hidden="1" thickBot="1">
      <c r="A190" s="996">
        <v>6</v>
      </c>
      <c r="B190" s="996" t="s">
        <v>97</v>
      </c>
      <c r="C190" s="10">
        <v>11</v>
      </c>
      <c r="D190" s="488"/>
      <c r="E190" s="488"/>
      <c r="F190" s="488">
        <f>IF(UPPER(B17)="X",1,0)+IF(UPPER(B18)="X",2,0)+IF(UPPER(B19)="X",3,0)</f>
        <v>0</v>
      </c>
      <c r="G190" s="496">
        <f>IF(E10=0,DATE(B10,12,31),IF(E10=2,DATE(B10,E10,28),IF(OR(E10=1,E10=3,E10=5,E10=7,E10=8,E10=10,E10=12),DATE(B10,E10,31),DATE(B10,E10,30))))</f>
        <v>40908</v>
      </c>
      <c r="H190" s="488">
        <f>B12</f>
        <v>6</v>
      </c>
      <c r="I190" s="488">
        <f>IF(UPPER(D21)="X",1,0)</f>
        <v>0</v>
      </c>
      <c r="J190" s="496">
        <f>I21</f>
        <v>40178</v>
      </c>
      <c r="K190" s="496">
        <f>I22</f>
        <v>45291</v>
      </c>
      <c r="L190" s="977" t="s">
        <v>98</v>
      </c>
      <c r="M190" s="977"/>
      <c r="N190" s="977"/>
      <c r="O190" s="1436" t="str">
        <f>"Escenario Financiero Año"&amp;" "&amp;(Ingresos!$B$10-1)</f>
        <v>Escenario Financiero Año 2010</v>
      </c>
    </row>
    <row r="191" spans="1:15" hidden="1">
      <c r="A191" s="996">
        <f ca="1">YEAR(NOW())-7</f>
        <v>2005</v>
      </c>
      <c r="B191" s="996" t="s">
        <v>99</v>
      </c>
      <c r="C191" s="10">
        <v>12</v>
      </c>
      <c r="D191" s="488"/>
      <c r="E191" s="488"/>
      <c r="F191" s="488"/>
      <c r="G191" s="488"/>
      <c r="H191" s="488"/>
      <c r="I191" s="488"/>
      <c r="J191" s="488"/>
      <c r="K191" s="488"/>
      <c r="L191" s="488"/>
      <c r="M191" s="488"/>
    </row>
    <row r="192" spans="1:15" hidden="1">
      <c r="A192" s="996">
        <f ca="1">YEAR(NOW())-6</f>
        <v>2006</v>
      </c>
      <c r="B192" s="996"/>
      <c r="C192" s="488"/>
      <c r="D192" s="488"/>
      <c r="E192" s="488"/>
      <c r="F192" s="488"/>
      <c r="I192" s="488"/>
      <c r="J192" s="488"/>
      <c r="K192" s="488"/>
      <c r="L192" s="488"/>
      <c r="M192" s="488"/>
    </row>
    <row r="193" spans="1:13" hidden="1">
      <c r="A193" s="996">
        <f ca="1">YEAR(NOW())-5</f>
        <v>2007</v>
      </c>
      <c r="B193" s="996"/>
      <c r="C193" s="488"/>
      <c r="D193" s="488"/>
      <c r="E193" s="488"/>
      <c r="F193" s="488"/>
      <c r="I193" s="488"/>
      <c r="J193" s="488"/>
      <c r="K193" s="488"/>
      <c r="L193" s="488"/>
      <c r="M193" s="488"/>
    </row>
    <row r="194" spans="1:13" hidden="1">
      <c r="A194" s="996">
        <f ca="1">YEAR(NOW())-4</f>
        <v>2008</v>
      </c>
      <c r="B194" s="1341" t="b">
        <f>+IF(AND(B10=""),"SELECCIONE AÑO EN B10",(YEAR(I21)&lt;B10))</f>
        <v>1</v>
      </c>
      <c r="C194" s="488"/>
      <c r="D194" s="488"/>
      <c r="E194" s="488"/>
      <c r="F194" s="488"/>
      <c r="G194" s="488"/>
      <c r="H194" s="488"/>
      <c r="I194" s="488"/>
      <c r="J194" s="488"/>
      <c r="K194" s="488"/>
      <c r="L194" s="488"/>
      <c r="M194" s="488"/>
    </row>
    <row r="195" spans="1:13" hidden="1">
      <c r="A195" s="996">
        <f ca="1">YEAR(NOW())-3</f>
        <v>2009</v>
      </c>
      <c r="B195" s="996"/>
      <c r="C195" s="488"/>
      <c r="D195" s="488"/>
      <c r="E195" s="488"/>
      <c r="F195" s="488"/>
      <c r="G195" s="488"/>
      <c r="H195" s="488"/>
      <c r="I195" s="488"/>
      <c r="J195" s="488"/>
      <c r="K195" s="488"/>
      <c r="L195" s="488"/>
      <c r="M195" s="488"/>
    </row>
    <row r="196" spans="1:13" hidden="1">
      <c r="A196" s="996">
        <f ca="1">YEAR(NOW())-2</f>
        <v>2010</v>
      </c>
      <c r="B196" s="996"/>
      <c r="C196" s="488"/>
      <c r="D196" s="488"/>
      <c r="E196" s="488"/>
      <c r="F196" s="488"/>
      <c r="G196" s="488"/>
      <c r="H196" s="488"/>
      <c r="I196" s="488"/>
      <c r="J196" s="488"/>
      <c r="K196" s="488"/>
      <c r="L196" s="488"/>
      <c r="M196" s="488"/>
    </row>
    <row r="197" spans="1:13" hidden="1">
      <c r="A197" s="996">
        <f ca="1">YEAR(NOW())-1</f>
        <v>2011</v>
      </c>
      <c r="B197" s="996"/>
      <c r="C197" s="488"/>
      <c r="D197" s="488"/>
      <c r="E197" s="488"/>
      <c r="F197" s="488"/>
      <c r="G197" s="488"/>
      <c r="H197" s="488"/>
      <c r="I197" s="488"/>
      <c r="J197" s="488"/>
      <c r="K197" s="488"/>
      <c r="L197" s="488"/>
      <c r="M197" s="488"/>
    </row>
    <row r="198" spans="1:13" hidden="1">
      <c r="A198" s="996">
        <f ca="1">YEAR(NOW())-0</f>
        <v>2012</v>
      </c>
      <c r="B198" s="996"/>
      <c r="C198" s="488"/>
      <c r="D198" s="488"/>
      <c r="E198" s="488"/>
      <c r="F198" s="488"/>
      <c r="G198" s="488"/>
      <c r="H198" s="488"/>
      <c r="I198" s="488"/>
      <c r="J198" s="488"/>
      <c r="K198" s="488"/>
      <c r="L198" s="488"/>
      <c r="M198" s="488"/>
    </row>
    <row r="199" spans="1:13" hidden="1">
      <c r="A199" s="996">
        <f ca="1">YEAR(NOW())+1</f>
        <v>2013</v>
      </c>
      <c r="B199" s="996"/>
      <c r="C199" s="488"/>
      <c r="D199" s="488"/>
      <c r="E199" s="488"/>
      <c r="F199" s="488"/>
      <c r="G199" s="488"/>
      <c r="H199" s="488"/>
      <c r="I199" s="488"/>
      <c r="J199" s="488"/>
      <c r="K199" s="488"/>
      <c r="L199" s="488"/>
      <c r="M199" s="488"/>
    </row>
    <row r="200" spans="1:13" hidden="1">
      <c r="A200" s="996">
        <f ca="1">YEAR(NOW())+2</f>
        <v>2014</v>
      </c>
      <c r="B200" s="996"/>
      <c r="C200" s="488"/>
      <c r="D200" s="488"/>
      <c r="E200" s="488"/>
      <c r="F200" s="488"/>
      <c r="G200" s="488"/>
      <c r="H200" s="488"/>
      <c r="I200" s="488"/>
      <c r="J200" s="488"/>
      <c r="K200" s="488"/>
      <c r="L200" s="488"/>
      <c r="M200" s="488"/>
    </row>
    <row r="201" spans="1:13" hidden="1">
      <c r="A201" s="996">
        <f ca="1">YEAR(NOW())+3</f>
        <v>2015</v>
      </c>
      <c r="B201" s="996"/>
      <c r="C201" s="488"/>
      <c r="D201" s="488"/>
      <c r="E201" s="488"/>
      <c r="F201" s="488"/>
      <c r="G201" s="488"/>
      <c r="H201" s="488"/>
      <c r="I201" s="488"/>
      <c r="J201" s="488"/>
      <c r="K201" s="488"/>
      <c r="L201" s="488"/>
      <c r="M201" s="488"/>
    </row>
    <row r="202" spans="1:13" hidden="1">
      <c r="A202" s="996">
        <f ca="1">YEAR(NOW())+4</f>
        <v>2016</v>
      </c>
      <c r="B202" s="996"/>
      <c r="C202" s="488"/>
      <c r="D202" s="488"/>
      <c r="E202" s="488"/>
      <c r="F202" s="488"/>
      <c r="G202" s="488"/>
      <c r="H202" s="488"/>
      <c r="I202" s="488"/>
      <c r="J202" s="488"/>
      <c r="K202" s="488"/>
      <c r="L202" s="488"/>
      <c r="M202" s="488"/>
    </row>
    <row r="203" spans="1:13" hidden="1">
      <c r="A203" s="996">
        <f ca="1">YEAR(NOW())+5</f>
        <v>2017</v>
      </c>
      <c r="B203" s="996"/>
      <c r="C203" s="488"/>
      <c r="D203" s="488"/>
      <c r="E203" s="488"/>
      <c r="F203" s="488"/>
      <c r="G203" s="488"/>
      <c r="H203" s="488"/>
      <c r="I203" s="488"/>
      <c r="J203" s="488"/>
      <c r="K203" s="488"/>
      <c r="L203" s="488"/>
      <c r="M203" s="488"/>
    </row>
    <row r="204" spans="1:13" hidden="1">
      <c r="A204" s="996">
        <f ca="1">YEAR(NOW())+6</f>
        <v>2018</v>
      </c>
      <c r="B204" s="996"/>
      <c r="C204" s="488"/>
      <c r="D204" s="488"/>
      <c r="E204" s="488"/>
      <c r="F204" s="488"/>
      <c r="G204" s="488"/>
      <c r="H204" s="488"/>
      <c r="I204" s="488"/>
      <c r="J204" s="488"/>
      <c r="K204" s="488"/>
      <c r="L204" s="488"/>
      <c r="M204" s="488"/>
    </row>
    <row r="205" spans="1:13" hidden="1">
      <c r="A205" s="996">
        <f ca="1">YEAR(NOW())+7</f>
        <v>2019</v>
      </c>
      <c r="B205" s="996"/>
      <c r="C205" s="488"/>
      <c r="D205" s="488"/>
      <c r="E205" s="488"/>
      <c r="F205" s="488"/>
      <c r="G205" s="488"/>
      <c r="H205" s="488"/>
      <c r="I205" s="488"/>
      <c r="J205" s="488"/>
      <c r="K205" s="488"/>
      <c r="L205" s="488"/>
      <c r="M205" s="488"/>
    </row>
    <row r="206" spans="1:13" hidden="1">
      <c r="A206" s="996">
        <f ca="1">YEAR(NOW())+8</f>
        <v>2020</v>
      </c>
      <c r="B206" s="996"/>
    </row>
    <row r="207" spans="1:13" hidden="1">
      <c r="A207" s="996">
        <f ca="1">YEAR(NOW())+9</f>
        <v>2021</v>
      </c>
      <c r="B207" s="996"/>
    </row>
    <row r="208" spans="1:13" hidden="1">
      <c r="A208" s="996">
        <f ca="1">+A207+1</f>
        <v>2022</v>
      </c>
      <c r="B208" s="996"/>
    </row>
    <row r="209" spans="1:2" hidden="1">
      <c r="A209" s="996">
        <f t="shared" ref="A209:A217" ca="1" si="22">+A208+1</f>
        <v>2023</v>
      </c>
      <c r="B209" s="996"/>
    </row>
    <row r="210" spans="1:2" hidden="1">
      <c r="A210" s="996">
        <f t="shared" ca="1" si="22"/>
        <v>2024</v>
      </c>
      <c r="B210" s="996"/>
    </row>
    <row r="211" spans="1:2" hidden="1">
      <c r="A211" s="996">
        <f t="shared" ca="1" si="22"/>
        <v>2025</v>
      </c>
      <c r="B211" s="996"/>
    </row>
    <row r="212" spans="1:2" hidden="1">
      <c r="A212" s="996">
        <f t="shared" ca="1" si="22"/>
        <v>2026</v>
      </c>
      <c r="B212" s="996"/>
    </row>
    <row r="213" spans="1:2" hidden="1">
      <c r="A213" s="996">
        <f t="shared" ca="1" si="22"/>
        <v>2027</v>
      </c>
      <c r="B213" s="996"/>
    </row>
    <row r="214" spans="1:2" hidden="1">
      <c r="A214" s="996">
        <f t="shared" ca="1" si="22"/>
        <v>2028</v>
      </c>
      <c r="B214" s="996"/>
    </row>
    <row r="215" spans="1:2" hidden="1">
      <c r="A215" s="996">
        <f t="shared" ca="1" si="22"/>
        <v>2029</v>
      </c>
      <c r="B215" s="996"/>
    </row>
    <row r="216" spans="1:2" hidden="1">
      <c r="A216" s="996">
        <f t="shared" ca="1" si="22"/>
        <v>2030</v>
      </c>
      <c r="B216" s="996"/>
    </row>
    <row r="217" spans="1:2" hidden="1">
      <c r="A217" s="996">
        <f t="shared" ca="1" si="22"/>
        <v>2031</v>
      </c>
      <c r="B217" s="996"/>
    </row>
    <row r="218" spans="1:2">
      <c r="A218" s="996"/>
      <c r="B218" s="996"/>
    </row>
  </sheetData>
  <sheetProtection password="95B1" sheet="1" objects="1" scenarios="1"/>
  <mergeCells count="1">
    <mergeCell ref="B14:C14"/>
  </mergeCells>
  <phoneticPr fontId="34" type="noConversion"/>
  <dataValidations count="7">
    <dataValidation type="list" errorStyle="warning" allowBlank="1" showInputMessage="1" showErrorMessage="1" errorTitle="Entrada de Datos" error="Debe escoger un valor entre 0 y 4" sqref="E10">
      <formula1>$C$179:$C$191</formula1>
    </dataValidation>
    <dataValidation type="list" errorStyle="warning" allowBlank="1" showInputMessage="1" showErrorMessage="1" errorTitle="Error en la entrada" error="Debe seleccionar el año de la lista" sqref="B10">
      <formula1>$A191:$A217</formula1>
    </dataValidation>
    <dataValidation type="list" allowBlank="1" showInputMessage="1" showErrorMessage="1" sqref="B12">
      <formula1>$A$184:$A$190</formula1>
    </dataValidation>
    <dataValidation type="list" allowBlank="1" showInputMessage="1" showErrorMessage="1" sqref="D22">
      <formula1>$B$190:$B$191</formula1>
    </dataValidation>
    <dataValidation type="list" allowBlank="1" showInputMessage="1" showErrorMessage="1" sqref="I17">
      <formula1>$A$191:$A$217</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I21">
      <formula1>$B$194</formula1>
    </dataValidation>
    <dataValidation allowBlank="1" showInputMessage="1" showErrorMessage="1" promptTitle="TENGA EN CUENTA" prompt="ESTA INFORMACION SE DEBE DIGITAR EN LA HOJA INGRESOS PROYECCIONES, EN LA COLUMNA DEL AÑO ANTERIOR AL QUE SELECCIONO EN LA CELDA B10" sqref="M25"/>
  </dataValidations>
  <printOptions horizontalCentered="1" verticalCentered="1" gridLines="1"/>
  <pageMargins left="0" right="0" top="0.31496062992125984" bottom="0.35433070866141736" header="0" footer="0"/>
  <pageSetup scale="56" fitToWidth="4" fitToHeight="2" orientation="landscape" horizontalDpi="4294967293" verticalDpi="300" r:id="rId1"/>
  <headerFooter alignWithMargins="0">
    <oddHeader>&amp;C&amp;"Arial,Negrita"&amp;12&amp;F</oddHeader>
    <oddFooter>&amp;L&amp;"Arial,Negrita"&amp;F  &amp;A&amp;R&amp;"Arial,Negrita"Página &amp;P de &amp;N</oddFooter>
  </headerFooter>
  <cellWatches>
    <cellWatch r="B12"/>
  </cellWatches>
  <legacyDrawing r:id="rId2"/>
</worksheet>
</file>

<file path=xl/worksheets/sheet10.xml><?xml version="1.0" encoding="utf-8"?>
<worksheet xmlns="http://schemas.openxmlformats.org/spreadsheetml/2006/main" xmlns:r="http://schemas.openxmlformats.org/officeDocument/2006/relationships">
  <sheetPr codeName="Hoja10"/>
  <dimension ref="A1:U249"/>
  <sheetViews>
    <sheetView topLeftCell="B6" zoomScaleNormal="100" workbookViewId="0">
      <pane xSplit="2" ySplit="22" topLeftCell="M28" activePane="bottomRight" state="frozen"/>
      <selection activeCell="B6" sqref="B6"/>
      <selection pane="topRight" activeCell="D6" sqref="D6"/>
      <selection pane="bottomLeft" activeCell="B28" sqref="B28"/>
      <selection pane="bottomRight" activeCell="C6" sqref="C6:R233"/>
    </sheetView>
  </sheetViews>
  <sheetFormatPr baseColWidth="10" defaultRowHeight="12.75"/>
  <cols>
    <col min="1" max="1" width="10.140625" style="1320" customWidth="1"/>
    <col min="2" max="2" width="0.5703125" style="1319" customWidth="1"/>
    <col min="3" max="3" width="45.140625" style="1320" customWidth="1"/>
    <col min="4" max="18" width="14.7109375" style="1320" customWidth="1"/>
    <col min="19" max="19" width="18.42578125" style="1320" customWidth="1"/>
    <col min="20" max="16384" width="11.42578125" style="1320"/>
  </cols>
  <sheetData>
    <row r="1" spans="1:19" ht="15">
      <c r="A1" s="340" t="s">
        <v>1224</v>
      </c>
      <c r="B1" s="340"/>
      <c r="C1" s="340"/>
      <c r="D1" s="340"/>
      <c r="E1" s="340"/>
      <c r="F1" s="1"/>
      <c r="G1" s="1"/>
      <c r="H1" s="1"/>
      <c r="I1" s="10"/>
      <c r="J1" s="10"/>
      <c r="K1" s="10"/>
      <c r="L1" s="1"/>
      <c r="M1" s="1"/>
      <c r="N1" s="1"/>
      <c r="O1" s="1"/>
      <c r="P1" s="1"/>
      <c r="Q1" s="1"/>
      <c r="R1" s="1"/>
      <c r="S1" s="1"/>
    </row>
    <row r="2" spans="1:19" ht="15.75" thickBot="1">
      <c r="A2" s="340" t="s">
        <v>1225</v>
      </c>
      <c r="B2" s="340"/>
      <c r="C2" s="340"/>
      <c r="D2" s="340"/>
      <c r="E2" s="340"/>
      <c r="F2" s="1"/>
      <c r="G2" s="1"/>
      <c r="H2" s="1"/>
      <c r="I2" s="10"/>
      <c r="J2" s="10"/>
      <c r="K2" s="10"/>
      <c r="L2" s="1"/>
      <c r="M2" s="1"/>
      <c r="N2" s="1"/>
      <c r="O2" s="1"/>
      <c r="P2" s="1"/>
      <c r="Q2" s="1"/>
      <c r="R2" s="1"/>
      <c r="S2" s="1"/>
    </row>
    <row r="3" spans="1:19" ht="15" hidden="1">
      <c r="A3" s="309"/>
      <c r="B3" s="309"/>
      <c r="C3" s="309"/>
      <c r="D3" s="1"/>
      <c r="E3" s="10"/>
      <c r="F3" s="1"/>
      <c r="G3" s="1"/>
      <c r="H3" s="1"/>
      <c r="I3" s="10"/>
      <c r="J3" s="10"/>
      <c r="K3" s="10"/>
      <c r="L3" s="1"/>
      <c r="M3" s="1"/>
      <c r="N3" s="1"/>
      <c r="O3" s="1"/>
      <c r="P3" s="1"/>
      <c r="Q3" s="1"/>
      <c r="R3" s="1"/>
      <c r="S3" s="1"/>
    </row>
    <row r="4" spans="1:19" ht="13.5" hidden="1" thickBot="1">
      <c r="A4" s="112"/>
      <c r="B4" s="112"/>
      <c r="C4" s="112"/>
      <c r="D4" s="1"/>
      <c r="E4" s="10"/>
      <c r="F4" s="1"/>
      <c r="G4" s="1"/>
      <c r="H4" s="1"/>
      <c r="I4" s="10"/>
      <c r="J4" s="10"/>
      <c r="K4" s="10"/>
      <c r="L4" s="1"/>
      <c r="M4" s="1"/>
      <c r="N4" s="1"/>
      <c r="O4" s="1"/>
      <c r="P4" s="1"/>
      <c r="Q4" s="1"/>
      <c r="R4" s="1"/>
      <c r="S4" s="1"/>
    </row>
    <row r="5" spans="1:19" hidden="1">
      <c r="A5" s="307" t="s">
        <v>1226</v>
      </c>
      <c r="B5" s="308"/>
      <c r="C5" s="973">
        <f>Ingresos!B6</f>
        <v>0</v>
      </c>
      <c r="D5" s="1"/>
      <c r="E5" s="10"/>
      <c r="F5" s="1"/>
      <c r="G5" s="1"/>
      <c r="H5" s="1"/>
      <c r="I5" s="10"/>
      <c r="J5" s="10"/>
      <c r="K5" s="10"/>
      <c r="L5" s="1"/>
      <c r="M5" s="1"/>
      <c r="N5" s="1"/>
      <c r="O5" s="1"/>
      <c r="P5" s="1"/>
      <c r="Q5" s="1"/>
      <c r="R5" s="1"/>
      <c r="S5" s="1"/>
    </row>
    <row r="6" spans="1:19">
      <c r="A6" s="307" t="s">
        <v>100</v>
      </c>
      <c r="B6" s="308"/>
      <c r="C6" s="973" t="str">
        <f>Ingresos!B8</f>
        <v>MUNICIPIO DE CUNDAY</v>
      </c>
      <c r="D6" s="5"/>
      <c r="E6" s="10"/>
      <c r="F6" s="1"/>
      <c r="G6" s="1"/>
      <c r="H6" s="1"/>
      <c r="I6" s="10"/>
      <c r="J6" s="10"/>
      <c r="K6" s="10"/>
      <c r="L6" s="1"/>
      <c r="M6" s="1"/>
      <c r="N6" s="1"/>
      <c r="O6" s="1"/>
      <c r="P6" s="1"/>
      <c r="Q6" s="1"/>
      <c r="R6" s="1"/>
      <c r="S6" s="1"/>
    </row>
    <row r="7" spans="1:19">
      <c r="A7" s="317" t="s">
        <v>1228</v>
      </c>
      <c r="B7" s="318"/>
      <c r="C7" s="974">
        <f>+Ingresos!B10</f>
        <v>2011</v>
      </c>
      <c r="D7" s="19"/>
      <c r="E7" s="10"/>
      <c r="F7" s="1"/>
      <c r="G7" s="1"/>
      <c r="H7" s="1"/>
      <c r="I7" s="10"/>
      <c r="J7" s="10"/>
      <c r="K7" s="10"/>
      <c r="L7" s="1"/>
      <c r="M7" s="1"/>
      <c r="N7" s="1"/>
      <c r="O7" s="1"/>
      <c r="P7" s="1"/>
      <c r="Q7" s="1"/>
      <c r="R7" s="1"/>
      <c r="S7" s="1"/>
    </row>
    <row r="8" spans="1:19" ht="13.5" thickBot="1">
      <c r="A8" s="320" t="s">
        <v>1230</v>
      </c>
      <c r="B8" s="321"/>
      <c r="C8" s="975">
        <f>Ingresos!B12</f>
        <v>6</v>
      </c>
      <c r="D8" s="1"/>
      <c r="E8" s="1415">
        <v>1.05</v>
      </c>
      <c r="F8" s="1415">
        <v>1.04</v>
      </c>
      <c r="G8" s="1415">
        <v>1.04</v>
      </c>
      <c r="H8" s="1415">
        <v>1.04</v>
      </c>
      <c r="I8" s="1415">
        <v>1.04</v>
      </c>
      <c r="J8" s="1415">
        <v>1.04</v>
      </c>
      <c r="K8" s="1415">
        <v>1.04</v>
      </c>
      <c r="L8" s="1415">
        <v>1.04</v>
      </c>
      <c r="M8" s="1415">
        <v>1.04</v>
      </c>
      <c r="N8" s="1415">
        <v>1.04</v>
      </c>
      <c r="O8" s="1415">
        <v>1.04</v>
      </c>
      <c r="P8" s="1415">
        <v>1.04</v>
      </c>
      <c r="Q8" s="1415">
        <v>1.04</v>
      </c>
      <c r="R8" s="1415">
        <v>1.04</v>
      </c>
      <c r="S8" s="1"/>
    </row>
    <row r="9" spans="1:19" ht="13.5" hidden="1" thickBot="1">
      <c r="A9" s="320" t="s">
        <v>1231</v>
      </c>
      <c r="B9" s="321"/>
      <c r="C9" s="975">
        <f>Ingresos!B14</f>
        <v>0</v>
      </c>
      <c r="D9" s="1"/>
      <c r="E9" s="10"/>
      <c r="F9" s="1"/>
      <c r="G9" s="1"/>
      <c r="H9" s="1"/>
      <c r="I9" s="10"/>
      <c r="J9" s="10"/>
      <c r="K9" s="10"/>
      <c r="L9" s="1"/>
      <c r="M9" s="1"/>
      <c r="N9" s="1"/>
      <c r="O9" s="1"/>
      <c r="P9" s="1"/>
      <c r="Q9" s="1"/>
      <c r="R9" s="1"/>
      <c r="S9" s="1"/>
    </row>
    <row r="10" spans="1:19" hidden="1">
      <c r="A10" s="112"/>
      <c r="B10" s="112"/>
      <c r="C10" s="112"/>
      <c r="D10" s="1"/>
      <c r="E10" s="10"/>
      <c r="F10" s="1"/>
      <c r="G10" s="1"/>
      <c r="H10" s="1"/>
      <c r="I10" s="10"/>
      <c r="J10" s="10"/>
      <c r="K10" s="10"/>
      <c r="L10" s="1"/>
      <c r="M10" s="1"/>
      <c r="N10" s="1"/>
      <c r="O10" s="1"/>
      <c r="P10" s="1"/>
      <c r="Q10" s="1"/>
      <c r="R10" s="1"/>
      <c r="S10" s="1"/>
    </row>
    <row r="11" spans="1:19" hidden="1">
      <c r="A11" s="318" t="s">
        <v>101</v>
      </c>
      <c r="B11" s="318"/>
      <c r="C11" s="318"/>
      <c r="D11" s="318"/>
      <c r="E11" s="10"/>
      <c r="F11" s="1"/>
      <c r="G11" s="1"/>
      <c r="H11" s="1"/>
      <c r="I11" s="10"/>
      <c r="J11" s="10"/>
      <c r="K11" s="10"/>
      <c r="L11" s="1"/>
      <c r="M11" s="1"/>
      <c r="N11" s="1"/>
      <c r="O11" s="1"/>
      <c r="P11" s="1"/>
      <c r="Q11" s="1"/>
      <c r="R11" s="1"/>
      <c r="S11" s="1"/>
    </row>
    <row r="12" spans="1:19" ht="13.5" hidden="1" thickBot="1">
      <c r="A12" s="112"/>
      <c r="B12" s="112"/>
      <c r="C12" s="112"/>
      <c r="D12" s="22"/>
      <c r="E12" s="10"/>
      <c r="F12" s="1"/>
      <c r="G12" s="1"/>
      <c r="H12" s="1"/>
      <c r="I12" s="10"/>
      <c r="J12" s="10"/>
      <c r="K12" s="10"/>
      <c r="L12" s="1"/>
      <c r="M12" s="1"/>
      <c r="N12" s="1"/>
      <c r="O12" s="1"/>
      <c r="P12" s="1"/>
      <c r="Q12" s="1"/>
      <c r="R12" s="1"/>
      <c r="S12" s="1"/>
    </row>
    <row r="13" spans="1:19" hidden="1">
      <c r="A13" s="307" t="s">
        <v>1233</v>
      </c>
      <c r="B13" s="308"/>
      <c r="C13" s="973">
        <f>Ingresos!B17</f>
        <v>617</v>
      </c>
      <c r="D13" s="3"/>
      <c r="E13" s="10"/>
      <c r="F13" s="1"/>
      <c r="G13" s="1"/>
      <c r="H13" s="1"/>
      <c r="I13" s="10"/>
      <c r="J13" s="10"/>
      <c r="K13" s="10"/>
      <c r="L13" s="1"/>
      <c r="M13" s="1"/>
      <c r="N13" s="1"/>
      <c r="O13" s="1"/>
      <c r="P13" s="1"/>
      <c r="Q13" s="1"/>
      <c r="R13" s="1"/>
      <c r="S13" s="1"/>
    </row>
    <row r="14" spans="1:19" hidden="1">
      <c r="A14" s="317" t="s">
        <v>1234</v>
      </c>
      <c r="B14" s="318"/>
      <c r="C14" s="974">
        <f>Ingresos!B18</f>
        <v>0</v>
      </c>
      <c r="D14" s="3"/>
      <c r="E14" s="10"/>
      <c r="F14" s="1"/>
      <c r="G14" s="1"/>
      <c r="H14" s="1"/>
      <c r="I14" s="10"/>
      <c r="J14" s="10"/>
      <c r="K14" s="10"/>
      <c r="L14" s="1"/>
      <c r="M14" s="1"/>
      <c r="N14" s="1"/>
      <c r="O14" s="1"/>
      <c r="P14" s="1"/>
      <c r="Q14" s="1"/>
      <c r="R14" s="1"/>
      <c r="S14" s="1"/>
    </row>
    <row r="15" spans="1:19" ht="13.5" hidden="1" thickBot="1">
      <c r="A15" s="320" t="s">
        <v>1235</v>
      </c>
      <c r="B15" s="321"/>
      <c r="C15" s="975">
        <f>Ingresos!B19</f>
        <v>0</v>
      </c>
      <c r="D15" s="3"/>
      <c r="E15" s="10"/>
      <c r="F15" s="1"/>
      <c r="G15" s="1"/>
      <c r="H15" s="1"/>
      <c r="I15" s="10"/>
      <c r="J15" s="10"/>
      <c r="K15" s="10"/>
      <c r="L15" s="1"/>
      <c r="M15" s="1"/>
      <c r="N15" s="1"/>
      <c r="O15" s="1"/>
      <c r="P15" s="1"/>
      <c r="Q15" s="1"/>
      <c r="R15" s="1"/>
      <c r="S15" s="1"/>
    </row>
    <row r="16" spans="1:19" hidden="1">
      <c r="A16" s="112"/>
      <c r="B16" s="112"/>
      <c r="C16" s="112"/>
      <c r="D16" s="3"/>
      <c r="E16" s="10"/>
      <c r="F16" s="1"/>
      <c r="G16" s="1"/>
      <c r="H16" s="1"/>
      <c r="I16" s="10"/>
      <c r="J16" s="10"/>
      <c r="K16" s="10"/>
      <c r="L16" s="1"/>
      <c r="M16" s="1"/>
      <c r="N16" s="1"/>
      <c r="O16" s="1"/>
      <c r="P16" s="1"/>
      <c r="Q16" s="1"/>
      <c r="R16" s="1"/>
      <c r="S16" s="1"/>
    </row>
    <row r="17" spans="1:19" hidden="1">
      <c r="A17" s="318" t="s">
        <v>102</v>
      </c>
      <c r="B17" s="318"/>
      <c r="C17" s="318"/>
      <c r="D17" s="19">
        <f>Ingresos!D21</f>
        <v>0</v>
      </c>
      <c r="E17" s="12"/>
      <c r="F17" s="3"/>
      <c r="G17" s="3"/>
      <c r="H17" s="3"/>
      <c r="I17" s="6"/>
      <c r="J17" s="6"/>
      <c r="K17" s="6"/>
      <c r="L17" s="3"/>
      <c r="M17" s="1"/>
      <c r="N17" s="3"/>
      <c r="O17" s="1"/>
      <c r="P17" s="1"/>
      <c r="Q17" s="1"/>
      <c r="R17" s="1"/>
      <c r="S17" s="1"/>
    </row>
    <row r="18" spans="1:19" hidden="1">
      <c r="A18" s="112"/>
      <c r="B18" s="112"/>
      <c r="C18" s="112"/>
      <c r="D18" s="1"/>
      <c r="E18" s="12"/>
      <c r="F18" s="3"/>
      <c r="G18" s="3"/>
      <c r="H18" s="3"/>
      <c r="I18" s="6"/>
      <c r="J18" s="6"/>
      <c r="K18" s="6"/>
      <c r="L18" s="3"/>
      <c r="M18" s="1"/>
      <c r="N18" s="3"/>
      <c r="O18" s="1"/>
      <c r="P18" s="1"/>
      <c r="Q18" s="1"/>
      <c r="R18" s="1"/>
      <c r="S18" s="1"/>
    </row>
    <row r="19" spans="1:19" hidden="1">
      <c r="A19" s="112"/>
      <c r="B19" s="112"/>
      <c r="C19" s="112"/>
      <c r="D19" s="1"/>
      <c r="E19" s="6"/>
      <c r="F19" s="3"/>
      <c r="G19" s="3"/>
      <c r="H19" s="3"/>
      <c r="I19" s="6"/>
      <c r="J19" s="6"/>
      <c r="K19" s="6"/>
      <c r="L19" s="3"/>
      <c r="M19" s="1"/>
      <c r="N19" s="3"/>
      <c r="O19" s="1"/>
      <c r="P19" s="1"/>
      <c r="Q19" s="1"/>
      <c r="R19" s="1"/>
      <c r="S19" s="1"/>
    </row>
    <row r="20" spans="1:19" ht="15" hidden="1">
      <c r="A20" s="341"/>
      <c r="B20" s="341"/>
      <c r="C20" s="341"/>
      <c r="D20" s="1"/>
      <c r="E20" s="10"/>
      <c r="F20" s="17"/>
      <c r="G20" s="17"/>
      <c r="H20" s="17"/>
      <c r="I20" s="43"/>
      <c r="J20" s="43"/>
      <c r="K20" s="43"/>
      <c r="L20" s="17"/>
      <c r="M20" s="1"/>
      <c r="N20" s="17"/>
      <c r="O20" s="1"/>
      <c r="P20" s="1"/>
      <c r="Q20" s="1"/>
      <c r="R20" s="1"/>
      <c r="S20" s="1"/>
    </row>
    <row r="21" spans="1:19" ht="13.5" hidden="1" thickBot="1">
      <c r="A21" s="342"/>
      <c r="B21" s="342"/>
      <c r="C21" s="342"/>
      <c r="D21" s="1"/>
      <c r="E21" s="10"/>
      <c r="F21" s="17"/>
      <c r="G21" s="17"/>
      <c r="H21" s="17"/>
      <c r="I21" s="43"/>
      <c r="J21" s="43"/>
      <c r="K21" s="43"/>
      <c r="L21" s="17"/>
      <c r="M21" s="1"/>
      <c r="N21" s="17"/>
      <c r="O21" s="1"/>
      <c r="P21" s="1"/>
      <c r="Q21" s="1"/>
      <c r="R21" s="1"/>
      <c r="S21" s="1"/>
    </row>
    <row r="22" spans="1:19" ht="39" thickBot="1">
      <c r="A22" s="336" t="s">
        <v>103</v>
      </c>
      <c r="B22" s="336"/>
      <c r="C22" s="336" t="s">
        <v>1241</v>
      </c>
      <c r="D22" s="336" t="str">
        <f>+'Ingresos Proyecciones'!C22</f>
        <v>Escenario Financiero Año 2009</v>
      </c>
      <c r="E22" s="336" t="str">
        <f>+'Ingresos Proyecciones'!D22</f>
        <v>Escenario Financiero Año 2010</v>
      </c>
      <c r="F22" s="336" t="str">
        <f>+'Ingresos Proyecciones'!E22</f>
        <v>Escenario Financiero Año 2011</v>
      </c>
      <c r="G22" s="336" t="str">
        <f>+'Ingresos Proyecciones'!F22</f>
        <v>Escenario Financiero Año 2012</v>
      </c>
      <c r="H22" s="336" t="str">
        <f>+'Ingresos Proyecciones'!G22</f>
        <v>Escenario Financiero Año 2013</v>
      </c>
      <c r="I22" s="336" t="str">
        <f>+'Ingresos Proyecciones'!H22</f>
        <v>Escenario Financiero Año 2014</v>
      </c>
      <c r="J22" s="336" t="str">
        <f>+'Ingresos Proyecciones'!I22</f>
        <v>Escenario Financiero Año 2015</v>
      </c>
      <c r="K22" s="336" t="str">
        <f>+'Ingresos Proyecciones'!J22</f>
        <v>Escenario Financiero Año 2016</v>
      </c>
      <c r="L22" s="336" t="str">
        <f>+'Ingresos Proyecciones'!K22</f>
        <v>Escenario Financiero Año 2017</v>
      </c>
      <c r="M22" s="336" t="str">
        <f>+'Ingresos Proyecciones'!L22</f>
        <v>Escenario Financiero Año 2018</v>
      </c>
      <c r="N22" s="336" t="str">
        <f>+'Ingresos Proyecciones'!M22</f>
        <v>Escenario Financiero Año 2019</v>
      </c>
      <c r="O22" s="336" t="str">
        <f>+'Ingresos Proyecciones'!N22</f>
        <v>Escenario Financiero Año 2020</v>
      </c>
      <c r="P22" s="336" t="str">
        <f>+'Ingresos Proyecciones'!O22</f>
        <v>Escenario Financiero Año 2021</v>
      </c>
      <c r="Q22" s="336" t="str">
        <f>+'Ingresos Proyecciones'!P22</f>
        <v>Escenario Financiero Año 2022</v>
      </c>
      <c r="R22" s="336" t="str">
        <f>+'Ingresos Proyecciones'!Q22</f>
        <v>Escenario Financiero Año 2023</v>
      </c>
      <c r="S22" s="336" t="s">
        <v>1018</v>
      </c>
    </row>
    <row r="23" spans="1:19" hidden="1">
      <c r="A23" s="337"/>
      <c r="B23" s="337"/>
      <c r="C23" s="337"/>
      <c r="D23" s="337"/>
      <c r="E23" s="337"/>
      <c r="F23" s="337"/>
      <c r="G23" s="337"/>
      <c r="H23" s="337"/>
      <c r="I23" s="337"/>
      <c r="J23" s="337"/>
      <c r="K23" s="337"/>
      <c r="L23" s="337"/>
      <c r="M23" s="337"/>
      <c r="N23" s="337"/>
      <c r="O23" s="337"/>
      <c r="P23" s="337"/>
      <c r="Q23" s="337"/>
      <c r="R23" s="337"/>
      <c r="S23" s="1154"/>
    </row>
    <row r="24" spans="1:19" ht="13.5" hidden="1" customHeight="1" thickBot="1">
      <c r="A24" s="338"/>
      <c r="B24" s="338"/>
      <c r="C24" s="338"/>
      <c r="D24" s="338"/>
      <c r="E24" s="338"/>
      <c r="F24" s="338"/>
      <c r="G24" s="338"/>
      <c r="H24" s="338"/>
      <c r="I24" s="338"/>
      <c r="J24" s="338"/>
      <c r="K24" s="338"/>
      <c r="L24" s="338"/>
      <c r="M24" s="338"/>
      <c r="N24" s="338"/>
      <c r="O24" s="338"/>
      <c r="P24" s="338"/>
      <c r="Q24" s="338"/>
      <c r="R24" s="338"/>
      <c r="S24" s="1155"/>
    </row>
    <row r="25" spans="1:19">
      <c r="A25" s="120" t="str">
        <f>+Gastos!A25</f>
        <v>2</v>
      </c>
      <c r="B25" s="68"/>
      <c r="C25" s="503" t="str">
        <f>+Gastos!C25</f>
        <v>GASTOS</v>
      </c>
      <c r="D25" s="62">
        <f>+D26+D72+D199+D222+D230</f>
        <v>6642691</v>
      </c>
      <c r="E25" s="62">
        <f t="shared" ref="E25:R25" si="0">+E26+E72+E199+E222+E230</f>
        <v>6291226.1999999993</v>
      </c>
      <c r="F25" s="62">
        <f t="shared" si="0"/>
        <v>6706172.4450000003</v>
      </c>
      <c r="G25" s="62">
        <f t="shared" si="0"/>
        <v>6618635.4172499999</v>
      </c>
      <c r="H25" s="62">
        <f t="shared" si="0"/>
        <v>5957129.8881125012</v>
      </c>
      <c r="I25" s="62">
        <f t="shared" si="0"/>
        <v>6137685.083518126</v>
      </c>
      <c r="J25" s="62">
        <f t="shared" si="0"/>
        <v>6383192.4636140326</v>
      </c>
      <c r="K25" s="62">
        <f t="shared" si="0"/>
        <v>6638519.8395395335</v>
      </c>
      <c r="L25" s="62">
        <f t="shared" si="0"/>
        <v>7704061.0723510776</v>
      </c>
      <c r="M25" s="62">
        <f t="shared" si="0"/>
        <v>7180222.7782420954</v>
      </c>
      <c r="N25" s="62">
        <f t="shared" si="0"/>
        <v>7467432.016420288</v>
      </c>
      <c r="O25" s="62">
        <f t="shared" si="0"/>
        <v>7766128.843592966</v>
      </c>
      <c r="P25" s="62">
        <f t="shared" si="0"/>
        <v>8076773.8423776366</v>
      </c>
      <c r="Q25" s="62">
        <f t="shared" si="0"/>
        <v>8399845.2406703942</v>
      </c>
      <c r="R25" s="62">
        <f t="shared" si="0"/>
        <v>8735838.9552614242</v>
      </c>
      <c r="S25" s="1309"/>
    </row>
    <row r="26" spans="1:19">
      <c r="A26" s="61" t="str">
        <f>+Gastos!A26</f>
        <v>21</v>
      </c>
      <c r="B26" s="68"/>
      <c r="C26" s="504" t="str">
        <f>+Gastos!C26</f>
        <v xml:space="preserve"> GASTOS DE FUNCIONAMIENTO</v>
      </c>
      <c r="D26" s="42">
        <f>+D27+D42+D46+D69</f>
        <v>827828</v>
      </c>
      <c r="E26" s="42">
        <f t="shared" ref="E26:R26" si="1">+E27+E42+E46+E69</f>
        <v>700143.85</v>
      </c>
      <c r="F26" s="42">
        <f t="shared" si="1"/>
        <v>633728</v>
      </c>
      <c r="G26" s="42">
        <f t="shared" si="1"/>
        <v>665414.39999999991</v>
      </c>
      <c r="H26" s="42">
        <f t="shared" si="1"/>
        <v>698685.12000000011</v>
      </c>
      <c r="I26" s="42">
        <f t="shared" si="1"/>
        <v>733619.37600000016</v>
      </c>
      <c r="J26" s="42">
        <f t="shared" si="1"/>
        <v>770300.3448000002</v>
      </c>
      <c r="K26" s="42">
        <f t="shared" si="1"/>
        <v>808815.36204000027</v>
      </c>
      <c r="L26" s="42">
        <f t="shared" si="1"/>
        <v>849256.13014200027</v>
      </c>
      <c r="M26" s="42">
        <f t="shared" si="1"/>
        <v>891718.93664910016</v>
      </c>
      <c r="N26" s="42">
        <f t="shared" si="1"/>
        <v>936304.88348155539</v>
      </c>
      <c r="O26" s="42">
        <f t="shared" si="1"/>
        <v>983120.12765563303</v>
      </c>
      <c r="P26" s="42">
        <f t="shared" si="1"/>
        <v>1032276.1340384148</v>
      </c>
      <c r="Q26" s="42">
        <f t="shared" si="1"/>
        <v>1083889.9407403355</v>
      </c>
      <c r="R26" s="42">
        <f t="shared" si="1"/>
        <v>1138084.4377773525</v>
      </c>
      <c r="S26" s="1310"/>
    </row>
    <row r="27" spans="1:19">
      <c r="A27" s="61" t="str">
        <f>+Gastos!A27</f>
        <v>211</v>
      </c>
      <c r="B27" s="68"/>
      <c r="C27" s="504" t="str">
        <f>+Gastos!C27</f>
        <v xml:space="preserve">  GASTOS DE PERSONAL</v>
      </c>
      <c r="D27" s="42">
        <f>+D28+D29+D35</f>
        <v>310428</v>
      </c>
      <c r="E27" s="42">
        <f t="shared" ref="E27:R27" si="2">+E28+E29+E35</f>
        <v>316296.84999999998</v>
      </c>
      <c r="F27" s="42">
        <f t="shared" si="2"/>
        <v>248973</v>
      </c>
      <c r="G27" s="42">
        <f t="shared" si="2"/>
        <v>261421.65</v>
      </c>
      <c r="H27" s="42">
        <f t="shared" si="2"/>
        <v>274492.73250000004</v>
      </c>
      <c r="I27" s="42">
        <f t="shared" si="2"/>
        <v>288217.36912500003</v>
      </c>
      <c r="J27" s="42">
        <f t="shared" si="2"/>
        <v>302628.23758125008</v>
      </c>
      <c r="K27" s="42">
        <f t="shared" si="2"/>
        <v>317759.64946031256</v>
      </c>
      <c r="L27" s="42">
        <f t="shared" si="2"/>
        <v>333647.63193332823</v>
      </c>
      <c r="M27" s="42">
        <f t="shared" si="2"/>
        <v>350330.01352999464</v>
      </c>
      <c r="N27" s="42">
        <f t="shared" si="2"/>
        <v>367846.51420649444</v>
      </c>
      <c r="O27" s="42">
        <f t="shared" si="2"/>
        <v>386238.83991681912</v>
      </c>
      <c r="P27" s="42">
        <f t="shared" si="2"/>
        <v>405550.78191266011</v>
      </c>
      <c r="Q27" s="42">
        <f t="shared" si="2"/>
        <v>425828.32100829313</v>
      </c>
      <c r="R27" s="42">
        <f t="shared" si="2"/>
        <v>447119.73705870786</v>
      </c>
      <c r="S27" s="1310"/>
    </row>
    <row r="28" spans="1:19">
      <c r="A28" s="61" t="str">
        <f>+Gastos!A28</f>
        <v>21101</v>
      </c>
      <c r="B28" s="68"/>
      <c r="C28" s="504" t="str">
        <f>+Gastos!C28</f>
        <v xml:space="preserve">   Servicios Personales Asociados a la Nómina</v>
      </c>
      <c r="D28" s="18">
        <v>251951</v>
      </c>
      <c r="E28" s="18">
        <v>254896</v>
      </c>
      <c r="F28" s="18">
        <v>235487</v>
      </c>
      <c r="G28" s="18">
        <f t="shared" ref="G28:R28" si="3">+F28*$E$8</f>
        <v>247261.35</v>
      </c>
      <c r="H28" s="18">
        <f t="shared" si="3"/>
        <v>259624.41750000001</v>
      </c>
      <c r="I28" s="18">
        <f t="shared" si="3"/>
        <v>272605.63837500004</v>
      </c>
      <c r="J28" s="18">
        <f t="shared" si="3"/>
        <v>286235.92029375007</v>
      </c>
      <c r="K28" s="18">
        <f t="shared" si="3"/>
        <v>300547.71630843758</v>
      </c>
      <c r="L28" s="18">
        <f t="shared" si="3"/>
        <v>315575.10212385945</v>
      </c>
      <c r="M28" s="18">
        <f t="shared" si="3"/>
        <v>331353.85723005247</v>
      </c>
      <c r="N28" s="18">
        <f t="shared" si="3"/>
        <v>347921.55009155511</v>
      </c>
      <c r="O28" s="18">
        <f t="shared" si="3"/>
        <v>365317.62759613286</v>
      </c>
      <c r="P28" s="18">
        <f t="shared" si="3"/>
        <v>383583.50897593953</v>
      </c>
      <c r="Q28" s="18">
        <f t="shared" si="3"/>
        <v>402762.68442473654</v>
      </c>
      <c r="R28" s="18">
        <f t="shared" si="3"/>
        <v>422900.8186459734</v>
      </c>
      <c r="S28" s="1310"/>
    </row>
    <row r="29" spans="1:19">
      <c r="A29" s="61" t="str">
        <f>+Gastos!A29</f>
        <v>21102</v>
      </c>
      <c r="B29" s="68"/>
      <c r="C29" s="504" t="str">
        <f>+Gastos!C29</f>
        <v xml:space="preserve">   Servicios Personales Indirectos</v>
      </c>
      <c r="D29" s="42">
        <f>SUM(D30:D34)</f>
        <v>0</v>
      </c>
      <c r="E29" s="42">
        <f t="shared" ref="E29:R29" si="4">SUM(E30:E34)</f>
        <v>0</v>
      </c>
      <c r="F29" s="42">
        <f t="shared" si="4"/>
        <v>0</v>
      </c>
      <c r="G29" s="42">
        <f t="shared" si="4"/>
        <v>0</v>
      </c>
      <c r="H29" s="42">
        <f t="shared" si="4"/>
        <v>0</v>
      </c>
      <c r="I29" s="42">
        <f t="shared" si="4"/>
        <v>0</v>
      </c>
      <c r="J29" s="42">
        <f t="shared" si="4"/>
        <v>0</v>
      </c>
      <c r="K29" s="42">
        <f t="shared" si="4"/>
        <v>0</v>
      </c>
      <c r="L29" s="42">
        <f t="shared" si="4"/>
        <v>0</v>
      </c>
      <c r="M29" s="42">
        <f t="shared" si="4"/>
        <v>0</v>
      </c>
      <c r="N29" s="42">
        <f t="shared" si="4"/>
        <v>0</v>
      </c>
      <c r="O29" s="42">
        <f t="shared" si="4"/>
        <v>0</v>
      </c>
      <c r="P29" s="42">
        <f t="shared" si="4"/>
        <v>0</v>
      </c>
      <c r="Q29" s="42">
        <f t="shared" si="4"/>
        <v>0</v>
      </c>
      <c r="R29" s="42">
        <f t="shared" si="4"/>
        <v>0</v>
      </c>
      <c r="S29" s="1310"/>
    </row>
    <row r="30" spans="1:19">
      <c r="A30" s="67" t="str">
        <f>+Gastos!A30</f>
        <v>2110201</v>
      </c>
      <c r="B30" s="68"/>
      <c r="C30" s="505" t="str">
        <f>+Gastos!C30</f>
        <v xml:space="preserve">      Honorarios</v>
      </c>
      <c r="D30" s="18">
        <v>0</v>
      </c>
      <c r="E30" s="18">
        <f>+D30*$E$8</f>
        <v>0</v>
      </c>
      <c r="F30" s="18">
        <f t="shared" ref="F30:R30" si="5">+E30*$E$8</f>
        <v>0</v>
      </c>
      <c r="G30" s="18">
        <f t="shared" si="5"/>
        <v>0</v>
      </c>
      <c r="H30" s="18">
        <f t="shared" si="5"/>
        <v>0</v>
      </c>
      <c r="I30" s="18">
        <f t="shared" si="5"/>
        <v>0</v>
      </c>
      <c r="J30" s="18">
        <f t="shared" si="5"/>
        <v>0</v>
      </c>
      <c r="K30" s="18">
        <f t="shared" si="5"/>
        <v>0</v>
      </c>
      <c r="L30" s="18">
        <f t="shared" si="5"/>
        <v>0</v>
      </c>
      <c r="M30" s="18">
        <f t="shared" si="5"/>
        <v>0</v>
      </c>
      <c r="N30" s="18">
        <f t="shared" si="5"/>
        <v>0</v>
      </c>
      <c r="O30" s="18">
        <f t="shared" si="5"/>
        <v>0</v>
      </c>
      <c r="P30" s="18">
        <f t="shared" si="5"/>
        <v>0</v>
      </c>
      <c r="Q30" s="18">
        <f t="shared" si="5"/>
        <v>0</v>
      </c>
      <c r="R30" s="18">
        <f t="shared" si="5"/>
        <v>0</v>
      </c>
      <c r="S30" s="1310"/>
    </row>
    <row r="31" spans="1:19">
      <c r="A31" s="67" t="str">
        <f>+Gastos!A31</f>
        <v>2110202</v>
      </c>
      <c r="B31" s="68"/>
      <c r="C31" s="505" t="str">
        <f>+Gastos!C31</f>
        <v xml:space="preserve">      Jornales</v>
      </c>
      <c r="D31" s="18">
        <v>0</v>
      </c>
      <c r="E31" s="18">
        <f>+D31*$E$8</f>
        <v>0</v>
      </c>
      <c r="F31" s="18">
        <f t="shared" ref="F31:R31" si="6">+E31*$E$8</f>
        <v>0</v>
      </c>
      <c r="G31" s="18">
        <f t="shared" si="6"/>
        <v>0</v>
      </c>
      <c r="H31" s="18">
        <f t="shared" si="6"/>
        <v>0</v>
      </c>
      <c r="I31" s="18">
        <f t="shared" si="6"/>
        <v>0</v>
      </c>
      <c r="J31" s="18">
        <f t="shared" si="6"/>
        <v>0</v>
      </c>
      <c r="K31" s="18">
        <f t="shared" si="6"/>
        <v>0</v>
      </c>
      <c r="L31" s="18">
        <f t="shared" si="6"/>
        <v>0</v>
      </c>
      <c r="M31" s="18">
        <f t="shared" si="6"/>
        <v>0</v>
      </c>
      <c r="N31" s="18">
        <f t="shared" si="6"/>
        <v>0</v>
      </c>
      <c r="O31" s="18">
        <f t="shared" si="6"/>
        <v>0</v>
      </c>
      <c r="P31" s="18">
        <f t="shared" si="6"/>
        <v>0</v>
      </c>
      <c r="Q31" s="18">
        <f t="shared" si="6"/>
        <v>0</v>
      </c>
      <c r="R31" s="18">
        <f t="shared" si="6"/>
        <v>0</v>
      </c>
      <c r="S31" s="1310"/>
    </row>
    <row r="32" spans="1:19">
      <c r="A32" s="67" t="str">
        <f>+Gastos!A32</f>
        <v>2110203</v>
      </c>
      <c r="B32" s="68"/>
      <c r="C32" s="505" t="str">
        <f>+Gastos!C32</f>
        <v xml:space="preserve">      Personal Supernumerario</v>
      </c>
      <c r="D32" s="18">
        <v>0</v>
      </c>
      <c r="E32" s="18">
        <f t="shared" ref="E32:R34" si="7">+D32*$E$8</f>
        <v>0</v>
      </c>
      <c r="F32" s="18">
        <f t="shared" si="7"/>
        <v>0</v>
      </c>
      <c r="G32" s="18">
        <f t="shared" si="7"/>
        <v>0</v>
      </c>
      <c r="H32" s="18">
        <f t="shared" si="7"/>
        <v>0</v>
      </c>
      <c r="I32" s="18">
        <f t="shared" si="7"/>
        <v>0</v>
      </c>
      <c r="J32" s="18">
        <f t="shared" si="7"/>
        <v>0</v>
      </c>
      <c r="K32" s="18">
        <f t="shared" si="7"/>
        <v>0</v>
      </c>
      <c r="L32" s="18">
        <f t="shared" si="7"/>
        <v>0</v>
      </c>
      <c r="M32" s="18">
        <f t="shared" si="7"/>
        <v>0</v>
      </c>
      <c r="N32" s="18">
        <f t="shared" si="7"/>
        <v>0</v>
      </c>
      <c r="O32" s="18">
        <f t="shared" si="7"/>
        <v>0</v>
      </c>
      <c r="P32" s="18">
        <f t="shared" si="7"/>
        <v>0</v>
      </c>
      <c r="Q32" s="18">
        <f t="shared" si="7"/>
        <v>0</v>
      </c>
      <c r="R32" s="18">
        <f t="shared" si="7"/>
        <v>0</v>
      </c>
      <c r="S32" s="1310"/>
    </row>
    <row r="33" spans="1:19">
      <c r="A33" s="67" t="str">
        <f>+Gastos!A33</f>
        <v>2110204</v>
      </c>
      <c r="B33" s="68"/>
      <c r="C33" s="505" t="str">
        <f>+Gastos!C33</f>
        <v xml:space="preserve">      Remuneración por Servicios Técnicos</v>
      </c>
      <c r="D33" s="18">
        <v>0</v>
      </c>
      <c r="E33" s="18">
        <f t="shared" si="7"/>
        <v>0</v>
      </c>
      <c r="F33" s="18">
        <f t="shared" si="7"/>
        <v>0</v>
      </c>
      <c r="G33" s="18">
        <f t="shared" si="7"/>
        <v>0</v>
      </c>
      <c r="H33" s="18">
        <f t="shared" si="7"/>
        <v>0</v>
      </c>
      <c r="I33" s="18">
        <f t="shared" si="7"/>
        <v>0</v>
      </c>
      <c r="J33" s="18">
        <f t="shared" si="7"/>
        <v>0</v>
      </c>
      <c r="K33" s="18">
        <f t="shared" si="7"/>
        <v>0</v>
      </c>
      <c r="L33" s="18">
        <f t="shared" si="7"/>
        <v>0</v>
      </c>
      <c r="M33" s="18">
        <f t="shared" si="7"/>
        <v>0</v>
      </c>
      <c r="N33" s="18">
        <f t="shared" si="7"/>
        <v>0</v>
      </c>
      <c r="O33" s="18">
        <f t="shared" si="7"/>
        <v>0</v>
      </c>
      <c r="P33" s="18">
        <f t="shared" si="7"/>
        <v>0</v>
      </c>
      <c r="Q33" s="18">
        <f t="shared" si="7"/>
        <v>0</v>
      </c>
      <c r="R33" s="18">
        <f t="shared" si="7"/>
        <v>0</v>
      </c>
      <c r="S33" s="1310"/>
    </row>
    <row r="34" spans="1:19">
      <c r="A34" s="67" t="str">
        <f>+Gastos!A34</f>
        <v>2110298</v>
      </c>
      <c r="B34" s="68"/>
      <c r="C34" s="505" t="str">
        <f>+Gastos!C34</f>
        <v xml:space="preserve">      Otros Servicios Personales Indirectos</v>
      </c>
      <c r="D34" s="18">
        <v>0</v>
      </c>
      <c r="E34" s="18">
        <f t="shared" si="7"/>
        <v>0</v>
      </c>
      <c r="F34" s="18">
        <f t="shared" si="7"/>
        <v>0</v>
      </c>
      <c r="G34" s="18">
        <f t="shared" si="7"/>
        <v>0</v>
      </c>
      <c r="H34" s="18">
        <f t="shared" si="7"/>
        <v>0</v>
      </c>
      <c r="I34" s="18">
        <f t="shared" si="7"/>
        <v>0</v>
      </c>
      <c r="J34" s="18">
        <f t="shared" si="7"/>
        <v>0</v>
      </c>
      <c r="K34" s="18">
        <f t="shared" si="7"/>
        <v>0</v>
      </c>
      <c r="L34" s="18">
        <f t="shared" si="7"/>
        <v>0</v>
      </c>
      <c r="M34" s="18">
        <f t="shared" si="7"/>
        <v>0</v>
      </c>
      <c r="N34" s="18">
        <f t="shared" si="7"/>
        <v>0</v>
      </c>
      <c r="O34" s="18">
        <f t="shared" si="7"/>
        <v>0</v>
      </c>
      <c r="P34" s="18">
        <f t="shared" si="7"/>
        <v>0</v>
      </c>
      <c r="Q34" s="18">
        <f t="shared" si="7"/>
        <v>0</v>
      </c>
      <c r="R34" s="18">
        <f t="shared" si="7"/>
        <v>0</v>
      </c>
      <c r="S34" s="1310"/>
    </row>
    <row r="35" spans="1:19">
      <c r="A35" s="61" t="str">
        <f>+Gastos!A35</f>
        <v>21103</v>
      </c>
      <c r="B35" s="68"/>
      <c r="C35" s="504" t="str">
        <f>+Gastos!C35</f>
        <v xml:space="preserve">   Contribuciones Inherentes a la Nómina</v>
      </c>
      <c r="D35" s="42">
        <f>+D36+D39</f>
        <v>58477</v>
      </c>
      <c r="E35" s="42">
        <f t="shared" ref="E35:R35" si="8">+E36+E39</f>
        <v>61400.850000000006</v>
      </c>
      <c r="F35" s="42">
        <f t="shared" si="8"/>
        <v>13486</v>
      </c>
      <c r="G35" s="42">
        <f t="shared" si="8"/>
        <v>14160.300000000001</v>
      </c>
      <c r="H35" s="42">
        <f t="shared" si="8"/>
        <v>14868.315000000002</v>
      </c>
      <c r="I35" s="42">
        <f t="shared" si="8"/>
        <v>15611.730750000002</v>
      </c>
      <c r="J35" s="42">
        <f t="shared" si="8"/>
        <v>16392.317287500002</v>
      </c>
      <c r="K35" s="42">
        <f t="shared" si="8"/>
        <v>17211.933151875004</v>
      </c>
      <c r="L35" s="42">
        <f t="shared" si="8"/>
        <v>18072.529809468757</v>
      </c>
      <c r="M35" s="42">
        <f t="shared" si="8"/>
        <v>18976.156299942195</v>
      </c>
      <c r="N35" s="42">
        <f t="shared" si="8"/>
        <v>19924.964114939306</v>
      </c>
      <c r="O35" s="42">
        <f t="shared" si="8"/>
        <v>20921.212320686271</v>
      </c>
      <c r="P35" s="42">
        <f t="shared" si="8"/>
        <v>21967.272936720587</v>
      </c>
      <c r="Q35" s="42">
        <f t="shared" si="8"/>
        <v>23065.636583556618</v>
      </c>
      <c r="R35" s="42">
        <f t="shared" si="8"/>
        <v>24218.918412734449</v>
      </c>
      <c r="S35" s="1310"/>
    </row>
    <row r="36" spans="1:19">
      <c r="A36" s="61" t="str">
        <f>+Gastos!A36</f>
        <v>2110301</v>
      </c>
      <c r="B36" s="68"/>
      <c r="C36" s="504" t="str">
        <f>+Gastos!C36</f>
        <v xml:space="preserve">      Al Sector Público</v>
      </c>
      <c r="D36" s="42">
        <f>SUM(D37:D38)</f>
        <v>58477</v>
      </c>
      <c r="E36" s="42">
        <f t="shared" ref="E36:R36" si="9">SUM(E37:E38)</f>
        <v>61400.850000000006</v>
      </c>
      <c r="F36" s="42">
        <f t="shared" si="9"/>
        <v>13486</v>
      </c>
      <c r="G36" s="42">
        <f t="shared" si="9"/>
        <v>14160.300000000001</v>
      </c>
      <c r="H36" s="42">
        <f t="shared" si="9"/>
        <v>14868.315000000002</v>
      </c>
      <c r="I36" s="42">
        <f t="shared" si="9"/>
        <v>15611.730750000002</v>
      </c>
      <c r="J36" s="42">
        <f t="shared" si="9"/>
        <v>16392.317287500002</v>
      </c>
      <c r="K36" s="42">
        <f t="shared" si="9"/>
        <v>17211.933151875004</v>
      </c>
      <c r="L36" s="42">
        <f t="shared" si="9"/>
        <v>18072.529809468757</v>
      </c>
      <c r="M36" s="42">
        <f t="shared" si="9"/>
        <v>18976.156299942195</v>
      </c>
      <c r="N36" s="42">
        <f t="shared" si="9"/>
        <v>19924.964114939306</v>
      </c>
      <c r="O36" s="42">
        <f t="shared" si="9"/>
        <v>20921.212320686271</v>
      </c>
      <c r="P36" s="42">
        <f t="shared" si="9"/>
        <v>21967.272936720587</v>
      </c>
      <c r="Q36" s="42">
        <f t="shared" si="9"/>
        <v>23065.636583556618</v>
      </c>
      <c r="R36" s="42">
        <f t="shared" si="9"/>
        <v>24218.918412734449</v>
      </c>
      <c r="S36" s="1310"/>
    </row>
    <row r="37" spans="1:19">
      <c r="A37" s="67" t="str">
        <f>+Gastos!A37</f>
        <v>211030101</v>
      </c>
      <c r="B37" s="68"/>
      <c r="C37" s="505" t="str">
        <f>+Gastos!C37</f>
        <v xml:space="preserve">        Aportes Previsión Social</v>
      </c>
      <c r="D37" s="18">
        <v>41483</v>
      </c>
      <c r="E37" s="18">
        <f>+D37*$E$8</f>
        <v>43557.15</v>
      </c>
      <c r="F37" s="18">
        <v>3557</v>
      </c>
      <c r="G37" s="18">
        <f t="shared" ref="G37:R37" si="10">+F37*$E$8</f>
        <v>3734.8500000000004</v>
      </c>
      <c r="H37" s="18">
        <f t="shared" si="10"/>
        <v>3921.5925000000007</v>
      </c>
      <c r="I37" s="18">
        <f t="shared" si="10"/>
        <v>4117.672125000001</v>
      </c>
      <c r="J37" s="18">
        <f t="shared" si="10"/>
        <v>4323.5557312500014</v>
      </c>
      <c r="K37" s="18">
        <f t="shared" si="10"/>
        <v>4539.7335178125013</v>
      </c>
      <c r="L37" s="18">
        <f t="shared" si="10"/>
        <v>4766.7201937031268</v>
      </c>
      <c r="M37" s="18">
        <f t="shared" si="10"/>
        <v>5005.0562033882834</v>
      </c>
      <c r="N37" s="18">
        <f t="shared" si="10"/>
        <v>5255.3090135576977</v>
      </c>
      <c r="O37" s="18">
        <f t="shared" si="10"/>
        <v>5518.074464235583</v>
      </c>
      <c r="P37" s="18">
        <f t="shared" si="10"/>
        <v>5793.9781874473629</v>
      </c>
      <c r="Q37" s="18">
        <f t="shared" si="10"/>
        <v>6083.6770968197316</v>
      </c>
      <c r="R37" s="18">
        <f t="shared" si="10"/>
        <v>6387.8609516607185</v>
      </c>
      <c r="S37" s="1310"/>
    </row>
    <row r="38" spans="1:19">
      <c r="A38" s="67" t="str">
        <f>+Gastos!A38</f>
        <v>211030102</v>
      </c>
      <c r="B38" s="68"/>
      <c r="C38" s="505" t="str">
        <f>+Gastos!C38</f>
        <v xml:space="preserve">        Aportes Parafiscales</v>
      </c>
      <c r="D38" s="18">
        <v>16994</v>
      </c>
      <c r="E38" s="18">
        <f>+D38*$E$8</f>
        <v>17843.7</v>
      </c>
      <c r="F38" s="18">
        <v>9929</v>
      </c>
      <c r="G38" s="18">
        <f t="shared" ref="G38:R38" si="11">+F38*$E$8</f>
        <v>10425.450000000001</v>
      </c>
      <c r="H38" s="18">
        <f t="shared" si="11"/>
        <v>10946.722500000002</v>
      </c>
      <c r="I38" s="18">
        <f t="shared" si="11"/>
        <v>11494.058625000001</v>
      </c>
      <c r="J38" s="18">
        <f t="shared" si="11"/>
        <v>12068.761556250001</v>
      </c>
      <c r="K38" s="18">
        <f t="shared" si="11"/>
        <v>12672.199634062503</v>
      </c>
      <c r="L38" s="18">
        <f t="shared" si="11"/>
        <v>13305.809615765629</v>
      </c>
      <c r="M38" s="18">
        <f t="shared" si="11"/>
        <v>13971.100096553911</v>
      </c>
      <c r="N38" s="18">
        <f t="shared" si="11"/>
        <v>14669.655101381608</v>
      </c>
      <c r="O38" s="18">
        <f t="shared" si="11"/>
        <v>15403.137856450689</v>
      </c>
      <c r="P38" s="18">
        <f t="shared" si="11"/>
        <v>16173.294749273224</v>
      </c>
      <c r="Q38" s="18">
        <f t="shared" si="11"/>
        <v>16981.959486736887</v>
      </c>
      <c r="R38" s="18">
        <f t="shared" si="11"/>
        <v>17831.057461073731</v>
      </c>
      <c r="S38" s="1310"/>
    </row>
    <row r="39" spans="1:19">
      <c r="A39" s="61" t="str">
        <f>+Gastos!A39</f>
        <v>2110302</v>
      </c>
      <c r="B39" s="68"/>
      <c r="C39" s="504" t="str">
        <f>+Gastos!C39</f>
        <v xml:space="preserve">      Al Sector Privado</v>
      </c>
      <c r="D39" s="42">
        <f>SUM(D40:D41)</f>
        <v>0</v>
      </c>
      <c r="E39" s="42">
        <f t="shared" ref="E39:R39" si="12">SUM(E40:E41)</f>
        <v>0</v>
      </c>
      <c r="F39" s="42">
        <f t="shared" si="12"/>
        <v>0</v>
      </c>
      <c r="G39" s="42">
        <f t="shared" si="12"/>
        <v>0</v>
      </c>
      <c r="H39" s="42">
        <f t="shared" si="12"/>
        <v>0</v>
      </c>
      <c r="I39" s="42">
        <f t="shared" si="12"/>
        <v>0</v>
      </c>
      <c r="J39" s="42">
        <f t="shared" si="12"/>
        <v>0</v>
      </c>
      <c r="K39" s="42">
        <f t="shared" si="12"/>
        <v>0</v>
      </c>
      <c r="L39" s="42">
        <f t="shared" si="12"/>
        <v>0</v>
      </c>
      <c r="M39" s="42">
        <f t="shared" si="12"/>
        <v>0</v>
      </c>
      <c r="N39" s="42">
        <f t="shared" si="12"/>
        <v>0</v>
      </c>
      <c r="O39" s="42">
        <f t="shared" si="12"/>
        <v>0</v>
      </c>
      <c r="P39" s="42">
        <f t="shared" si="12"/>
        <v>0</v>
      </c>
      <c r="Q39" s="42">
        <f t="shared" si="12"/>
        <v>0</v>
      </c>
      <c r="R39" s="42">
        <f t="shared" si="12"/>
        <v>0</v>
      </c>
      <c r="S39" s="1310"/>
    </row>
    <row r="40" spans="1:19">
      <c r="A40" s="67" t="str">
        <f>+Gastos!A40</f>
        <v>211030201</v>
      </c>
      <c r="B40" s="68"/>
      <c r="C40" s="505" t="str">
        <f>+Gastos!C40</f>
        <v xml:space="preserve">        Aportes Previsión Social</v>
      </c>
      <c r="D40" s="18">
        <v>0</v>
      </c>
      <c r="E40" s="18">
        <f>+D40*$E$8</f>
        <v>0</v>
      </c>
      <c r="F40" s="18">
        <f t="shared" ref="F40:R40" si="13">+E40*$E$8</f>
        <v>0</v>
      </c>
      <c r="G40" s="18">
        <f t="shared" si="13"/>
        <v>0</v>
      </c>
      <c r="H40" s="18">
        <f t="shared" si="13"/>
        <v>0</v>
      </c>
      <c r="I40" s="18">
        <f t="shared" si="13"/>
        <v>0</v>
      </c>
      <c r="J40" s="18">
        <f t="shared" si="13"/>
        <v>0</v>
      </c>
      <c r="K40" s="18">
        <f t="shared" si="13"/>
        <v>0</v>
      </c>
      <c r="L40" s="18">
        <f t="shared" si="13"/>
        <v>0</v>
      </c>
      <c r="M40" s="18">
        <f t="shared" si="13"/>
        <v>0</v>
      </c>
      <c r="N40" s="18">
        <f t="shared" si="13"/>
        <v>0</v>
      </c>
      <c r="O40" s="18">
        <f t="shared" si="13"/>
        <v>0</v>
      </c>
      <c r="P40" s="18">
        <f t="shared" si="13"/>
        <v>0</v>
      </c>
      <c r="Q40" s="18">
        <f t="shared" si="13"/>
        <v>0</v>
      </c>
      <c r="R40" s="18">
        <f t="shared" si="13"/>
        <v>0</v>
      </c>
      <c r="S40" s="1310"/>
    </row>
    <row r="41" spans="1:19">
      <c r="A41" s="67" t="str">
        <f>+Gastos!A41</f>
        <v>211030202</v>
      </c>
      <c r="B41" s="68"/>
      <c r="C41" s="505" t="str">
        <f>+Gastos!C41</f>
        <v xml:space="preserve">        Aportes Parafiscales</v>
      </c>
      <c r="D41" s="18">
        <v>0</v>
      </c>
      <c r="E41" s="18">
        <f>+D41*$E$8</f>
        <v>0</v>
      </c>
      <c r="F41" s="18">
        <f t="shared" ref="F41:R41" si="14">+E41*$E$8</f>
        <v>0</v>
      </c>
      <c r="G41" s="18">
        <f t="shared" si="14"/>
        <v>0</v>
      </c>
      <c r="H41" s="18">
        <f t="shared" si="14"/>
        <v>0</v>
      </c>
      <c r="I41" s="18">
        <f t="shared" si="14"/>
        <v>0</v>
      </c>
      <c r="J41" s="18">
        <f t="shared" si="14"/>
        <v>0</v>
      </c>
      <c r="K41" s="18">
        <f t="shared" si="14"/>
        <v>0</v>
      </c>
      <c r="L41" s="18">
        <f t="shared" si="14"/>
        <v>0</v>
      </c>
      <c r="M41" s="18">
        <f t="shared" si="14"/>
        <v>0</v>
      </c>
      <c r="N41" s="18">
        <f t="shared" si="14"/>
        <v>0</v>
      </c>
      <c r="O41" s="18">
        <f t="shared" si="14"/>
        <v>0</v>
      </c>
      <c r="P41" s="18">
        <f t="shared" si="14"/>
        <v>0</v>
      </c>
      <c r="Q41" s="18">
        <f t="shared" si="14"/>
        <v>0</v>
      </c>
      <c r="R41" s="18">
        <f t="shared" si="14"/>
        <v>0</v>
      </c>
      <c r="S41" s="1310"/>
    </row>
    <row r="42" spans="1:19">
      <c r="A42" s="61" t="str">
        <f>+Gastos!A42</f>
        <v>212</v>
      </c>
      <c r="B42" s="68"/>
      <c r="C42" s="504" t="str">
        <f>+Gastos!C42</f>
        <v xml:space="preserve">  GASTOS GENERALES</v>
      </c>
      <c r="D42" s="42">
        <f>SUM(D43:D45)</f>
        <v>134441</v>
      </c>
      <c r="E42" s="42">
        <f t="shared" ref="E42:R42" si="15">SUM(E43:E45)</f>
        <v>19671</v>
      </c>
      <c r="F42" s="42">
        <f t="shared" si="15"/>
        <v>17213</v>
      </c>
      <c r="G42" s="42">
        <f t="shared" si="15"/>
        <v>18073.650000000001</v>
      </c>
      <c r="H42" s="42">
        <f t="shared" si="15"/>
        <v>18977.332500000004</v>
      </c>
      <c r="I42" s="42">
        <f t="shared" si="15"/>
        <v>19926.199125000006</v>
      </c>
      <c r="J42" s="42">
        <f t="shared" si="15"/>
        <v>20922.509081250006</v>
      </c>
      <c r="K42" s="42">
        <f t="shared" si="15"/>
        <v>21968.634535312507</v>
      </c>
      <c r="L42" s="42">
        <f t="shared" si="15"/>
        <v>23067.06626207813</v>
      </c>
      <c r="M42" s="42">
        <f t="shared" si="15"/>
        <v>24220.419575182037</v>
      </c>
      <c r="N42" s="42">
        <f t="shared" si="15"/>
        <v>25431.440553941142</v>
      </c>
      <c r="O42" s="42">
        <f t="shared" si="15"/>
        <v>26703.012581638199</v>
      </c>
      <c r="P42" s="42">
        <f t="shared" si="15"/>
        <v>28038.163210720111</v>
      </c>
      <c r="Q42" s="42">
        <f t="shared" si="15"/>
        <v>29440.071371256119</v>
      </c>
      <c r="R42" s="42">
        <f t="shared" si="15"/>
        <v>30912.074939818922</v>
      </c>
      <c r="S42" s="1310"/>
    </row>
    <row r="43" spans="1:19">
      <c r="A43" s="67" t="str">
        <f>+Gastos!A43</f>
        <v>21201</v>
      </c>
      <c r="B43" s="68"/>
      <c r="C43" s="505" t="str">
        <f>+Gastos!C43</f>
        <v xml:space="preserve">    Adquisición de Bienes</v>
      </c>
      <c r="D43" s="18">
        <v>62509</v>
      </c>
      <c r="E43" s="18">
        <v>9820</v>
      </c>
      <c r="F43" s="18">
        <v>7393</v>
      </c>
      <c r="G43" s="18">
        <f t="shared" ref="G43:R43" si="16">+F43*$E$8</f>
        <v>7762.6500000000005</v>
      </c>
      <c r="H43" s="18">
        <f t="shared" si="16"/>
        <v>8150.7825000000012</v>
      </c>
      <c r="I43" s="18">
        <f t="shared" si="16"/>
        <v>8558.3216250000023</v>
      </c>
      <c r="J43" s="18">
        <f t="shared" si="16"/>
        <v>8986.2377062500036</v>
      </c>
      <c r="K43" s="18">
        <f t="shared" si="16"/>
        <v>9435.5495915625033</v>
      </c>
      <c r="L43" s="18">
        <f t="shared" si="16"/>
        <v>9907.3270711406294</v>
      </c>
      <c r="M43" s="18">
        <f t="shared" si="16"/>
        <v>10402.693424697662</v>
      </c>
      <c r="N43" s="18">
        <f t="shared" si="16"/>
        <v>10922.828095932546</v>
      </c>
      <c r="O43" s="18">
        <f t="shared" si="16"/>
        <v>11468.969500729174</v>
      </c>
      <c r="P43" s="18">
        <f t="shared" si="16"/>
        <v>12042.417975765633</v>
      </c>
      <c r="Q43" s="18">
        <f t="shared" si="16"/>
        <v>12644.538874553915</v>
      </c>
      <c r="R43" s="18">
        <f t="shared" si="16"/>
        <v>13276.76581828161</v>
      </c>
      <c r="S43" s="1310"/>
    </row>
    <row r="44" spans="1:19">
      <c r="A44" s="67" t="str">
        <f>+Gastos!A44</f>
        <v>21202</v>
      </c>
      <c r="B44" s="68"/>
      <c r="C44" s="505" t="str">
        <f>+Gastos!C44</f>
        <v xml:space="preserve">    Adquisición de Servicios</v>
      </c>
      <c r="D44" s="18">
        <v>71932</v>
      </c>
      <c r="E44" s="18">
        <v>9851</v>
      </c>
      <c r="F44" s="18">
        <v>9820</v>
      </c>
      <c r="G44" s="18">
        <f t="shared" ref="G44:R44" si="17">+F44*$E$8</f>
        <v>10311</v>
      </c>
      <c r="H44" s="18">
        <f t="shared" si="17"/>
        <v>10826.550000000001</v>
      </c>
      <c r="I44" s="18">
        <f t="shared" si="17"/>
        <v>11367.877500000002</v>
      </c>
      <c r="J44" s="18">
        <f t="shared" si="17"/>
        <v>11936.271375000002</v>
      </c>
      <c r="K44" s="18">
        <f t="shared" si="17"/>
        <v>12533.084943750002</v>
      </c>
      <c r="L44" s="18">
        <f t="shared" si="17"/>
        <v>13159.739190937502</v>
      </c>
      <c r="M44" s="18">
        <f t="shared" si="17"/>
        <v>13817.726150484377</v>
      </c>
      <c r="N44" s="18">
        <f t="shared" si="17"/>
        <v>14508.612458008596</v>
      </c>
      <c r="O44" s="18">
        <f t="shared" si="17"/>
        <v>15234.043080909027</v>
      </c>
      <c r="P44" s="18">
        <f t="shared" si="17"/>
        <v>15995.745234954478</v>
      </c>
      <c r="Q44" s="18">
        <f t="shared" si="17"/>
        <v>16795.532496702202</v>
      </c>
      <c r="R44" s="18">
        <f t="shared" si="17"/>
        <v>17635.309121537313</v>
      </c>
      <c r="S44" s="1310"/>
    </row>
    <row r="45" spans="1:19">
      <c r="A45" s="67" t="str">
        <f>+Gastos!A45</f>
        <v>21298</v>
      </c>
      <c r="B45" s="68"/>
      <c r="C45" s="505" t="str">
        <f>+Gastos!C45</f>
        <v xml:space="preserve">    Otros Gastos Generales</v>
      </c>
      <c r="D45" s="18">
        <v>0</v>
      </c>
      <c r="E45" s="18">
        <f>+D45*$E$8</f>
        <v>0</v>
      </c>
      <c r="F45" s="18">
        <f t="shared" ref="F45:R45" si="18">+E45*$E$8</f>
        <v>0</v>
      </c>
      <c r="G45" s="18">
        <f t="shared" si="18"/>
        <v>0</v>
      </c>
      <c r="H45" s="18">
        <f t="shared" si="18"/>
        <v>0</v>
      </c>
      <c r="I45" s="18">
        <f t="shared" si="18"/>
        <v>0</v>
      </c>
      <c r="J45" s="18">
        <f t="shared" si="18"/>
        <v>0</v>
      </c>
      <c r="K45" s="18">
        <f t="shared" si="18"/>
        <v>0</v>
      </c>
      <c r="L45" s="18">
        <f t="shared" si="18"/>
        <v>0</v>
      </c>
      <c r="M45" s="18">
        <f t="shared" si="18"/>
        <v>0</v>
      </c>
      <c r="N45" s="18">
        <f t="shared" si="18"/>
        <v>0</v>
      </c>
      <c r="O45" s="18">
        <f t="shared" si="18"/>
        <v>0</v>
      </c>
      <c r="P45" s="18">
        <f t="shared" si="18"/>
        <v>0</v>
      </c>
      <c r="Q45" s="18">
        <f t="shared" si="18"/>
        <v>0</v>
      </c>
      <c r="R45" s="18">
        <f t="shared" si="18"/>
        <v>0</v>
      </c>
      <c r="S45" s="1310"/>
    </row>
    <row r="46" spans="1:19">
      <c r="A46" s="61" t="str">
        <f>+Gastos!A46</f>
        <v>213</v>
      </c>
      <c r="B46" s="68"/>
      <c r="C46" s="504" t="str">
        <f>+Gastos!C46</f>
        <v xml:space="preserve">  TRANSFERENCIAS</v>
      </c>
      <c r="D46" s="1019">
        <f>+D47+D58+D66+D67+D68+D64+D65</f>
        <v>382959</v>
      </c>
      <c r="E46" s="1019">
        <f t="shared" ref="E46:R46" si="19">+E47+E58+E66+E67+E68+E64+E65</f>
        <v>364176</v>
      </c>
      <c r="F46" s="1019">
        <f t="shared" si="19"/>
        <v>367542</v>
      </c>
      <c r="G46" s="1019">
        <f t="shared" si="19"/>
        <v>385919.1</v>
      </c>
      <c r="H46" s="1019">
        <f t="shared" si="19"/>
        <v>405215.05500000005</v>
      </c>
      <c r="I46" s="1019">
        <f t="shared" si="19"/>
        <v>425475.80775000009</v>
      </c>
      <c r="J46" s="1019">
        <f t="shared" si="19"/>
        <v>446749.59813750011</v>
      </c>
      <c r="K46" s="1019">
        <f t="shared" si="19"/>
        <v>469087.07804437511</v>
      </c>
      <c r="L46" s="1019">
        <f t="shared" si="19"/>
        <v>492541.43194659386</v>
      </c>
      <c r="M46" s="1019">
        <f t="shared" si="19"/>
        <v>517168.50354392355</v>
      </c>
      <c r="N46" s="1019">
        <f t="shared" si="19"/>
        <v>543026.92872111977</v>
      </c>
      <c r="O46" s="1019">
        <f t="shared" si="19"/>
        <v>570178.27515717573</v>
      </c>
      <c r="P46" s="1019">
        <f t="shared" si="19"/>
        <v>598687.18891503452</v>
      </c>
      <c r="Q46" s="1019">
        <f t="shared" si="19"/>
        <v>628621.54836078628</v>
      </c>
      <c r="R46" s="1019">
        <f t="shared" si="19"/>
        <v>660052.6257788256</v>
      </c>
      <c r="S46" s="1310"/>
    </row>
    <row r="47" spans="1:19">
      <c r="A47" s="61" t="str">
        <f>+Gastos!A47</f>
        <v>21301</v>
      </c>
      <c r="B47" s="68"/>
      <c r="C47" s="504" t="str">
        <f>+Gastos!C47</f>
        <v xml:space="preserve">   Al Sector Público</v>
      </c>
      <c r="D47" s="42">
        <f>+D48+D52</f>
        <v>264187</v>
      </c>
      <c r="E47" s="42">
        <f t="shared" ref="E47:R47" si="20">+E48+E52</f>
        <v>320756</v>
      </c>
      <c r="F47" s="42">
        <f t="shared" si="20"/>
        <v>354600</v>
      </c>
      <c r="G47" s="42">
        <f t="shared" si="20"/>
        <v>372330</v>
      </c>
      <c r="H47" s="42">
        <f t="shared" si="20"/>
        <v>390946.50000000006</v>
      </c>
      <c r="I47" s="42">
        <f t="shared" si="20"/>
        <v>410493.82500000007</v>
      </c>
      <c r="J47" s="42">
        <f t="shared" si="20"/>
        <v>431018.5162500001</v>
      </c>
      <c r="K47" s="42">
        <f t="shared" si="20"/>
        <v>452569.44206250011</v>
      </c>
      <c r="L47" s="42">
        <f t="shared" si="20"/>
        <v>475197.91416562512</v>
      </c>
      <c r="M47" s="42">
        <f t="shared" si="20"/>
        <v>498957.80987390637</v>
      </c>
      <c r="N47" s="42">
        <f t="shared" si="20"/>
        <v>523905.7003676017</v>
      </c>
      <c r="O47" s="42">
        <f t="shared" si="20"/>
        <v>550100.98538598174</v>
      </c>
      <c r="P47" s="42">
        <f t="shared" si="20"/>
        <v>577606.03465528088</v>
      </c>
      <c r="Q47" s="42">
        <f t="shared" si="20"/>
        <v>606486.33638804499</v>
      </c>
      <c r="R47" s="42">
        <f t="shared" si="20"/>
        <v>636810.65320744715</v>
      </c>
      <c r="S47" s="1310"/>
    </row>
    <row r="48" spans="1:19">
      <c r="A48" s="68" t="str">
        <f>+Gastos!A48</f>
        <v>2130101</v>
      </c>
      <c r="B48" s="68"/>
      <c r="C48" s="504" t="str">
        <f>+Gastos!C48</f>
        <v xml:space="preserve">      Pagos de Previsión Social</v>
      </c>
      <c r="D48" s="42">
        <f>SUM(D49:D51)</f>
        <v>101000</v>
      </c>
      <c r="E48" s="42">
        <f t="shared" ref="E48:R48" si="21">SUM(E49:E51)</f>
        <v>145471</v>
      </c>
      <c r="F48" s="42">
        <f t="shared" si="21"/>
        <v>175139</v>
      </c>
      <c r="G48" s="42">
        <f t="shared" si="21"/>
        <v>183895.95</v>
      </c>
      <c r="H48" s="42">
        <f t="shared" si="21"/>
        <v>193090.74750000003</v>
      </c>
      <c r="I48" s="42">
        <f t="shared" si="21"/>
        <v>202745.28487500004</v>
      </c>
      <c r="J48" s="42">
        <f t="shared" si="21"/>
        <v>212882.54911875006</v>
      </c>
      <c r="K48" s="42">
        <f t="shared" si="21"/>
        <v>223526.67657468756</v>
      </c>
      <c r="L48" s="42">
        <f t="shared" si="21"/>
        <v>234703.01040342194</v>
      </c>
      <c r="M48" s="42">
        <f t="shared" si="21"/>
        <v>246438.16092359304</v>
      </c>
      <c r="N48" s="42">
        <f t="shared" si="21"/>
        <v>258760.06896977269</v>
      </c>
      <c r="O48" s="42">
        <f t="shared" si="21"/>
        <v>271698.07241826132</v>
      </c>
      <c r="P48" s="42">
        <f t="shared" si="21"/>
        <v>285282.97603917442</v>
      </c>
      <c r="Q48" s="42">
        <f t="shared" si="21"/>
        <v>299547.12484113313</v>
      </c>
      <c r="R48" s="42">
        <f t="shared" si="21"/>
        <v>314524.48108318978</v>
      </c>
      <c r="S48" s="1310"/>
    </row>
    <row r="49" spans="1:19">
      <c r="A49" s="67" t="str">
        <f>+Gastos!A49</f>
        <v>21301010101</v>
      </c>
      <c r="B49" s="68"/>
      <c r="C49" s="505" t="str">
        <f>+Gastos!C49</f>
        <v xml:space="preserve">          Cesantías (pagos directos)</v>
      </c>
      <c r="D49" s="18"/>
      <c r="E49" s="18">
        <f t="shared" ref="E49:R49" si="22">+D49*$E$8</f>
        <v>0</v>
      </c>
      <c r="F49" s="18">
        <f t="shared" si="22"/>
        <v>0</v>
      </c>
      <c r="G49" s="18">
        <f t="shared" si="22"/>
        <v>0</v>
      </c>
      <c r="H49" s="18">
        <f t="shared" si="22"/>
        <v>0</v>
      </c>
      <c r="I49" s="18">
        <f t="shared" si="22"/>
        <v>0</v>
      </c>
      <c r="J49" s="18">
        <f t="shared" si="22"/>
        <v>0</v>
      </c>
      <c r="K49" s="18">
        <f t="shared" si="22"/>
        <v>0</v>
      </c>
      <c r="L49" s="18">
        <f t="shared" si="22"/>
        <v>0</v>
      </c>
      <c r="M49" s="18">
        <f t="shared" si="22"/>
        <v>0</v>
      </c>
      <c r="N49" s="18">
        <f t="shared" si="22"/>
        <v>0</v>
      </c>
      <c r="O49" s="18">
        <f t="shared" si="22"/>
        <v>0</v>
      </c>
      <c r="P49" s="18">
        <f t="shared" si="22"/>
        <v>0</v>
      </c>
      <c r="Q49" s="18">
        <f t="shared" si="22"/>
        <v>0</v>
      </c>
      <c r="R49" s="18">
        <f t="shared" si="22"/>
        <v>0</v>
      </c>
      <c r="S49" s="1310"/>
    </row>
    <row r="50" spans="1:19">
      <c r="A50" s="67" t="str">
        <f>+Gastos!A50</f>
        <v>21301010102</v>
      </c>
      <c r="B50" s="68"/>
      <c r="C50" s="505" t="str">
        <f>+Gastos!C50</f>
        <v xml:space="preserve">          Pensiones (mesadas)</v>
      </c>
      <c r="D50" s="18">
        <v>101000</v>
      </c>
      <c r="E50" s="18">
        <v>145471</v>
      </c>
      <c r="F50" s="18">
        <v>175139</v>
      </c>
      <c r="G50" s="18">
        <f t="shared" ref="G50:R50" si="23">+F50*$E$8</f>
        <v>183895.95</v>
      </c>
      <c r="H50" s="18">
        <f t="shared" si="23"/>
        <v>193090.74750000003</v>
      </c>
      <c r="I50" s="18">
        <f t="shared" si="23"/>
        <v>202745.28487500004</v>
      </c>
      <c r="J50" s="18">
        <f t="shared" si="23"/>
        <v>212882.54911875006</v>
      </c>
      <c r="K50" s="18">
        <f t="shared" si="23"/>
        <v>223526.67657468756</v>
      </c>
      <c r="L50" s="18">
        <f t="shared" si="23"/>
        <v>234703.01040342194</v>
      </c>
      <c r="M50" s="18">
        <f t="shared" si="23"/>
        <v>246438.16092359304</v>
      </c>
      <c r="N50" s="18">
        <f t="shared" si="23"/>
        <v>258760.06896977269</v>
      </c>
      <c r="O50" s="18">
        <f t="shared" si="23"/>
        <v>271698.07241826132</v>
      </c>
      <c r="P50" s="18">
        <f t="shared" si="23"/>
        <v>285282.97603917442</v>
      </c>
      <c r="Q50" s="18">
        <f t="shared" si="23"/>
        <v>299547.12484113313</v>
      </c>
      <c r="R50" s="18">
        <f t="shared" si="23"/>
        <v>314524.48108318978</v>
      </c>
      <c r="S50" s="1310"/>
    </row>
    <row r="51" spans="1:19">
      <c r="A51" s="67" t="str">
        <f>+Gastos!A51</f>
        <v>21301010198</v>
      </c>
      <c r="B51" s="68"/>
      <c r="C51" s="505" t="str">
        <f>+Gastos!C51</f>
        <v xml:space="preserve">          Otras Prestaciones Sociales</v>
      </c>
      <c r="D51" s="18"/>
      <c r="E51" s="18">
        <f t="shared" ref="E51:R51" si="24">+D51*$E$8</f>
        <v>0</v>
      </c>
      <c r="F51" s="18">
        <f t="shared" si="24"/>
        <v>0</v>
      </c>
      <c r="G51" s="18">
        <f t="shared" si="24"/>
        <v>0</v>
      </c>
      <c r="H51" s="18">
        <f t="shared" si="24"/>
        <v>0</v>
      </c>
      <c r="I51" s="18">
        <f t="shared" si="24"/>
        <v>0</v>
      </c>
      <c r="J51" s="18">
        <f t="shared" si="24"/>
        <v>0</v>
      </c>
      <c r="K51" s="18">
        <f t="shared" si="24"/>
        <v>0</v>
      </c>
      <c r="L51" s="18">
        <f t="shared" si="24"/>
        <v>0</v>
      </c>
      <c r="M51" s="18">
        <f t="shared" si="24"/>
        <v>0</v>
      </c>
      <c r="N51" s="18">
        <f t="shared" si="24"/>
        <v>0</v>
      </c>
      <c r="O51" s="18">
        <f t="shared" si="24"/>
        <v>0</v>
      </c>
      <c r="P51" s="18">
        <f t="shared" si="24"/>
        <v>0</v>
      </c>
      <c r="Q51" s="18">
        <f t="shared" si="24"/>
        <v>0</v>
      </c>
      <c r="R51" s="18">
        <f t="shared" si="24"/>
        <v>0</v>
      </c>
      <c r="S51" s="1310"/>
    </row>
    <row r="52" spans="1:19">
      <c r="A52" s="67" t="str">
        <f>+Gastos!A52</f>
        <v>2130102</v>
      </c>
      <c r="B52" s="68"/>
      <c r="C52" s="504" t="str">
        <f>+Gastos!C52</f>
        <v xml:space="preserve">      Pagos a Otras Entidades del Sector Público</v>
      </c>
      <c r="D52" s="1019">
        <f>+D53+D54+D57+D55+D56</f>
        <v>163187</v>
      </c>
      <c r="E52" s="1019">
        <f t="shared" ref="E52:R52" si="25">+E53+E54+E57+E55+E56</f>
        <v>175285</v>
      </c>
      <c r="F52" s="1019">
        <f t="shared" si="25"/>
        <v>179461</v>
      </c>
      <c r="G52" s="1019">
        <f t="shared" si="25"/>
        <v>188434.05000000002</v>
      </c>
      <c r="H52" s="1019">
        <f t="shared" si="25"/>
        <v>197855.75250000003</v>
      </c>
      <c r="I52" s="1019">
        <f t="shared" si="25"/>
        <v>207748.54012500003</v>
      </c>
      <c r="J52" s="1019">
        <f t="shared" si="25"/>
        <v>218135.96713125004</v>
      </c>
      <c r="K52" s="1019">
        <f t="shared" si="25"/>
        <v>229042.76548781255</v>
      </c>
      <c r="L52" s="1019">
        <f t="shared" si="25"/>
        <v>240494.90376220318</v>
      </c>
      <c r="M52" s="1019">
        <f t="shared" si="25"/>
        <v>252519.64895031333</v>
      </c>
      <c r="N52" s="1019">
        <f t="shared" si="25"/>
        <v>265145.63139782898</v>
      </c>
      <c r="O52" s="1019">
        <f t="shared" si="25"/>
        <v>278402.91296772042</v>
      </c>
      <c r="P52" s="1019">
        <f t="shared" si="25"/>
        <v>292323.05861610646</v>
      </c>
      <c r="Q52" s="1019">
        <f t="shared" si="25"/>
        <v>306939.2115469118</v>
      </c>
      <c r="R52" s="1019">
        <f t="shared" si="25"/>
        <v>322286.17212425743</v>
      </c>
      <c r="S52" s="1310"/>
    </row>
    <row r="53" spans="1:19">
      <c r="A53" s="68" t="str">
        <f>+Gastos!A53</f>
        <v>213010201</v>
      </c>
      <c r="B53" s="68"/>
      <c r="C53" s="1175" t="str">
        <f>+Gastos!C53</f>
        <v xml:space="preserve">        Al Nivel Nacional (10% del S.G.P.- Forz. Inv.- Art. 49-Ley 863/03)</v>
      </c>
      <c r="D53" s="18">
        <v>0</v>
      </c>
      <c r="E53" s="18">
        <f t="shared" ref="E53:R54" si="26">+D53*$E$8</f>
        <v>0</v>
      </c>
      <c r="F53" s="18">
        <f t="shared" si="26"/>
        <v>0</v>
      </c>
      <c r="G53" s="18">
        <f t="shared" si="26"/>
        <v>0</v>
      </c>
      <c r="H53" s="18">
        <f t="shared" si="26"/>
        <v>0</v>
      </c>
      <c r="I53" s="18">
        <f t="shared" si="26"/>
        <v>0</v>
      </c>
      <c r="J53" s="18">
        <f t="shared" si="26"/>
        <v>0</v>
      </c>
      <c r="K53" s="18">
        <f t="shared" si="26"/>
        <v>0</v>
      </c>
      <c r="L53" s="18">
        <f t="shared" si="26"/>
        <v>0</v>
      </c>
      <c r="M53" s="18">
        <f t="shared" si="26"/>
        <v>0</v>
      </c>
      <c r="N53" s="18">
        <f t="shared" si="26"/>
        <v>0</v>
      </c>
      <c r="O53" s="18">
        <f t="shared" si="26"/>
        <v>0</v>
      </c>
      <c r="P53" s="18">
        <f t="shared" si="26"/>
        <v>0</v>
      </c>
      <c r="Q53" s="18">
        <f t="shared" si="26"/>
        <v>0</v>
      </c>
      <c r="R53" s="18">
        <f t="shared" si="26"/>
        <v>0</v>
      </c>
      <c r="S53" s="1310"/>
    </row>
    <row r="54" spans="1:19">
      <c r="A54" s="68" t="str">
        <f>+Gastos!A54</f>
        <v>213010202</v>
      </c>
      <c r="B54" s="68"/>
      <c r="C54" s="505" t="str">
        <f>+Gastos!C54</f>
        <v xml:space="preserve">        Departamento (Administración Central)</v>
      </c>
      <c r="D54" s="18"/>
      <c r="E54" s="18">
        <f t="shared" si="26"/>
        <v>0</v>
      </c>
      <c r="F54" s="18">
        <f t="shared" si="26"/>
        <v>0</v>
      </c>
      <c r="G54" s="18">
        <f t="shared" si="26"/>
        <v>0</v>
      </c>
      <c r="H54" s="18">
        <f t="shared" si="26"/>
        <v>0</v>
      </c>
      <c r="I54" s="18">
        <f t="shared" si="26"/>
        <v>0</v>
      </c>
      <c r="J54" s="18">
        <f t="shared" si="26"/>
        <v>0</v>
      </c>
      <c r="K54" s="18">
        <f t="shared" si="26"/>
        <v>0</v>
      </c>
      <c r="L54" s="18">
        <f t="shared" si="26"/>
        <v>0</v>
      </c>
      <c r="M54" s="18">
        <f t="shared" si="26"/>
        <v>0</v>
      </c>
      <c r="N54" s="18">
        <f t="shared" si="26"/>
        <v>0</v>
      </c>
      <c r="O54" s="18">
        <f t="shared" si="26"/>
        <v>0</v>
      </c>
      <c r="P54" s="18">
        <f t="shared" si="26"/>
        <v>0</v>
      </c>
      <c r="Q54" s="18">
        <f t="shared" si="26"/>
        <v>0</v>
      </c>
      <c r="R54" s="18">
        <f t="shared" si="26"/>
        <v>0</v>
      </c>
      <c r="S54" s="1310"/>
    </row>
    <row r="55" spans="1:19">
      <c r="A55" s="68" t="str">
        <f>+Gastos!A55</f>
        <v>213010203</v>
      </c>
      <c r="B55" s="68"/>
      <c r="C55" s="505" t="str">
        <f>+Gastos!C55</f>
        <v xml:space="preserve">        Distrito (Administración Central)</v>
      </c>
      <c r="D55" s="18">
        <v>0</v>
      </c>
      <c r="E55" s="18">
        <f>+D55*$E$8</f>
        <v>0</v>
      </c>
      <c r="F55" s="18">
        <f t="shared" ref="F55:R55" si="27">+E55*$E$8</f>
        <v>0</v>
      </c>
      <c r="G55" s="18">
        <f t="shared" si="27"/>
        <v>0</v>
      </c>
      <c r="H55" s="18">
        <f t="shared" si="27"/>
        <v>0</v>
      </c>
      <c r="I55" s="18">
        <f t="shared" si="27"/>
        <v>0</v>
      </c>
      <c r="J55" s="18">
        <f t="shared" si="27"/>
        <v>0</v>
      </c>
      <c r="K55" s="18">
        <f t="shared" si="27"/>
        <v>0</v>
      </c>
      <c r="L55" s="18">
        <f t="shared" si="27"/>
        <v>0</v>
      </c>
      <c r="M55" s="18">
        <f t="shared" si="27"/>
        <v>0</v>
      </c>
      <c r="N55" s="18">
        <f t="shared" si="27"/>
        <v>0</v>
      </c>
      <c r="O55" s="18">
        <f t="shared" si="27"/>
        <v>0</v>
      </c>
      <c r="P55" s="18">
        <f t="shared" si="27"/>
        <v>0</v>
      </c>
      <c r="Q55" s="18">
        <f t="shared" si="27"/>
        <v>0</v>
      </c>
      <c r="R55" s="18">
        <f t="shared" si="27"/>
        <v>0</v>
      </c>
      <c r="S55" s="1310"/>
    </row>
    <row r="56" spans="1:19">
      <c r="A56" s="68" t="str">
        <f>+Gastos!A56</f>
        <v>213010204</v>
      </c>
      <c r="B56" s="68"/>
      <c r="C56" s="505" t="str">
        <f>+Gastos!C56</f>
        <v xml:space="preserve">        Municipios (Administración Central)</v>
      </c>
      <c r="D56" s="18">
        <v>0</v>
      </c>
      <c r="E56" s="18">
        <f t="shared" ref="E56:R57" si="28">+D56*$E$8</f>
        <v>0</v>
      </c>
      <c r="F56" s="18">
        <f t="shared" si="28"/>
        <v>0</v>
      </c>
      <c r="G56" s="18">
        <f t="shared" si="28"/>
        <v>0</v>
      </c>
      <c r="H56" s="18">
        <f t="shared" si="28"/>
        <v>0</v>
      </c>
      <c r="I56" s="18">
        <f t="shared" si="28"/>
        <v>0</v>
      </c>
      <c r="J56" s="18">
        <f t="shared" si="28"/>
        <v>0</v>
      </c>
      <c r="K56" s="18">
        <f t="shared" si="28"/>
        <v>0</v>
      </c>
      <c r="L56" s="18">
        <f t="shared" si="28"/>
        <v>0</v>
      </c>
      <c r="M56" s="18">
        <f t="shared" si="28"/>
        <v>0</v>
      </c>
      <c r="N56" s="18">
        <f t="shared" si="28"/>
        <v>0</v>
      </c>
      <c r="O56" s="18">
        <f t="shared" si="28"/>
        <v>0</v>
      </c>
      <c r="P56" s="18">
        <f t="shared" si="28"/>
        <v>0</v>
      </c>
      <c r="Q56" s="18">
        <f t="shared" si="28"/>
        <v>0</v>
      </c>
      <c r="R56" s="18">
        <f t="shared" si="28"/>
        <v>0</v>
      </c>
      <c r="S56" s="1310"/>
    </row>
    <row r="57" spans="1:19">
      <c r="A57" s="68" t="str">
        <f>+Gastos!A57</f>
        <v>213010205</v>
      </c>
      <c r="B57" s="68"/>
      <c r="C57" s="505" t="str">
        <f>+Gastos!C57</f>
        <v xml:space="preserve">        A Entidades Descentralizadas</v>
      </c>
      <c r="D57" s="18">
        <v>163187</v>
      </c>
      <c r="E57" s="18">
        <v>175285</v>
      </c>
      <c r="F57" s="18">
        <v>179461</v>
      </c>
      <c r="G57" s="18">
        <f t="shared" si="28"/>
        <v>188434.05000000002</v>
      </c>
      <c r="H57" s="18">
        <f t="shared" si="28"/>
        <v>197855.75250000003</v>
      </c>
      <c r="I57" s="18">
        <f t="shared" si="28"/>
        <v>207748.54012500003</v>
      </c>
      <c r="J57" s="18">
        <f t="shared" si="28"/>
        <v>218135.96713125004</v>
      </c>
      <c r="K57" s="18">
        <f t="shared" si="28"/>
        <v>229042.76548781255</v>
      </c>
      <c r="L57" s="18">
        <f t="shared" si="28"/>
        <v>240494.90376220318</v>
      </c>
      <c r="M57" s="18">
        <f t="shared" si="28"/>
        <v>252519.64895031333</v>
      </c>
      <c r="N57" s="18">
        <f t="shared" si="28"/>
        <v>265145.63139782898</v>
      </c>
      <c r="O57" s="18">
        <f t="shared" si="28"/>
        <v>278402.91296772042</v>
      </c>
      <c r="P57" s="18">
        <f t="shared" si="28"/>
        <v>292323.05861610646</v>
      </c>
      <c r="Q57" s="18">
        <f t="shared" si="28"/>
        <v>306939.2115469118</v>
      </c>
      <c r="R57" s="18">
        <f t="shared" si="28"/>
        <v>322286.17212425743</v>
      </c>
      <c r="S57" s="1310"/>
    </row>
    <row r="58" spans="1:19">
      <c r="A58" s="61" t="str">
        <f>+Gastos!A58</f>
        <v>21302</v>
      </c>
      <c r="B58" s="68"/>
      <c r="C58" s="504" t="str">
        <f>+Gastos!C58</f>
        <v xml:space="preserve">   Al Sector Privado</v>
      </c>
      <c r="D58" s="42">
        <f>+D59+D63</f>
        <v>0</v>
      </c>
      <c r="E58" s="42">
        <f t="shared" ref="E58:R58" si="29">+E59+E63</f>
        <v>0</v>
      </c>
      <c r="F58" s="42">
        <f t="shared" si="29"/>
        <v>0</v>
      </c>
      <c r="G58" s="42">
        <f t="shared" si="29"/>
        <v>0</v>
      </c>
      <c r="H58" s="42">
        <f t="shared" si="29"/>
        <v>0</v>
      </c>
      <c r="I58" s="42">
        <f t="shared" si="29"/>
        <v>0</v>
      </c>
      <c r="J58" s="42">
        <f t="shared" si="29"/>
        <v>0</v>
      </c>
      <c r="K58" s="42">
        <f t="shared" si="29"/>
        <v>0</v>
      </c>
      <c r="L58" s="42">
        <f t="shared" si="29"/>
        <v>0</v>
      </c>
      <c r="M58" s="42">
        <f t="shared" si="29"/>
        <v>0</v>
      </c>
      <c r="N58" s="42">
        <f t="shared" si="29"/>
        <v>0</v>
      </c>
      <c r="O58" s="42">
        <f t="shared" si="29"/>
        <v>0</v>
      </c>
      <c r="P58" s="42">
        <f t="shared" si="29"/>
        <v>0</v>
      </c>
      <c r="Q58" s="42">
        <f t="shared" si="29"/>
        <v>0</v>
      </c>
      <c r="R58" s="42">
        <f t="shared" si="29"/>
        <v>0</v>
      </c>
      <c r="S58" s="1310"/>
    </row>
    <row r="59" spans="1:19">
      <c r="A59" s="61" t="str">
        <f>+Gastos!A59</f>
        <v>2130201</v>
      </c>
      <c r="B59" s="68"/>
      <c r="C59" s="504" t="str">
        <f>+Gastos!C59</f>
        <v xml:space="preserve">      Pagos de Previsión Social</v>
      </c>
      <c r="D59" s="42">
        <f>SUM(D60:D62)</f>
        <v>0</v>
      </c>
      <c r="E59" s="42">
        <f t="shared" ref="E59:R59" si="30">SUM(E60:E62)</f>
        <v>0</v>
      </c>
      <c r="F59" s="42">
        <f t="shared" si="30"/>
        <v>0</v>
      </c>
      <c r="G59" s="42">
        <f t="shared" si="30"/>
        <v>0</v>
      </c>
      <c r="H59" s="42">
        <f t="shared" si="30"/>
        <v>0</v>
      </c>
      <c r="I59" s="42">
        <f t="shared" si="30"/>
        <v>0</v>
      </c>
      <c r="J59" s="42">
        <f t="shared" si="30"/>
        <v>0</v>
      </c>
      <c r="K59" s="42">
        <f t="shared" si="30"/>
        <v>0</v>
      </c>
      <c r="L59" s="42">
        <f t="shared" si="30"/>
        <v>0</v>
      </c>
      <c r="M59" s="42">
        <f t="shared" si="30"/>
        <v>0</v>
      </c>
      <c r="N59" s="42">
        <f t="shared" si="30"/>
        <v>0</v>
      </c>
      <c r="O59" s="42">
        <f t="shared" si="30"/>
        <v>0</v>
      </c>
      <c r="P59" s="42">
        <f t="shared" si="30"/>
        <v>0</v>
      </c>
      <c r="Q59" s="42">
        <f t="shared" si="30"/>
        <v>0</v>
      </c>
      <c r="R59" s="42">
        <f t="shared" si="30"/>
        <v>0</v>
      </c>
      <c r="S59" s="1310"/>
    </row>
    <row r="60" spans="1:19">
      <c r="A60" s="67" t="str">
        <f>+Gastos!A60</f>
        <v>21302010101</v>
      </c>
      <c r="B60" s="68"/>
      <c r="C60" s="505" t="str">
        <f>+Gastos!C60</f>
        <v xml:space="preserve">          Cesantías (pagos directos)</v>
      </c>
      <c r="D60" s="18">
        <v>0</v>
      </c>
      <c r="E60" s="18">
        <f t="shared" ref="E60:E62" si="31">+D60*$E$8</f>
        <v>0</v>
      </c>
      <c r="F60" s="18">
        <f t="shared" ref="F60:F66" si="32">+E60*$E$8</f>
        <v>0</v>
      </c>
      <c r="G60" s="18">
        <f t="shared" ref="G60:G68" si="33">+F60*$E$8</f>
        <v>0</v>
      </c>
      <c r="H60" s="18">
        <f t="shared" ref="H60:H68" si="34">+G60*$E$8</f>
        <v>0</v>
      </c>
      <c r="I60" s="18">
        <f t="shared" ref="I60:I68" si="35">+H60*$E$8</f>
        <v>0</v>
      </c>
      <c r="J60" s="18">
        <f t="shared" ref="J60:J68" si="36">+I60*$E$8</f>
        <v>0</v>
      </c>
      <c r="K60" s="18">
        <f t="shared" ref="K60:K68" si="37">+J60*$E$8</f>
        <v>0</v>
      </c>
      <c r="L60" s="18">
        <f t="shared" ref="L60:L68" si="38">+K60*$E$8</f>
        <v>0</v>
      </c>
      <c r="M60" s="18">
        <f t="shared" ref="M60:M68" si="39">+L60*$E$8</f>
        <v>0</v>
      </c>
      <c r="N60" s="18">
        <f t="shared" ref="N60:N68" si="40">+M60*$E$8</f>
        <v>0</v>
      </c>
      <c r="O60" s="18">
        <f t="shared" ref="O60:O68" si="41">+N60*$E$8</f>
        <v>0</v>
      </c>
      <c r="P60" s="18">
        <f t="shared" ref="P60:P68" si="42">+O60*$E$8</f>
        <v>0</v>
      </c>
      <c r="Q60" s="18">
        <f t="shared" ref="Q60:Q68" si="43">+P60*$E$8</f>
        <v>0</v>
      </c>
      <c r="R60" s="18">
        <f t="shared" ref="R60:R68" si="44">+Q60*$E$8</f>
        <v>0</v>
      </c>
      <c r="S60" s="1310"/>
    </row>
    <row r="61" spans="1:19">
      <c r="A61" s="67" t="str">
        <f>+Gastos!A61</f>
        <v>21302010102</v>
      </c>
      <c r="B61" s="68"/>
      <c r="C61" s="505" t="str">
        <f>+Gastos!C61</f>
        <v xml:space="preserve">          Pensiones (mesadas)</v>
      </c>
      <c r="D61" s="18">
        <v>0</v>
      </c>
      <c r="E61" s="18">
        <f t="shared" si="31"/>
        <v>0</v>
      </c>
      <c r="F61" s="18">
        <f t="shared" si="32"/>
        <v>0</v>
      </c>
      <c r="G61" s="18">
        <f t="shared" si="33"/>
        <v>0</v>
      </c>
      <c r="H61" s="18">
        <f t="shared" si="34"/>
        <v>0</v>
      </c>
      <c r="I61" s="18">
        <f t="shared" si="35"/>
        <v>0</v>
      </c>
      <c r="J61" s="18">
        <f t="shared" si="36"/>
        <v>0</v>
      </c>
      <c r="K61" s="18">
        <f t="shared" si="37"/>
        <v>0</v>
      </c>
      <c r="L61" s="18">
        <f t="shared" si="38"/>
        <v>0</v>
      </c>
      <c r="M61" s="18">
        <f t="shared" si="39"/>
        <v>0</v>
      </c>
      <c r="N61" s="18">
        <f t="shared" si="40"/>
        <v>0</v>
      </c>
      <c r="O61" s="18">
        <f t="shared" si="41"/>
        <v>0</v>
      </c>
      <c r="P61" s="18">
        <f t="shared" si="42"/>
        <v>0</v>
      </c>
      <c r="Q61" s="18">
        <f t="shared" si="43"/>
        <v>0</v>
      </c>
      <c r="R61" s="18">
        <f t="shared" si="44"/>
        <v>0</v>
      </c>
      <c r="S61" s="1310"/>
    </row>
    <row r="62" spans="1:19">
      <c r="A62" s="67" t="str">
        <f>+Gastos!A62</f>
        <v>21302010198</v>
      </c>
      <c r="B62" s="68"/>
      <c r="C62" s="505" t="str">
        <f>+Gastos!C62</f>
        <v xml:space="preserve">          Otras Prestaciones Sociales</v>
      </c>
      <c r="D62" s="18">
        <v>0</v>
      </c>
      <c r="E62" s="18">
        <f t="shared" si="31"/>
        <v>0</v>
      </c>
      <c r="F62" s="18">
        <f t="shared" si="32"/>
        <v>0</v>
      </c>
      <c r="G62" s="18">
        <f t="shared" si="33"/>
        <v>0</v>
      </c>
      <c r="H62" s="18">
        <f t="shared" si="34"/>
        <v>0</v>
      </c>
      <c r="I62" s="18">
        <f t="shared" si="35"/>
        <v>0</v>
      </c>
      <c r="J62" s="18">
        <f t="shared" si="36"/>
        <v>0</v>
      </c>
      <c r="K62" s="18">
        <f t="shared" si="37"/>
        <v>0</v>
      </c>
      <c r="L62" s="18">
        <f t="shared" si="38"/>
        <v>0</v>
      </c>
      <c r="M62" s="18">
        <f t="shared" si="39"/>
        <v>0</v>
      </c>
      <c r="N62" s="18">
        <f t="shared" si="40"/>
        <v>0</v>
      </c>
      <c r="O62" s="18">
        <f t="shared" si="41"/>
        <v>0</v>
      </c>
      <c r="P62" s="18">
        <f t="shared" si="42"/>
        <v>0</v>
      </c>
      <c r="Q62" s="18">
        <f t="shared" si="43"/>
        <v>0</v>
      </c>
      <c r="R62" s="18">
        <f t="shared" si="44"/>
        <v>0</v>
      </c>
      <c r="S62" s="1310"/>
    </row>
    <row r="63" spans="1:19">
      <c r="A63" s="67" t="str">
        <f>+Gastos!A63</f>
        <v>2130202</v>
      </c>
      <c r="B63" s="68"/>
      <c r="C63" s="1375" t="str">
        <f>+Gastos!C63</f>
        <v xml:space="preserve">    Pagos/Déficit Generado Post Acuerdo (Aplica 617/00)</v>
      </c>
      <c r="D63" s="18">
        <v>0</v>
      </c>
      <c r="E63" s="18">
        <f t="shared" ref="E63:E66" si="45">+D63*$E$8</f>
        <v>0</v>
      </c>
      <c r="F63" s="18">
        <f t="shared" si="32"/>
        <v>0</v>
      </c>
      <c r="G63" s="18">
        <f t="shared" si="33"/>
        <v>0</v>
      </c>
      <c r="H63" s="18">
        <f t="shared" si="34"/>
        <v>0</v>
      </c>
      <c r="I63" s="18">
        <f t="shared" si="35"/>
        <v>0</v>
      </c>
      <c r="J63" s="18">
        <f t="shared" si="36"/>
        <v>0</v>
      </c>
      <c r="K63" s="18">
        <f t="shared" si="37"/>
        <v>0</v>
      </c>
      <c r="L63" s="18">
        <f t="shared" si="38"/>
        <v>0</v>
      </c>
      <c r="M63" s="18">
        <f t="shared" si="39"/>
        <v>0</v>
      </c>
      <c r="N63" s="18">
        <f t="shared" si="40"/>
        <v>0</v>
      </c>
      <c r="O63" s="18">
        <f t="shared" si="41"/>
        <v>0</v>
      </c>
      <c r="P63" s="18">
        <f t="shared" si="42"/>
        <v>0</v>
      </c>
      <c r="Q63" s="18">
        <f t="shared" si="43"/>
        <v>0</v>
      </c>
      <c r="R63" s="18">
        <f t="shared" si="44"/>
        <v>0</v>
      </c>
      <c r="S63" s="1310"/>
    </row>
    <row r="64" spans="1:19">
      <c r="A64" s="67" t="str">
        <f>+Gastos!A64</f>
        <v>21303</v>
      </c>
      <c r="B64" s="68"/>
      <c r="C64" s="505" t="str">
        <f>+Gastos!C64</f>
        <v xml:space="preserve">    Pagos a Organismos Internacionales</v>
      </c>
      <c r="D64" s="18">
        <v>0</v>
      </c>
      <c r="E64" s="18">
        <f t="shared" si="45"/>
        <v>0</v>
      </c>
      <c r="F64" s="18">
        <f t="shared" si="32"/>
        <v>0</v>
      </c>
      <c r="G64" s="18">
        <f t="shared" si="33"/>
        <v>0</v>
      </c>
      <c r="H64" s="18">
        <f t="shared" si="34"/>
        <v>0</v>
      </c>
      <c r="I64" s="18">
        <f t="shared" si="35"/>
        <v>0</v>
      </c>
      <c r="J64" s="18">
        <f t="shared" si="36"/>
        <v>0</v>
      </c>
      <c r="K64" s="18">
        <f t="shared" si="37"/>
        <v>0</v>
      </c>
      <c r="L64" s="18">
        <f t="shared" si="38"/>
        <v>0</v>
      </c>
      <c r="M64" s="18">
        <f t="shared" si="39"/>
        <v>0</v>
      </c>
      <c r="N64" s="18">
        <f t="shared" si="40"/>
        <v>0</v>
      </c>
      <c r="O64" s="18">
        <f t="shared" si="41"/>
        <v>0</v>
      </c>
      <c r="P64" s="18">
        <f t="shared" si="42"/>
        <v>0</v>
      </c>
      <c r="Q64" s="18">
        <f t="shared" si="43"/>
        <v>0</v>
      </c>
      <c r="R64" s="18">
        <f t="shared" si="44"/>
        <v>0</v>
      </c>
      <c r="S64" s="1310"/>
    </row>
    <row r="65" spans="1:19">
      <c r="A65" s="61" t="str">
        <f>+Gastos!A65</f>
        <v>21304</v>
      </c>
      <c r="B65" s="70"/>
      <c r="C65" s="504" t="str">
        <f>+Gastos!C65</f>
        <v xml:space="preserve">    Cuota de Auditaje</v>
      </c>
      <c r="D65" s="18">
        <v>0</v>
      </c>
      <c r="E65" s="18">
        <f t="shared" si="45"/>
        <v>0</v>
      </c>
      <c r="F65" s="18">
        <f t="shared" si="32"/>
        <v>0</v>
      </c>
      <c r="G65" s="18">
        <f t="shared" si="33"/>
        <v>0</v>
      </c>
      <c r="H65" s="18">
        <f t="shared" si="34"/>
        <v>0</v>
      </c>
      <c r="I65" s="18">
        <f t="shared" si="35"/>
        <v>0</v>
      </c>
      <c r="J65" s="18">
        <f t="shared" si="36"/>
        <v>0</v>
      </c>
      <c r="K65" s="18">
        <f t="shared" si="37"/>
        <v>0</v>
      </c>
      <c r="L65" s="18">
        <f t="shared" si="38"/>
        <v>0</v>
      </c>
      <c r="M65" s="18">
        <f t="shared" si="39"/>
        <v>0</v>
      </c>
      <c r="N65" s="18">
        <f t="shared" si="40"/>
        <v>0</v>
      </c>
      <c r="O65" s="18">
        <f t="shared" si="41"/>
        <v>0</v>
      </c>
      <c r="P65" s="18">
        <f t="shared" si="42"/>
        <v>0</v>
      </c>
      <c r="Q65" s="18">
        <f t="shared" si="43"/>
        <v>0</v>
      </c>
      <c r="R65" s="18">
        <f t="shared" si="44"/>
        <v>0</v>
      </c>
      <c r="S65" s="1310"/>
    </row>
    <row r="66" spans="1:19">
      <c r="A66" s="70" t="str">
        <f>+Gastos!A66</f>
        <v>21305</v>
      </c>
      <c r="B66" s="68"/>
      <c r="C66" s="504" t="str">
        <f>+Gastos!C66</f>
        <v xml:space="preserve">   Indemnizaciones por Retiros de Personal</v>
      </c>
      <c r="D66" s="18">
        <v>0</v>
      </c>
      <c r="E66" s="18">
        <f t="shared" si="45"/>
        <v>0</v>
      </c>
      <c r="F66" s="18">
        <f t="shared" si="32"/>
        <v>0</v>
      </c>
      <c r="G66" s="18">
        <f t="shared" si="33"/>
        <v>0</v>
      </c>
      <c r="H66" s="18">
        <f t="shared" si="34"/>
        <v>0</v>
      </c>
      <c r="I66" s="18">
        <f t="shared" si="35"/>
        <v>0</v>
      </c>
      <c r="J66" s="18">
        <f t="shared" si="36"/>
        <v>0</v>
      </c>
      <c r="K66" s="18">
        <f t="shared" si="37"/>
        <v>0</v>
      </c>
      <c r="L66" s="18">
        <f t="shared" si="38"/>
        <v>0</v>
      </c>
      <c r="M66" s="18">
        <f t="shared" si="39"/>
        <v>0</v>
      </c>
      <c r="N66" s="18">
        <f t="shared" si="40"/>
        <v>0</v>
      </c>
      <c r="O66" s="18">
        <f t="shared" si="41"/>
        <v>0</v>
      </c>
      <c r="P66" s="18">
        <f t="shared" si="42"/>
        <v>0</v>
      </c>
      <c r="Q66" s="18">
        <f t="shared" si="43"/>
        <v>0</v>
      </c>
      <c r="R66" s="18">
        <f t="shared" si="44"/>
        <v>0</v>
      </c>
      <c r="S66" s="1310"/>
    </row>
    <row r="67" spans="1:19">
      <c r="A67" s="70" t="str">
        <f>+Gastos!A67</f>
        <v>21306</v>
      </c>
      <c r="B67" s="68"/>
      <c r="C67" s="504" t="str">
        <f>+Gastos!C67</f>
        <v xml:space="preserve">   Sentencias y Conciliaciones</v>
      </c>
      <c r="D67" s="18">
        <v>51787</v>
      </c>
      <c r="E67" s="18">
        <v>14614</v>
      </c>
      <c r="F67" s="18">
        <v>0</v>
      </c>
      <c r="G67" s="18">
        <f t="shared" si="33"/>
        <v>0</v>
      </c>
      <c r="H67" s="18">
        <f t="shared" si="34"/>
        <v>0</v>
      </c>
      <c r="I67" s="18">
        <f t="shared" si="35"/>
        <v>0</v>
      </c>
      <c r="J67" s="18">
        <f t="shared" si="36"/>
        <v>0</v>
      </c>
      <c r="K67" s="18">
        <f t="shared" si="37"/>
        <v>0</v>
      </c>
      <c r="L67" s="18">
        <f t="shared" si="38"/>
        <v>0</v>
      </c>
      <c r="M67" s="18">
        <f t="shared" si="39"/>
        <v>0</v>
      </c>
      <c r="N67" s="18">
        <f t="shared" si="40"/>
        <v>0</v>
      </c>
      <c r="O67" s="18">
        <f t="shared" si="41"/>
        <v>0</v>
      </c>
      <c r="P67" s="18">
        <f t="shared" si="42"/>
        <v>0</v>
      </c>
      <c r="Q67" s="18">
        <f t="shared" si="43"/>
        <v>0</v>
      </c>
      <c r="R67" s="18">
        <f t="shared" si="44"/>
        <v>0</v>
      </c>
      <c r="S67" s="1310"/>
    </row>
    <row r="68" spans="1:19">
      <c r="A68" s="61" t="str">
        <f>+Gastos!A68</f>
        <v>21398</v>
      </c>
      <c r="B68" s="68"/>
      <c r="C68" s="504" t="str">
        <f>+Gastos!C68</f>
        <v xml:space="preserve">   Otras Transferencias (a Bomberos, CAR y otras similares de fuentes propias)</v>
      </c>
      <c r="D68" s="18">
        <v>66985</v>
      </c>
      <c r="E68" s="18">
        <v>28806</v>
      </c>
      <c r="F68" s="18">
        <v>12942</v>
      </c>
      <c r="G68" s="18">
        <f t="shared" si="33"/>
        <v>13589.1</v>
      </c>
      <c r="H68" s="18">
        <f t="shared" si="34"/>
        <v>14268.555</v>
      </c>
      <c r="I68" s="18">
        <f t="shared" si="35"/>
        <v>14981.982750000001</v>
      </c>
      <c r="J68" s="18">
        <f t="shared" si="36"/>
        <v>15731.081887500002</v>
      </c>
      <c r="K68" s="18">
        <f t="shared" si="37"/>
        <v>16517.635981875002</v>
      </c>
      <c r="L68" s="18">
        <f t="shared" si="38"/>
        <v>17343.517780968752</v>
      </c>
      <c r="M68" s="18">
        <f t="shared" si="39"/>
        <v>18210.69367001719</v>
      </c>
      <c r="N68" s="18">
        <f t="shared" si="40"/>
        <v>19121.22835351805</v>
      </c>
      <c r="O68" s="18">
        <f t="shared" si="41"/>
        <v>20077.289771193955</v>
      </c>
      <c r="P68" s="18">
        <f t="shared" si="42"/>
        <v>21081.154259753654</v>
      </c>
      <c r="Q68" s="18">
        <f t="shared" si="43"/>
        <v>22135.211972741337</v>
      </c>
      <c r="R68" s="18">
        <f t="shared" si="44"/>
        <v>23241.972571378406</v>
      </c>
      <c r="S68" s="1310"/>
    </row>
    <row r="69" spans="1:19">
      <c r="A69" s="70" t="str">
        <f>+Gastos!A69</f>
        <v>217</v>
      </c>
      <c r="B69" s="68"/>
      <c r="C69" s="506" t="str">
        <f>+Gastos!C69</f>
        <v xml:space="preserve">   DEFICIT FISCAL (FUNCIONAMIENTO) </v>
      </c>
      <c r="D69" s="42">
        <f>SUM(D70:D71)</f>
        <v>0</v>
      </c>
      <c r="E69" s="42">
        <f t="shared" ref="E69:R69" si="46">SUM(E70:E71)</f>
        <v>0</v>
      </c>
      <c r="F69" s="42">
        <f t="shared" si="46"/>
        <v>0</v>
      </c>
      <c r="G69" s="42">
        <f t="shared" si="46"/>
        <v>0</v>
      </c>
      <c r="H69" s="42">
        <f t="shared" si="46"/>
        <v>0</v>
      </c>
      <c r="I69" s="42">
        <f t="shared" si="46"/>
        <v>0</v>
      </c>
      <c r="J69" s="42">
        <f t="shared" si="46"/>
        <v>0</v>
      </c>
      <c r="K69" s="42">
        <f t="shared" si="46"/>
        <v>0</v>
      </c>
      <c r="L69" s="42">
        <f t="shared" si="46"/>
        <v>0</v>
      </c>
      <c r="M69" s="42">
        <f t="shared" si="46"/>
        <v>0</v>
      </c>
      <c r="N69" s="42">
        <f t="shared" si="46"/>
        <v>0</v>
      </c>
      <c r="O69" s="42">
        <f t="shared" si="46"/>
        <v>0</v>
      </c>
      <c r="P69" s="42">
        <f t="shared" si="46"/>
        <v>0</v>
      </c>
      <c r="Q69" s="42">
        <f t="shared" si="46"/>
        <v>0</v>
      </c>
      <c r="R69" s="42">
        <f t="shared" si="46"/>
        <v>0</v>
      </c>
      <c r="S69" s="1310"/>
    </row>
    <row r="70" spans="1:19">
      <c r="A70" s="72" t="str">
        <f>+Gastos!A70</f>
        <v>12A</v>
      </c>
      <c r="B70" s="68"/>
      <c r="C70" s="1375" t="str">
        <f>+Gastos!C70</f>
        <v xml:space="preserve"> DÉFICIT FISCAL VIGENCIAS 2.001 Y SIGUIENTES</v>
      </c>
      <c r="D70" s="58">
        <f>+'Pasivo a Cancelar y Deuda'!C56+'Pasivo a Cancelar y Deuda'!C59+'Pasivo a Cancelar y Deuda'!C62+'Pasivo a Cancelar y Deuda'!C65+'Pasivo a Cancelar y Deuda'!C68+'Pasivo a Cancelar y Deuda'!C71+'Pasivo a Cancelar y Deuda'!C74+'Pasivo a Cancelar y Deuda'!C77+'Pasivo a Cancelar y Deuda'!C80+'Pasivo a Cancelar y Deuda'!C83</f>
        <v>0</v>
      </c>
      <c r="E70" s="58">
        <f>+'Pasivo a Cancelar y Deuda'!D56+'Pasivo a Cancelar y Deuda'!D59+'Pasivo a Cancelar y Deuda'!D62+'Pasivo a Cancelar y Deuda'!D65+'Pasivo a Cancelar y Deuda'!D68+'Pasivo a Cancelar y Deuda'!D71+'Pasivo a Cancelar y Deuda'!D74+'Pasivo a Cancelar y Deuda'!D77+'Pasivo a Cancelar y Deuda'!D80+'Pasivo a Cancelar y Deuda'!D83</f>
        <v>0</v>
      </c>
      <c r="F70" s="58">
        <f>+'Pasivo a Cancelar y Deuda'!E56+'Pasivo a Cancelar y Deuda'!E59+'Pasivo a Cancelar y Deuda'!E62+'Pasivo a Cancelar y Deuda'!E65+'Pasivo a Cancelar y Deuda'!E68+'Pasivo a Cancelar y Deuda'!E71+'Pasivo a Cancelar y Deuda'!E74+'Pasivo a Cancelar y Deuda'!E77+'Pasivo a Cancelar y Deuda'!E80+'Pasivo a Cancelar y Deuda'!E83</f>
        <v>0</v>
      </c>
      <c r="G70" s="58">
        <f>+'Pasivo a Cancelar y Deuda'!F56+'Pasivo a Cancelar y Deuda'!F59+'Pasivo a Cancelar y Deuda'!F62+'Pasivo a Cancelar y Deuda'!F65+'Pasivo a Cancelar y Deuda'!F68+'Pasivo a Cancelar y Deuda'!F71+'Pasivo a Cancelar y Deuda'!F74+'Pasivo a Cancelar y Deuda'!F77+'Pasivo a Cancelar y Deuda'!F80+'Pasivo a Cancelar y Deuda'!F83</f>
        <v>0</v>
      </c>
      <c r="H70" s="58">
        <f>+'Pasivo a Cancelar y Deuda'!G56+'Pasivo a Cancelar y Deuda'!G59+'Pasivo a Cancelar y Deuda'!G62+'Pasivo a Cancelar y Deuda'!G65+'Pasivo a Cancelar y Deuda'!G68+'Pasivo a Cancelar y Deuda'!G71+'Pasivo a Cancelar y Deuda'!G74+'Pasivo a Cancelar y Deuda'!G77+'Pasivo a Cancelar y Deuda'!G80+'Pasivo a Cancelar y Deuda'!G83</f>
        <v>0</v>
      </c>
      <c r="I70" s="58">
        <f>+'Pasivo a Cancelar y Deuda'!H56+'Pasivo a Cancelar y Deuda'!H59+'Pasivo a Cancelar y Deuda'!H62+'Pasivo a Cancelar y Deuda'!H65+'Pasivo a Cancelar y Deuda'!H68+'Pasivo a Cancelar y Deuda'!H71+'Pasivo a Cancelar y Deuda'!H74+'Pasivo a Cancelar y Deuda'!H77+'Pasivo a Cancelar y Deuda'!H80+'Pasivo a Cancelar y Deuda'!H83</f>
        <v>0</v>
      </c>
      <c r="J70" s="58">
        <f>+'Pasivo a Cancelar y Deuda'!I56+'Pasivo a Cancelar y Deuda'!I59+'Pasivo a Cancelar y Deuda'!I62+'Pasivo a Cancelar y Deuda'!I65+'Pasivo a Cancelar y Deuda'!I68+'Pasivo a Cancelar y Deuda'!I71+'Pasivo a Cancelar y Deuda'!I74+'Pasivo a Cancelar y Deuda'!I77+'Pasivo a Cancelar y Deuda'!I80+'Pasivo a Cancelar y Deuda'!I83</f>
        <v>0</v>
      </c>
      <c r="K70" s="58">
        <f>+'Pasivo a Cancelar y Deuda'!J56+'Pasivo a Cancelar y Deuda'!J59+'Pasivo a Cancelar y Deuda'!J62+'Pasivo a Cancelar y Deuda'!J65+'Pasivo a Cancelar y Deuda'!J68+'Pasivo a Cancelar y Deuda'!J71+'Pasivo a Cancelar y Deuda'!J74+'Pasivo a Cancelar y Deuda'!J77+'Pasivo a Cancelar y Deuda'!J80+'Pasivo a Cancelar y Deuda'!J83</f>
        <v>0</v>
      </c>
      <c r="L70" s="58">
        <f>+'Pasivo a Cancelar y Deuda'!K56+'Pasivo a Cancelar y Deuda'!K59+'Pasivo a Cancelar y Deuda'!K62+'Pasivo a Cancelar y Deuda'!K65+'Pasivo a Cancelar y Deuda'!K68+'Pasivo a Cancelar y Deuda'!K71+'Pasivo a Cancelar y Deuda'!K74+'Pasivo a Cancelar y Deuda'!K77+'Pasivo a Cancelar y Deuda'!K80+'Pasivo a Cancelar y Deuda'!K83</f>
        <v>0</v>
      </c>
      <c r="M70" s="58">
        <f>+'Pasivo a Cancelar y Deuda'!L56+'Pasivo a Cancelar y Deuda'!L59+'Pasivo a Cancelar y Deuda'!L62+'Pasivo a Cancelar y Deuda'!L65+'Pasivo a Cancelar y Deuda'!L68+'Pasivo a Cancelar y Deuda'!L71+'Pasivo a Cancelar y Deuda'!L74+'Pasivo a Cancelar y Deuda'!L77+'Pasivo a Cancelar y Deuda'!L80+'Pasivo a Cancelar y Deuda'!L83</f>
        <v>0</v>
      </c>
      <c r="N70" s="58">
        <f>+'Pasivo a Cancelar y Deuda'!M56+'Pasivo a Cancelar y Deuda'!M59+'Pasivo a Cancelar y Deuda'!M62+'Pasivo a Cancelar y Deuda'!M65+'Pasivo a Cancelar y Deuda'!M68+'Pasivo a Cancelar y Deuda'!M71+'Pasivo a Cancelar y Deuda'!M74+'Pasivo a Cancelar y Deuda'!M77+'Pasivo a Cancelar y Deuda'!M80+'Pasivo a Cancelar y Deuda'!M83</f>
        <v>0</v>
      </c>
      <c r="O70" s="58">
        <f>+'Pasivo a Cancelar y Deuda'!N56+'Pasivo a Cancelar y Deuda'!N59+'Pasivo a Cancelar y Deuda'!N62+'Pasivo a Cancelar y Deuda'!N65+'Pasivo a Cancelar y Deuda'!N68+'Pasivo a Cancelar y Deuda'!N71+'Pasivo a Cancelar y Deuda'!N74+'Pasivo a Cancelar y Deuda'!N77+'Pasivo a Cancelar y Deuda'!N80+'Pasivo a Cancelar y Deuda'!N83</f>
        <v>0</v>
      </c>
      <c r="P70" s="58">
        <f>+'Pasivo a Cancelar y Deuda'!O56+'Pasivo a Cancelar y Deuda'!O59+'Pasivo a Cancelar y Deuda'!O62+'Pasivo a Cancelar y Deuda'!O65+'Pasivo a Cancelar y Deuda'!O68+'Pasivo a Cancelar y Deuda'!O71+'Pasivo a Cancelar y Deuda'!O74+'Pasivo a Cancelar y Deuda'!O77+'Pasivo a Cancelar y Deuda'!O80+'Pasivo a Cancelar y Deuda'!O83</f>
        <v>0</v>
      </c>
      <c r="Q70" s="58">
        <f>+'Pasivo a Cancelar y Deuda'!P56+'Pasivo a Cancelar y Deuda'!P59+'Pasivo a Cancelar y Deuda'!P62+'Pasivo a Cancelar y Deuda'!P65+'Pasivo a Cancelar y Deuda'!P68+'Pasivo a Cancelar y Deuda'!P71+'Pasivo a Cancelar y Deuda'!P74+'Pasivo a Cancelar y Deuda'!P77+'Pasivo a Cancelar y Deuda'!P80+'Pasivo a Cancelar y Deuda'!P83</f>
        <v>0</v>
      </c>
      <c r="R70" s="58">
        <f>+'Pasivo a Cancelar y Deuda'!Q56+'Pasivo a Cancelar y Deuda'!Q59+'Pasivo a Cancelar y Deuda'!Q62+'Pasivo a Cancelar y Deuda'!Q65+'Pasivo a Cancelar y Deuda'!Q68+'Pasivo a Cancelar y Deuda'!Q71+'Pasivo a Cancelar y Deuda'!Q74+'Pasivo a Cancelar y Deuda'!Q77+'Pasivo a Cancelar y Deuda'!Q80+'Pasivo a Cancelar y Deuda'!Q83</f>
        <v>0</v>
      </c>
      <c r="S70" s="1310"/>
    </row>
    <row r="71" spans="1:19">
      <c r="A71" s="72" t="str">
        <f>+Gastos!A71</f>
        <v>13A</v>
      </c>
      <c r="B71" s="68"/>
      <c r="C71" s="1375" t="str">
        <f>+Gastos!C71</f>
        <v xml:space="preserve"> DEFICIT FISCAL VIGENCIA 2.000 Y ANTERIORES</v>
      </c>
      <c r="D71" s="58">
        <f>+'Pasivo a Cancelar y Deuda'!C57+'Pasivo a Cancelar y Deuda'!C60+'Pasivo a Cancelar y Deuda'!C63+'Pasivo a Cancelar y Deuda'!C66+'Pasivo a Cancelar y Deuda'!C69+'Pasivo a Cancelar y Deuda'!C72+'Pasivo a Cancelar y Deuda'!C75+'Pasivo a Cancelar y Deuda'!C78+'Pasivo a Cancelar y Deuda'!C81+'Pasivo a Cancelar y Deuda'!C84</f>
        <v>0</v>
      </c>
      <c r="E71" s="58">
        <f>+'Pasivo a Cancelar y Deuda'!D57+'Pasivo a Cancelar y Deuda'!D60+'Pasivo a Cancelar y Deuda'!D63+'Pasivo a Cancelar y Deuda'!D66+'Pasivo a Cancelar y Deuda'!D69+'Pasivo a Cancelar y Deuda'!D72+'Pasivo a Cancelar y Deuda'!D75+'Pasivo a Cancelar y Deuda'!D78+'Pasivo a Cancelar y Deuda'!D81+'Pasivo a Cancelar y Deuda'!D84</f>
        <v>0</v>
      </c>
      <c r="F71" s="58">
        <f>+'Pasivo a Cancelar y Deuda'!E57+'Pasivo a Cancelar y Deuda'!E60+'Pasivo a Cancelar y Deuda'!E63+'Pasivo a Cancelar y Deuda'!E66+'Pasivo a Cancelar y Deuda'!E69+'Pasivo a Cancelar y Deuda'!E72+'Pasivo a Cancelar y Deuda'!E75+'Pasivo a Cancelar y Deuda'!E78+'Pasivo a Cancelar y Deuda'!E81+'Pasivo a Cancelar y Deuda'!E84</f>
        <v>0</v>
      </c>
      <c r="G71" s="58">
        <f>+'Pasivo a Cancelar y Deuda'!F57+'Pasivo a Cancelar y Deuda'!F60+'Pasivo a Cancelar y Deuda'!F63+'Pasivo a Cancelar y Deuda'!F66+'Pasivo a Cancelar y Deuda'!F69+'Pasivo a Cancelar y Deuda'!F72+'Pasivo a Cancelar y Deuda'!F75+'Pasivo a Cancelar y Deuda'!F78+'Pasivo a Cancelar y Deuda'!F81+'Pasivo a Cancelar y Deuda'!F84</f>
        <v>0</v>
      </c>
      <c r="H71" s="58">
        <f>+'Pasivo a Cancelar y Deuda'!G57+'Pasivo a Cancelar y Deuda'!G60+'Pasivo a Cancelar y Deuda'!G63+'Pasivo a Cancelar y Deuda'!G66+'Pasivo a Cancelar y Deuda'!G69+'Pasivo a Cancelar y Deuda'!G72+'Pasivo a Cancelar y Deuda'!G75+'Pasivo a Cancelar y Deuda'!G78+'Pasivo a Cancelar y Deuda'!G81+'Pasivo a Cancelar y Deuda'!G84</f>
        <v>0</v>
      </c>
      <c r="I71" s="58">
        <f>+'Pasivo a Cancelar y Deuda'!H57+'Pasivo a Cancelar y Deuda'!H60+'Pasivo a Cancelar y Deuda'!H63+'Pasivo a Cancelar y Deuda'!H66+'Pasivo a Cancelar y Deuda'!H69+'Pasivo a Cancelar y Deuda'!H72+'Pasivo a Cancelar y Deuda'!H75+'Pasivo a Cancelar y Deuda'!H78+'Pasivo a Cancelar y Deuda'!H81+'Pasivo a Cancelar y Deuda'!H84</f>
        <v>0</v>
      </c>
      <c r="J71" s="58">
        <f>+'Pasivo a Cancelar y Deuda'!I57+'Pasivo a Cancelar y Deuda'!I60+'Pasivo a Cancelar y Deuda'!I63+'Pasivo a Cancelar y Deuda'!I66+'Pasivo a Cancelar y Deuda'!I69+'Pasivo a Cancelar y Deuda'!I72+'Pasivo a Cancelar y Deuda'!I75+'Pasivo a Cancelar y Deuda'!I78+'Pasivo a Cancelar y Deuda'!I81+'Pasivo a Cancelar y Deuda'!I84</f>
        <v>0</v>
      </c>
      <c r="K71" s="58">
        <f>+'Pasivo a Cancelar y Deuda'!J57+'Pasivo a Cancelar y Deuda'!J60+'Pasivo a Cancelar y Deuda'!J63+'Pasivo a Cancelar y Deuda'!J66+'Pasivo a Cancelar y Deuda'!J69+'Pasivo a Cancelar y Deuda'!J72+'Pasivo a Cancelar y Deuda'!J75+'Pasivo a Cancelar y Deuda'!J78+'Pasivo a Cancelar y Deuda'!J81+'Pasivo a Cancelar y Deuda'!J84</f>
        <v>0</v>
      </c>
      <c r="L71" s="58">
        <f>+'Pasivo a Cancelar y Deuda'!K57+'Pasivo a Cancelar y Deuda'!K60+'Pasivo a Cancelar y Deuda'!K63+'Pasivo a Cancelar y Deuda'!K66+'Pasivo a Cancelar y Deuda'!K69+'Pasivo a Cancelar y Deuda'!K72+'Pasivo a Cancelar y Deuda'!K75+'Pasivo a Cancelar y Deuda'!K78+'Pasivo a Cancelar y Deuda'!K81+'Pasivo a Cancelar y Deuda'!K84</f>
        <v>0</v>
      </c>
      <c r="M71" s="58">
        <f>+'Pasivo a Cancelar y Deuda'!L57+'Pasivo a Cancelar y Deuda'!L60+'Pasivo a Cancelar y Deuda'!L63+'Pasivo a Cancelar y Deuda'!L66+'Pasivo a Cancelar y Deuda'!L69+'Pasivo a Cancelar y Deuda'!L72+'Pasivo a Cancelar y Deuda'!L75+'Pasivo a Cancelar y Deuda'!L78+'Pasivo a Cancelar y Deuda'!L81+'Pasivo a Cancelar y Deuda'!L84</f>
        <v>0</v>
      </c>
      <c r="N71" s="58">
        <f>+'Pasivo a Cancelar y Deuda'!M57+'Pasivo a Cancelar y Deuda'!M60+'Pasivo a Cancelar y Deuda'!M63+'Pasivo a Cancelar y Deuda'!M66+'Pasivo a Cancelar y Deuda'!M69+'Pasivo a Cancelar y Deuda'!M72+'Pasivo a Cancelar y Deuda'!M75+'Pasivo a Cancelar y Deuda'!M78+'Pasivo a Cancelar y Deuda'!M81+'Pasivo a Cancelar y Deuda'!M84</f>
        <v>0</v>
      </c>
      <c r="O71" s="58">
        <f>+'Pasivo a Cancelar y Deuda'!N57+'Pasivo a Cancelar y Deuda'!N60+'Pasivo a Cancelar y Deuda'!N63+'Pasivo a Cancelar y Deuda'!N66+'Pasivo a Cancelar y Deuda'!N69+'Pasivo a Cancelar y Deuda'!N72+'Pasivo a Cancelar y Deuda'!N75+'Pasivo a Cancelar y Deuda'!N78+'Pasivo a Cancelar y Deuda'!N81+'Pasivo a Cancelar y Deuda'!N84</f>
        <v>0</v>
      </c>
      <c r="P71" s="58">
        <f>+'Pasivo a Cancelar y Deuda'!O57+'Pasivo a Cancelar y Deuda'!O60+'Pasivo a Cancelar y Deuda'!O63+'Pasivo a Cancelar y Deuda'!O66+'Pasivo a Cancelar y Deuda'!O69+'Pasivo a Cancelar y Deuda'!O72+'Pasivo a Cancelar y Deuda'!O75+'Pasivo a Cancelar y Deuda'!O78+'Pasivo a Cancelar y Deuda'!O81+'Pasivo a Cancelar y Deuda'!O84</f>
        <v>0</v>
      </c>
      <c r="Q71" s="58">
        <f>+'Pasivo a Cancelar y Deuda'!P57+'Pasivo a Cancelar y Deuda'!P60+'Pasivo a Cancelar y Deuda'!P63+'Pasivo a Cancelar y Deuda'!P66+'Pasivo a Cancelar y Deuda'!P69+'Pasivo a Cancelar y Deuda'!P72+'Pasivo a Cancelar y Deuda'!P75+'Pasivo a Cancelar y Deuda'!P78+'Pasivo a Cancelar y Deuda'!P81+'Pasivo a Cancelar y Deuda'!P84</f>
        <v>0</v>
      </c>
      <c r="R71" s="58">
        <f>+'Pasivo a Cancelar y Deuda'!Q57+'Pasivo a Cancelar y Deuda'!Q60+'Pasivo a Cancelar y Deuda'!Q63+'Pasivo a Cancelar y Deuda'!Q66+'Pasivo a Cancelar y Deuda'!Q69+'Pasivo a Cancelar y Deuda'!Q72+'Pasivo a Cancelar y Deuda'!Q75+'Pasivo a Cancelar y Deuda'!Q78+'Pasivo a Cancelar y Deuda'!Q81+'Pasivo a Cancelar y Deuda'!Q84</f>
        <v>0</v>
      </c>
      <c r="S71" s="1310"/>
    </row>
    <row r="72" spans="1:19">
      <c r="A72" s="462" t="str">
        <f>+Gastos!A72</f>
        <v>22</v>
      </c>
      <c r="B72" s="1018"/>
      <c r="C72" s="508" t="str">
        <f>+Gastos!C72</f>
        <v>GASTOS DE INVERSION</v>
      </c>
      <c r="D72" s="42">
        <f>+D73+D125+D162+D198</f>
        <v>5591617</v>
      </c>
      <c r="E72" s="42">
        <f t="shared" ref="E72:R72" si="47">+E73+E125+E162+E198</f>
        <v>5375797.3499999996</v>
      </c>
      <c r="F72" s="42">
        <f t="shared" si="47"/>
        <v>5840554.4450000003</v>
      </c>
      <c r="G72" s="42">
        <f t="shared" si="47"/>
        <v>4729541.0172500005</v>
      </c>
      <c r="H72" s="42">
        <f t="shared" si="47"/>
        <v>4815457.5681125009</v>
      </c>
      <c r="I72" s="42">
        <f t="shared" si="47"/>
        <v>4940881.0195181258</v>
      </c>
      <c r="J72" s="42">
        <f t="shared" si="47"/>
        <v>5128578.1432940327</v>
      </c>
      <c r="K72" s="42">
        <f t="shared" si="47"/>
        <v>5323285.9479587339</v>
      </c>
      <c r="L72" s="42">
        <f t="shared" si="47"/>
        <v>5525261.0767366458</v>
      </c>
      <c r="M72" s="42">
        <f t="shared" si="47"/>
        <v>5734766.197014166</v>
      </c>
      <c r="N72" s="42">
        <f t="shared" si="47"/>
        <v>5952077.3568648752</v>
      </c>
      <c r="O72" s="42">
        <f t="shared" si="47"/>
        <v>6177476.1918230532</v>
      </c>
      <c r="P72" s="42">
        <f t="shared" si="47"/>
        <v>6411257.088413028</v>
      </c>
      <c r="Q72" s="42">
        <f t="shared" si="47"/>
        <v>6653723.9206171064</v>
      </c>
      <c r="R72" s="42">
        <f t="shared" si="47"/>
        <v>6905189.6916794069</v>
      </c>
      <c r="S72" s="1310"/>
    </row>
    <row r="73" spans="1:19">
      <c r="A73" s="70" t="str">
        <f>+Gastos!A73</f>
        <v>223</v>
      </c>
      <c r="B73" s="93"/>
      <c r="C73" s="506" t="str">
        <f>+Gastos!C73</f>
        <v xml:space="preserve">  CON RECURSOS DEL SGP</v>
      </c>
      <c r="D73" s="42">
        <f>+D74+D81+D88</f>
        <v>4789295</v>
      </c>
      <c r="E73" s="42">
        <f t="shared" ref="E73:R73" si="48">+E74+E81+E88</f>
        <v>4677019.3</v>
      </c>
      <c r="F73" s="42">
        <f t="shared" si="48"/>
        <v>3966075.65</v>
      </c>
      <c r="G73" s="42">
        <f t="shared" si="48"/>
        <v>4106808.5325000007</v>
      </c>
      <c r="H73" s="42">
        <f t="shared" si="48"/>
        <v>4184576.0591250006</v>
      </c>
      <c r="I73" s="42">
        <f t="shared" si="48"/>
        <v>4277788.435081251</v>
      </c>
      <c r="J73" s="42">
        <f t="shared" si="48"/>
        <v>4431637.9296353133</v>
      </c>
      <c r="K73" s="42">
        <f t="shared" si="48"/>
        <v>4590777.3736170791</v>
      </c>
      <c r="L73" s="42">
        <f t="shared" si="48"/>
        <v>4755377.5236779079</v>
      </c>
      <c r="M73" s="42">
        <f t="shared" si="48"/>
        <v>4925609.0163024915</v>
      </c>
      <c r="N73" s="42">
        <f t="shared" si="48"/>
        <v>5101650.5171176167</v>
      </c>
      <c r="O73" s="42">
        <f t="shared" si="48"/>
        <v>5283685.7100884318</v>
      </c>
      <c r="P73" s="42">
        <f t="shared" si="48"/>
        <v>5471899.2325916756</v>
      </c>
      <c r="Q73" s="42">
        <f t="shared" si="48"/>
        <v>5666486.1720046867</v>
      </c>
      <c r="R73" s="42">
        <f t="shared" si="48"/>
        <v>5867641.4556363663</v>
      </c>
      <c r="S73" s="1310"/>
    </row>
    <row r="74" spans="1:19">
      <c r="A74" s="463" t="str">
        <f>+Gastos!A74</f>
        <v>22310</v>
      </c>
      <c r="B74" s="1018"/>
      <c r="C74" s="506" t="str">
        <f>+Gastos!C74</f>
        <v xml:space="preserve">   EDUCACION</v>
      </c>
      <c r="D74" s="42">
        <f>SUM(D75:D80)</f>
        <v>442663</v>
      </c>
      <c r="E74" s="42">
        <f t="shared" ref="E74:R74" si="49">SUM(E75:E80)</f>
        <v>469798</v>
      </c>
      <c r="F74" s="42">
        <f t="shared" si="49"/>
        <v>487689</v>
      </c>
      <c r="G74" s="42">
        <f t="shared" si="49"/>
        <v>512073.45</v>
      </c>
      <c r="H74" s="42">
        <f t="shared" si="49"/>
        <v>537677.12250000006</v>
      </c>
      <c r="I74" s="42">
        <f t="shared" si="49"/>
        <v>564560.97862499999</v>
      </c>
      <c r="J74" s="42">
        <f t="shared" si="49"/>
        <v>592789.0275562501</v>
      </c>
      <c r="K74" s="42">
        <f t="shared" si="49"/>
        <v>622428.47893406264</v>
      </c>
      <c r="L74" s="42">
        <f t="shared" si="49"/>
        <v>653549.90288076573</v>
      </c>
      <c r="M74" s="42">
        <f t="shared" si="49"/>
        <v>686227.39802480408</v>
      </c>
      <c r="N74" s="42">
        <f t="shared" si="49"/>
        <v>720538.7679260443</v>
      </c>
      <c r="O74" s="42">
        <f t="shared" si="49"/>
        <v>756565.70632234658</v>
      </c>
      <c r="P74" s="42">
        <f t="shared" si="49"/>
        <v>794393.99163846392</v>
      </c>
      <c r="Q74" s="42">
        <f t="shared" si="49"/>
        <v>834113.69122038712</v>
      </c>
      <c r="R74" s="42">
        <f t="shared" si="49"/>
        <v>875819.37578140642</v>
      </c>
      <c r="S74" s="1310"/>
    </row>
    <row r="75" spans="1:19">
      <c r="A75" s="70" t="str">
        <f>+Gastos!A75</f>
        <v>14A</v>
      </c>
      <c r="B75" s="93" t="s">
        <v>205</v>
      </c>
      <c r="C75" s="507" t="str">
        <f>+Gastos!C75</f>
        <v xml:space="preserve">      Construcción, reparación y manteniemiento de Planteles para Preescolar, Primaria y Secundaria</v>
      </c>
      <c r="D75" s="18">
        <v>17090</v>
      </c>
      <c r="E75" s="18">
        <v>32000</v>
      </c>
      <c r="F75" s="18">
        <v>39366</v>
      </c>
      <c r="G75" s="18">
        <f t="shared" ref="G75:R75" si="50">+F75*$E$8</f>
        <v>41334.300000000003</v>
      </c>
      <c r="H75" s="18">
        <f t="shared" si="50"/>
        <v>43401.015000000007</v>
      </c>
      <c r="I75" s="18">
        <f t="shared" si="50"/>
        <v>45571.065750000009</v>
      </c>
      <c r="J75" s="18">
        <f t="shared" si="50"/>
        <v>47849.619037500008</v>
      </c>
      <c r="K75" s="18">
        <f t="shared" si="50"/>
        <v>50242.099989375012</v>
      </c>
      <c r="L75" s="18">
        <f t="shared" si="50"/>
        <v>52754.204988843769</v>
      </c>
      <c r="M75" s="18">
        <f t="shared" si="50"/>
        <v>55391.915238285961</v>
      </c>
      <c r="N75" s="18">
        <f t="shared" si="50"/>
        <v>58161.511000200262</v>
      </c>
      <c r="O75" s="18">
        <f t="shared" si="50"/>
        <v>61069.586550210275</v>
      </c>
      <c r="P75" s="18">
        <f t="shared" si="50"/>
        <v>64123.065877720794</v>
      </c>
      <c r="Q75" s="18">
        <f t="shared" si="50"/>
        <v>67329.219171606834</v>
      </c>
      <c r="R75" s="18">
        <f t="shared" si="50"/>
        <v>70695.680130187175</v>
      </c>
      <c r="S75" s="1310"/>
    </row>
    <row r="76" spans="1:19">
      <c r="A76" s="464" t="str">
        <f>+Gastos!A76</f>
        <v>2231007</v>
      </c>
      <c r="B76" s="1018"/>
      <c r="C76" s="507" t="str">
        <f>+Gastos!C76</f>
        <v xml:space="preserve">      Preinversión: Estudios, Proyectos, Diseños y Asesorías</v>
      </c>
      <c r="D76" s="18">
        <v>3500</v>
      </c>
      <c r="E76" s="18">
        <v>44848</v>
      </c>
      <c r="F76" s="18">
        <v>74330</v>
      </c>
      <c r="G76" s="18">
        <f t="shared" ref="G76:R76" si="51">+F76*$E$8</f>
        <v>78046.5</v>
      </c>
      <c r="H76" s="18">
        <f t="shared" si="51"/>
        <v>81948.824999999997</v>
      </c>
      <c r="I76" s="18">
        <f t="shared" si="51"/>
        <v>86046.266250000001</v>
      </c>
      <c r="J76" s="18">
        <f t="shared" si="51"/>
        <v>90348.579562500003</v>
      </c>
      <c r="K76" s="18">
        <f t="shared" si="51"/>
        <v>94866.008540625</v>
      </c>
      <c r="L76" s="18">
        <f t="shared" si="51"/>
        <v>99609.308967656252</v>
      </c>
      <c r="M76" s="18">
        <f t="shared" si="51"/>
        <v>104589.77441603907</v>
      </c>
      <c r="N76" s="18">
        <f t="shared" si="51"/>
        <v>109819.26313684104</v>
      </c>
      <c r="O76" s="18">
        <f t="shared" si="51"/>
        <v>115310.2262936831</v>
      </c>
      <c r="P76" s="18">
        <f t="shared" si="51"/>
        <v>121075.73760836726</v>
      </c>
      <c r="Q76" s="18">
        <f t="shared" si="51"/>
        <v>127129.52448878562</v>
      </c>
      <c r="R76" s="18">
        <f t="shared" si="51"/>
        <v>133486.0007132249</v>
      </c>
      <c r="S76" s="1310"/>
    </row>
    <row r="77" spans="1:19">
      <c r="A77" s="464" t="str">
        <f>+Gastos!A77</f>
        <v>2231008</v>
      </c>
      <c r="B77" s="1018"/>
      <c r="C77" s="507" t="str">
        <f>+Gastos!C77</f>
        <v xml:space="preserve">      Pago Personal Docente</v>
      </c>
      <c r="D77" s="18">
        <v>0</v>
      </c>
      <c r="E77" s="18">
        <f>+D77*$E$8</f>
        <v>0</v>
      </c>
      <c r="F77" s="18">
        <f t="shared" ref="F77:R77" si="52">+E77*$E$8</f>
        <v>0</v>
      </c>
      <c r="G77" s="18">
        <f t="shared" si="52"/>
        <v>0</v>
      </c>
      <c r="H77" s="18">
        <f t="shared" si="52"/>
        <v>0</v>
      </c>
      <c r="I77" s="18">
        <f t="shared" si="52"/>
        <v>0</v>
      </c>
      <c r="J77" s="18">
        <f t="shared" si="52"/>
        <v>0</v>
      </c>
      <c r="K77" s="18">
        <f t="shared" si="52"/>
        <v>0</v>
      </c>
      <c r="L77" s="18">
        <f t="shared" si="52"/>
        <v>0</v>
      </c>
      <c r="M77" s="18">
        <f t="shared" si="52"/>
        <v>0</v>
      </c>
      <c r="N77" s="18">
        <f t="shared" si="52"/>
        <v>0</v>
      </c>
      <c r="O77" s="18">
        <f t="shared" si="52"/>
        <v>0</v>
      </c>
      <c r="P77" s="18">
        <f t="shared" si="52"/>
        <v>0</v>
      </c>
      <c r="Q77" s="18">
        <f t="shared" si="52"/>
        <v>0</v>
      </c>
      <c r="R77" s="18">
        <f t="shared" si="52"/>
        <v>0</v>
      </c>
      <c r="S77" s="1310"/>
    </row>
    <row r="78" spans="1:19">
      <c r="A78" s="464" t="str">
        <f>+Gastos!A78</f>
        <v>2231009</v>
      </c>
      <c r="B78" s="1018"/>
      <c r="C78" s="507" t="str">
        <f>+Gastos!C78</f>
        <v xml:space="preserve">      Aportes de Seguridad Social del Personal del Sector</v>
      </c>
      <c r="D78" s="18">
        <v>0</v>
      </c>
      <c r="E78" s="18">
        <f>+D78*$E$8</f>
        <v>0</v>
      </c>
      <c r="F78" s="18">
        <f t="shared" ref="F78:R78" si="53">+E78*$E$8</f>
        <v>0</v>
      </c>
      <c r="G78" s="18">
        <f t="shared" si="53"/>
        <v>0</v>
      </c>
      <c r="H78" s="18">
        <f t="shared" si="53"/>
        <v>0</v>
      </c>
      <c r="I78" s="18">
        <f t="shared" si="53"/>
        <v>0</v>
      </c>
      <c r="J78" s="18">
        <f t="shared" si="53"/>
        <v>0</v>
      </c>
      <c r="K78" s="18">
        <f t="shared" si="53"/>
        <v>0</v>
      </c>
      <c r="L78" s="18">
        <f t="shared" si="53"/>
        <v>0</v>
      </c>
      <c r="M78" s="18">
        <f t="shared" si="53"/>
        <v>0</v>
      </c>
      <c r="N78" s="18">
        <f t="shared" si="53"/>
        <v>0</v>
      </c>
      <c r="O78" s="18">
        <f t="shared" si="53"/>
        <v>0</v>
      </c>
      <c r="P78" s="18">
        <f t="shared" si="53"/>
        <v>0</v>
      </c>
      <c r="Q78" s="18">
        <f t="shared" si="53"/>
        <v>0</v>
      </c>
      <c r="R78" s="18">
        <f t="shared" si="53"/>
        <v>0</v>
      </c>
      <c r="S78" s="1310"/>
    </row>
    <row r="79" spans="1:19">
      <c r="A79" s="464" t="str">
        <f>+Gastos!A79</f>
        <v>2231012</v>
      </c>
      <c r="B79" s="1018"/>
      <c r="C79" s="507" t="str">
        <f>+Gastos!C79</f>
        <v xml:space="preserve">      Subsidio para el Acceso de la Población a Servicios Educativos</v>
      </c>
      <c r="D79" s="18">
        <v>0</v>
      </c>
      <c r="E79" s="18">
        <f>+D79*$E$8</f>
        <v>0</v>
      </c>
      <c r="F79" s="18">
        <f t="shared" ref="F79:R79" si="54">+E79*$E$8</f>
        <v>0</v>
      </c>
      <c r="G79" s="18">
        <f t="shared" si="54"/>
        <v>0</v>
      </c>
      <c r="H79" s="18">
        <f t="shared" si="54"/>
        <v>0</v>
      </c>
      <c r="I79" s="18">
        <f t="shared" si="54"/>
        <v>0</v>
      </c>
      <c r="J79" s="18">
        <f t="shared" si="54"/>
        <v>0</v>
      </c>
      <c r="K79" s="18">
        <f t="shared" si="54"/>
        <v>0</v>
      </c>
      <c r="L79" s="18">
        <f t="shared" si="54"/>
        <v>0</v>
      </c>
      <c r="M79" s="18">
        <f t="shared" si="54"/>
        <v>0</v>
      </c>
      <c r="N79" s="18">
        <f t="shared" si="54"/>
        <v>0</v>
      </c>
      <c r="O79" s="18">
        <f t="shared" si="54"/>
        <v>0</v>
      </c>
      <c r="P79" s="18">
        <f t="shared" si="54"/>
        <v>0</v>
      </c>
      <c r="Q79" s="18">
        <f t="shared" si="54"/>
        <v>0</v>
      </c>
      <c r="R79" s="18">
        <f t="shared" si="54"/>
        <v>0</v>
      </c>
      <c r="S79" s="1310"/>
    </row>
    <row r="80" spans="1:19">
      <c r="A80" s="473" t="str">
        <f>+Gastos!A80</f>
        <v>15A</v>
      </c>
      <c r="B80" s="1018" t="s">
        <v>231</v>
      </c>
      <c r="C80" s="507" t="str">
        <f>+Gastos!C80</f>
        <v xml:space="preserve">      Otros Gastos Educación</v>
      </c>
      <c r="D80" s="18">
        <v>422073</v>
      </c>
      <c r="E80" s="18">
        <v>392950</v>
      </c>
      <c r="F80" s="18">
        <v>373993</v>
      </c>
      <c r="G80" s="18">
        <f t="shared" ref="G80:R80" si="55">+F80*$E$8</f>
        <v>392692.65</v>
      </c>
      <c r="H80" s="18">
        <f t="shared" si="55"/>
        <v>412327.28250000003</v>
      </c>
      <c r="I80" s="18">
        <f t="shared" si="55"/>
        <v>432943.64662500005</v>
      </c>
      <c r="J80" s="18">
        <f t="shared" si="55"/>
        <v>454590.8289562501</v>
      </c>
      <c r="K80" s="18">
        <f t="shared" si="55"/>
        <v>477320.37040406262</v>
      </c>
      <c r="L80" s="18">
        <f t="shared" si="55"/>
        <v>501186.38892426575</v>
      </c>
      <c r="M80" s="18">
        <f t="shared" si="55"/>
        <v>526245.70837047906</v>
      </c>
      <c r="N80" s="18">
        <f t="shared" si="55"/>
        <v>552557.993789003</v>
      </c>
      <c r="O80" s="18">
        <f t="shared" si="55"/>
        <v>580185.89347845316</v>
      </c>
      <c r="P80" s="18">
        <f t="shared" si="55"/>
        <v>609195.18815237586</v>
      </c>
      <c r="Q80" s="18">
        <f t="shared" si="55"/>
        <v>639654.94755999465</v>
      </c>
      <c r="R80" s="18">
        <f t="shared" si="55"/>
        <v>671637.69493799435</v>
      </c>
      <c r="S80" s="1310"/>
    </row>
    <row r="81" spans="1:19">
      <c r="A81" s="474" t="str">
        <f>+Gastos!A81</f>
        <v>22316</v>
      </c>
      <c r="B81" s="1018"/>
      <c r="C81" s="504" t="str">
        <f>+Gastos!C81</f>
        <v xml:space="preserve">   SALUD</v>
      </c>
      <c r="D81" s="42">
        <f>SUM(D82:D87)</f>
        <v>2893525</v>
      </c>
      <c r="E81" s="42">
        <f t="shared" ref="E81:R81" si="56">SUM(E82:E87)</f>
        <v>2494225</v>
      </c>
      <c r="F81" s="42">
        <f t="shared" si="56"/>
        <v>1883749</v>
      </c>
      <c r="G81" s="42">
        <f t="shared" si="56"/>
        <v>1977936.4500000002</v>
      </c>
      <c r="H81" s="42">
        <f t="shared" si="56"/>
        <v>2076833.2725000002</v>
      </c>
      <c r="I81" s="42">
        <f t="shared" si="56"/>
        <v>2180674.9361250005</v>
      </c>
      <c r="J81" s="42">
        <f t="shared" si="56"/>
        <v>2289708.6829312504</v>
      </c>
      <c r="K81" s="42">
        <f t="shared" si="56"/>
        <v>2404194.117077813</v>
      </c>
      <c r="L81" s="42">
        <f t="shared" si="56"/>
        <v>2524403.8229317036</v>
      </c>
      <c r="M81" s="42">
        <f t="shared" si="56"/>
        <v>2650624.0140782888</v>
      </c>
      <c r="N81" s="42">
        <f t="shared" si="56"/>
        <v>2783155.2147822035</v>
      </c>
      <c r="O81" s="42">
        <f t="shared" si="56"/>
        <v>2922312.975521314</v>
      </c>
      <c r="P81" s="42">
        <f t="shared" si="56"/>
        <v>3068428.62429738</v>
      </c>
      <c r="Q81" s="42">
        <f t="shared" si="56"/>
        <v>3221850.055512249</v>
      </c>
      <c r="R81" s="42">
        <f t="shared" si="56"/>
        <v>3382942.5582878618</v>
      </c>
      <c r="S81" s="1310"/>
    </row>
    <row r="82" spans="1:19">
      <c r="A82" s="462" t="str">
        <f>+Gastos!A82</f>
        <v>16A</v>
      </c>
      <c r="B82" s="93" t="s">
        <v>236</v>
      </c>
      <c r="C82" s="507" t="str">
        <f>+Gastos!C82</f>
        <v xml:space="preserve">      Construcción y mantenimiento de Hospitales y Puestos de Salud</v>
      </c>
      <c r="D82" s="18">
        <v>0</v>
      </c>
      <c r="E82" s="18">
        <f>+D82*$E$8</f>
        <v>0</v>
      </c>
      <c r="F82" s="18">
        <f t="shared" ref="F82:R82" si="57">+E82*$F$8</f>
        <v>0</v>
      </c>
      <c r="G82" s="18">
        <f t="shared" si="57"/>
        <v>0</v>
      </c>
      <c r="H82" s="18">
        <f t="shared" si="57"/>
        <v>0</v>
      </c>
      <c r="I82" s="18">
        <f t="shared" si="57"/>
        <v>0</v>
      </c>
      <c r="J82" s="18">
        <f t="shared" si="57"/>
        <v>0</v>
      </c>
      <c r="K82" s="18">
        <f t="shared" si="57"/>
        <v>0</v>
      </c>
      <c r="L82" s="18">
        <f t="shared" si="57"/>
        <v>0</v>
      </c>
      <c r="M82" s="18">
        <f t="shared" si="57"/>
        <v>0</v>
      </c>
      <c r="N82" s="18">
        <f t="shared" si="57"/>
        <v>0</v>
      </c>
      <c r="O82" s="18">
        <f t="shared" si="57"/>
        <v>0</v>
      </c>
      <c r="P82" s="18">
        <f t="shared" si="57"/>
        <v>0</v>
      </c>
      <c r="Q82" s="18">
        <f t="shared" si="57"/>
        <v>0</v>
      </c>
      <c r="R82" s="18">
        <f t="shared" si="57"/>
        <v>0</v>
      </c>
      <c r="S82" s="1310"/>
    </row>
    <row r="83" spans="1:19">
      <c r="A83" s="464" t="str">
        <f>+Gastos!A83</f>
        <v>2231607</v>
      </c>
      <c r="B83" s="1018"/>
      <c r="C83" s="507" t="str">
        <f>+Gastos!C83</f>
        <v xml:space="preserve">      Preinversión: Estudios, Proyectos, Diseños y Asesorías</v>
      </c>
      <c r="D83" s="18">
        <v>0</v>
      </c>
      <c r="E83" s="18">
        <f>+D83*$E$8</f>
        <v>0</v>
      </c>
      <c r="F83" s="18">
        <f t="shared" ref="F83:R83" si="58">+E83*$F$8</f>
        <v>0</v>
      </c>
      <c r="G83" s="18">
        <f t="shared" si="58"/>
        <v>0</v>
      </c>
      <c r="H83" s="18">
        <f t="shared" si="58"/>
        <v>0</v>
      </c>
      <c r="I83" s="18">
        <f t="shared" si="58"/>
        <v>0</v>
      </c>
      <c r="J83" s="18">
        <f t="shared" si="58"/>
        <v>0</v>
      </c>
      <c r="K83" s="18">
        <f t="shared" si="58"/>
        <v>0</v>
      </c>
      <c r="L83" s="18">
        <f t="shared" si="58"/>
        <v>0</v>
      </c>
      <c r="M83" s="18">
        <f t="shared" si="58"/>
        <v>0</v>
      </c>
      <c r="N83" s="18">
        <f t="shared" si="58"/>
        <v>0</v>
      </c>
      <c r="O83" s="18">
        <f t="shared" si="58"/>
        <v>0</v>
      </c>
      <c r="P83" s="18">
        <f t="shared" si="58"/>
        <v>0</v>
      </c>
      <c r="Q83" s="18">
        <f t="shared" si="58"/>
        <v>0</v>
      </c>
      <c r="R83" s="18">
        <f t="shared" si="58"/>
        <v>0</v>
      </c>
      <c r="S83" s="1310"/>
    </row>
    <row r="84" spans="1:19">
      <c r="A84" s="464" t="str">
        <f>+Gastos!A84</f>
        <v>2231608</v>
      </c>
      <c r="B84" s="1018"/>
      <c r="C84" s="507" t="str">
        <f>+Gastos!C84</f>
        <v xml:space="preserve">      Pagos de Personal del Sector</v>
      </c>
      <c r="D84" s="18">
        <v>0</v>
      </c>
      <c r="E84" s="18">
        <f>+D84*$E$8</f>
        <v>0</v>
      </c>
      <c r="F84" s="18">
        <f t="shared" ref="F84:R84" si="59">+E84*$F$8</f>
        <v>0</v>
      </c>
      <c r="G84" s="18">
        <f t="shared" si="59"/>
        <v>0</v>
      </c>
      <c r="H84" s="18">
        <f t="shared" si="59"/>
        <v>0</v>
      </c>
      <c r="I84" s="18">
        <f t="shared" si="59"/>
        <v>0</v>
      </c>
      <c r="J84" s="18">
        <f t="shared" si="59"/>
        <v>0</v>
      </c>
      <c r="K84" s="18">
        <f t="shared" si="59"/>
        <v>0</v>
      </c>
      <c r="L84" s="18">
        <f t="shared" si="59"/>
        <v>0</v>
      </c>
      <c r="M84" s="18">
        <f t="shared" si="59"/>
        <v>0</v>
      </c>
      <c r="N84" s="18">
        <f t="shared" si="59"/>
        <v>0</v>
      </c>
      <c r="O84" s="18">
        <f t="shared" si="59"/>
        <v>0</v>
      </c>
      <c r="P84" s="18">
        <f t="shared" si="59"/>
        <v>0</v>
      </c>
      <c r="Q84" s="18">
        <f t="shared" si="59"/>
        <v>0</v>
      </c>
      <c r="R84" s="18">
        <f t="shared" si="59"/>
        <v>0</v>
      </c>
      <c r="S84" s="1310"/>
    </row>
    <row r="85" spans="1:19">
      <c r="A85" s="464" t="str">
        <f>+Gastos!A85</f>
        <v>2231609</v>
      </c>
      <c r="B85" s="1018"/>
      <c r="C85" s="507" t="str">
        <f>+Gastos!C85</f>
        <v xml:space="preserve">      Aportes de Seguridad Social del Personal del Sector</v>
      </c>
      <c r="D85" s="18">
        <v>0</v>
      </c>
      <c r="E85" s="18">
        <f>+D85*$E$8</f>
        <v>0</v>
      </c>
      <c r="F85" s="18">
        <f t="shared" ref="F85:R86" si="60">+E85*$F$8</f>
        <v>0</v>
      </c>
      <c r="G85" s="18">
        <f t="shared" si="60"/>
        <v>0</v>
      </c>
      <c r="H85" s="18">
        <f t="shared" si="60"/>
        <v>0</v>
      </c>
      <c r="I85" s="18">
        <f t="shared" si="60"/>
        <v>0</v>
      </c>
      <c r="J85" s="18">
        <f t="shared" si="60"/>
        <v>0</v>
      </c>
      <c r="K85" s="18">
        <f t="shared" si="60"/>
        <v>0</v>
      </c>
      <c r="L85" s="18">
        <f t="shared" si="60"/>
        <v>0</v>
      </c>
      <c r="M85" s="18">
        <f t="shared" si="60"/>
        <v>0</v>
      </c>
      <c r="N85" s="18">
        <f t="shared" si="60"/>
        <v>0</v>
      </c>
      <c r="O85" s="18">
        <f t="shared" si="60"/>
        <v>0</v>
      </c>
      <c r="P85" s="18">
        <f t="shared" si="60"/>
        <v>0</v>
      </c>
      <c r="Q85" s="18">
        <f t="shared" si="60"/>
        <v>0</v>
      </c>
      <c r="R85" s="18">
        <f t="shared" si="60"/>
        <v>0</v>
      </c>
      <c r="S85" s="1310"/>
    </row>
    <row r="86" spans="1:19">
      <c r="A86" s="464" t="str">
        <f>+Gastos!A86</f>
        <v>2231612</v>
      </c>
      <c r="B86" s="1018"/>
      <c r="C86" s="507" t="str">
        <f>+Gastos!C86</f>
        <v xml:space="preserve">      Subsidio para el Acceso de la Población a Servicios Medicos</v>
      </c>
      <c r="D86" s="18">
        <v>0</v>
      </c>
      <c r="E86" s="18">
        <f>+D86*$E$8</f>
        <v>0</v>
      </c>
      <c r="F86" s="18">
        <f t="shared" si="60"/>
        <v>0</v>
      </c>
      <c r="G86" s="18">
        <f t="shared" si="60"/>
        <v>0</v>
      </c>
      <c r="H86" s="18">
        <f t="shared" si="60"/>
        <v>0</v>
      </c>
      <c r="I86" s="18">
        <f t="shared" si="60"/>
        <v>0</v>
      </c>
      <c r="J86" s="18">
        <f t="shared" si="60"/>
        <v>0</v>
      </c>
      <c r="K86" s="18">
        <f t="shared" si="60"/>
        <v>0</v>
      </c>
      <c r="L86" s="18">
        <f t="shared" si="60"/>
        <v>0</v>
      </c>
      <c r="M86" s="18">
        <f t="shared" si="60"/>
        <v>0</v>
      </c>
      <c r="N86" s="18">
        <f t="shared" si="60"/>
        <v>0</v>
      </c>
      <c r="O86" s="18">
        <f t="shared" si="60"/>
        <v>0</v>
      </c>
      <c r="P86" s="18">
        <f t="shared" si="60"/>
        <v>0</v>
      </c>
      <c r="Q86" s="18">
        <f t="shared" si="60"/>
        <v>0</v>
      </c>
      <c r="R86" s="18">
        <f t="shared" si="60"/>
        <v>0</v>
      </c>
      <c r="S86" s="1310"/>
    </row>
    <row r="87" spans="1:19">
      <c r="A87" s="462" t="str">
        <f>+Gastos!A87</f>
        <v>17A</v>
      </c>
      <c r="B87" s="1018" t="s">
        <v>245</v>
      </c>
      <c r="C87" s="507" t="str">
        <f>+Gastos!C87</f>
        <v xml:space="preserve">      Otros Gastos Salud</v>
      </c>
      <c r="D87" s="18">
        <v>2893525</v>
      </c>
      <c r="E87" s="18">
        <v>2494225</v>
      </c>
      <c r="F87" s="18">
        <v>1883749</v>
      </c>
      <c r="G87" s="18">
        <f t="shared" ref="G87:R87" si="61">+F87*$E$8</f>
        <v>1977936.4500000002</v>
      </c>
      <c r="H87" s="18">
        <f t="shared" si="61"/>
        <v>2076833.2725000002</v>
      </c>
      <c r="I87" s="18">
        <f t="shared" si="61"/>
        <v>2180674.9361250005</v>
      </c>
      <c r="J87" s="18">
        <f t="shared" si="61"/>
        <v>2289708.6829312504</v>
      </c>
      <c r="K87" s="18">
        <f t="shared" si="61"/>
        <v>2404194.117077813</v>
      </c>
      <c r="L87" s="18">
        <f t="shared" si="61"/>
        <v>2524403.8229317036</v>
      </c>
      <c r="M87" s="18">
        <f t="shared" si="61"/>
        <v>2650624.0140782888</v>
      </c>
      <c r="N87" s="18">
        <f t="shared" si="61"/>
        <v>2783155.2147822035</v>
      </c>
      <c r="O87" s="18">
        <f t="shared" si="61"/>
        <v>2922312.975521314</v>
      </c>
      <c r="P87" s="18">
        <f t="shared" si="61"/>
        <v>3068428.62429738</v>
      </c>
      <c r="Q87" s="18">
        <f t="shared" si="61"/>
        <v>3221850.055512249</v>
      </c>
      <c r="R87" s="18">
        <f t="shared" si="61"/>
        <v>3382942.5582878618</v>
      </c>
      <c r="S87" s="1310"/>
    </row>
    <row r="88" spans="1:19">
      <c r="A88" s="462" t="str">
        <f>+Gastos!A88</f>
        <v>50A</v>
      </c>
      <c r="B88" s="93"/>
      <c r="C88" s="506" t="str">
        <f>+Gastos!C88</f>
        <v xml:space="preserve">  CON RECURSOS DE PARTICIPACIONES DE PROPOSITO GENERAL - SGP</v>
      </c>
      <c r="D88" s="42">
        <f>+D89+D103+D110</f>
        <v>1453107</v>
      </c>
      <c r="E88" s="42">
        <f t="shared" ref="E88:R88" si="62">+E89+E103+E110</f>
        <v>1712996.2999999998</v>
      </c>
      <c r="F88" s="42">
        <f t="shared" si="62"/>
        <v>1594637.65</v>
      </c>
      <c r="G88" s="42">
        <f t="shared" si="62"/>
        <v>1616798.6325000003</v>
      </c>
      <c r="H88" s="42">
        <f t="shared" si="62"/>
        <v>1570065.6641250001</v>
      </c>
      <c r="I88" s="42">
        <f t="shared" si="62"/>
        <v>1532552.52033125</v>
      </c>
      <c r="J88" s="42">
        <f t="shared" si="62"/>
        <v>1549140.2191478126</v>
      </c>
      <c r="K88" s="42">
        <f t="shared" si="62"/>
        <v>1564154.7776052032</v>
      </c>
      <c r="L88" s="42">
        <f t="shared" si="62"/>
        <v>1577423.7978654378</v>
      </c>
      <c r="M88" s="42">
        <f t="shared" si="62"/>
        <v>1588757.6041993985</v>
      </c>
      <c r="N88" s="42">
        <f t="shared" si="62"/>
        <v>1597956.5344093686</v>
      </c>
      <c r="O88" s="42">
        <f t="shared" si="62"/>
        <v>1604807.0282447708</v>
      </c>
      <c r="P88" s="42">
        <f t="shared" si="62"/>
        <v>1609076.6166558317</v>
      </c>
      <c r="Q88" s="42">
        <f t="shared" si="62"/>
        <v>1610522.4252720498</v>
      </c>
      <c r="R88" s="42">
        <f t="shared" si="62"/>
        <v>1608879.5215670979</v>
      </c>
      <c r="S88" s="1310"/>
    </row>
    <row r="89" spans="1:19">
      <c r="A89" s="474" t="str">
        <f>+Gastos!A89</f>
        <v>51A</v>
      </c>
      <c r="B89" s="93"/>
      <c r="C89" s="506" t="str">
        <f>+Gastos!C89</f>
        <v xml:space="preserve">    Pagos de personal y aportes a la seguridad  social</v>
      </c>
      <c r="D89" s="42">
        <f>SUM(D90:D102)</f>
        <v>0</v>
      </c>
      <c r="E89" s="42">
        <f t="shared" ref="E89:R89" si="63">SUM(E90:E102)</f>
        <v>0</v>
      </c>
      <c r="F89" s="42">
        <f t="shared" si="63"/>
        <v>0</v>
      </c>
      <c r="G89" s="42">
        <f t="shared" si="63"/>
        <v>0</v>
      </c>
      <c r="H89" s="42">
        <f t="shared" si="63"/>
        <v>0</v>
      </c>
      <c r="I89" s="42">
        <f t="shared" si="63"/>
        <v>0</v>
      </c>
      <c r="J89" s="42">
        <f t="shared" si="63"/>
        <v>0</v>
      </c>
      <c r="K89" s="42">
        <f t="shared" si="63"/>
        <v>0</v>
      </c>
      <c r="L89" s="42">
        <f t="shared" si="63"/>
        <v>0</v>
      </c>
      <c r="M89" s="42">
        <f t="shared" si="63"/>
        <v>0</v>
      </c>
      <c r="N89" s="42">
        <f t="shared" si="63"/>
        <v>0</v>
      </c>
      <c r="O89" s="42">
        <f t="shared" si="63"/>
        <v>0</v>
      </c>
      <c r="P89" s="42">
        <f t="shared" si="63"/>
        <v>0</v>
      </c>
      <c r="Q89" s="42">
        <f t="shared" si="63"/>
        <v>0</v>
      </c>
      <c r="R89" s="42">
        <f t="shared" si="63"/>
        <v>0</v>
      </c>
      <c r="S89" s="1310"/>
    </row>
    <row r="90" spans="1:19">
      <c r="A90" s="474" t="str">
        <f>+Gastos!A90</f>
        <v>52A</v>
      </c>
      <c r="B90" s="1021" t="s">
        <v>252</v>
      </c>
      <c r="C90" s="507" t="str">
        <f>+Gastos!C90</f>
        <v xml:space="preserve">       Agua Potable y Saneamiento Básico</v>
      </c>
      <c r="D90" s="18">
        <v>0</v>
      </c>
      <c r="E90" s="18">
        <v>0</v>
      </c>
      <c r="F90" s="18">
        <v>0</v>
      </c>
      <c r="G90" s="18">
        <f t="shared" ref="G90:G102" si="64">+F90*$E$8</f>
        <v>0</v>
      </c>
      <c r="H90" s="18">
        <f t="shared" ref="H90:H102" si="65">+G90*$E$8</f>
        <v>0</v>
      </c>
      <c r="I90" s="18">
        <f t="shared" ref="I90:I102" si="66">+H90*$E$8</f>
        <v>0</v>
      </c>
      <c r="J90" s="18">
        <f t="shared" ref="J90:J102" si="67">+I90*$E$8</f>
        <v>0</v>
      </c>
      <c r="K90" s="18">
        <f t="shared" ref="K90:K102" si="68">+J90*$E$8</f>
        <v>0</v>
      </c>
      <c r="L90" s="18">
        <f t="shared" ref="L90:L102" si="69">+K90*$E$8</f>
        <v>0</v>
      </c>
      <c r="M90" s="18">
        <f t="shared" ref="M90:M102" si="70">+L90*$E$8</f>
        <v>0</v>
      </c>
      <c r="N90" s="18">
        <f t="shared" ref="N90:N102" si="71">+M90*$E$8</f>
        <v>0</v>
      </c>
      <c r="O90" s="18">
        <f t="shared" ref="O90:O102" si="72">+N90*$E$8</f>
        <v>0</v>
      </c>
      <c r="P90" s="18">
        <f t="shared" ref="P90:P102" si="73">+O90*$E$8</f>
        <v>0</v>
      </c>
      <c r="Q90" s="18">
        <f t="shared" ref="Q90:Q102" si="74">+P90*$E$8</f>
        <v>0</v>
      </c>
      <c r="R90" s="18">
        <f t="shared" ref="R90:R102" si="75">+Q90*$E$8</f>
        <v>0</v>
      </c>
      <c r="S90" s="1310"/>
    </row>
    <row r="91" spans="1:19">
      <c r="A91" s="474" t="str">
        <f>+Gastos!A91</f>
        <v>53A</v>
      </c>
      <c r="B91" s="1021" t="s">
        <v>255</v>
      </c>
      <c r="C91" s="507" t="str">
        <f>+Gastos!C91</f>
        <v xml:space="preserve">       Infraestructura Vial </v>
      </c>
      <c r="D91" s="18">
        <v>0</v>
      </c>
      <c r="E91" s="18">
        <f t="shared" ref="E91:E98" si="76">+D91*$E$8</f>
        <v>0</v>
      </c>
      <c r="F91" s="18">
        <v>0</v>
      </c>
      <c r="G91" s="18">
        <f t="shared" si="64"/>
        <v>0</v>
      </c>
      <c r="H91" s="18">
        <f t="shared" si="65"/>
        <v>0</v>
      </c>
      <c r="I91" s="18">
        <f t="shared" si="66"/>
        <v>0</v>
      </c>
      <c r="J91" s="18">
        <f t="shared" si="67"/>
        <v>0</v>
      </c>
      <c r="K91" s="18">
        <f t="shared" si="68"/>
        <v>0</v>
      </c>
      <c r="L91" s="18">
        <f t="shared" si="69"/>
        <v>0</v>
      </c>
      <c r="M91" s="18">
        <f t="shared" si="70"/>
        <v>0</v>
      </c>
      <c r="N91" s="18">
        <f t="shared" si="71"/>
        <v>0</v>
      </c>
      <c r="O91" s="18">
        <f t="shared" si="72"/>
        <v>0</v>
      </c>
      <c r="P91" s="18">
        <f t="shared" si="73"/>
        <v>0</v>
      </c>
      <c r="Q91" s="18">
        <f t="shared" si="74"/>
        <v>0</v>
      </c>
      <c r="R91" s="18">
        <f t="shared" si="75"/>
        <v>0</v>
      </c>
      <c r="S91" s="1310"/>
    </row>
    <row r="92" spans="1:19">
      <c r="A92" s="474" t="str">
        <f>+Gastos!A92</f>
        <v>54A</v>
      </c>
      <c r="B92" s="1021" t="s">
        <v>258</v>
      </c>
      <c r="C92" s="507" t="str">
        <f>+Gastos!C92</f>
        <v xml:space="preserve">       Vivienda</v>
      </c>
      <c r="D92" s="18">
        <v>0</v>
      </c>
      <c r="E92" s="18">
        <v>0</v>
      </c>
      <c r="F92" s="18">
        <v>0</v>
      </c>
      <c r="G92" s="18">
        <f t="shared" si="64"/>
        <v>0</v>
      </c>
      <c r="H92" s="18">
        <f t="shared" si="65"/>
        <v>0</v>
      </c>
      <c r="I92" s="18">
        <f t="shared" si="66"/>
        <v>0</v>
      </c>
      <c r="J92" s="18">
        <f t="shared" si="67"/>
        <v>0</v>
      </c>
      <c r="K92" s="18">
        <f t="shared" si="68"/>
        <v>0</v>
      </c>
      <c r="L92" s="18">
        <f t="shared" si="69"/>
        <v>0</v>
      </c>
      <c r="M92" s="18">
        <f t="shared" si="70"/>
        <v>0</v>
      </c>
      <c r="N92" s="18">
        <f t="shared" si="71"/>
        <v>0</v>
      </c>
      <c r="O92" s="18">
        <f t="shared" si="72"/>
        <v>0</v>
      </c>
      <c r="P92" s="18">
        <f t="shared" si="73"/>
        <v>0</v>
      </c>
      <c r="Q92" s="18">
        <f t="shared" si="74"/>
        <v>0</v>
      </c>
      <c r="R92" s="18">
        <f t="shared" si="75"/>
        <v>0</v>
      </c>
      <c r="S92" s="1310"/>
    </row>
    <row r="93" spans="1:19">
      <c r="A93" s="474" t="str">
        <f>+Gastos!A93</f>
        <v>55A</v>
      </c>
      <c r="B93" s="1021" t="s">
        <v>261</v>
      </c>
      <c r="C93" s="507" t="str">
        <f>+Gastos!C93</f>
        <v xml:space="preserve">       Educación</v>
      </c>
      <c r="D93" s="18">
        <v>0</v>
      </c>
      <c r="E93" s="18">
        <f t="shared" si="76"/>
        <v>0</v>
      </c>
      <c r="F93" s="18">
        <f t="shared" ref="F93:F101" si="77">+E93*$E$8</f>
        <v>0</v>
      </c>
      <c r="G93" s="18">
        <f t="shared" si="64"/>
        <v>0</v>
      </c>
      <c r="H93" s="18">
        <f t="shared" si="65"/>
        <v>0</v>
      </c>
      <c r="I93" s="18">
        <f t="shared" si="66"/>
        <v>0</v>
      </c>
      <c r="J93" s="18">
        <f t="shared" si="67"/>
        <v>0</v>
      </c>
      <c r="K93" s="18">
        <f t="shared" si="68"/>
        <v>0</v>
      </c>
      <c r="L93" s="18">
        <f t="shared" si="69"/>
        <v>0</v>
      </c>
      <c r="M93" s="18">
        <f t="shared" si="70"/>
        <v>0</v>
      </c>
      <c r="N93" s="18">
        <f t="shared" si="71"/>
        <v>0</v>
      </c>
      <c r="O93" s="18">
        <f t="shared" si="72"/>
        <v>0</v>
      </c>
      <c r="P93" s="18">
        <f t="shared" si="73"/>
        <v>0</v>
      </c>
      <c r="Q93" s="18">
        <f t="shared" si="74"/>
        <v>0</v>
      </c>
      <c r="R93" s="18">
        <f t="shared" si="75"/>
        <v>0</v>
      </c>
      <c r="S93" s="1310"/>
    </row>
    <row r="94" spans="1:19">
      <c r="A94" s="474" t="str">
        <f>+Gastos!A94</f>
        <v>56A</v>
      </c>
      <c r="B94" s="1021" t="s">
        <v>264</v>
      </c>
      <c r="C94" s="507" t="str">
        <f>+Gastos!C94</f>
        <v xml:space="preserve">       Educación Física, Deporte y Recreación</v>
      </c>
      <c r="D94" s="18">
        <v>0</v>
      </c>
      <c r="E94" s="18">
        <v>0</v>
      </c>
      <c r="F94" s="18">
        <v>0</v>
      </c>
      <c r="G94" s="18">
        <f t="shared" si="64"/>
        <v>0</v>
      </c>
      <c r="H94" s="18">
        <f t="shared" si="65"/>
        <v>0</v>
      </c>
      <c r="I94" s="18">
        <f t="shared" si="66"/>
        <v>0</v>
      </c>
      <c r="J94" s="18">
        <f t="shared" si="67"/>
        <v>0</v>
      </c>
      <c r="K94" s="18">
        <f t="shared" si="68"/>
        <v>0</v>
      </c>
      <c r="L94" s="18">
        <f t="shared" si="69"/>
        <v>0</v>
      </c>
      <c r="M94" s="18">
        <f t="shared" si="70"/>
        <v>0</v>
      </c>
      <c r="N94" s="18">
        <f t="shared" si="71"/>
        <v>0</v>
      </c>
      <c r="O94" s="18">
        <f t="shared" si="72"/>
        <v>0</v>
      </c>
      <c r="P94" s="18">
        <f t="shared" si="73"/>
        <v>0</v>
      </c>
      <c r="Q94" s="18">
        <f t="shared" si="74"/>
        <v>0</v>
      </c>
      <c r="R94" s="18">
        <f t="shared" si="75"/>
        <v>0</v>
      </c>
      <c r="S94" s="1310"/>
    </row>
    <row r="95" spans="1:19">
      <c r="A95" s="474" t="str">
        <f>+Gastos!A95</f>
        <v>57A</v>
      </c>
      <c r="B95" s="1021" t="s">
        <v>267</v>
      </c>
      <c r="C95" s="507" t="str">
        <f>+Gastos!C95</f>
        <v xml:space="preserve">       Salud</v>
      </c>
      <c r="D95" s="18">
        <v>0</v>
      </c>
      <c r="E95" s="18">
        <f t="shared" si="76"/>
        <v>0</v>
      </c>
      <c r="F95" s="18">
        <f t="shared" si="77"/>
        <v>0</v>
      </c>
      <c r="G95" s="18">
        <f t="shared" si="64"/>
        <v>0</v>
      </c>
      <c r="H95" s="18">
        <f t="shared" si="65"/>
        <v>0</v>
      </c>
      <c r="I95" s="18">
        <f t="shared" si="66"/>
        <v>0</v>
      </c>
      <c r="J95" s="18">
        <f t="shared" si="67"/>
        <v>0</v>
      </c>
      <c r="K95" s="18">
        <f t="shared" si="68"/>
        <v>0</v>
      </c>
      <c r="L95" s="18">
        <f t="shared" si="69"/>
        <v>0</v>
      </c>
      <c r="M95" s="18">
        <f t="shared" si="70"/>
        <v>0</v>
      </c>
      <c r="N95" s="18">
        <f t="shared" si="71"/>
        <v>0</v>
      </c>
      <c r="O95" s="18">
        <f t="shared" si="72"/>
        <v>0</v>
      </c>
      <c r="P95" s="18">
        <f t="shared" si="73"/>
        <v>0</v>
      </c>
      <c r="Q95" s="18">
        <f t="shared" si="74"/>
        <v>0</v>
      </c>
      <c r="R95" s="18">
        <f t="shared" si="75"/>
        <v>0</v>
      </c>
      <c r="S95" s="1310"/>
    </row>
    <row r="96" spans="1:19">
      <c r="A96" s="474" t="str">
        <f>+Gastos!A96</f>
        <v>58A</v>
      </c>
      <c r="B96" s="1021" t="s">
        <v>270</v>
      </c>
      <c r="C96" s="507" t="str">
        <f>+Gastos!C96</f>
        <v xml:space="preserve">       Cultura</v>
      </c>
      <c r="D96" s="18">
        <v>0</v>
      </c>
      <c r="E96" s="18">
        <v>0</v>
      </c>
      <c r="F96" s="18">
        <v>0</v>
      </c>
      <c r="G96" s="18">
        <f t="shared" si="64"/>
        <v>0</v>
      </c>
      <c r="H96" s="18">
        <f t="shared" si="65"/>
        <v>0</v>
      </c>
      <c r="I96" s="18">
        <f t="shared" si="66"/>
        <v>0</v>
      </c>
      <c r="J96" s="18">
        <f t="shared" si="67"/>
        <v>0</v>
      </c>
      <c r="K96" s="18">
        <f t="shared" si="68"/>
        <v>0</v>
      </c>
      <c r="L96" s="18">
        <f t="shared" si="69"/>
        <v>0</v>
      </c>
      <c r="M96" s="18">
        <f t="shared" si="70"/>
        <v>0</v>
      </c>
      <c r="N96" s="18">
        <f t="shared" si="71"/>
        <v>0</v>
      </c>
      <c r="O96" s="18">
        <f t="shared" si="72"/>
        <v>0</v>
      </c>
      <c r="P96" s="18">
        <f t="shared" si="73"/>
        <v>0</v>
      </c>
      <c r="Q96" s="18">
        <f t="shared" si="74"/>
        <v>0</v>
      </c>
      <c r="R96" s="18">
        <f t="shared" si="75"/>
        <v>0</v>
      </c>
      <c r="S96" s="1310"/>
    </row>
    <row r="97" spans="1:19">
      <c r="A97" s="474" t="str">
        <f>+Gastos!A97</f>
        <v>59A</v>
      </c>
      <c r="B97" s="1021" t="s">
        <v>273</v>
      </c>
      <c r="C97" s="507" t="str">
        <f>+Gastos!C97</f>
        <v xml:space="preserve">       Sector Energético</v>
      </c>
      <c r="D97" s="18">
        <v>0</v>
      </c>
      <c r="E97" s="18">
        <f t="shared" si="76"/>
        <v>0</v>
      </c>
      <c r="F97" s="18">
        <v>0</v>
      </c>
      <c r="G97" s="18">
        <f t="shared" si="64"/>
        <v>0</v>
      </c>
      <c r="H97" s="18">
        <f t="shared" si="65"/>
        <v>0</v>
      </c>
      <c r="I97" s="18">
        <f t="shared" si="66"/>
        <v>0</v>
      </c>
      <c r="J97" s="18">
        <f t="shared" si="67"/>
        <v>0</v>
      </c>
      <c r="K97" s="18">
        <f t="shared" si="68"/>
        <v>0</v>
      </c>
      <c r="L97" s="18">
        <f t="shared" si="69"/>
        <v>0</v>
      </c>
      <c r="M97" s="18">
        <f t="shared" si="70"/>
        <v>0</v>
      </c>
      <c r="N97" s="18">
        <f t="shared" si="71"/>
        <v>0</v>
      </c>
      <c r="O97" s="18">
        <f t="shared" si="72"/>
        <v>0</v>
      </c>
      <c r="P97" s="18">
        <f t="shared" si="73"/>
        <v>0</v>
      </c>
      <c r="Q97" s="18">
        <f t="shared" si="74"/>
        <v>0</v>
      </c>
      <c r="R97" s="18">
        <f t="shared" si="75"/>
        <v>0</v>
      </c>
      <c r="S97" s="1310"/>
    </row>
    <row r="98" spans="1:19">
      <c r="A98" s="474" t="str">
        <f>+Gastos!A98</f>
        <v>60A</v>
      </c>
      <c r="B98" s="1021" t="s">
        <v>276</v>
      </c>
      <c r="C98" s="507" t="str">
        <f>+Gastos!C98</f>
        <v xml:space="preserve">       Desarrollo Agropecuario y Minero</v>
      </c>
      <c r="D98" s="18">
        <v>0</v>
      </c>
      <c r="E98" s="18">
        <f t="shared" si="76"/>
        <v>0</v>
      </c>
      <c r="F98" s="18">
        <v>0</v>
      </c>
      <c r="G98" s="18">
        <f t="shared" si="64"/>
        <v>0</v>
      </c>
      <c r="H98" s="18">
        <f t="shared" si="65"/>
        <v>0</v>
      </c>
      <c r="I98" s="18">
        <f t="shared" si="66"/>
        <v>0</v>
      </c>
      <c r="J98" s="18">
        <f t="shared" si="67"/>
        <v>0</v>
      </c>
      <c r="K98" s="18">
        <f t="shared" si="68"/>
        <v>0</v>
      </c>
      <c r="L98" s="18">
        <f t="shared" si="69"/>
        <v>0</v>
      </c>
      <c r="M98" s="18">
        <f t="shared" si="70"/>
        <v>0</v>
      </c>
      <c r="N98" s="18">
        <f t="shared" si="71"/>
        <v>0</v>
      </c>
      <c r="O98" s="18">
        <f t="shared" si="72"/>
        <v>0</v>
      </c>
      <c r="P98" s="18">
        <f t="shared" si="73"/>
        <v>0</v>
      </c>
      <c r="Q98" s="18">
        <f t="shared" si="74"/>
        <v>0</v>
      </c>
      <c r="R98" s="18">
        <f t="shared" si="75"/>
        <v>0</v>
      </c>
      <c r="S98" s="1310"/>
    </row>
    <row r="99" spans="1:19">
      <c r="A99" s="474" t="str">
        <f>+Gastos!A99</f>
        <v>61A</v>
      </c>
      <c r="B99" s="1021" t="s">
        <v>279</v>
      </c>
      <c r="C99" s="507" t="str">
        <f>+Gastos!C99</f>
        <v xml:space="preserve">       Infraestructura Urbana</v>
      </c>
      <c r="D99" s="18">
        <v>0</v>
      </c>
      <c r="E99" s="18">
        <v>0</v>
      </c>
      <c r="F99" s="18">
        <v>0</v>
      </c>
      <c r="G99" s="18">
        <f t="shared" si="64"/>
        <v>0</v>
      </c>
      <c r="H99" s="18">
        <f t="shared" si="65"/>
        <v>0</v>
      </c>
      <c r="I99" s="18">
        <f t="shared" si="66"/>
        <v>0</v>
      </c>
      <c r="J99" s="18">
        <f t="shared" si="67"/>
        <v>0</v>
      </c>
      <c r="K99" s="18">
        <f t="shared" si="68"/>
        <v>0</v>
      </c>
      <c r="L99" s="18">
        <f t="shared" si="69"/>
        <v>0</v>
      </c>
      <c r="M99" s="18">
        <f t="shared" si="70"/>
        <v>0</v>
      </c>
      <c r="N99" s="18">
        <f t="shared" si="71"/>
        <v>0</v>
      </c>
      <c r="O99" s="18">
        <f t="shared" si="72"/>
        <v>0</v>
      </c>
      <c r="P99" s="18">
        <f t="shared" si="73"/>
        <v>0</v>
      </c>
      <c r="Q99" s="18">
        <f t="shared" si="74"/>
        <v>0</v>
      </c>
      <c r="R99" s="18">
        <f t="shared" si="75"/>
        <v>0</v>
      </c>
      <c r="S99" s="1310"/>
    </row>
    <row r="100" spans="1:19">
      <c r="A100" s="474" t="str">
        <f>+Gastos!A100</f>
        <v>62A</v>
      </c>
      <c r="B100" s="1021" t="s">
        <v>282</v>
      </c>
      <c r="C100" s="507" t="str">
        <f>+Gastos!C100</f>
        <v xml:space="preserve">       Desarrollo de la comunidad</v>
      </c>
      <c r="D100" s="18">
        <v>0</v>
      </c>
      <c r="E100" s="18">
        <v>0</v>
      </c>
      <c r="F100" s="18">
        <v>0</v>
      </c>
      <c r="G100" s="18">
        <f t="shared" si="64"/>
        <v>0</v>
      </c>
      <c r="H100" s="18">
        <f t="shared" si="65"/>
        <v>0</v>
      </c>
      <c r="I100" s="18">
        <f t="shared" si="66"/>
        <v>0</v>
      </c>
      <c r="J100" s="18">
        <f t="shared" si="67"/>
        <v>0</v>
      </c>
      <c r="K100" s="18">
        <f t="shared" si="68"/>
        <v>0</v>
      </c>
      <c r="L100" s="18">
        <f t="shared" si="69"/>
        <v>0</v>
      </c>
      <c r="M100" s="18">
        <f t="shared" si="70"/>
        <v>0</v>
      </c>
      <c r="N100" s="18">
        <f t="shared" si="71"/>
        <v>0</v>
      </c>
      <c r="O100" s="18">
        <f t="shared" si="72"/>
        <v>0</v>
      </c>
      <c r="P100" s="18">
        <f t="shared" si="73"/>
        <v>0</v>
      </c>
      <c r="Q100" s="18">
        <f t="shared" si="74"/>
        <v>0</v>
      </c>
      <c r="R100" s="18">
        <f t="shared" si="75"/>
        <v>0</v>
      </c>
      <c r="S100" s="1310"/>
    </row>
    <row r="101" spans="1:19">
      <c r="A101" s="474" t="str">
        <f>+Gastos!A101</f>
        <v>63A</v>
      </c>
      <c r="B101" s="1021" t="s">
        <v>285</v>
      </c>
      <c r="C101" s="507" t="str">
        <f>+Gastos!C101</f>
        <v xml:space="preserve">       Justicia, defensa y seguridad</v>
      </c>
      <c r="D101" s="18">
        <v>0</v>
      </c>
      <c r="E101" s="18">
        <v>0</v>
      </c>
      <c r="F101" s="18">
        <f t="shared" si="77"/>
        <v>0</v>
      </c>
      <c r="G101" s="18">
        <f t="shared" si="64"/>
        <v>0</v>
      </c>
      <c r="H101" s="18">
        <f t="shared" si="65"/>
        <v>0</v>
      </c>
      <c r="I101" s="18">
        <f t="shared" si="66"/>
        <v>0</v>
      </c>
      <c r="J101" s="18">
        <f t="shared" si="67"/>
        <v>0</v>
      </c>
      <c r="K101" s="18">
        <f t="shared" si="68"/>
        <v>0</v>
      </c>
      <c r="L101" s="18">
        <f t="shared" si="69"/>
        <v>0</v>
      </c>
      <c r="M101" s="18">
        <f t="shared" si="70"/>
        <v>0</v>
      </c>
      <c r="N101" s="18">
        <f t="shared" si="71"/>
        <v>0</v>
      </c>
      <c r="O101" s="18">
        <f t="shared" si="72"/>
        <v>0</v>
      </c>
      <c r="P101" s="18">
        <f t="shared" si="73"/>
        <v>0</v>
      </c>
      <c r="Q101" s="18">
        <f t="shared" si="74"/>
        <v>0</v>
      </c>
      <c r="R101" s="18">
        <f t="shared" si="75"/>
        <v>0</v>
      </c>
      <c r="S101" s="1310"/>
    </row>
    <row r="102" spans="1:19">
      <c r="A102" s="474" t="str">
        <f>+Gastos!A102</f>
        <v>64A</v>
      </c>
      <c r="B102" s="1022" t="s">
        <v>288</v>
      </c>
      <c r="C102" s="507" t="str">
        <f>+Gastos!C102</f>
        <v xml:space="preserve">       Otros sectores</v>
      </c>
      <c r="D102" s="18">
        <v>0</v>
      </c>
      <c r="E102" s="18">
        <v>0</v>
      </c>
      <c r="F102" s="18">
        <v>0</v>
      </c>
      <c r="G102" s="18">
        <f t="shared" si="64"/>
        <v>0</v>
      </c>
      <c r="H102" s="18">
        <f t="shared" si="65"/>
        <v>0</v>
      </c>
      <c r="I102" s="18">
        <f t="shared" si="66"/>
        <v>0</v>
      </c>
      <c r="J102" s="18">
        <f t="shared" si="67"/>
        <v>0</v>
      </c>
      <c r="K102" s="18">
        <f t="shared" si="68"/>
        <v>0</v>
      </c>
      <c r="L102" s="18">
        <f t="shared" si="69"/>
        <v>0</v>
      </c>
      <c r="M102" s="18">
        <f t="shared" si="70"/>
        <v>0</v>
      </c>
      <c r="N102" s="18">
        <f t="shared" si="71"/>
        <v>0</v>
      </c>
      <c r="O102" s="18">
        <f t="shared" si="72"/>
        <v>0</v>
      </c>
      <c r="P102" s="18">
        <f t="shared" si="73"/>
        <v>0</v>
      </c>
      <c r="Q102" s="18">
        <f t="shared" si="74"/>
        <v>0</v>
      </c>
      <c r="R102" s="18">
        <f t="shared" si="75"/>
        <v>0</v>
      </c>
      <c r="S102" s="1310"/>
    </row>
    <row r="103" spans="1:19">
      <c r="A103" s="474" t="str">
        <f>+Gastos!A103</f>
        <v>65A</v>
      </c>
      <c r="B103" s="93"/>
      <c r="C103" s="506" t="str">
        <f>+Gastos!C103</f>
        <v xml:space="preserve">    Subsidios para el acceso de la población al servicio</v>
      </c>
      <c r="D103" s="42">
        <f>SUM(D104:D109)</f>
        <v>0</v>
      </c>
      <c r="E103" s="42">
        <f t="shared" ref="E103:R103" si="78">SUM(E104:E109)</f>
        <v>0</v>
      </c>
      <c r="F103" s="42">
        <f t="shared" si="78"/>
        <v>88192</v>
      </c>
      <c r="G103" s="42">
        <f t="shared" si="78"/>
        <v>92601.600000000006</v>
      </c>
      <c r="H103" s="42">
        <f t="shared" si="78"/>
        <v>97231.680000000008</v>
      </c>
      <c r="I103" s="42">
        <f t="shared" si="78"/>
        <v>102093.26400000001</v>
      </c>
      <c r="J103" s="42">
        <f t="shared" si="78"/>
        <v>47158</v>
      </c>
      <c r="K103" s="42">
        <f t="shared" si="78"/>
        <v>0</v>
      </c>
      <c r="L103" s="42">
        <f t="shared" si="78"/>
        <v>0</v>
      </c>
      <c r="M103" s="42">
        <f t="shared" si="78"/>
        <v>0</v>
      </c>
      <c r="N103" s="42">
        <f t="shared" si="78"/>
        <v>0</v>
      </c>
      <c r="O103" s="42">
        <f t="shared" si="78"/>
        <v>0</v>
      </c>
      <c r="P103" s="42">
        <f t="shared" si="78"/>
        <v>0</v>
      </c>
      <c r="Q103" s="42">
        <f t="shared" si="78"/>
        <v>0</v>
      </c>
      <c r="R103" s="42">
        <f t="shared" si="78"/>
        <v>0</v>
      </c>
      <c r="S103" s="1310"/>
    </row>
    <row r="104" spans="1:19">
      <c r="A104" s="465" t="str">
        <f>+Gastos!A104</f>
        <v>2250212</v>
      </c>
      <c r="B104" s="1023"/>
      <c r="C104" s="507" t="str">
        <f>+Gastos!C104</f>
        <v xml:space="preserve">       Agua Potable y Saneamiento Básico</v>
      </c>
      <c r="D104" s="18">
        <v>0</v>
      </c>
      <c r="E104" s="18">
        <f t="shared" ref="E104:E109" si="79">+D104*$E$8</f>
        <v>0</v>
      </c>
      <c r="F104" s="18">
        <v>88192</v>
      </c>
      <c r="G104" s="18">
        <f t="shared" ref="G104:G109" si="80">+F104*$E$8</f>
        <v>92601.600000000006</v>
      </c>
      <c r="H104" s="18">
        <f t="shared" ref="H104:H109" si="81">+G104*$E$8</f>
        <v>97231.680000000008</v>
      </c>
      <c r="I104" s="18">
        <f t="shared" ref="I104:I109" si="82">+H104*$E$8</f>
        <v>102093.26400000001</v>
      </c>
      <c r="J104" s="18">
        <v>47158</v>
      </c>
      <c r="K104" s="18">
        <v>0</v>
      </c>
      <c r="L104" s="18">
        <f t="shared" ref="L104:L109" si="83">+K104*$E$8</f>
        <v>0</v>
      </c>
      <c r="M104" s="18">
        <f t="shared" ref="M104:M109" si="84">+L104*$E$8</f>
        <v>0</v>
      </c>
      <c r="N104" s="18">
        <f t="shared" ref="N104:N109" si="85">+M104*$E$8</f>
        <v>0</v>
      </c>
      <c r="O104" s="18">
        <f t="shared" ref="O104:O109" si="86">+N104*$E$8</f>
        <v>0</v>
      </c>
      <c r="P104" s="18">
        <f t="shared" ref="P104:P109" si="87">+O104*$E$8</f>
        <v>0</v>
      </c>
      <c r="Q104" s="18">
        <f t="shared" ref="Q104:Q109" si="88">+P104*$E$8</f>
        <v>0</v>
      </c>
      <c r="R104" s="18">
        <f t="shared" ref="R104:R109" si="89">+Q104*$E$8</f>
        <v>0</v>
      </c>
      <c r="S104" s="1310"/>
    </row>
    <row r="105" spans="1:19">
      <c r="A105" s="462" t="str">
        <f>+Gastos!A105</f>
        <v>66A</v>
      </c>
      <c r="B105" s="1023" t="s">
        <v>294</v>
      </c>
      <c r="C105" s="507" t="str">
        <f>+Gastos!C105</f>
        <v xml:space="preserve">       Vivienda</v>
      </c>
      <c r="D105" s="18">
        <v>0</v>
      </c>
      <c r="E105" s="18">
        <f t="shared" si="79"/>
        <v>0</v>
      </c>
      <c r="F105" s="18">
        <f t="shared" ref="F105:F109" si="90">+E105*$E$8</f>
        <v>0</v>
      </c>
      <c r="G105" s="18">
        <f t="shared" si="80"/>
        <v>0</v>
      </c>
      <c r="H105" s="18">
        <f t="shared" si="81"/>
        <v>0</v>
      </c>
      <c r="I105" s="18">
        <f t="shared" si="82"/>
        <v>0</v>
      </c>
      <c r="J105" s="18">
        <f t="shared" ref="J105:J109" si="91">+I105*$E$8</f>
        <v>0</v>
      </c>
      <c r="K105" s="18">
        <f t="shared" ref="K105:K109" si="92">+J105*$E$8</f>
        <v>0</v>
      </c>
      <c r="L105" s="18">
        <f t="shared" si="83"/>
        <v>0</v>
      </c>
      <c r="M105" s="18">
        <f t="shared" si="84"/>
        <v>0</v>
      </c>
      <c r="N105" s="18">
        <f t="shared" si="85"/>
        <v>0</v>
      </c>
      <c r="O105" s="18">
        <f t="shared" si="86"/>
        <v>0</v>
      </c>
      <c r="P105" s="18">
        <f t="shared" si="87"/>
        <v>0</v>
      </c>
      <c r="Q105" s="18">
        <f t="shared" si="88"/>
        <v>0</v>
      </c>
      <c r="R105" s="18">
        <f t="shared" si="89"/>
        <v>0</v>
      </c>
      <c r="S105" s="1310"/>
    </row>
    <row r="106" spans="1:19">
      <c r="A106" s="466" t="str">
        <f>+Gastos!A106</f>
        <v>2251012</v>
      </c>
      <c r="B106" s="1023"/>
      <c r="C106" s="507" t="str">
        <f>+Gastos!C106</f>
        <v xml:space="preserve">       Educación</v>
      </c>
      <c r="D106" s="18">
        <v>0</v>
      </c>
      <c r="E106" s="18">
        <f t="shared" si="79"/>
        <v>0</v>
      </c>
      <c r="F106" s="18">
        <f t="shared" si="90"/>
        <v>0</v>
      </c>
      <c r="G106" s="18">
        <f t="shared" si="80"/>
        <v>0</v>
      </c>
      <c r="H106" s="18">
        <f t="shared" si="81"/>
        <v>0</v>
      </c>
      <c r="I106" s="18">
        <f t="shared" si="82"/>
        <v>0</v>
      </c>
      <c r="J106" s="18">
        <f t="shared" si="91"/>
        <v>0</v>
      </c>
      <c r="K106" s="18">
        <f t="shared" si="92"/>
        <v>0</v>
      </c>
      <c r="L106" s="18">
        <f t="shared" si="83"/>
        <v>0</v>
      </c>
      <c r="M106" s="18">
        <f t="shared" si="84"/>
        <v>0</v>
      </c>
      <c r="N106" s="18">
        <f t="shared" si="85"/>
        <v>0</v>
      </c>
      <c r="O106" s="18">
        <f t="shared" si="86"/>
        <v>0</v>
      </c>
      <c r="P106" s="18">
        <f t="shared" si="87"/>
        <v>0</v>
      </c>
      <c r="Q106" s="18">
        <f t="shared" si="88"/>
        <v>0</v>
      </c>
      <c r="R106" s="18">
        <f t="shared" si="89"/>
        <v>0</v>
      </c>
      <c r="S106" s="1310"/>
    </row>
    <row r="107" spans="1:19">
      <c r="A107" s="465" t="str">
        <f>+Gastos!A107</f>
        <v>2251612</v>
      </c>
      <c r="B107" s="1023"/>
      <c r="C107" s="507" t="str">
        <f>+Gastos!C107</f>
        <v xml:space="preserve">       Salud</v>
      </c>
      <c r="D107" s="18">
        <v>0</v>
      </c>
      <c r="E107" s="18">
        <f t="shared" si="79"/>
        <v>0</v>
      </c>
      <c r="F107" s="18">
        <f t="shared" si="90"/>
        <v>0</v>
      </c>
      <c r="G107" s="18">
        <f t="shared" si="80"/>
        <v>0</v>
      </c>
      <c r="H107" s="18">
        <f t="shared" si="81"/>
        <v>0</v>
      </c>
      <c r="I107" s="18">
        <f t="shared" si="82"/>
        <v>0</v>
      </c>
      <c r="J107" s="18">
        <f t="shared" si="91"/>
        <v>0</v>
      </c>
      <c r="K107" s="18">
        <f t="shared" si="92"/>
        <v>0</v>
      </c>
      <c r="L107" s="18">
        <f t="shared" si="83"/>
        <v>0</v>
      </c>
      <c r="M107" s="18">
        <f t="shared" si="84"/>
        <v>0</v>
      </c>
      <c r="N107" s="18">
        <f t="shared" si="85"/>
        <v>0</v>
      </c>
      <c r="O107" s="18">
        <f t="shared" si="86"/>
        <v>0</v>
      </c>
      <c r="P107" s="18">
        <f t="shared" si="87"/>
        <v>0</v>
      </c>
      <c r="Q107" s="18">
        <f t="shared" si="88"/>
        <v>0</v>
      </c>
      <c r="R107" s="18">
        <f t="shared" si="89"/>
        <v>0</v>
      </c>
      <c r="S107" s="1310"/>
    </row>
    <row r="108" spans="1:19">
      <c r="A108" s="474" t="str">
        <f>+Gastos!A108</f>
        <v>67A</v>
      </c>
      <c r="B108" s="1023"/>
      <c r="C108" s="507" t="str">
        <f>+Gastos!C108</f>
        <v xml:space="preserve">        Sector Energético</v>
      </c>
      <c r="D108" s="18">
        <v>0</v>
      </c>
      <c r="E108" s="18">
        <f t="shared" si="79"/>
        <v>0</v>
      </c>
      <c r="F108" s="18">
        <f t="shared" si="90"/>
        <v>0</v>
      </c>
      <c r="G108" s="18">
        <f t="shared" si="80"/>
        <v>0</v>
      </c>
      <c r="H108" s="18">
        <f t="shared" si="81"/>
        <v>0</v>
      </c>
      <c r="I108" s="18">
        <f t="shared" si="82"/>
        <v>0</v>
      </c>
      <c r="J108" s="18">
        <f t="shared" si="91"/>
        <v>0</v>
      </c>
      <c r="K108" s="18">
        <f t="shared" si="92"/>
        <v>0</v>
      </c>
      <c r="L108" s="18">
        <f t="shared" si="83"/>
        <v>0</v>
      </c>
      <c r="M108" s="18">
        <f t="shared" si="84"/>
        <v>0</v>
      </c>
      <c r="N108" s="18">
        <f t="shared" si="85"/>
        <v>0</v>
      </c>
      <c r="O108" s="18">
        <f t="shared" si="86"/>
        <v>0</v>
      </c>
      <c r="P108" s="18">
        <f t="shared" si="87"/>
        <v>0</v>
      </c>
      <c r="Q108" s="18">
        <f t="shared" si="88"/>
        <v>0</v>
      </c>
      <c r="R108" s="18">
        <f t="shared" si="89"/>
        <v>0</v>
      </c>
      <c r="S108" s="1310"/>
    </row>
    <row r="109" spans="1:19">
      <c r="A109" s="465" t="str">
        <f>+Gastos!A109</f>
        <v>2252212</v>
      </c>
      <c r="B109" s="1023"/>
      <c r="C109" s="507" t="str">
        <f>+Gastos!C109</f>
        <v xml:space="preserve">       Desarrollo Agropecuario y Minero</v>
      </c>
      <c r="D109" s="18">
        <v>0</v>
      </c>
      <c r="E109" s="18">
        <f t="shared" si="79"/>
        <v>0</v>
      </c>
      <c r="F109" s="18">
        <f t="shared" si="90"/>
        <v>0</v>
      </c>
      <c r="G109" s="18">
        <f t="shared" si="80"/>
        <v>0</v>
      </c>
      <c r="H109" s="18">
        <f t="shared" si="81"/>
        <v>0</v>
      </c>
      <c r="I109" s="18">
        <f t="shared" si="82"/>
        <v>0</v>
      </c>
      <c r="J109" s="18">
        <f t="shared" si="91"/>
        <v>0</v>
      </c>
      <c r="K109" s="18">
        <f t="shared" si="92"/>
        <v>0</v>
      </c>
      <c r="L109" s="18">
        <f t="shared" si="83"/>
        <v>0</v>
      </c>
      <c r="M109" s="18">
        <f t="shared" si="84"/>
        <v>0</v>
      </c>
      <c r="N109" s="18">
        <f t="shared" si="85"/>
        <v>0</v>
      </c>
      <c r="O109" s="18">
        <f t="shared" si="86"/>
        <v>0</v>
      </c>
      <c r="P109" s="18">
        <f t="shared" si="87"/>
        <v>0</v>
      </c>
      <c r="Q109" s="18">
        <f t="shared" si="88"/>
        <v>0</v>
      </c>
      <c r="R109" s="18">
        <f t="shared" si="89"/>
        <v>0</v>
      </c>
      <c r="S109" s="1310"/>
    </row>
    <row r="110" spans="1:19">
      <c r="A110" s="474" t="str">
        <f>+Gastos!A110</f>
        <v>68A</v>
      </c>
      <c r="B110" s="93"/>
      <c r="C110" s="506" t="str">
        <f>+Gastos!C110</f>
        <v xml:space="preserve">    Formación Bruta de capital  y otros (construcción, reparación, mantenimiento, asistencia técnica, preinversión, etc)</v>
      </c>
      <c r="D110" s="42">
        <f>SUM(D111:D124)</f>
        <v>1453107</v>
      </c>
      <c r="E110" s="42">
        <f t="shared" ref="E110:R110" si="93">SUM(E111:E124)</f>
        <v>1712996.2999999998</v>
      </c>
      <c r="F110" s="42">
        <f t="shared" si="93"/>
        <v>1506445.65</v>
      </c>
      <c r="G110" s="42">
        <f t="shared" si="93"/>
        <v>1524197.0325000002</v>
      </c>
      <c r="H110" s="42">
        <f t="shared" si="93"/>
        <v>1472833.9841250002</v>
      </c>
      <c r="I110" s="42">
        <f t="shared" si="93"/>
        <v>1430459.2563312501</v>
      </c>
      <c r="J110" s="42">
        <f t="shared" si="93"/>
        <v>1501982.2191478126</v>
      </c>
      <c r="K110" s="42">
        <f t="shared" si="93"/>
        <v>1564154.7776052032</v>
      </c>
      <c r="L110" s="42">
        <f t="shared" si="93"/>
        <v>1577423.7978654378</v>
      </c>
      <c r="M110" s="42">
        <f t="shared" si="93"/>
        <v>1588757.6041993985</v>
      </c>
      <c r="N110" s="42">
        <f t="shared" si="93"/>
        <v>1597956.5344093686</v>
      </c>
      <c r="O110" s="42">
        <f t="shared" si="93"/>
        <v>1604807.0282447708</v>
      </c>
      <c r="P110" s="42">
        <f t="shared" si="93"/>
        <v>1609076.6166558317</v>
      </c>
      <c r="Q110" s="42">
        <f t="shared" si="93"/>
        <v>1610522.4252720498</v>
      </c>
      <c r="R110" s="42">
        <f t="shared" si="93"/>
        <v>1608879.5215670979</v>
      </c>
      <c r="S110" s="1310"/>
    </row>
    <row r="111" spans="1:19">
      <c r="A111" s="474" t="str">
        <f>+Gastos!A111</f>
        <v>69A</v>
      </c>
      <c r="B111" s="1024" t="s">
        <v>303</v>
      </c>
      <c r="C111" s="507" t="str">
        <f>+Gastos!C111</f>
        <v xml:space="preserve">       Agua Potable y Saneamiento Básico</v>
      </c>
      <c r="D111" s="18">
        <v>364208</v>
      </c>
      <c r="E111" s="18">
        <v>450889</v>
      </c>
      <c r="F111" s="18">
        <v>451711</v>
      </c>
      <c r="G111" s="18">
        <f t="shared" ref="G111:G124" si="94">+F111*$E$8</f>
        <v>474296.55000000005</v>
      </c>
      <c r="H111" s="18">
        <f t="shared" ref="H111:H124" si="95">+G111*$E$8</f>
        <v>498011.37750000006</v>
      </c>
      <c r="I111" s="18">
        <f t="shared" ref="I111:I122" si="96">+H111*$E$8</f>
        <v>522911.94637500006</v>
      </c>
      <c r="J111" s="18">
        <f t="shared" ref="J111:J124" si="97">+I111*$E$8</f>
        <v>549057.54369375005</v>
      </c>
      <c r="K111" s="18">
        <f t="shared" ref="K111:K122" si="98">+J111*$E$8</f>
        <v>576510.42087843758</v>
      </c>
      <c r="L111" s="18">
        <f t="shared" ref="L111:L121" si="99">+K111*$E$8</f>
        <v>605335.94192235952</v>
      </c>
      <c r="M111" s="18">
        <f t="shared" ref="M111:M124" si="100">+L111*$E$8</f>
        <v>635602.7390184775</v>
      </c>
      <c r="N111" s="18">
        <f t="shared" ref="N111:N124" si="101">+M111*$E$8</f>
        <v>667382.87596940144</v>
      </c>
      <c r="O111" s="18">
        <f t="shared" ref="O111:O124" si="102">+N111*$E$8</f>
        <v>700752.01976787159</v>
      </c>
      <c r="P111" s="18">
        <f t="shared" ref="P111:P124" si="103">+O111*$E$8</f>
        <v>735789.62075626524</v>
      </c>
      <c r="Q111" s="18">
        <f t="shared" ref="Q111:Q124" si="104">+P111*$E$8</f>
        <v>772579.10179407848</v>
      </c>
      <c r="R111" s="18">
        <f t="shared" ref="R111:R124" si="105">+Q111*$E$8</f>
        <v>811208.05688378238</v>
      </c>
      <c r="S111" s="1310"/>
    </row>
    <row r="112" spans="1:19">
      <c r="A112" s="474" t="str">
        <f>+Gastos!A112</f>
        <v>70A</v>
      </c>
      <c r="B112" s="1024" t="s">
        <v>305</v>
      </c>
      <c r="C112" s="507" t="str">
        <f>+Gastos!C112</f>
        <v xml:space="preserve">       Infraestructura Vial </v>
      </c>
      <c r="D112" s="18">
        <v>225950</v>
      </c>
      <c r="E112" s="18">
        <f t="shared" ref="E112:F122" si="106">+D112*$E$8</f>
        <v>237247.5</v>
      </c>
      <c r="F112" s="18">
        <v>379530</v>
      </c>
      <c r="G112" s="18">
        <f t="shared" si="94"/>
        <v>398506.5</v>
      </c>
      <c r="H112" s="18">
        <f t="shared" si="95"/>
        <v>418431.82500000001</v>
      </c>
      <c r="I112" s="18">
        <f t="shared" si="96"/>
        <v>439353.41625000001</v>
      </c>
      <c r="J112" s="18">
        <f t="shared" si="97"/>
        <v>461321.08706250001</v>
      </c>
      <c r="K112" s="18">
        <f t="shared" si="98"/>
        <v>484387.14141562505</v>
      </c>
      <c r="L112" s="18">
        <f t="shared" si="99"/>
        <v>508606.49848640634</v>
      </c>
      <c r="M112" s="18">
        <f t="shared" si="100"/>
        <v>534036.82341072673</v>
      </c>
      <c r="N112" s="18">
        <f t="shared" si="101"/>
        <v>560738.66458126309</v>
      </c>
      <c r="O112" s="18">
        <f t="shared" si="102"/>
        <v>588775.59781032626</v>
      </c>
      <c r="P112" s="18">
        <f t="shared" si="103"/>
        <v>618214.37770084257</v>
      </c>
      <c r="Q112" s="18">
        <f t="shared" si="104"/>
        <v>649125.09658588469</v>
      </c>
      <c r="R112" s="18">
        <f t="shared" si="105"/>
        <v>681581.35141517897</v>
      </c>
      <c r="S112" s="1310"/>
    </row>
    <row r="113" spans="1:19">
      <c r="A113" s="474" t="str">
        <f>+Gastos!A113</f>
        <v>71A</v>
      </c>
      <c r="B113" s="1024" t="s">
        <v>307</v>
      </c>
      <c r="C113" s="507" t="str">
        <f>+Gastos!C113</f>
        <v xml:space="preserve">       Vivienda</v>
      </c>
      <c r="D113" s="18">
        <v>0</v>
      </c>
      <c r="E113" s="18">
        <v>8000</v>
      </c>
      <c r="F113" s="18">
        <v>29753</v>
      </c>
      <c r="G113" s="18">
        <f t="shared" si="94"/>
        <v>31240.65</v>
      </c>
      <c r="H113" s="18">
        <f t="shared" si="95"/>
        <v>32802.682500000003</v>
      </c>
      <c r="I113" s="18">
        <f t="shared" si="96"/>
        <v>34442.816625000007</v>
      </c>
      <c r="J113" s="18">
        <f t="shared" si="97"/>
        <v>36164.957456250006</v>
      </c>
      <c r="K113" s="18">
        <f t="shared" si="98"/>
        <v>37973.205329062504</v>
      </c>
      <c r="L113" s="18">
        <f t="shared" si="99"/>
        <v>39871.865595515628</v>
      </c>
      <c r="M113" s="18">
        <f t="shared" si="100"/>
        <v>41865.458875291413</v>
      </c>
      <c r="N113" s="18">
        <f t="shared" si="101"/>
        <v>43958.731819055989</v>
      </c>
      <c r="O113" s="18">
        <f t="shared" si="102"/>
        <v>46156.668410008788</v>
      </c>
      <c r="P113" s="18">
        <f t="shared" si="103"/>
        <v>48464.501830509231</v>
      </c>
      <c r="Q113" s="18">
        <f t="shared" si="104"/>
        <v>50887.726922034693</v>
      </c>
      <c r="R113" s="18">
        <f t="shared" si="105"/>
        <v>53432.113268136432</v>
      </c>
      <c r="S113" s="1310"/>
    </row>
    <row r="114" spans="1:19">
      <c r="A114" s="474" t="str">
        <f>+Gastos!A114</f>
        <v>72A</v>
      </c>
      <c r="B114" s="1024" t="s">
        <v>309</v>
      </c>
      <c r="C114" s="507" t="str">
        <f>+Gastos!C114</f>
        <v xml:space="preserve">       Educación</v>
      </c>
      <c r="D114" s="18">
        <v>0</v>
      </c>
      <c r="E114" s="18">
        <f t="shared" si="106"/>
        <v>0</v>
      </c>
      <c r="F114" s="18">
        <v>54830</v>
      </c>
      <c r="G114" s="18">
        <v>0</v>
      </c>
      <c r="H114" s="18">
        <f t="shared" si="95"/>
        <v>0</v>
      </c>
      <c r="I114" s="18">
        <f t="shared" si="96"/>
        <v>0</v>
      </c>
      <c r="J114" s="18">
        <f t="shared" si="97"/>
        <v>0</v>
      </c>
      <c r="K114" s="18">
        <f t="shared" si="98"/>
        <v>0</v>
      </c>
      <c r="L114" s="18">
        <f t="shared" si="99"/>
        <v>0</v>
      </c>
      <c r="M114" s="18">
        <f t="shared" si="100"/>
        <v>0</v>
      </c>
      <c r="N114" s="18">
        <f t="shared" si="101"/>
        <v>0</v>
      </c>
      <c r="O114" s="18">
        <f t="shared" si="102"/>
        <v>0</v>
      </c>
      <c r="P114" s="18">
        <f t="shared" si="103"/>
        <v>0</v>
      </c>
      <c r="Q114" s="18">
        <f t="shared" si="104"/>
        <v>0</v>
      </c>
      <c r="R114" s="18">
        <f t="shared" si="105"/>
        <v>0</v>
      </c>
      <c r="S114" s="1310"/>
    </row>
    <row r="115" spans="1:19">
      <c r="A115" s="474" t="str">
        <f>+Gastos!A115</f>
        <v>73A</v>
      </c>
      <c r="B115" s="1024" t="s">
        <v>311</v>
      </c>
      <c r="C115" s="507" t="str">
        <f>+Gastos!C115</f>
        <v xml:space="preserve">       Educación Física, Deporte y Recreación</v>
      </c>
      <c r="D115" s="18">
        <v>42046</v>
      </c>
      <c r="E115" s="18">
        <v>46097</v>
      </c>
      <c r="F115" s="18">
        <v>43595</v>
      </c>
      <c r="G115" s="18">
        <f t="shared" si="94"/>
        <v>45774.75</v>
      </c>
      <c r="H115" s="18">
        <f t="shared" si="95"/>
        <v>48063.487500000003</v>
      </c>
      <c r="I115" s="18">
        <f t="shared" si="96"/>
        <v>50466.661875000005</v>
      </c>
      <c r="J115" s="18">
        <f t="shared" si="97"/>
        <v>52989.994968750005</v>
      </c>
      <c r="K115" s="18">
        <f t="shared" si="98"/>
        <v>55639.49471718751</v>
      </c>
      <c r="L115" s="18">
        <f t="shared" si="99"/>
        <v>58421.469453046891</v>
      </c>
      <c r="M115" s="18">
        <f t="shared" si="100"/>
        <v>61342.542925699236</v>
      </c>
      <c r="N115" s="18">
        <f t="shared" si="101"/>
        <v>64409.670071984197</v>
      </c>
      <c r="O115" s="18">
        <f t="shared" si="102"/>
        <v>67630.153575583405</v>
      </c>
      <c r="P115" s="18">
        <f t="shared" si="103"/>
        <v>71011.661254362582</v>
      </c>
      <c r="Q115" s="18">
        <f t="shared" si="104"/>
        <v>74562.244317080709</v>
      </c>
      <c r="R115" s="18">
        <v>62658</v>
      </c>
      <c r="S115" s="1310"/>
    </row>
    <row r="116" spans="1:19">
      <c r="A116" s="474" t="str">
        <f>+Gastos!A116</f>
        <v>74A</v>
      </c>
      <c r="B116" s="1024" t="s">
        <v>313</v>
      </c>
      <c r="C116" s="507" t="str">
        <f>+Gastos!C116</f>
        <v xml:space="preserve">       Salud</v>
      </c>
      <c r="D116" s="18">
        <v>0</v>
      </c>
      <c r="E116" s="18">
        <f t="shared" si="106"/>
        <v>0</v>
      </c>
      <c r="F116" s="18">
        <v>115712</v>
      </c>
      <c r="G116" s="18">
        <v>121498</v>
      </c>
      <c r="H116" s="18">
        <v>0</v>
      </c>
      <c r="I116" s="18">
        <f t="shared" si="96"/>
        <v>0</v>
      </c>
      <c r="J116" s="18">
        <f t="shared" si="97"/>
        <v>0</v>
      </c>
      <c r="K116" s="18">
        <f t="shared" si="98"/>
        <v>0</v>
      </c>
      <c r="L116" s="18">
        <f t="shared" si="99"/>
        <v>0</v>
      </c>
      <c r="M116" s="18">
        <f t="shared" si="100"/>
        <v>0</v>
      </c>
      <c r="N116" s="18">
        <f t="shared" si="101"/>
        <v>0</v>
      </c>
      <c r="O116" s="18">
        <f t="shared" si="102"/>
        <v>0</v>
      </c>
      <c r="P116" s="18">
        <f t="shared" si="103"/>
        <v>0</v>
      </c>
      <c r="Q116" s="18">
        <f t="shared" si="104"/>
        <v>0</v>
      </c>
      <c r="R116" s="18">
        <f t="shared" si="105"/>
        <v>0</v>
      </c>
      <c r="S116" s="1310"/>
    </row>
    <row r="117" spans="1:19">
      <c r="A117" s="474" t="str">
        <f>+Gastos!A117</f>
        <v>75A</v>
      </c>
      <c r="B117" s="1024" t="s">
        <v>315</v>
      </c>
      <c r="C117" s="507" t="str">
        <f>+Gastos!C117</f>
        <v xml:space="preserve">       Cultura</v>
      </c>
      <c r="D117" s="18">
        <v>41731</v>
      </c>
      <c r="E117" s="18">
        <v>47467</v>
      </c>
      <c r="F117" s="18">
        <v>32696</v>
      </c>
      <c r="G117" s="18">
        <f t="shared" si="94"/>
        <v>34330.800000000003</v>
      </c>
      <c r="H117" s="18">
        <f t="shared" si="95"/>
        <v>36047.340000000004</v>
      </c>
      <c r="I117" s="18">
        <f t="shared" si="96"/>
        <v>37849.707000000002</v>
      </c>
      <c r="J117" s="18">
        <f t="shared" si="97"/>
        <v>39742.192350000005</v>
      </c>
      <c r="K117" s="18">
        <f t="shared" si="98"/>
        <v>41729.301967500003</v>
      </c>
      <c r="L117" s="18">
        <f t="shared" si="99"/>
        <v>43815.767065875007</v>
      </c>
      <c r="M117" s="18">
        <f t="shared" si="100"/>
        <v>46006.555419168762</v>
      </c>
      <c r="N117" s="18">
        <f t="shared" si="101"/>
        <v>48306.883190127206</v>
      </c>
      <c r="O117" s="18">
        <f t="shared" si="102"/>
        <v>50722.227349633569</v>
      </c>
      <c r="P117" s="18">
        <f t="shared" si="103"/>
        <v>53258.33871711525</v>
      </c>
      <c r="Q117" s="18">
        <f t="shared" si="104"/>
        <v>55921.255652971013</v>
      </c>
      <c r="R117" s="18">
        <v>0</v>
      </c>
      <c r="S117" s="1310"/>
    </row>
    <row r="118" spans="1:19">
      <c r="A118" s="474" t="str">
        <f>+Gastos!A118</f>
        <v>76A</v>
      </c>
      <c r="B118" s="1024" t="s">
        <v>317</v>
      </c>
      <c r="C118" s="507" t="str">
        <f>+Gastos!C118</f>
        <v xml:space="preserve">       Sector Energético</v>
      </c>
      <c r="D118" s="18">
        <v>26774</v>
      </c>
      <c r="E118" s="18">
        <f t="shared" si="106"/>
        <v>28112.7</v>
      </c>
      <c r="F118" s="18">
        <v>18056</v>
      </c>
      <c r="G118" s="18">
        <v>18959</v>
      </c>
      <c r="H118" s="18">
        <f t="shared" si="95"/>
        <v>19906.95</v>
      </c>
      <c r="I118" s="18">
        <f t="shared" si="96"/>
        <v>20902.297500000001</v>
      </c>
      <c r="J118" s="18">
        <f t="shared" si="97"/>
        <v>21947.412375</v>
      </c>
      <c r="K118" s="18">
        <f t="shared" si="98"/>
        <v>23044.782993749999</v>
      </c>
      <c r="L118" s="18">
        <f t="shared" si="99"/>
        <v>24197.022143437502</v>
      </c>
      <c r="M118" s="18">
        <f t="shared" si="100"/>
        <v>25406.873250609377</v>
      </c>
      <c r="N118" s="18">
        <f t="shared" si="101"/>
        <v>26677.216913139848</v>
      </c>
      <c r="O118" s="18">
        <f t="shared" si="102"/>
        <v>28011.07775879684</v>
      </c>
      <c r="P118" s="18">
        <f t="shared" si="103"/>
        <v>29411.631646736685</v>
      </c>
      <c r="Q118" s="18">
        <v>7447</v>
      </c>
      <c r="R118" s="18">
        <v>0</v>
      </c>
      <c r="S118" s="1310"/>
    </row>
    <row r="119" spans="1:19">
      <c r="A119" s="474" t="str">
        <f>+Gastos!A119</f>
        <v>77A</v>
      </c>
      <c r="B119" s="1024" t="s">
        <v>319</v>
      </c>
      <c r="C119" s="507" t="str">
        <f>+Gastos!C119</f>
        <v xml:space="preserve">       Desarrollo Agropecuario y Minero</v>
      </c>
      <c r="D119" s="18">
        <v>79722</v>
      </c>
      <c r="E119" s="18">
        <f t="shared" si="106"/>
        <v>83708.100000000006</v>
      </c>
      <c r="F119" s="18">
        <v>66919</v>
      </c>
      <c r="G119" s="18">
        <f t="shared" si="94"/>
        <v>70264.95</v>
      </c>
      <c r="H119" s="18">
        <f t="shared" si="95"/>
        <v>73778.197499999995</v>
      </c>
      <c r="I119" s="18">
        <f t="shared" si="96"/>
        <v>77467.107374999992</v>
      </c>
      <c r="J119" s="18">
        <f t="shared" si="97"/>
        <v>81340.462743750002</v>
      </c>
      <c r="K119" s="18">
        <f t="shared" si="98"/>
        <v>85407.4858809375</v>
      </c>
      <c r="L119" s="18">
        <f t="shared" si="99"/>
        <v>89677.86017498438</v>
      </c>
      <c r="M119" s="18">
        <f t="shared" si="100"/>
        <v>94161.753183733599</v>
      </c>
      <c r="N119" s="18">
        <f t="shared" si="101"/>
        <v>98869.840842920283</v>
      </c>
      <c r="O119" s="18">
        <v>30766</v>
      </c>
      <c r="P119" s="18">
        <f t="shared" si="103"/>
        <v>32304.300000000003</v>
      </c>
      <c r="Q119" s="18">
        <v>0</v>
      </c>
      <c r="R119" s="18">
        <f t="shared" si="105"/>
        <v>0</v>
      </c>
      <c r="S119" s="1310"/>
    </row>
    <row r="120" spans="1:19">
      <c r="A120" s="474" t="str">
        <f>+Gastos!A120</f>
        <v>78A</v>
      </c>
      <c r="B120" s="1024" t="s">
        <v>321</v>
      </c>
      <c r="C120" s="507" t="str">
        <f>+Gastos!C120</f>
        <v xml:space="preserve">       Infraestructura Urbana</v>
      </c>
      <c r="D120" s="18">
        <v>96369</v>
      </c>
      <c r="E120" s="18">
        <v>121187</v>
      </c>
      <c r="F120" s="18">
        <v>27246</v>
      </c>
      <c r="G120" s="18">
        <f t="shared" si="94"/>
        <v>28608.300000000003</v>
      </c>
      <c r="H120" s="18">
        <f t="shared" si="95"/>
        <v>30038.715000000004</v>
      </c>
      <c r="I120" s="18">
        <f t="shared" si="96"/>
        <v>31540.650750000004</v>
      </c>
      <c r="J120" s="18">
        <f t="shared" si="97"/>
        <v>33117.683287500004</v>
      </c>
      <c r="K120" s="18">
        <f t="shared" si="98"/>
        <v>34773.567451875002</v>
      </c>
      <c r="L120" s="18">
        <f t="shared" si="99"/>
        <v>36512.245824468751</v>
      </c>
      <c r="M120" s="18">
        <f t="shared" si="100"/>
        <v>38337.858115692194</v>
      </c>
      <c r="N120" s="18">
        <f t="shared" si="101"/>
        <v>40254.751021476804</v>
      </c>
      <c r="O120" s="18">
        <f t="shared" si="102"/>
        <v>42267.488572550646</v>
      </c>
      <c r="P120" s="18">
        <v>0</v>
      </c>
      <c r="Q120" s="18">
        <f t="shared" si="104"/>
        <v>0</v>
      </c>
      <c r="R120" s="18">
        <f t="shared" si="105"/>
        <v>0</v>
      </c>
      <c r="S120" s="1310"/>
    </row>
    <row r="121" spans="1:19">
      <c r="A121" s="474" t="str">
        <f>+Gastos!A121</f>
        <v>79A</v>
      </c>
      <c r="B121" s="1024" t="s">
        <v>323</v>
      </c>
      <c r="C121" s="507" t="str">
        <f>+Gastos!C121</f>
        <v xml:space="preserve">       Desarrollo de la comunidad</v>
      </c>
      <c r="D121" s="18">
        <v>280637</v>
      </c>
      <c r="E121" s="18">
        <v>334669</v>
      </c>
      <c r="F121" s="18">
        <v>112998</v>
      </c>
      <c r="G121" s="18">
        <f t="shared" si="94"/>
        <v>118647.90000000001</v>
      </c>
      <c r="H121" s="18">
        <f t="shared" si="95"/>
        <v>124580.29500000001</v>
      </c>
      <c r="I121" s="18">
        <f t="shared" si="96"/>
        <v>130809.30975000001</v>
      </c>
      <c r="J121" s="18">
        <f t="shared" si="97"/>
        <v>137349.77523750003</v>
      </c>
      <c r="K121" s="18">
        <f t="shared" si="98"/>
        <v>144217.26399937505</v>
      </c>
      <c r="L121" s="18">
        <f t="shared" si="99"/>
        <v>151428.12719934381</v>
      </c>
      <c r="M121" s="18">
        <v>99999</v>
      </c>
      <c r="N121" s="18">
        <v>34760</v>
      </c>
      <c r="O121" s="18">
        <f t="shared" si="102"/>
        <v>36498</v>
      </c>
      <c r="P121" s="18">
        <v>6733</v>
      </c>
      <c r="Q121" s="18">
        <v>0</v>
      </c>
      <c r="R121" s="18">
        <f t="shared" si="105"/>
        <v>0</v>
      </c>
      <c r="S121" s="1310"/>
    </row>
    <row r="122" spans="1:19">
      <c r="A122" s="474" t="str">
        <f>+Gastos!A122</f>
        <v>80A</v>
      </c>
      <c r="B122" s="1024" t="s">
        <v>325</v>
      </c>
      <c r="C122" s="507" t="str">
        <f>+Gastos!C122</f>
        <v xml:space="preserve">       Justicia, defensa y seguridad</v>
      </c>
      <c r="D122" s="18">
        <v>33902</v>
      </c>
      <c r="E122" s="18">
        <v>38613</v>
      </c>
      <c r="F122" s="18">
        <f t="shared" si="106"/>
        <v>40543.65</v>
      </c>
      <c r="G122" s="18">
        <f t="shared" si="94"/>
        <v>42570.832500000004</v>
      </c>
      <c r="H122" s="18">
        <f t="shared" si="95"/>
        <v>44699.374125000009</v>
      </c>
      <c r="I122" s="18">
        <f t="shared" si="96"/>
        <v>46934.342831250011</v>
      </c>
      <c r="J122" s="18">
        <f t="shared" si="97"/>
        <v>49281.059972812516</v>
      </c>
      <c r="K122" s="18">
        <f t="shared" si="98"/>
        <v>51745.112971453142</v>
      </c>
      <c r="L122" s="18">
        <v>19557</v>
      </c>
      <c r="M122" s="18">
        <v>11998</v>
      </c>
      <c r="N122" s="18">
        <f t="shared" si="101"/>
        <v>12597.9</v>
      </c>
      <c r="O122" s="18">
        <f t="shared" si="102"/>
        <v>13227.795</v>
      </c>
      <c r="P122" s="18">
        <f t="shared" si="103"/>
        <v>13889.18475</v>
      </c>
      <c r="Q122" s="18">
        <v>0</v>
      </c>
      <c r="R122" s="18">
        <f t="shared" si="105"/>
        <v>0</v>
      </c>
      <c r="S122" s="1310"/>
    </row>
    <row r="123" spans="1:19">
      <c r="A123" s="462" t="str">
        <f>+Gastos!A123</f>
        <v>81A</v>
      </c>
      <c r="B123" s="1024" t="s">
        <v>327</v>
      </c>
      <c r="C123" s="507" t="str">
        <f>+Gastos!C123</f>
        <v xml:space="preserve">       Desarrollo Institucional</v>
      </c>
      <c r="D123" s="18">
        <v>261768</v>
      </c>
      <c r="E123" s="18">
        <v>317006</v>
      </c>
      <c r="F123" s="18">
        <v>132856</v>
      </c>
      <c r="G123" s="18">
        <f t="shared" si="94"/>
        <v>139498.80000000002</v>
      </c>
      <c r="H123" s="18">
        <f t="shared" si="95"/>
        <v>146473.74000000002</v>
      </c>
      <c r="I123" s="18">
        <v>37781</v>
      </c>
      <c r="J123" s="18">
        <f t="shared" si="97"/>
        <v>39670.050000000003</v>
      </c>
      <c r="K123" s="18">
        <v>28727</v>
      </c>
      <c r="L123" s="18">
        <v>0</v>
      </c>
      <c r="M123" s="18">
        <f t="shared" si="100"/>
        <v>0</v>
      </c>
      <c r="N123" s="18">
        <f t="shared" si="101"/>
        <v>0</v>
      </c>
      <c r="O123" s="18">
        <f t="shared" si="102"/>
        <v>0</v>
      </c>
      <c r="P123" s="18">
        <f t="shared" si="103"/>
        <v>0</v>
      </c>
      <c r="Q123" s="18">
        <f t="shared" si="104"/>
        <v>0</v>
      </c>
      <c r="R123" s="18">
        <f t="shared" si="105"/>
        <v>0</v>
      </c>
      <c r="S123" s="1310"/>
    </row>
    <row r="124" spans="1:19">
      <c r="A124" s="474" t="str">
        <f>+Gastos!A124</f>
        <v>82A</v>
      </c>
      <c r="B124" s="1025" t="s">
        <v>330</v>
      </c>
      <c r="C124" s="507" t="str">
        <f>+Gastos!C124</f>
        <v xml:space="preserve">       Otros sectores</v>
      </c>
      <c r="D124" s="18">
        <v>0</v>
      </c>
      <c r="E124" s="18">
        <f t="shared" ref="E124" si="107">+D124*$E$8</f>
        <v>0</v>
      </c>
      <c r="F124" s="18">
        <f t="shared" ref="F124" si="108">+E124*$E$8</f>
        <v>0</v>
      </c>
      <c r="G124" s="18">
        <f t="shared" si="94"/>
        <v>0</v>
      </c>
      <c r="H124" s="18">
        <f t="shared" si="95"/>
        <v>0</v>
      </c>
      <c r="I124" s="18">
        <f t="shared" ref="I124" si="109">+H124*$E$8</f>
        <v>0</v>
      </c>
      <c r="J124" s="18">
        <f t="shared" si="97"/>
        <v>0</v>
      </c>
      <c r="K124" s="18">
        <f t="shared" ref="K124" si="110">+J124*$E$8</f>
        <v>0</v>
      </c>
      <c r="L124" s="18">
        <f t="shared" ref="L124" si="111">+K124*$E$8</f>
        <v>0</v>
      </c>
      <c r="M124" s="18">
        <f t="shared" si="100"/>
        <v>0</v>
      </c>
      <c r="N124" s="18">
        <f t="shared" si="101"/>
        <v>0</v>
      </c>
      <c r="O124" s="18">
        <f t="shared" si="102"/>
        <v>0</v>
      </c>
      <c r="P124" s="18">
        <f t="shared" si="103"/>
        <v>0</v>
      </c>
      <c r="Q124" s="18">
        <f t="shared" si="104"/>
        <v>0</v>
      </c>
      <c r="R124" s="18">
        <f t="shared" si="105"/>
        <v>0</v>
      </c>
      <c r="S124" s="1310"/>
    </row>
    <row r="125" spans="1:19">
      <c r="A125" s="474" t="str">
        <f>+Gastos!A125</f>
        <v>224</v>
      </c>
      <c r="B125" s="93"/>
      <c r="C125" s="506" t="str">
        <f>+Gastos!C125</f>
        <v xml:space="preserve">  CON RECURSOS DE REGALIAS Y FONDOS DE COFINANCIACIÓN</v>
      </c>
      <c r="D125" s="42">
        <f>+D126+D140+D147</f>
        <v>0</v>
      </c>
      <c r="E125" s="42">
        <f t="shared" ref="E125:R125" si="112">+E126+E140+E147</f>
        <v>0</v>
      </c>
      <c r="F125" s="42">
        <f t="shared" si="112"/>
        <v>1496248</v>
      </c>
      <c r="G125" s="42">
        <f t="shared" si="112"/>
        <v>0</v>
      </c>
      <c r="H125" s="42">
        <f t="shared" si="112"/>
        <v>0</v>
      </c>
      <c r="I125" s="42">
        <f t="shared" si="112"/>
        <v>0</v>
      </c>
      <c r="J125" s="42">
        <f t="shared" si="112"/>
        <v>0</v>
      </c>
      <c r="K125" s="42">
        <f t="shared" si="112"/>
        <v>0</v>
      </c>
      <c r="L125" s="42">
        <f t="shared" si="112"/>
        <v>0</v>
      </c>
      <c r="M125" s="42">
        <f t="shared" si="112"/>
        <v>0</v>
      </c>
      <c r="N125" s="42">
        <f t="shared" si="112"/>
        <v>0</v>
      </c>
      <c r="O125" s="42">
        <f t="shared" si="112"/>
        <v>0</v>
      </c>
      <c r="P125" s="42">
        <f t="shared" si="112"/>
        <v>0</v>
      </c>
      <c r="Q125" s="42">
        <f t="shared" si="112"/>
        <v>0</v>
      </c>
      <c r="R125" s="42">
        <f t="shared" si="112"/>
        <v>0</v>
      </c>
      <c r="S125" s="1310"/>
    </row>
    <row r="126" spans="1:19">
      <c r="A126" s="463" t="str">
        <f>+Gastos!A126</f>
        <v>18A</v>
      </c>
      <c r="B126" s="93"/>
      <c r="C126" s="506" t="str">
        <f>+Gastos!C126</f>
        <v xml:space="preserve">    Pagos de personal y aportes a la seguridad  social</v>
      </c>
      <c r="D126" s="42">
        <f>SUM(D127:D139)</f>
        <v>0</v>
      </c>
      <c r="E126" s="42">
        <f t="shared" ref="E126:R126" si="113">SUM(E127:E139)</f>
        <v>0</v>
      </c>
      <c r="F126" s="42">
        <f t="shared" si="113"/>
        <v>0</v>
      </c>
      <c r="G126" s="42">
        <f t="shared" si="113"/>
        <v>0</v>
      </c>
      <c r="H126" s="42">
        <f t="shared" si="113"/>
        <v>0</v>
      </c>
      <c r="I126" s="42">
        <f t="shared" si="113"/>
        <v>0</v>
      </c>
      <c r="J126" s="42">
        <f t="shared" si="113"/>
        <v>0</v>
      </c>
      <c r="K126" s="42">
        <f t="shared" si="113"/>
        <v>0</v>
      </c>
      <c r="L126" s="42">
        <f t="shared" si="113"/>
        <v>0</v>
      </c>
      <c r="M126" s="42">
        <f t="shared" si="113"/>
        <v>0</v>
      </c>
      <c r="N126" s="42">
        <f t="shared" si="113"/>
        <v>0</v>
      </c>
      <c r="O126" s="42">
        <f t="shared" si="113"/>
        <v>0</v>
      </c>
      <c r="P126" s="42">
        <f t="shared" si="113"/>
        <v>0</v>
      </c>
      <c r="Q126" s="42">
        <f t="shared" si="113"/>
        <v>0</v>
      </c>
      <c r="R126" s="42">
        <f t="shared" si="113"/>
        <v>0</v>
      </c>
      <c r="S126" s="1310"/>
    </row>
    <row r="127" spans="1:19">
      <c r="A127" s="462" t="str">
        <f>+Gastos!A127</f>
        <v>19A</v>
      </c>
      <c r="B127" s="1026" t="s">
        <v>335</v>
      </c>
      <c r="C127" s="507" t="str">
        <f>+Gastos!C127</f>
        <v xml:space="preserve">       Agua Potable y Saneamiento Básico</v>
      </c>
      <c r="D127" s="18">
        <v>0</v>
      </c>
      <c r="E127" s="18">
        <f t="shared" ref="E127:E139" si="114">+D127*$E$8</f>
        <v>0</v>
      </c>
      <c r="F127" s="18">
        <f t="shared" ref="F127:F139" si="115">+E127*$E$8</f>
        <v>0</v>
      </c>
      <c r="G127" s="18">
        <f t="shared" ref="G127:G139" si="116">+F127*$E$8</f>
        <v>0</v>
      </c>
      <c r="H127" s="18">
        <f t="shared" ref="H127:H139" si="117">+G127*$E$8</f>
        <v>0</v>
      </c>
      <c r="I127" s="18">
        <f t="shared" ref="I127:I139" si="118">+H127*$E$8</f>
        <v>0</v>
      </c>
      <c r="J127" s="18">
        <f t="shared" ref="J127:J139" si="119">+I127*$E$8</f>
        <v>0</v>
      </c>
      <c r="K127" s="18">
        <f t="shared" ref="K127:K139" si="120">+J127*$E$8</f>
        <v>0</v>
      </c>
      <c r="L127" s="18">
        <f t="shared" ref="L127:L139" si="121">+K127*$E$8</f>
        <v>0</v>
      </c>
      <c r="M127" s="18">
        <f t="shared" ref="M127:M139" si="122">+L127*$E$8</f>
        <v>0</v>
      </c>
      <c r="N127" s="18">
        <f t="shared" ref="N127:N139" si="123">+M127*$E$8</f>
        <v>0</v>
      </c>
      <c r="O127" s="18">
        <f t="shared" ref="O127:O139" si="124">+N127*$E$8</f>
        <v>0</v>
      </c>
      <c r="P127" s="18">
        <f t="shared" ref="P127:P139" si="125">+O127*$E$8</f>
        <v>0</v>
      </c>
      <c r="Q127" s="18">
        <f t="shared" ref="Q127:Q139" si="126">+P127*$E$8</f>
        <v>0</v>
      </c>
      <c r="R127" s="18">
        <f t="shared" ref="R127:R139" si="127">+Q127*$E$8</f>
        <v>0</v>
      </c>
      <c r="S127" s="1310"/>
    </row>
    <row r="128" spans="1:19">
      <c r="A128" s="462" t="str">
        <f>+Gastos!A128</f>
        <v>20A</v>
      </c>
      <c r="B128" s="1026" t="s">
        <v>337</v>
      </c>
      <c r="C128" s="507" t="str">
        <f>+Gastos!C128</f>
        <v xml:space="preserve">       Infraestructura Vial </v>
      </c>
      <c r="D128" s="18">
        <v>0</v>
      </c>
      <c r="E128" s="18">
        <f t="shared" si="114"/>
        <v>0</v>
      </c>
      <c r="F128" s="18">
        <f t="shared" si="115"/>
        <v>0</v>
      </c>
      <c r="G128" s="18">
        <v>0</v>
      </c>
      <c r="H128" s="18">
        <v>0</v>
      </c>
      <c r="I128" s="18">
        <v>0</v>
      </c>
      <c r="J128" s="18">
        <v>0</v>
      </c>
      <c r="K128" s="18">
        <v>0</v>
      </c>
      <c r="L128" s="18">
        <v>0</v>
      </c>
      <c r="M128" s="18">
        <v>0</v>
      </c>
      <c r="N128" s="18">
        <v>0</v>
      </c>
      <c r="O128" s="18">
        <v>0</v>
      </c>
      <c r="P128" s="18">
        <v>0</v>
      </c>
      <c r="Q128" s="18">
        <v>0</v>
      </c>
      <c r="R128" s="18">
        <v>0</v>
      </c>
      <c r="S128" s="1310"/>
    </row>
    <row r="129" spans="1:19">
      <c r="A129" s="462" t="str">
        <f>+Gastos!A129</f>
        <v>21A</v>
      </c>
      <c r="B129" s="1026" t="s">
        <v>339</v>
      </c>
      <c r="C129" s="507" t="str">
        <f>+Gastos!C129</f>
        <v xml:space="preserve">       Vivienda</v>
      </c>
      <c r="D129" s="18">
        <v>0</v>
      </c>
      <c r="E129" s="18">
        <f t="shared" si="114"/>
        <v>0</v>
      </c>
      <c r="F129" s="18">
        <f t="shared" si="115"/>
        <v>0</v>
      </c>
      <c r="G129" s="18">
        <f t="shared" si="116"/>
        <v>0</v>
      </c>
      <c r="H129" s="18">
        <f t="shared" si="117"/>
        <v>0</v>
      </c>
      <c r="I129" s="18">
        <f t="shared" si="118"/>
        <v>0</v>
      </c>
      <c r="J129" s="18">
        <f t="shared" si="119"/>
        <v>0</v>
      </c>
      <c r="K129" s="18">
        <f t="shared" si="120"/>
        <v>0</v>
      </c>
      <c r="L129" s="18">
        <f t="shared" si="121"/>
        <v>0</v>
      </c>
      <c r="M129" s="18">
        <f t="shared" si="122"/>
        <v>0</v>
      </c>
      <c r="N129" s="18">
        <f t="shared" si="123"/>
        <v>0</v>
      </c>
      <c r="O129" s="18">
        <f t="shared" si="124"/>
        <v>0</v>
      </c>
      <c r="P129" s="18">
        <f t="shared" si="125"/>
        <v>0</v>
      </c>
      <c r="Q129" s="18">
        <f t="shared" si="126"/>
        <v>0</v>
      </c>
      <c r="R129" s="18">
        <f t="shared" si="127"/>
        <v>0</v>
      </c>
      <c r="S129" s="1310"/>
    </row>
    <row r="130" spans="1:19">
      <c r="A130" s="462" t="str">
        <f>+Gastos!A130</f>
        <v>22A</v>
      </c>
      <c r="B130" s="1026" t="s">
        <v>341</v>
      </c>
      <c r="C130" s="507" t="str">
        <f>+Gastos!C130</f>
        <v xml:space="preserve">       Educación</v>
      </c>
      <c r="D130" s="18">
        <v>0</v>
      </c>
      <c r="E130" s="18">
        <f t="shared" si="114"/>
        <v>0</v>
      </c>
      <c r="F130" s="18">
        <v>0</v>
      </c>
      <c r="G130" s="18">
        <f t="shared" si="116"/>
        <v>0</v>
      </c>
      <c r="H130" s="18">
        <f t="shared" si="117"/>
        <v>0</v>
      </c>
      <c r="I130" s="18">
        <f t="shared" si="118"/>
        <v>0</v>
      </c>
      <c r="J130" s="18">
        <f t="shared" si="119"/>
        <v>0</v>
      </c>
      <c r="K130" s="18">
        <f t="shared" si="120"/>
        <v>0</v>
      </c>
      <c r="L130" s="18">
        <f t="shared" si="121"/>
        <v>0</v>
      </c>
      <c r="M130" s="18">
        <f t="shared" si="122"/>
        <v>0</v>
      </c>
      <c r="N130" s="18">
        <f t="shared" si="123"/>
        <v>0</v>
      </c>
      <c r="O130" s="18">
        <f t="shared" si="124"/>
        <v>0</v>
      </c>
      <c r="P130" s="18">
        <f t="shared" si="125"/>
        <v>0</v>
      </c>
      <c r="Q130" s="18">
        <f t="shared" si="126"/>
        <v>0</v>
      </c>
      <c r="R130" s="18">
        <f t="shared" si="127"/>
        <v>0</v>
      </c>
      <c r="S130" s="1310"/>
    </row>
    <row r="131" spans="1:19">
      <c r="A131" s="462" t="str">
        <f>+Gastos!A131</f>
        <v>23A</v>
      </c>
      <c r="B131" s="1026" t="s">
        <v>343</v>
      </c>
      <c r="C131" s="507" t="str">
        <f>+Gastos!C131</f>
        <v xml:space="preserve">       Educación Física, Deporte y Recreación</v>
      </c>
      <c r="D131" s="18">
        <v>0</v>
      </c>
      <c r="E131" s="18">
        <f t="shared" si="114"/>
        <v>0</v>
      </c>
      <c r="F131" s="18">
        <f t="shared" si="115"/>
        <v>0</v>
      </c>
      <c r="G131" s="18">
        <f t="shared" si="116"/>
        <v>0</v>
      </c>
      <c r="H131" s="18">
        <f t="shared" si="117"/>
        <v>0</v>
      </c>
      <c r="I131" s="18">
        <f t="shared" si="118"/>
        <v>0</v>
      </c>
      <c r="J131" s="18">
        <f t="shared" si="119"/>
        <v>0</v>
      </c>
      <c r="K131" s="18">
        <f t="shared" si="120"/>
        <v>0</v>
      </c>
      <c r="L131" s="18">
        <f t="shared" si="121"/>
        <v>0</v>
      </c>
      <c r="M131" s="18">
        <f t="shared" si="122"/>
        <v>0</v>
      </c>
      <c r="N131" s="18">
        <f t="shared" si="123"/>
        <v>0</v>
      </c>
      <c r="O131" s="18">
        <f t="shared" si="124"/>
        <v>0</v>
      </c>
      <c r="P131" s="18">
        <f t="shared" si="125"/>
        <v>0</v>
      </c>
      <c r="Q131" s="18">
        <f t="shared" si="126"/>
        <v>0</v>
      </c>
      <c r="R131" s="18">
        <f t="shared" si="127"/>
        <v>0</v>
      </c>
      <c r="S131" s="1310"/>
    </row>
    <row r="132" spans="1:19">
      <c r="A132" s="474" t="str">
        <f>+Gastos!A132</f>
        <v>24A</v>
      </c>
      <c r="B132" s="1026" t="s">
        <v>345</v>
      </c>
      <c r="C132" s="507" t="str">
        <f>+Gastos!C132</f>
        <v xml:space="preserve">       Salud</v>
      </c>
      <c r="D132" s="18">
        <v>0</v>
      </c>
      <c r="E132" s="18">
        <f t="shared" si="114"/>
        <v>0</v>
      </c>
      <c r="F132" s="18">
        <f t="shared" si="115"/>
        <v>0</v>
      </c>
      <c r="G132" s="18">
        <f t="shared" si="116"/>
        <v>0</v>
      </c>
      <c r="H132" s="18">
        <f t="shared" si="117"/>
        <v>0</v>
      </c>
      <c r="I132" s="18">
        <f t="shared" si="118"/>
        <v>0</v>
      </c>
      <c r="J132" s="18">
        <f t="shared" si="119"/>
        <v>0</v>
      </c>
      <c r="K132" s="18">
        <f t="shared" si="120"/>
        <v>0</v>
      </c>
      <c r="L132" s="18">
        <f t="shared" si="121"/>
        <v>0</v>
      </c>
      <c r="M132" s="18">
        <f t="shared" si="122"/>
        <v>0</v>
      </c>
      <c r="N132" s="18">
        <f t="shared" si="123"/>
        <v>0</v>
      </c>
      <c r="O132" s="18">
        <f t="shared" si="124"/>
        <v>0</v>
      </c>
      <c r="P132" s="18">
        <f t="shared" si="125"/>
        <v>0</v>
      </c>
      <c r="Q132" s="18">
        <f t="shared" si="126"/>
        <v>0</v>
      </c>
      <c r="R132" s="18">
        <f t="shared" si="127"/>
        <v>0</v>
      </c>
      <c r="S132" s="1310"/>
    </row>
    <row r="133" spans="1:19">
      <c r="A133" s="474" t="str">
        <f>+Gastos!A133</f>
        <v>25A</v>
      </c>
      <c r="B133" s="1026" t="s">
        <v>347</v>
      </c>
      <c r="C133" s="507" t="str">
        <f>+Gastos!C133</f>
        <v xml:space="preserve">       Cultura</v>
      </c>
      <c r="D133" s="18">
        <v>0</v>
      </c>
      <c r="E133" s="18">
        <f t="shared" si="114"/>
        <v>0</v>
      </c>
      <c r="F133" s="18">
        <f t="shared" si="115"/>
        <v>0</v>
      </c>
      <c r="G133" s="18">
        <f t="shared" si="116"/>
        <v>0</v>
      </c>
      <c r="H133" s="18">
        <f t="shared" si="117"/>
        <v>0</v>
      </c>
      <c r="I133" s="18">
        <f t="shared" si="118"/>
        <v>0</v>
      </c>
      <c r="J133" s="18">
        <f t="shared" si="119"/>
        <v>0</v>
      </c>
      <c r="K133" s="18">
        <f t="shared" si="120"/>
        <v>0</v>
      </c>
      <c r="L133" s="18">
        <f t="shared" si="121"/>
        <v>0</v>
      </c>
      <c r="M133" s="18">
        <f t="shared" si="122"/>
        <v>0</v>
      </c>
      <c r="N133" s="18">
        <f t="shared" si="123"/>
        <v>0</v>
      </c>
      <c r="O133" s="18">
        <f t="shared" si="124"/>
        <v>0</v>
      </c>
      <c r="P133" s="18">
        <f t="shared" si="125"/>
        <v>0</v>
      </c>
      <c r="Q133" s="18">
        <f t="shared" si="126"/>
        <v>0</v>
      </c>
      <c r="R133" s="18">
        <f t="shared" si="127"/>
        <v>0</v>
      </c>
      <c r="S133" s="1310"/>
    </row>
    <row r="134" spans="1:19">
      <c r="A134" s="474" t="str">
        <f>+Gastos!A134</f>
        <v>26A</v>
      </c>
      <c r="B134" s="1026" t="s">
        <v>349</v>
      </c>
      <c r="C134" s="507" t="str">
        <f>+Gastos!C134</f>
        <v xml:space="preserve">       Sector Energético</v>
      </c>
      <c r="D134" s="18">
        <v>0</v>
      </c>
      <c r="E134" s="18">
        <f t="shared" si="114"/>
        <v>0</v>
      </c>
      <c r="F134" s="18">
        <f t="shared" si="115"/>
        <v>0</v>
      </c>
      <c r="G134" s="18">
        <v>0</v>
      </c>
      <c r="H134" s="18">
        <f t="shared" si="117"/>
        <v>0</v>
      </c>
      <c r="I134" s="18">
        <f t="shared" si="118"/>
        <v>0</v>
      </c>
      <c r="J134" s="18">
        <f t="shared" si="119"/>
        <v>0</v>
      </c>
      <c r="K134" s="18">
        <f t="shared" si="120"/>
        <v>0</v>
      </c>
      <c r="L134" s="18">
        <f t="shared" si="121"/>
        <v>0</v>
      </c>
      <c r="M134" s="18">
        <f t="shared" si="122"/>
        <v>0</v>
      </c>
      <c r="N134" s="18">
        <f t="shared" si="123"/>
        <v>0</v>
      </c>
      <c r="O134" s="18">
        <f t="shared" si="124"/>
        <v>0</v>
      </c>
      <c r="P134" s="18">
        <f t="shared" si="125"/>
        <v>0</v>
      </c>
      <c r="Q134" s="18">
        <f t="shared" si="126"/>
        <v>0</v>
      </c>
      <c r="R134" s="18">
        <f t="shared" si="127"/>
        <v>0</v>
      </c>
      <c r="S134" s="1310"/>
    </row>
    <row r="135" spans="1:19">
      <c r="A135" s="474" t="str">
        <f>+Gastos!A135</f>
        <v>27A</v>
      </c>
      <c r="B135" s="1026" t="s">
        <v>351</v>
      </c>
      <c r="C135" s="507" t="str">
        <f>+Gastos!C135</f>
        <v xml:space="preserve">       Desarrollo Agropecuario y Minero</v>
      </c>
      <c r="D135" s="18">
        <v>0</v>
      </c>
      <c r="E135" s="18">
        <f t="shared" si="114"/>
        <v>0</v>
      </c>
      <c r="F135" s="18">
        <f t="shared" si="115"/>
        <v>0</v>
      </c>
      <c r="G135" s="18">
        <f t="shared" si="116"/>
        <v>0</v>
      </c>
      <c r="H135" s="18">
        <f t="shared" si="117"/>
        <v>0</v>
      </c>
      <c r="I135" s="18">
        <f t="shared" si="118"/>
        <v>0</v>
      </c>
      <c r="J135" s="18">
        <f t="shared" si="119"/>
        <v>0</v>
      </c>
      <c r="K135" s="18">
        <f t="shared" si="120"/>
        <v>0</v>
      </c>
      <c r="L135" s="18">
        <f t="shared" si="121"/>
        <v>0</v>
      </c>
      <c r="M135" s="18">
        <f t="shared" si="122"/>
        <v>0</v>
      </c>
      <c r="N135" s="18">
        <f t="shared" si="123"/>
        <v>0</v>
      </c>
      <c r="O135" s="18">
        <f t="shared" si="124"/>
        <v>0</v>
      </c>
      <c r="P135" s="18">
        <f t="shared" si="125"/>
        <v>0</v>
      </c>
      <c r="Q135" s="18">
        <f t="shared" si="126"/>
        <v>0</v>
      </c>
      <c r="R135" s="18">
        <f t="shared" si="127"/>
        <v>0</v>
      </c>
      <c r="S135" s="1310"/>
    </row>
    <row r="136" spans="1:19">
      <c r="A136" s="474" t="str">
        <f>+Gastos!A136</f>
        <v>28A</v>
      </c>
      <c r="B136" s="1026" t="s">
        <v>353</v>
      </c>
      <c r="C136" s="507" t="str">
        <f>+Gastos!C136</f>
        <v xml:space="preserve">       Infraestructura Urbana</v>
      </c>
      <c r="D136" s="18">
        <v>0</v>
      </c>
      <c r="E136" s="18">
        <f t="shared" si="114"/>
        <v>0</v>
      </c>
      <c r="F136" s="18">
        <f t="shared" si="115"/>
        <v>0</v>
      </c>
      <c r="G136" s="18">
        <f t="shared" si="116"/>
        <v>0</v>
      </c>
      <c r="H136" s="18">
        <f t="shared" si="117"/>
        <v>0</v>
      </c>
      <c r="I136" s="18">
        <f t="shared" si="118"/>
        <v>0</v>
      </c>
      <c r="J136" s="18">
        <f t="shared" si="119"/>
        <v>0</v>
      </c>
      <c r="K136" s="18">
        <f t="shared" si="120"/>
        <v>0</v>
      </c>
      <c r="L136" s="18">
        <f t="shared" si="121"/>
        <v>0</v>
      </c>
      <c r="M136" s="18">
        <f t="shared" si="122"/>
        <v>0</v>
      </c>
      <c r="N136" s="18">
        <f t="shared" si="123"/>
        <v>0</v>
      </c>
      <c r="O136" s="18">
        <f t="shared" si="124"/>
        <v>0</v>
      </c>
      <c r="P136" s="18">
        <f t="shared" si="125"/>
        <v>0</v>
      </c>
      <c r="Q136" s="18">
        <f t="shared" si="126"/>
        <v>0</v>
      </c>
      <c r="R136" s="18">
        <f t="shared" si="127"/>
        <v>0</v>
      </c>
      <c r="S136" s="1310"/>
    </row>
    <row r="137" spans="1:19">
      <c r="A137" s="462" t="str">
        <f>+Gastos!A137</f>
        <v>29A</v>
      </c>
      <c r="B137" s="1026" t="s">
        <v>355</v>
      </c>
      <c r="C137" s="507" t="str">
        <f>+Gastos!C137</f>
        <v xml:space="preserve">       Desarrollo de la comunidad</v>
      </c>
      <c r="D137" s="18">
        <v>0</v>
      </c>
      <c r="E137" s="18">
        <f t="shared" si="114"/>
        <v>0</v>
      </c>
      <c r="F137" s="18">
        <f t="shared" si="115"/>
        <v>0</v>
      </c>
      <c r="G137" s="18">
        <f t="shared" si="116"/>
        <v>0</v>
      </c>
      <c r="H137" s="18">
        <f t="shared" si="117"/>
        <v>0</v>
      </c>
      <c r="I137" s="18">
        <f t="shared" si="118"/>
        <v>0</v>
      </c>
      <c r="J137" s="18">
        <f t="shared" si="119"/>
        <v>0</v>
      </c>
      <c r="K137" s="18">
        <f t="shared" si="120"/>
        <v>0</v>
      </c>
      <c r="L137" s="18">
        <f t="shared" si="121"/>
        <v>0</v>
      </c>
      <c r="M137" s="18">
        <f t="shared" si="122"/>
        <v>0</v>
      </c>
      <c r="N137" s="18">
        <f t="shared" si="123"/>
        <v>0</v>
      </c>
      <c r="O137" s="18">
        <f t="shared" si="124"/>
        <v>0</v>
      </c>
      <c r="P137" s="18">
        <f t="shared" si="125"/>
        <v>0</v>
      </c>
      <c r="Q137" s="18">
        <f t="shared" si="126"/>
        <v>0</v>
      </c>
      <c r="R137" s="18">
        <f t="shared" si="127"/>
        <v>0</v>
      </c>
      <c r="S137" s="1310"/>
    </row>
    <row r="138" spans="1:19">
      <c r="A138" s="462" t="str">
        <f>+Gastos!A138</f>
        <v>30A</v>
      </c>
      <c r="B138" s="1026" t="s">
        <v>357</v>
      </c>
      <c r="C138" s="507" t="str">
        <f>+Gastos!C138</f>
        <v xml:space="preserve">       Justicia, defensa y seguridad</v>
      </c>
      <c r="D138" s="18">
        <v>0</v>
      </c>
      <c r="E138" s="18">
        <f t="shared" si="114"/>
        <v>0</v>
      </c>
      <c r="F138" s="18">
        <f t="shared" si="115"/>
        <v>0</v>
      </c>
      <c r="G138" s="18">
        <f t="shared" si="116"/>
        <v>0</v>
      </c>
      <c r="H138" s="18">
        <f t="shared" si="117"/>
        <v>0</v>
      </c>
      <c r="I138" s="18">
        <f t="shared" si="118"/>
        <v>0</v>
      </c>
      <c r="J138" s="18">
        <f t="shared" si="119"/>
        <v>0</v>
      </c>
      <c r="K138" s="18">
        <f t="shared" si="120"/>
        <v>0</v>
      </c>
      <c r="L138" s="18">
        <f t="shared" si="121"/>
        <v>0</v>
      </c>
      <c r="M138" s="18">
        <f t="shared" si="122"/>
        <v>0</v>
      </c>
      <c r="N138" s="18">
        <f t="shared" si="123"/>
        <v>0</v>
      </c>
      <c r="O138" s="18">
        <f t="shared" si="124"/>
        <v>0</v>
      </c>
      <c r="P138" s="18">
        <f t="shared" si="125"/>
        <v>0</v>
      </c>
      <c r="Q138" s="18">
        <f t="shared" si="126"/>
        <v>0</v>
      </c>
      <c r="R138" s="18">
        <f t="shared" si="127"/>
        <v>0</v>
      </c>
      <c r="S138" s="1310"/>
    </row>
    <row r="139" spans="1:19">
      <c r="A139" s="474" t="str">
        <f>+Gastos!A139</f>
        <v>31A</v>
      </c>
      <c r="B139" s="1027" t="s">
        <v>359</v>
      </c>
      <c r="C139" s="507" t="str">
        <f>+Gastos!C139</f>
        <v xml:space="preserve">       Otros</v>
      </c>
      <c r="D139" s="18">
        <v>0</v>
      </c>
      <c r="E139" s="18">
        <f t="shared" si="114"/>
        <v>0</v>
      </c>
      <c r="F139" s="18">
        <f t="shared" si="115"/>
        <v>0</v>
      </c>
      <c r="G139" s="18">
        <f t="shared" si="116"/>
        <v>0</v>
      </c>
      <c r="H139" s="18">
        <f t="shared" si="117"/>
        <v>0</v>
      </c>
      <c r="I139" s="18">
        <f t="shared" si="118"/>
        <v>0</v>
      </c>
      <c r="J139" s="18">
        <f t="shared" si="119"/>
        <v>0</v>
      </c>
      <c r="K139" s="18">
        <f t="shared" si="120"/>
        <v>0</v>
      </c>
      <c r="L139" s="18">
        <f t="shared" si="121"/>
        <v>0</v>
      </c>
      <c r="M139" s="18">
        <f t="shared" si="122"/>
        <v>0</v>
      </c>
      <c r="N139" s="18">
        <f t="shared" si="123"/>
        <v>0</v>
      </c>
      <c r="O139" s="18">
        <f t="shared" si="124"/>
        <v>0</v>
      </c>
      <c r="P139" s="18">
        <f t="shared" si="125"/>
        <v>0</v>
      </c>
      <c r="Q139" s="18">
        <f t="shared" si="126"/>
        <v>0</v>
      </c>
      <c r="R139" s="18">
        <f t="shared" si="127"/>
        <v>0</v>
      </c>
      <c r="S139" s="1310"/>
    </row>
    <row r="140" spans="1:19">
      <c r="A140" s="474" t="str">
        <f>+Gastos!A140</f>
        <v>32A</v>
      </c>
      <c r="B140" s="93"/>
      <c r="C140" s="506" t="str">
        <f>+Gastos!C140</f>
        <v xml:space="preserve">    Subsidios para el acceso de la población al servicio</v>
      </c>
      <c r="D140" s="42">
        <f>SUM(D141:D146)</f>
        <v>0</v>
      </c>
      <c r="E140" s="42">
        <f t="shared" ref="E140:R140" si="128">SUM(E141:E146)</f>
        <v>0</v>
      </c>
      <c r="F140" s="42">
        <f t="shared" si="128"/>
        <v>0</v>
      </c>
      <c r="G140" s="42">
        <f t="shared" si="128"/>
        <v>0</v>
      </c>
      <c r="H140" s="42">
        <f t="shared" si="128"/>
        <v>0</v>
      </c>
      <c r="I140" s="42">
        <f t="shared" si="128"/>
        <v>0</v>
      </c>
      <c r="J140" s="42">
        <f t="shared" si="128"/>
        <v>0</v>
      </c>
      <c r="K140" s="42">
        <f t="shared" si="128"/>
        <v>0</v>
      </c>
      <c r="L140" s="42">
        <f t="shared" si="128"/>
        <v>0</v>
      </c>
      <c r="M140" s="42">
        <f t="shared" si="128"/>
        <v>0</v>
      </c>
      <c r="N140" s="42">
        <f t="shared" si="128"/>
        <v>0</v>
      </c>
      <c r="O140" s="42">
        <f t="shared" si="128"/>
        <v>0</v>
      </c>
      <c r="P140" s="42">
        <f t="shared" si="128"/>
        <v>0</v>
      </c>
      <c r="Q140" s="42">
        <f t="shared" si="128"/>
        <v>0</v>
      </c>
      <c r="R140" s="42">
        <f t="shared" si="128"/>
        <v>0</v>
      </c>
      <c r="S140" s="1310"/>
    </row>
    <row r="141" spans="1:19">
      <c r="A141" s="465" t="str">
        <f>+Gastos!A141</f>
        <v>2240212</v>
      </c>
      <c r="B141" s="93"/>
      <c r="C141" s="507" t="str">
        <f>+Gastos!C141</f>
        <v xml:space="preserve">       Agua Potable y Saneamiento Básico</v>
      </c>
      <c r="D141" s="18">
        <v>0</v>
      </c>
      <c r="E141" s="18">
        <f t="shared" ref="E141:E146" si="129">+D141*$E$8</f>
        <v>0</v>
      </c>
      <c r="F141" s="18">
        <f t="shared" ref="F141:F146" si="130">+E141*$E$8</f>
        <v>0</v>
      </c>
      <c r="G141" s="18">
        <f t="shared" ref="G141:G146" si="131">+F141*$E$8</f>
        <v>0</v>
      </c>
      <c r="H141" s="18">
        <f t="shared" ref="H141:H146" si="132">+G141*$E$8</f>
        <v>0</v>
      </c>
      <c r="I141" s="18">
        <f t="shared" ref="I141:I146" si="133">+H141*$E$8</f>
        <v>0</v>
      </c>
      <c r="J141" s="18">
        <f t="shared" ref="J141:J146" si="134">+I141*$E$8</f>
        <v>0</v>
      </c>
      <c r="K141" s="18">
        <f t="shared" ref="K141:K146" si="135">+J141*$E$8</f>
        <v>0</v>
      </c>
      <c r="L141" s="18">
        <f t="shared" ref="L141:L146" si="136">+K141*$E$8</f>
        <v>0</v>
      </c>
      <c r="M141" s="18">
        <f t="shared" ref="M141:M146" si="137">+L141*$E$8</f>
        <v>0</v>
      </c>
      <c r="N141" s="18">
        <f t="shared" ref="N141:N146" si="138">+M141*$E$8</f>
        <v>0</v>
      </c>
      <c r="O141" s="18">
        <f t="shared" ref="O141:O146" si="139">+N141*$E$8</f>
        <v>0</v>
      </c>
      <c r="P141" s="18">
        <f t="shared" ref="P141:P146" si="140">+O141*$E$8</f>
        <v>0</v>
      </c>
      <c r="Q141" s="18">
        <f t="shared" ref="Q141:Q146" si="141">+P141*$E$8</f>
        <v>0</v>
      </c>
      <c r="R141" s="18">
        <f t="shared" ref="R141:R146" si="142">+Q141*$E$8</f>
        <v>0</v>
      </c>
      <c r="S141" s="1310"/>
    </row>
    <row r="142" spans="1:19">
      <c r="A142" s="474" t="str">
        <f>+Gastos!A142</f>
        <v>33A</v>
      </c>
      <c r="B142" s="1028" t="s">
        <v>364</v>
      </c>
      <c r="C142" s="507" t="str">
        <f>+Gastos!C142</f>
        <v xml:space="preserve">       Vivienda</v>
      </c>
      <c r="D142" s="18">
        <v>0</v>
      </c>
      <c r="E142" s="18">
        <f t="shared" si="129"/>
        <v>0</v>
      </c>
      <c r="F142" s="18">
        <f t="shared" si="130"/>
        <v>0</v>
      </c>
      <c r="G142" s="18">
        <f t="shared" si="131"/>
        <v>0</v>
      </c>
      <c r="H142" s="18">
        <f t="shared" si="132"/>
        <v>0</v>
      </c>
      <c r="I142" s="18">
        <f t="shared" si="133"/>
        <v>0</v>
      </c>
      <c r="J142" s="18">
        <f t="shared" si="134"/>
        <v>0</v>
      </c>
      <c r="K142" s="18">
        <f t="shared" si="135"/>
        <v>0</v>
      </c>
      <c r="L142" s="18">
        <f t="shared" si="136"/>
        <v>0</v>
      </c>
      <c r="M142" s="18">
        <f t="shared" si="137"/>
        <v>0</v>
      </c>
      <c r="N142" s="18">
        <f t="shared" si="138"/>
        <v>0</v>
      </c>
      <c r="O142" s="18">
        <f t="shared" si="139"/>
        <v>0</v>
      </c>
      <c r="P142" s="18">
        <f t="shared" si="140"/>
        <v>0</v>
      </c>
      <c r="Q142" s="18">
        <f t="shared" si="141"/>
        <v>0</v>
      </c>
      <c r="R142" s="18">
        <f t="shared" si="142"/>
        <v>0</v>
      </c>
      <c r="S142" s="1310"/>
    </row>
    <row r="143" spans="1:19">
      <c r="A143" s="465" t="str">
        <f>+Gastos!A143</f>
        <v>2241012</v>
      </c>
      <c r="B143" s="93"/>
      <c r="C143" s="507" t="str">
        <f>+Gastos!C143</f>
        <v xml:space="preserve">       Educación</v>
      </c>
      <c r="D143" s="18">
        <v>0</v>
      </c>
      <c r="E143" s="18">
        <f t="shared" si="129"/>
        <v>0</v>
      </c>
      <c r="F143" s="18">
        <f t="shared" si="130"/>
        <v>0</v>
      </c>
      <c r="G143" s="18">
        <f t="shared" si="131"/>
        <v>0</v>
      </c>
      <c r="H143" s="18">
        <f t="shared" si="132"/>
        <v>0</v>
      </c>
      <c r="I143" s="18">
        <f t="shared" si="133"/>
        <v>0</v>
      </c>
      <c r="J143" s="18">
        <f t="shared" si="134"/>
        <v>0</v>
      </c>
      <c r="K143" s="18">
        <f t="shared" si="135"/>
        <v>0</v>
      </c>
      <c r="L143" s="18">
        <f t="shared" si="136"/>
        <v>0</v>
      </c>
      <c r="M143" s="18">
        <f t="shared" si="137"/>
        <v>0</v>
      </c>
      <c r="N143" s="18">
        <f t="shared" si="138"/>
        <v>0</v>
      </c>
      <c r="O143" s="18">
        <f t="shared" si="139"/>
        <v>0</v>
      </c>
      <c r="P143" s="18">
        <f t="shared" si="140"/>
        <v>0</v>
      </c>
      <c r="Q143" s="18">
        <f t="shared" si="141"/>
        <v>0</v>
      </c>
      <c r="R143" s="18">
        <f t="shared" si="142"/>
        <v>0</v>
      </c>
      <c r="S143" s="1310"/>
    </row>
    <row r="144" spans="1:19">
      <c r="A144" s="465" t="str">
        <f>+Gastos!A144</f>
        <v>2241612</v>
      </c>
      <c r="B144" s="93"/>
      <c r="C144" s="507" t="str">
        <f>+Gastos!C144</f>
        <v xml:space="preserve">       Salud</v>
      </c>
      <c r="D144" s="18">
        <v>0</v>
      </c>
      <c r="E144" s="18">
        <f t="shared" si="129"/>
        <v>0</v>
      </c>
      <c r="F144" s="18">
        <f t="shared" si="130"/>
        <v>0</v>
      </c>
      <c r="G144" s="18">
        <f t="shared" si="131"/>
        <v>0</v>
      </c>
      <c r="H144" s="18">
        <f t="shared" si="132"/>
        <v>0</v>
      </c>
      <c r="I144" s="18">
        <f t="shared" si="133"/>
        <v>0</v>
      </c>
      <c r="J144" s="18">
        <f t="shared" si="134"/>
        <v>0</v>
      </c>
      <c r="K144" s="18">
        <f t="shared" si="135"/>
        <v>0</v>
      </c>
      <c r="L144" s="18">
        <f t="shared" si="136"/>
        <v>0</v>
      </c>
      <c r="M144" s="18">
        <f t="shared" si="137"/>
        <v>0</v>
      </c>
      <c r="N144" s="18">
        <f t="shared" si="138"/>
        <v>0</v>
      </c>
      <c r="O144" s="18">
        <f t="shared" si="139"/>
        <v>0</v>
      </c>
      <c r="P144" s="18">
        <f t="shared" si="140"/>
        <v>0</v>
      </c>
      <c r="Q144" s="18">
        <f t="shared" si="141"/>
        <v>0</v>
      </c>
      <c r="R144" s="18">
        <f t="shared" si="142"/>
        <v>0</v>
      </c>
      <c r="S144" s="1310"/>
    </row>
    <row r="145" spans="1:19">
      <c r="A145" s="474" t="str">
        <f>+Gastos!A145</f>
        <v>34A</v>
      </c>
      <c r="B145" s="93"/>
      <c r="C145" s="507" t="str">
        <f>+Gastos!C145</f>
        <v xml:space="preserve">       Sector Energético</v>
      </c>
      <c r="D145" s="18">
        <v>0</v>
      </c>
      <c r="E145" s="18">
        <f t="shared" si="129"/>
        <v>0</v>
      </c>
      <c r="F145" s="18">
        <f t="shared" si="130"/>
        <v>0</v>
      </c>
      <c r="G145" s="18">
        <f t="shared" si="131"/>
        <v>0</v>
      </c>
      <c r="H145" s="18">
        <f t="shared" si="132"/>
        <v>0</v>
      </c>
      <c r="I145" s="18">
        <f t="shared" si="133"/>
        <v>0</v>
      </c>
      <c r="J145" s="18">
        <f t="shared" si="134"/>
        <v>0</v>
      </c>
      <c r="K145" s="18">
        <f t="shared" si="135"/>
        <v>0</v>
      </c>
      <c r="L145" s="18">
        <f t="shared" si="136"/>
        <v>0</v>
      </c>
      <c r="M145" s="18">
        <f t="shared" si="137"/>
        <v>0</v>
      </c>
      <c r="N145" s="18">
        <f t="shared" si="138"/>
        <v>0</v>
      </c>
      <c r="O145" s="18">
        <f t="shared" si="139"/>
        <v>0</v>
      </c>
      <c r="P145" s="18">
        <f t="shared" si="140"/>
        <v>0</v>
      </c>
      <c r="Q145" s="18">
        <f t="shared" si="141"/>
        <v>0</v>
      </c>
      <c r="R145" s="18">
        <f t="shared" si="142"/>
        <v>0</v>
      </c>
      <c r="S145" s="1310"/>
    </row>
    <row r="146" spans="1:19">
      <c r="A146" s="465" t="str">
        <f>+Gastos!A146</f>
        <v>2242212</v>
      </c>
      <c r="B146" s="93"/>
      <c r="C146" s="507" t="str">
        <f>+Gastos!C146</f>
        <v xml:space="preserve">       Desarrollo Agropecuario y Minero</v>
      </c>
      <c r="D146" s="18">
        <v>0</v>
      </c>
      <c r="E146" s="18">
        <f t="shared" si="129"/>
        <v>0</v>
      </c>
      <c r="F146" s="18">
        <f t="shared" si="130"/>
        <v>0</v>
      </c>
      <c r="G146" s="18">
        <f t="shared" si="131"/>
        <v>0</v>
      </c>
      <c r="H146" s="18">
        <f t="shared" si="132"/>
        <v>0</v>
      </c>
      <c r="I146" s="18">
        <f t="shared" si="133"/>
        <v>0</v>
      </c>
      <c r="J146" s="18">
        <f t="shared" si="134"/>
        <v>0</v>
      </c>
      <c r="K146" s="18">
        <f t="shared" si="135"/>
        <v>0</v>
      </c>
      <c r="L146" s="18">
        <f t="shared" si="136"/>
        <v>0</v>
      </c>
      <c r="M146" s="18">
        <f t="shared" si="137"/>
        <v>0</v>
      </c>
      <c r="N146" s="18">
        <f t="shared" si="138"/>
        <v>0</v>
      </c>
      <c r="O146" s="18">
        <f t="shared" si="139"/>
        <v>0</v>
      </c>
      <c r="P146" s="18">
        <f t="shared" si="140"/>
        <v>0</v>
      </c>
      <c r="Q146" s="18">
        <f t="shared" si="141"/>
        <v>0</v>
      </c>
      <c r="R146" s="18">
        <f t="shared" si="142"/>
        <v>0</v>
      </c>
      <c r="S146" s="1310"/>
    </row>
    <row r="147" spans="1:19">
      <c r="A147" s="474" t="str">
        <f>+Gastos!A147</f>
        <v>35A</v>
      </c>
      <c r="B147" s="93"/>
      <c r="C147" s="506" t="str">
        <f>+Gastos!C147</f>
        <v xml:space="preserve">    Formación Bruta de capital  y otros (construcción, reparación, mantenimiento, asistencia técnica, preinversión, etc)</v>
      </c>
      <c r="D147" s="42">
        <f>SUM(D148:D161)</f>
        <v>0</v>
      </c>
      <c r="E147" s="42">
        <f t="shared" ref="E147:R147" si="143">SUM(E148:E161)</f>
        <v>0</v>
      </c>
      <c r="F147" s="42">
        <f t="shared" si="143"/>
        <v>1496248</v>
      </c>
      <c r="G147" s="42">
        <f t="shared" si="143"/>
        <v>0</v>
      </c>
      <c r="H147" s="42">
        <f t="shared" si="143"/>
        <v>0</v>
      </c>
      <c r="I147" s="42">
        <f t="shared" si="143"/>
        <v>0</v>
      </c>
      <c r="J147" s="42">
        <f t="shared" si="143"/>
        <v>0</v>
      </c>
      <c r="K147" s="42">
        <f t="shared" si="143"/>
        <v>0</v>
      </c>
      <c r="L147" s="42">
        <f t="shared" si="143"/>
        <v>0</v>
      </c>
      <c r="M147" s="42">
        <f t="shared" si="143"/>
        <v>0</v>
      </c>
      <c r="N147" s="42">
        <f t="shared" si="143"/>
        <v>0</v>
      </c>
      <c r="O147" s="42">
        <f t="shared" si="143"/>
        <v>0</v>
      </c>
      <c r="P147" s="42">
        <f t="shared" si="143"/>
        <v>0</v>
      </c>
      <c r="Q147" s="42">
        <f t="shared" si="143"/>
        <v>0</v>
      </c>
      <c r="R147" s="42">
        <f t="shared" si="143"/>
        <v>0</v>
      </c>
      <c r="S147" s="1310"/>
    </row>
    <row r="148" spans="1:19">
      <c r="A148" s="474" t="str">
        <f>+Gastos!A148</f>
        <v>36A</v>
      </c>
      <c r="B148" s="1029" t="s">
        <v>371</v>
      </c>
      <c r="C148" s="507" t="str">
        <f>+Gastos!C148</f>
        <v xml:space="preserve">       Agua Potable y Saneamiento Básico</v>
      </c>
      <c r="D148" s="18">
        <v>0</v>
      </c>
      <c r="E148" s="18">
        <f t="shared" ref="E148:E161" si="144">+D148*$E$8</f>
        <v>0</v>
      </c>
      <c r="F148" s="18">
        <f t="shared" ref="F148:F161" si="145">+E148*$E$8</f>
        <v>0</v>
      </c>
      <c r="G148" s="18">
        <f t="shared" ref="G148:G161" si="146">+F148*$E$8</f>
        <v>0</v>
      </c>
      <c r="H148" s="18">
        <f t="shared" ref="H148:H161" si="147">+G148*$E$8</f>
        <v>0</v>
      </c>
      <c r="I148" s="18">
        <f t="shared" ref="I148:I161" si="148">+H148*$E$8</f>
        <v>0</v>
      </c>
      <c r="J148" s="18">
        <f t="shared" ref="J148:J161" si="149">+I148*$E$8</f>
        <v>0</v>
      </c>
      <c r="K148" s="18">
        <f t="shared" ref="K148:K161" si="150">+J148*$E$8</f>
        <v>0</v>
      </c>
      <c r="L148" s="18">
        <f t="shared" ref="L148:L161" si="151">+K148*$E$8</f>
        <v>0</v>
      </c>
      <c r="M148" s="18">
        <f t="shared" ref="M148:M161" si="152">+L148*$E$8</f>
        <v>0</v>
      </c>
      <c r="N148" s="18">
        <f t="shared" ref="N148:N161" si="153">+M148*$E$8</f>
        <v>0</v>
      </c>
      <c r="O148" s="18">
        <f t="shared" ref="O148:O161" si="154">+N148*$E$8</f>
        <v>0</v>
      </c>
      <c r="P148" s="18">
        <f t="shared" ref="P148:P161" si="155">+O148*$E$8</f>
        <v>0</v>
      </c>
      <c r="Q148" s="18">
        <f t="shared" ref="Q148:Q161" si="156">+P148*$E$8</f>
        <v>0</v>
      </c>
      <c r="R148" s="18">
        <f t="shared" ref="R148:R161" si="157">+Q148*$E$8</f>
        <v>0</v>
      </c>
      <c r="S148" s="1310"/>
    </row>
    <row r="149" spans="1:19">
      <c r="A149" s="474" t="str">
        <f>+Gastos!A149</f>
        <v>37A</v>
      </c>
      <c r="B149" s="1029" t="s">
        <v>373</v>
      </c>
      <c r="C149" s="507" t="str">
        <f>+Gastos!C149</f>
        <v xml:space="preserve">       Infraestructura Vial </v>
      </c>
      <c r="D149" s="18">
        <v>0</v>
      </c>
      <c r="E149" s="18">
        <f t="shared" si="144"/>
        <v>0</v>
      </c>
      <c r="F149" s="18">
        <f t="shared" si="145"/>
        <v>0</v>
      </c>
      <c r="G149" s="18">
        <v>0</v>
      </c>
      <c r="H149" s="18">
        <v>0</v>
      </c>
      <c r="I149" s="18">
        <f t="shared" si="148"/>
        <v>0</v>
      </c>
      <c r="J149" s="18">
        <f t="shared" si="149"/>
        <v>0</v>
      </c>
      <c r="K149" s="18">
        <f t="shared" si="150"/>
        <v>0</v>
      </c>
      <c r="L149" s="18">
        <f t="shared" si="151"/>
        <v>0</v>
      </c>
      <c r="M149" s="18">
        <f t="shared" si="152"/>
        <v>0</v>
      </c>
      <c r="N149" s="18">
        <f t="shared" si="153"/>
        <v>0</v>
      </c>
      <c r="O149" s="18">
        <f t="shared" si="154"/>
        <v>0</v>
      </c>
      <c r="P149" s="18">
        <f t="shared" si="155"/>
        <v>0</v>
      </c>
      <c r="Q149" s="18">
        <f t="shared" si="156"/>
        <v>0</v>
      </c>
      <c r="R149" s="18">
        <f t="shared" si="157"/>
        <v>0</v>
      </c>
      <c r="S149" s="1310"/>
    </row>
    <row r="150" spans="1:19">
      <c r="A150" s="474" t="str">
        <f>+Gastos!A150</f>
        <v>38A</v>
      </c>
      <c r="B150" s="1029" t="s">
        <v>375</v>
      </c>
      <c r="C150" s="507" t="str">
        <f>+Gastos!C150</f>
        <v xml:space="preserve">       Vivienda</v>
      </c>
      <c r="D150" s="18">
        <v>0</v>
      </c>
      <c r="E150" s="18">
        <f t="shared" si="144"/>
        <v>0</v>
      </c>
      <c r="F150" s="18">
        <f t="shared" si="145"/>
        <v>0</v>
      </c>
      <c r="G150" s="18">
        <f t="shared" si="146"/>
        <v>0</v>
      </c>
      <c r="H150" s="18">
        <f t="shared" si="147"/>
        <v>0</v>
      </c>
      <c r="I150" s="18">
        <f t="shared" si="148"/>
        <v>0</v>
      </c>
      <c r="J150" s="18">
        <f t="shared" si="149"/>
        <v>0</v>
      </c>
      <c r="K150" s="18">
        <f t="shared" si="150"/>
        <v>0</v>
      </c>
      <c r="L150" s="18">
        <f t="shared" si="151"/>
        <v>0</v>
      </c>
      <c r="M150" s="18">
        <f t="shared" si="152"/>
        <v>0</v>
      </c>
      <c r="N150" s="18">
        <f t="shared" si="153"/>
        <v>0</v>
      </c>
      <c r="O150" s="18">
        <f t="shared" si="154"/>
        <v>0</v>
      </c>
      <c r="P150" s="18">
        <f t="shared" si="155"/>
        <v>0</v>
      </c>
      <c r="Q150" s="18">
        <f t="shared" si="156"/>
        <v>0</v>
      </c>
      <c r="R150" s="18">
        <f t="shared" si="157"/>
        <v>0</v>
      </c>
      <c r="S150" s="1310"/>
    </row>
    <row r="151" spans="1:19">
      <c r="A151" s="474" t="str">
        <f>+Gastos!A151</f>
        <v>39A</v>
      </c>
      <c r="B151" s="1029" t="s">
        <v>377</v>
      </c>
      <c r="C151" s="507" t="str">
        <f>+Gastos!C151</f>
        <v xml:space="preserve">       Educación</v>
      </c>
      <c r="D151" s="18">
        <v>0</v>
      </c>
      <c r="E151" s="18">
        <f t="shared" si="144"/>
        <v>0</v>
      </c>
      <c r="F151" s="18">
        <v>1496248</v>
      </c>
      <c r="G151" s="18">
        <v>0</v>
      </c>
      <c r="H151" s="18">
        <f t="shared" si="147"/>
        <v>0</v>
      </c>
      <c r="I151" s="18">
        <f t="shared" si="148"/>
        <v>0</v>
      </c>
      <c r="J151" s="18">
        <f t="shared" si="149"/>
        <v>0</v>
      </c>
      <c r="K151" s="18">
        <f t="shared" si="150"/>
        <v>0</v>
      </c>
      <c r="L151" s="18">
        <f t="shared" si="151"/>
        <v>0</v>
      </c>
      <c r="M151" s="18">
        <f t="shared" si="152"/>
        <v>0</v>
      </c>
      <c r="N151" s="18">
        <f t="shared" si="153"/>
        <v>0</v>
      </c>
      <c r="O151" s="18">
        <f t="shared" si="154"/>
        <v>0</v>
      </c>
      <c r="P151" s="18">
        <f t="shared" si="155"/>
        <v>0</v>
      </c>
      <c r="Q151" s="18">
        <f t="shared" si="156"/>
        <v>0</v>
      </c>
      <c r="R151" s="18">
        <f t="shared" si="157"/>
        <v>0</v>
      </c>
      <c r="S151" s="1310"/>
    </row>
    <row r="152" spans="1:19">
      <c r="A152" s="474" t="str">
        <f>+Gastos!A152</f>
        <v>40A</v>
      </c>
      <c r="B152" s="1029" t="s">
        <v>379</v>
      </c>
      <c r="C152" s="507" t="str">
        <f>+Gastos!C152</f>
        <v xml:space="preserve">       Educación Física, Deporte y Recreación</v>
      </c>
      <c r="D152" s="18">
        <v>0</v>
      </c>
      <c r="E152" s="18">
        <f t="shared" si="144"/>
        <v>0</v>
      </c>
      <c r="F152" s="18">
        <f t="shared" si="145"/>
        <v>0</v>
      </c>
      <c r="G152" s="18">
        <f t="shared" si="146"/>
        <v>0</v>
      </c>
      <c r="H152" s="18">
        <f t="shared" si="147"/>
        <v>0</v>
      </c>
      <c r="I152" s="18">
        <f t="shared" si="148"/>
        <v>0</v>
      </c>
      <c r="J152" s="18">
        <f t="shared" si="149"/>
        <v>0</v>
      </c>
      <c r="K152" s="18">
        <f t="shared" si="150"/>
        <v>0</v>
      </c>
      <c r="L152" s="18">
        <f t="shared" si="151"/>
        <v>0</v>
      </c>
      <c r="M152" s="18">
        <f t="shared" si="152"/>
        <v>0</v>
      </c>
      <c r="N152" s="18">
        <f t="shared" si="153"/>
        <v>0</v>
      </c>
      <c r="O152" s="18">
        <f t="shared" si="154"/>
        <v>0</v>
      </c>
      <c r="P152" s="18">
        <f t="shared" si="155"/>
        <v>0</v>
      </c>
      <c r="Q152" s="18">
        <f t="shared" si="156"/>
        <v>0</v>
      </c>
      <c r="R152" s="18">
        <f t="shared" si="157"/>
        <v>0</v>
      </c>
      <c r="S152" s="1310"/>
    </row>
    <row r="153" spans="1:19">
      <c r="A153" s="474" t="str">
        <f>+Gastos!A153</f>
        <v>41A</v>
      </c>
      <c r="B153" s="1029" t="s">
        <v>381</v>
      </c>
      <c r="C153" s="507" t="str">
        <f>+Gastos!C153</f>
        <v xml:space="preserve">       Salud</v>
      </c>
      <c r="D153" s="18">
        <v>0</v>
      </c>
      <c r="E153" s="18">
        <f t="shared" si="144"/>
        <v>0</v>
      </c>
      <c r="F153" s="18">
        <f t="shared" si="145"/>
        <v>0</v>
      </c>
      <c r="G153" s="18">
        <f t="shared" si="146"/>
        <v>0</v>
      </c>
      <c r="H153" s="18">
        <f t="shared" si="147"/>
        <v>0</v>
      </c>
      <c r="I153" s="18">
        <f t="shared" si="148"/>
        <v>0</v>
      </c>
      <c r="J153" s="18">
        <f t="shared" si="149"/>
        <v>0</v>
      </c>
      <c r="K153" s="18">
        <f t="shared" si="150"/>
        <v>0</v>
      </c>
      <c r="L153" s="18">
        <f t="shared" si="151"/>
        <v>0</v>
      </c>
      <c r="M153" s="18">
        <f t="shared" si="152"/>
        <v>0</v>
      </c>
      <c r="N153" s="18">
        <f t="shared" si="153"/>
        <v>0</v>
      </c>
      <c r="O153" s="18">
        <f t="shared" si="154"/>
        <v>0</v>
      </c>
      <c r="P153" s="18">
        <f t="shared" si="155"/>
        <v>0</v>
      </c>
      <c r="Q153" s="18">
        <f t="shared" si="156"/>
        <v>0</v>
      </c>
      <c r="R153" s="18">
        <f t="shared" si="157"/>
        <v>0</v>
      </c>
      <c r="S153" s="1310"/>
    </row>
    <row r="154" spans="1:19">
      <c r="A154" s="462" t="str">
        <f>+Gastos!A154</f>
        <v>42A</v>
      </c>
      <c r="B154" s="1029" t="s">
        <v>383</v>
      </c>
      <c r="C154" s="507" t="str">
        <f>+Gastos!C154</f>
        <v xml:space="preserve">       Cultura</v>
      </c>
      <c r="D154" s="18">
        <v>0</v>
      </c>
      <c r="E154" s="18">
        <f t="shared" si="144"/>
        <v>0</v>
      </c>
      <c r="F154" s="18">
        <f t="shared" si="145"/>
        <v>0</v>
      </c>
      <c r="G154" s="18">
        <f t="shared" si="146"/>
        <v>0</v>
      </c>
      <c r="H154" s="18">
        <f t="shared" si="147"/>
        <v>0</v>
      </c>
      <c r="I154" s="18">
        <f t="shared" si="148"/>
        <v>0</v>
      </c>
      <c r="J154" s="18">
        <f t="shared" si="149"/>
        <v>0</v>
      </c>
      <c r="K154" s="18">
        <f t="shared" si="150"/>
        <v>0</v>
      </c>
      <c r="L154" s="18">
        <f t="shared" si="151"/>
        <v>0</v>
      </c>
      <c r="M154" s="18">
        <f t="shared" si="152"/>
        <v>0</v>
      </c>
      <c r="N154" s="18">
        <f t="shared" si="153"/>
        <v>0</v>
      </c>
      <c r="O154" s="18">
        <f t="shared" si="154"/>
        <v>0</v>
      </c>
      <c r="P154" s="18">
        <f t="shared" si="155"/>
        <v>0</v>
      </c>
      <c r="Q154" s="18">
        <f t="shared" si="156"/>
        <v>0</v>
      </c>
      <c r="R154" s="18">
        <f t="shared" si="157"/>
        <v>0</v>
      </c>
      <c r="S154" s="1310"/>
    </row>
    <row r="155" spans="1:19">
      <c r="A155" s="474" t="str">
        <f>+Gastos!A155</f>
        <v>43A</v>
      </c>
      <c r="B155" s="1029" t="s">
        <v>385</v>
      </c>
      <c r="C155" s="507" t="str">
        <f>+Gastos!C155</f>
        <v xml:space="preserve">       Sector Energético</v>
      </c>
      <c r="D155" s="18">
        <v>0</v>
      </c>
      <c r="E155" s="18">
        <f t="shared" si="144"/>
        <v>0</v>
      </c>
      <c r="F155" s="18">
        <f t="shared" si="145"/>
        <v>0</v>
      </c>
      <c r="G155" s="18">
        <f t="shared" si="146"/>
        <v>0</v>
      </c>
      <c r="H155" s="18">
        <f t="shared" si="147"/>
        <v>0</v>
      </c>
      <c r="I155" s="18">
        <f t="shared" si="148"/>
        <v>0</v>
      </c>
      <c r="J155" s="18">
        <f t="shared" si="149"/>
        <v>0</v>
      </c>
      <c r="K155" s="18">
        <f t="shared" si="150"/>
        <v>0</v>
      </c>
      <c r="L155" s="18">
        <f t="shared" si="151"/>
        <v>0</v>
      </c>
      <c r="M155" s="18">
        <f t="shared" si="152"/>
        <v>0</v>
      </c>
      <c r="N155" s="18">
        <f t="shared" si="153"/>
        <v>0</v>
      </c>
      <c r="O155" s="18">
        <f t="shared" si="154"/>
        <v>0</v>
      </c>
      <c r="P155" s="18">
        <f t="shared" si="155"/>
        <v>0</v>
      </c>
      <c r="Q155" s="18">
        <f t="shared" si="156"/>
        <v>0</v>
      </c>
      <c r="R155" s="18">
        <f t="shared" si="157"/>
        <v>0</v>
      </c>
      <c r="S155" s="1310"/>
    </row>
    <row r="156" spans="1:19">
      <c r="A156" s="474" t="str">
        <f>+Gastos!A156</f>
        <v>44A</v>
      </c>
      <c r="B156" s="1029" t="s">
        <v>387</v>
      </c>
      <c r="C156" s="507" t="str">
        <f>+Gastos!C156</f>
        <v xml:space="preserve">       Desarrollo Agropecuario y Minero</v>
      </c>
      <c r="D156" s="18">
        <v>0</v>
      </c>
      <c r="E156" s="18">
        <f t="shared" si="144"/>
        <v>0</v>
      </c>
      <c r="F156" s="18">
        <f t="shared" si="145"/>
        <v>0</v>
      </c>
      <c r="G156" s="18">
        <f t="shared" si="146"/>
        <v>0</v>
      </c>
      <c r="H156" s="18">
        <f t="shared" si="147"/>
        <v>0</v>
      </c>
      <c r="I156" s="18">
        <f t="shared" si="148"/>
        <v>0</v>
      </c>
      <c r="J156" s="18">
        <f t="shared" si="149"/>
        <v>0</v>
      </c>
      <c r="K156" s="18">
        <f t="shared" si="150"/>
        <v>0</v>
      </c>
      <c r="L156" s="18">
        <f t="shared" si="151"/>
        <v>0</v>
      </c>
      <c r="M156" s="18">
        <f t="shared" si="152"/>
        <v>0</v>
      </c>
      <c r="N156" s="18">
        <f t="shared" si="153"/>
        <v>0</v>
      </c>
      <c r="O156" s="18">
        <f t="shared" si="154"/>
        <v>0</v>
      </c>
      <c r="P156" s="18">
        <f t="shared" si="155"/>
        <v>0</v>
      </c>
      <c r="Q156" s="18">
        <f t="shared" si="156"/>
        <v>0</v>
      </c>
      <c r="R156" s="18">
        <f t="shared" si="157"/>
        <v>0</v>
      </c>
      <c r="S156" s="1310"/>
    </row>
    <row r="157" spans="1:19">
      <c r="A157" s="474" t="str">
        <f>+Gastos!A157</f>
        <v>45A</v>
      </c>
      <c r="B157" s="1029" t="s">
        <v>389</v>
      </c>
      <c r="C157" s="507" t="str">
        <f>+Gastos!C157</f>
        <v xml:space="preserve">       Infraestructura Urbana</v>
      </c>
      <c r="D157" s="18">
        <v>0</v>
      </c>
      <c r="E157" s="18">
        <f t="shared" si="144"/>
        <v>0</v>
      </c>
      <c r="F157" s="18">
        <f t="shared" si="145"/>
        <v>0</v>
      </c>
      <c r="G157" s="18">
        <f t="shared" si="146"/>
        <v>0</v>
      </c>
      <c r="H157" s="18">
        <f t="shared" si="147"/>
        <v>0</v>
      </c>
      <c r="I157" s="18">
        <f t="shared" si="148"/>
        <v>0</v>
      </c>
      <c r="J157" s="18">
        <f t="shared" si="149"/>
        <v>0</v>
      </c>
      <c r="K157" s="18">
        <f t="shared" si="150"/>
        <v>0</v>
      </c>
      <c r="L157" s="18">
        <f t="shared" si="151"/>
        <v>0</v>
      </c>
      <c r="M157" s="18">
        <f t="shared" si="152"/>
        <v>0</v>
      </c>
      <c r="N157" s="18">
        <f t="shared" si="153"/>
        <v>0</v>
      </c>
      <c r="O157" s="18">
        <f t="shared" si="154"/>
        <v>0</v>
      </c>
      <c r="P157" s="18">
        <f t="shared" si="155"/>
        <v>0</v>
      </c>
      <c r="Q157" s="18">
        <f t="shared" si="156"/>
        <v>0</v>
      </c>
      <c r="R157" s="18">
        <f t="shared" si="157"/>
        <v>0</v>
      </c>
      <c r="S157" s="1310"/>
    </row>
    <row r="158" spans="1:19">
      <c r="A158" s="474" t="str">
        <f>+Gastos!A158</f>
        <v>46A</v>
      </c>
      <c r="B158" s="1029" t="s">
        <v>391</v>
      </c>
      <c r="C158" s="507" t="str">
        <f>+Gastos!C158</f>
        <v xml:space="preserve">       Desarrollo de la comunidad</v>
      </c>
      <c r="D158" s="18">
        <v>0</v>
      </c>
      <c r="E158" s="18">
        <f t="shared" si="144"/>
        <v>0</v>
      </c>
      <c r="F158" s="18">
        <f t="shared" si="145"/>
        <v>0</v>
      </c>
      <c r="G158" s="18">
        <f t="shared" si="146"/>
        <v>0</v>
      </c>
      <c r="H158" s="18">
        <f t="shared" si="147"/>
        <v>0</v>
      </c>
      <c r="I158" s="18">
        <f t="shared" si="148"/>
        <v>0</v>
      </c>
      <c r="J158" s="18">
        <f t="shared" si="149"/>
        <v>0</v>
      </c>
      <c r="K158" s="18">
        <f t="shared" si="150"/>
        <v>0</v>
      </c>
      <c r="L158" s="18">
        <f t="shared" si="151"/>
        <v>0</v>
      </c>
      <c r="M158" s="18">
        <f t="shared" si="152"/>
        <v>0</v>
      </c>
      <c r="N158" s="18">
        <f t="shared" si="153"/>
        <v>0</v>
      </c>
      <c r="O158" s="18">
        <f t="shared" si="154"/>
        <v>0</v>
      </c>
      <c r="P158" s="18">
        <f t="shared" si="155"/>
        <v>0</v>
      </c>
      <c r="Q158" s="18">
        <f t="shared" si="156"/>
        <v>0</v>
      </c>
      <c r="R158" s="18">
        <f t="shared" si="157"/>
        <v>0</v>
      </c>
      <c r="S158" s="1310"/>
    </row>
    <row r="159" spans="1:19">
      <c r="A159" s="474" t="str">
        <f>+Gastos!A159</f>
        <v>47A</v>
      </c>
      <c r="B159" s="1029" t="s">
        <v>393</v>
      </c>
      <c r="C159" s="507" t="str">
        <f>+Gastos!C159</f>
        <v xml:space="preserve">       Justicia, defensa y seguridad</v>
      </c>
      <c r="D159" s="18">
        <v>0</v>
      </c>
      <c r="E159" s="18">
        <f t="shared" si="144"/>
        <v>0</v>
      </c>
      <c r="F159" s="18">
        <f t="shared" si="145"/>
        <v>0</v>
      </c>
      <c r="G159" s="18">
        <f t="shared" si="146"/>
        <v>0</v>
      </c>
      <c r="H159" s="18">
        <f t="shared" si="147"/>
        <v>0</v>
      </c>
      <c r="I159" s="18">
        <f t="shared" si="148"/>
        <v>0</v>
      </c>
      <c r="J159" s="18">
        <f t="shared" si="149"/>
        <v>0</v>
      </c>
      <c r="K159" s="18">
        <f t="shared" si="150"/>
        <v>0</v>
      </c>
      <c r="L159" s="18">
        <f t="shared" si="151"/>
        <v>0</v>
      </c>
      <c r="M159" s="18">
        <f t="shared" si="152"/>
        <v>0</v>
      </c>
      <c r="N159" s="18">
        <f t="shared" si="153"/>
        <v>0</v>
      </c>
      <c r="O159" s="18">
        <f t="shared" si="154"/>
        <v>0</v>
      </c>
      <c r="P159" s="18">
        <f t="shared" si="155"/>
        <v>0</v>
      </c>
      <c r="Q159" s="18">
        <f t="shared" si="156"/>
        <v>0</v>
      </c>
      <c r="R159" s="18">
        <f t="shared" si="157"/>
        <v>0</v>
      </c>
      <c r="S159" s="1310"/>
    </row>
    <row r="160" spans="1:19">
      <c r="A160" s="474" t="str">
        <f>+Gastos!A160</f>
        <v>48A</v>
      </c>
      <c r="B160" s="1029" t="s">
        <v>395</v>
      </c>
      <c r="C160" s="507" t="str">
        <f>+Gastos!C160</f>
        <v xml:space="preserve">       Desarrollo Institucional</v>
      </c>
      <c r="D160" s="18">
        <v>0</v>
      </c>
      <c r="E160" s="18">
        <f t="shared" si="144"/>
        <v>0</v>
      </c>
      <c r="F160" s="18">
        <f t="shared" si="145"/>
        <v>0</v>
      </c>
      <c r="G160" s="18">
        <f t="shared" si="146"/>
        <v>0</v>
      </c>
      <c r="H160" s="18">
        <f t="shared" si="147"/>
        <v>0</v>
      </c>
      <c r="I160" s="18">
        <f t="shared" si="148"/>
        <v>0</v>
      </c>
      <c r="J160" s="18">
        <f t="shared" si="149"/>
        <v>0</v>
      </c>
      <c r="K160" s="18">
        <f t="shared" si="150"/>
        <v>0</v>
      </c>
      <c r="L160" s="18">
        <f t="shared" si="151"/>
        <v>0</v>
      </c>
      <c r="M160" s="18">
        <f t="shared" si="152"/>
        <v>0</v>
      </c>
      <c r="N160" s="18">
        <f t="shared" si="153"/>
        <v>0</v>
      </c>
      <c r="O160" s="18">
        <f t="shared" si="154"/>
        <v>0</v>
      </c>
      <c r="P160" s="18">
        <f t="shared" si="155"/>
        <v>0</v>
      </c>
      <c r="Q160" s="18">
        <f t="shared" si="156"/>
        <v>0</v>
      </c>
      <c r="R160" s="18">
        <f t="shared" si="157"/>
        <v>0</v>
      </c>
      <c r="S160" s="1310"/>
    </row>
    <row r="161" spans="1:19">
      <c r="A161" s="474" t="str">
        <f>+Gastos!A161</f>
        <v>49A</v>
      </c>
      <c r="B161" s="1030" t="s">
        <v>397</v>
      </c>
      <c r="C161" s="507" t="str">
        <f>+Gastos!C161</f>
        <v xml:space="preserve">       Otros</v>
      </c>
      <c r="D161" s="18">
        <v>0</v>
      </c>
      <c r="E161" s="18">
        <f t="shared" si="144"/>
        <v>0</v>
      </c>
      <c r="F161" s="18">
        <f t="shared" si="145"/>
        <v>0</v>
      </c>
      <c r="G161" s="18">
        <f t="shared" si="146"/>
        <v>0</v>
      </c>
      <c r="H161" s="18">
        <f t="shared" si="147"/>
        <v>0</v>
      </c>
      <c r="I161" s="18">
        <f t="shared" si="148"/>
        <v>0</v>
      </c>
      <c r="J161" s="18">
        <f t="shared" si="149"/>
        <v>0</v>
      </c>
      <c r="K161" s="18">
        <f t="shared" si="150"/>
        <v>0</v>
      </c>
      <c r="L161" s="18">
        <f t="shared" si="151"/>
        <v>0</v>
      </c>
      <c r="M161" s="18">
        <f t="shared" si="152"/>
        <v>0</v>
      </c>
      <c r="N161" s="18">
        <f t="shared" si="153"/>
        <v>0</v>
      </c>
      <c r="O161" s="18">
        <f t="shared" si="154"/>
        <v>0</v>
      </c>
      <c r="P161" s="18">
        <f t="shared" si="155"/>
        <v>0</v>
      </c>
      <c r="Q161" s="18">
        <f t="shared" si="156"/>
        <v>0</v>
      </c>
      <c r="R161" s="18">
        <f t="shared" si="157"/>
        <v>0</v>
      </c>
      <c r="S161" s="1310"/>
    </row>
    <row r="162" spans="1:19">
      <c r="A162" s="474" t="str">
        <f>+Gastos!A162</f>
        <v>83A</v>
      </c>
      <c r="B162" s="93"/>
      <c r="C162" s="506" t="str">
        <f>+Gastos!C162</f>
        <v xml:space="preserve">  CON RECURSOS PROPIOS Y OTROS</v>
      </c>
      <c r="D162" s="42">
        <f>+D163+D177+D183</f>
        <v>802322</v>
      </c>
      <c r="E162" s="42">
        <f t="shared" ref="E162:R162" si="158">+E163+E177+E183</f>
        <v>698778.05</v>
      </c>
      <c r="F162" s="42">
        <f t="shared" si="158"/>
        <v>378230.79500000004</v>
      </c>
      <c r="G162" s="42">
        <f t="shared" si="158"/>
        <v>622732.48474999995</v>
      </c>
      <c r="H162" s="42">
        <f t="shared" si="158"/>
        <v>630881.50898749998</v>
      </c>
      <c r="I162" s="42">
        <f t="shared" si="158"/>
        <v>663092.58443687507</v>
      </c>
      <c r="J162" s="42">
        <f t="shared" si="158"/>
        <v>696940.21365871886</v>
      </c>
      <c r="K162" s="42">
        <f t="shared" si="158"/>
        <v>732508.57434165478</v>
      </c>
      <c r="L162" s="42">
        <f t="shared" si="158"/>
        <v>769883.55305873766</v>
      </c>
      <c r="M162" s="42">
        <f t="shared" si="158"/>
        <v>809157.18071167439</v>
      </c>
      <c r="N162" s="42">
        <f t="shared" si="158"/>
        <v>850426.83974725823</v>
      </c>
      <c r="O162" s="42">
        <f t="shared" si="158"/>
        <v>893790.48173462122</v>
      </c>
      <c r="P162" s="42">
        <f t="shared" si="158"/>
        <v>939357.85582135245</v>
      </c>
      <c r="Q162" s="42">
        <f t="shared" si="158"/>
        <v>987237.74861241993</v>
      </c>
      <c r="R162" s="42">
        <f t="shared" si="158"/>
        <v>1037548.236043041</v>
      </c>
      <c r="S162" s="1310"/>
    </row>
    <row r="163" spans="1:19">
      <c r="A163" s="474" t="str">
        <f>+Gastos!A163</f>
        <v>84A</v>
      </c>
      <c r="B163" s="93"/>
      <c r="C163" s="506" t="str">
        <f>+Gastos!C163</f>
        <v xml:space="preserve">    Pagos de personal y aportes a la seguridad  social</v>
      </c>
      <c r="D163" s="42">
        <f>SUM(D164:D176)</f>
        <v>0</v>
      </c>
      <c r="E163" s="42">
        <f t="shared" ref="E163:R163" si="159">SUM(E164:E176)</f>
        <v>0</v>
      </c>
      <c r="F163" s="42">
        <f t="shared" si="159"/>
        <v>0</v>
      </c>
      <c r="G163" s="42">
        <f t="shared" si="159"/>
        <v>0</v>
      </c>
      <c r="H163" s="42">
        <f t="shared" si="159"/>
        <v>0</v>
      </c>
      <c r="I163" s="42">
        <f t="shared" si="159"/>
        <v>0</v>
      </c>
      <c r="J163" s="42">
        <f t="shared" si="159"/>
        <v>0</v>
      </c>
      <c r="K163" s="42">
        <f t="shared" si="159"/>
        <v>0</v>
      </c>
      <c r="L163" s="42">
        <f t="shared" si="159"/>
        <v>0</v>
      </c>
      <c r="M163" s="42">
        <f t="shared" si="159"/>
        <v>0</v>
      </c>
      <c r="N163" s="42">
        <f t="shared" si="159"/>
        <v>0</v>
      </c>
      <c r="O163" s="42">
        <f t="shared" si="159"/>
        <v>0</v>
      </c>
      <c r="P163" s="42">
        <f t="shared" si="159"/>
        <v>0</v>
      </c>
      <c r="Q163" s="42">
        <f t="shared" si="159"/>
        <v>0</v>
      </c>
      <c r="R163" s="42">
        <f t="shared" si="159"/>
        <v>0</v>
      </c>
      <c r="S163" s="1310"/>
    </row>
    <row r="164" spans="1:19">
      <c r="A164" s="474" t="str">
        <f>+Gastos!A164</f>
        <v>85A</v>
      </c>
      <c r="B164" s="1031" t="s">
        <v>402</v>
      </c>
      <c r="C164" s="507" t="str">
        <f>+Gastos!C164</f>
        <v xml:space="preserve">       Agua Potable y Saneamiento Básico</v>
      </c>
      <c r="D164" s="18">
        <v>0</v>
      </c>
      <c r="E164" s="18">
        <f t="shared" ref="E164:E176" si="160">+D164*$E$8</f>
        <v>0</v>
      </c>
      <c r="F164" s="18">
        <f t="shared" ref="F164:F176" si="161">+E164*$E$8</f>
        <v>0</v>
      </c>
      <c r="G164" s="18">
        <f t="shared" ref="G164:G176" si="162">+F164*$E$8</f>
        <v>0</v>
      </c>
      <c r="H164" s="18">
        <f t="shared" ref="H164:H176" si="163">+G164*$E$8</f>
        <v>0</v>
      </c>
      <c r="I164" s="18">
        <f t="shared" ref="I164:I176" si="164">+H164*$E$8</f>
        <v>0</v>
      </c>
      <c r="J164" s="18">
        <f t="shared" ref="J164:J176" si="165">+I164*$E$8</f>
        <v>0</v>
      </c>
      <c r="K164" s="18">
        <f t="shared" ref="K164:K176" si="166">+J164*$E$8</f>
        <v>0</v>
      </c>
      <c r="L164" s="18">
        <f t="shared" ref="L164:L176" si="167">+K164*$E$8</f>
        <v>0</v>
      </c>
      <c r="M164" s="18">
        <f t="shared" ref="M164:M176" si="168">+L164*$E$8</f>
        <v>0</v>
      </c>
      <c r="N164" s="18">
        <f t="shared" ref="N164:N176" si="169">+M164*$E$8</f>
        <v>0</v>
      </c>
      <c r="O164" s="18">
        <f t="shared" ref="O164:O176" si="170">+N164*$E$8</f>
        <v>0</v>
      </c>
      <c r="P164" s="18">
        <f t="shared" ref="P164:P176" si="171">+O164*$E$8</f>
        <v>0</v>
      </c>
      <c r="Q164" s="18">
        <f t="shared" ref="Q164:Q176" si="172">+P164*$E$8</f>
        <v>0</v>
      </c>
      <c r="R164" s="18">
        <f t="shared" ref="R164:R176" si="173">+Q164*$E$8</f>
        <v>0</v>
      </c>
      <c r="S164" s="1310"/>
    </row>
    <row r="165" spans="1:19">
      <c r="A165" s="474" t="str">
        <f>+Gastos!A165</f>
        <v>86A</v>
      </c>
      <c r="B165" s="1031" t="s">
        <v>404</v>
      </c>
      <c r="C165" s="507" t="str">
        <f>+Gastos!C165</f>
        <v xml:space="preserve">       Infraestructura Vial </v>
      </c>
      <c r="D165" s="18">
        <v>0</v>
      </c>
      <c r="E165" s="18">
        <f t="shared" si="160"/>
        <v>0</v>
      </c>
      <c r="F165" s="18">
        <f t="shared" si="161"/>
        <v>0</v>
      </c>
      <c r="G165" s="18">
        <v>0</v>
      </c>
      <c r="H165" s="18">
        <v>0</v>
      </c>
      <c r="I165" s="18">
        <f t="shared" si="164"/>
        <v>0</v>
      </c>
      <c r="J165" s="18">
        <f t="shared" si="165"/>
        <v>0</v>
      </c>
      <c r="K165" s="18">
        <f t="shared" si="166"/>
        <v>0</v>
      </c>
      <c r="L165" s="18">
        <f t="shared" si="167"/>
        <v>0</v>
      </c>
      <c r="M165" s="18">
        <f t="shared" si="168"/>
        <v>0</v>
      </c>
      <c r="N165" s="18">
        <f t="shared" si="169"/>
        <v>0</v>
      </c>
      <c r="O165" s="18">
        <f t="shared" si="170"/>
        <v>0</v>
      </c>
      <c r="P165" s="18">
        <f t="shared" si="171"/>
        <v>0</v>
      </c>
      <c r="Q165" s="18">
        <f t="shared" si="172"/>
        <v>0</v>
      </c>
      <c r="R165" s="18">
        <f t="shared" si="173"/>
        <v>0</v>
      </c>
      <c r="S165" s="1310"/>
    </row>
    <row r="166" spans="1:19">
      <c r="A166" s="474" t="str">
        <f>+Gastos!A166</f>
        <v>87A</v>
      </c>
      <c r="B166" s="1031" t="s">
        <v>406</v>
      </c>
      <c r="C166" s="507" t="str">
        <f>+Gastos!C166</f>
        <v xml:space="preserve">       Vivienda</v>
      </c>
      <c r="D166" s="18">
        <v>0</v>
      </c>
      <c r="E166" s="18">
        <f t="shared" si="160"/>
        <v>0</v>
      </c>
      <c r="F166" s="18">
        <f t="shared" si="161"/>
        <v>0</v>
      </c>
      <c r="G166" s="18">
        <f t="shared" si="162"/>
        <v>0</v>
      </c>
      <c r="H166" s="18">
        <f t="shared" si="163"/>
        <v>0</v>
      </c>
      <c r="I166" s="18">
        <f t="shared" si="164"/>
        <v>0</v>
      </c>
      <c r="J166" s="18">
        <f t="shared" si="165"/>
        <v>0</v>
      </c>
      <c r="K166" s="18">
        <f t="shared" si="166"/>
        <v>0</v>
      </c>
      <c r="L166" s="18">
        <f t="shared" si="167"/>
        <v>0</v>
      </c>
      <c r="M166" s="18">
        <f t="shared" si="168"/>
        <v>0</v>
      </c>
      <c r="N166" s="18">
        <f t="shared" si="169"/>
        <v>0</v>
      </c>
      <c r="O166" s="18">
        <f t="shared" si="170"/>
        <v>0</v>
      </c>
      <c r="P166" s="18">
        <f t="shared" si="171"/>
        <v>0</v>
      </c>
      <c r="Q166" s="18">
        <f t="shared" si="172"/>
        <v>0</v>
      </c>
      <c r="R166" s="18">
        <f t="shared" si="173"/>
        <v>0</v>
      </c>
      <c r="S166" s="1310"/>
    </row>
    <row r="167" spans="1:19">
      <c r="A167" s="474" t="str">
        <f>+Gastos!A167</f>
        <v>88A</v>
      </c>
      <c r="B167" s="1031" t="s">
        <v>408</v>
      </c>
      <c r="C167" s="507" t="str">
        <f>+Gastos!C167</f>
        <v xml:space="preserve">       Educación</v>
      </c>
      <c r="D167" s="18">
        <v>0</v>
      </c>
      <c r="E167" s="18">
        <f t="shared" si="160"/>
        <v>0</v>
      </c>
      <c r="F167" s="18">
        <f t="shared" si="161"/>
        <v>0</v>
      </c>
      <c r="G167" s="18">
        <f t="shared" si="162"/>
        <v>0</v>
      </c>
      <c r="H167" s="18">
        <f t="shared" si="163"/>
        <v>0</v>
      </c>
      <c r="I167" s="18">
        <f t="shared" si="164"/>
        <v>0</v>
      </c>
      <c r="J167" s="18">
        <f t="shared" si="165"/>
        <v>0</v>
      </c>
      <c r="K167" s="18">
        <f t="shared" si="166"/>
        <v>0</v>
      </c>
      <c r="L167" s="18">
        <f t="shared" si="167"/>
        <v>0</v>
      </c>
      <c r="M167" s="18">
        <f t="shared" si="168"/>
        <v>0</v>
      </c>
      <c r="N167" s="18">
        <f t="shared" si="169"/>
        <v>0</v>
      </c>
      <c r="O167" s="18">
        <f t="shared" si="170"/>
        <v>0</v>
      </c>
      <c r="P167" s="18">
        <f t="shared" si="171"/>
        <v>0</v>
      </c>
      <c r="Q167" s="18">
        <f t="shared" si="172"/>
        <v>0</v>
      </c>
      <c r="R167" s="18">
        <f t="shared" si="173"/>
        <v>0</v>
      </c>
      <c r="S167" s="1310"/>
    </row>
    <row r="168" spans="1:19">
      <c r="A168" s="462" t="str">
        <f>+Gastos!A168</f>
        <v>89A</v>
      </c>
      <c r="B168" s="1031" t="s">
        <v>410</v>
      </c>
      <c r="C168" s="507" t="str">
        <f>+Gastos!C168</f>
        <v xml:space="preserve">       Educación Física, Deporte y Recreación</v>
      </c>
      <c r="D168" s="18">
        <v>0</v>
      </c>
      <c r="E168" s="18">
        <f t="shared" si="160"/>
        <v>0</v>
      </c>
      <c r="F168" s="18">
        <f t="shared" si="161"/>
        <v>0</v>
      </c>
      <c r="G168" s="18">
        <f t="shared" si="162"/>
        <v>0</v>
      </c>
      <c r="H168" s="18">
        <f t="shared" si="163"/>
        <v>0</v>
      </c>
      <c r="I168" s="18">
        <f t="shared" si="164"/>
        <v>0</v>
      </c>
      <c r="J168" s="18">
        <f t="shared" si="165"/>
        <v>0</v>
      </c>
      <c r="K168" s="18">
        <f t="shared" si="166"/>
        <v>0</v>
      </c>
      <c r="L168" s="18">
        <f t="shared" si="167"/>
        <v>0</v>
      </c>
      <c r="M168" s="18">
        <f t="shared" si="168"/>
        <v>0</v>
      </c>
      <c r="N168" s="18">
        <f t="shared" si="169"/>
        <v>0</v>
      </c>
      <c r="O168" s="18">
        <f t="shared" si="170"/>
        <v>0</v>
      </c>
      <c r="P168" s="18">
        <f t="shared" si="171"/>
        <v>0</v>
      </c>
      <c r="Q168" s="18">
        <f t="shared" si="172"/>
        <v>0</v>
      </c>
      <c r="R168" s="18">
        <f t="shared" si="173"/>
        <v>0</v>
      </c>
      <c r="S168" s="1310"/>
    </row>
    <row r="169" spans="1:19">
      <c r="A169" s="474" t="str">
        <f>+Gastos!A169</f>
        <v>90A</v>
      </c>
      <c r="B169" s="1031" t="s">
        <v>412</v>
      </c>
      <c r="C169" s="507" t="str">
        <f>+Gastos!C169</f>
        <v xml:space="preserve">       Salud</v>
      </c>
      <c r="D169" s="18">
        <v>0</v>
      </c>
      <c r="E169" s="18">
        <f t="shared" si="160"/>
        <v>0</v>
      </c>
      <c r="F169" s="18">
        <f t="shared" si="161"/>
        <v>0</v>
      </c>
      <c r="G169" s="18">
        <f t="shared" si="162"/>
        <v>0</v>
      </c>
      <c r="H169" s="18">
        <f t="shared" si="163"/>
        <v>0</v>
      </c>
      <c r="I169" s="18">
        <f t="shared" si="164"/>
        <v>0</v>
      </c>
      <c r="J169" s="18">
        <f t="shared" si="165"/>
        <v>0</v>
      </c>
      <c r="K169" s="18">
        <f t="shared" si="166"/>
        <v>0</v>
      </c>
      <c r="L169" s="18">
        <f t="shared" si="167"/>
        <v>0</v>
      </c>
      <c r="M169" s="18">
        <f t="shared" si="168"/>
        <v>0</v>
      </c>
      <c r="N169" s="18">
        <f t="shared" si="169"/>
        <v>0</v>
      </c>
      <c r="O169" s="18">
        <f t="shared" si="170"/>
        <v>0</v>
      </c>
      <c r="P169" s="18">
        <f t="shared" si="171"/>
        <v>0</v>
      </c>
      <c r="Q169" s="18">
        <f t="shared" si="172"/>
        <v>0</v>
      </c>
      <c r="R169" s="18">
        <f t="shared" si="173"/>
        <v>0</v>
      </c>
      <c r="S169" s="1310"/>
    </row>
    <row r="170" spans="1:19">
      <c r="A170" s="474" t="str">
        <f>+Gastos!A170</f>
        <v>91A</v>
      </c>
      <c r="B170" s="1031" t="s">
        <v>414</v>
      </c>
      <c r="C170" s="507" t="str">
        <f>+Gastos!C170</f>
        <v xml:space="preserve">       Cultura</v>
      </c>
      <c r="D170" s="18">
        <v>0</v>
      </c>
      <c r="E170" s="18">
        <f t="shared" si="160"/>
        <v>0</v>
      </c>
      <c r="F170" s="18">
        <f t="shared" si="161"/>
        <v>0</v>
      </c>
      <c r="G170" s="18">
        <f t="shared" si="162"/>
        <v>0</v>
      </c>
      <c r="H170" s="18">
        <f t="shared" si="163"/>
        <v>0</v>
      </c>
      <c r="I170" s="18">
        <f t="shared" si="164"/>
        <v>0</v>
      </c>
      <c r="J170" s="18">
        <f t="shared" si="165"/>
        <v>0</v>
      </c>
      <c r="K170" s="18">
        <f t="shared" si="166"/>
        <v>0</v>
      </c>
      <c r="L170" s="18">
        <f t="shared" si="167"/>
        <v>0</v>
      </c>
      <c r="M170" s="18">
        <f t="shared" si="168"/>
        <v>0</v>
      </c>
      <c r="N170" s="18">
        <f t="shared" si="169"/>
        <v>0</v>
      </c>
      <c r="O170" s="18">
        <f t="shared" si="170"/>
        <v>0</v>
      </c>
      <c r="P170" s="18">
        <f t="shared" si="171"/>
        <v>0</v>
      </c>
      <c r="Q170" s="18">
        <f t="shared" si="172"/>
        <v>0</v>
      </c>
      <c r="R170" s="18">
        <f t="shared" si="173"/>
        <v>0</v>
      </c>
      <c r="S170" s="1310"/>
    </row>
    <row r="171" spans="1:19">
      <c r="A171" s="474" t="str">
        <f>+Gastos!A171</f>
        <v>92A</v>
      </c>
      <c r="B171" s="1031" t="s">
        <v>416</v>
      </c>
      <c r="C171" s="507" t="str">
        <f>+Gastos!C171</f>
        <v xml:space="preserve">       Sector Energético</v>
      </c>
      <c r="D171" s="18">
        <v>0</v>
      </c>
      <c r="E171" s="18">
        <f t="shared" si="160"/>
        <v>0</v>
      </c>
      <c r="F171" s="18">
        <f t="shared" si="161"/>
        <v>0</v>
      </c>
      <c r="G171" s="18">
        <f t="shared" si="162"/>
        <v>0</v>
      </c>
      <c r="H171" s="18">
        <f t="shared" si="163"/>
        <v>0</v>
      </c>
      <c r="I171" s="18">
        <f t="shared" si="164"/>
        <v>0</v>
      </c>
      <c r="J171" s="18">
        <f t="shared" si="165"/>
        <v>0</v>
      </c>
      <c r="K171" s="18">
        <f t="shared" si="166"/>
        <v>0</v>
      </c>
      <c r="L171" s="18">
        <f t="shared" si="167"/>
        <v>0</v>
      </c>
      <c r="M171" s="18">
        <f t="shared" si="168"/>
        <v>0</v>
      </c>
      <c r="N171" s="18">
        <f t="shared" si="169"/>
        <v>0</v>
      </c>
      <c r="O171" s="18">
        <f t="shared" si="170"/>
        <v>0</v>
      </c>
      <c r="P171" s="18">
        <f t="shared" si="171"/>
        <v>0</v>
      </c>
      <c r="Q171" s="18">
        <f t="shared" si="172"/>
        <v>0</v>
      </c>
      <c r="R171" s="18">
        <f t="shared" si="173"/>
        <v>0</v>
      </c>
      <c r="S171" s="1310"/>
    </row>
    <row r="172" spans="1:19">
      <c r="A172" s="474" t="str">
        <f>+Gastos!A172</f>
        <v>93A</v>
      </c>
      <c r="B172" s="1031" t="s">
        <v>418</v>
      </c>
      <c r="C172" s="507" t="str">
        <f>+Gastos!C172</f>
        <v xml:space="preserve">       Desarrollo Agropecuario y Minero</v>
      </c>
      <c r="D172" s="18">
        <v>0</v>
      </c>
      <c r="E172" s="18">
        <f t="shared" si="160"/>
        <v>0</v>
      </c>
      <c r="F172" s="18">
        <f t="shared" si="161"/>
        <v>0</v>
      </c>
      <c r="G172" s="18">
        <f t="shared" si="162"/>
        <v>0</v>
      </c>
      <c r="H172" s="18">
        <f t="shared" si="163"/>
        <v>0</v>
      </c>
      <c r="I172" s="18">
        <f t="shared" si="164"/>
        <v>0</v>
      </c>
      <c r="J172" s="18">
        <f t="shared" si="165"/>
        <v>0</v>
      </c>
      <c r="K172" s="18">
        <f t="shared" si="166"/>
        <v>0</v>
      </c>
      <c r="L172" s="18">
        <f t="shared" si="167"/>
        <v>0</v>
      </c>
      <c r="M172" s="18">
        <f t="shared" si="168"/>
        <v>0</v>
      </c>
      <c r="N172" s="18">
        <f t="shared" si="169"/>
        <v>0</v>
      </c>
      <c r="O172" s="18">
        <f t="shared" si="170"/>
        <v>0</v>
      </c>
      <c r="P172" s="18">
        <f t="shared" si="171"/>
        <v>0</v>
      </c>
      <c r="Q172" s="18">
        <f t="shared" si="172"/>
        <v>0</v>
      </c>
      <c r="R172" s="18">
        <f t="shared" si="173"/>
        <v>0</v>
      </c>
      <c r="S172" s="1310"/>
    </row>
    <row r="173" spans="1:19">
      <c r="A173" s="474" t="str">
        <f>+Gastos!A173</f>
        <v>94A</v>
      </c>
      <c r="B173" s="1031" t="s">
        <v>420</v>
      </c>
      <c r="C173" s="507" t="str">
        <f>+Gastos!C173</f>
        <v xml:space="preserve">       Infraestructura Urbana</v>
      </c>
      <c r="D173" s="18">
        <v>0</v>
      </c>
      <c r="E173" s="18">
        <f t="shared" si="160"/>
        <v>0</v>
      </c>
      <c r="F173" s="18">
        <f t="shared" si="161"/>
        <v>0</v>
      </c>
      <c r="G173" s="18">
        <f t="shared" si="162"/>
        <v>0</v>
      </c>
      <c r="H173" s="18">
        <f t="shared" si="163"/>
        <v>0</v>
      </c>
      <c r="I173" s="18">
        <f t="shared" si="164"/>
        <v>0</v>
      </c>
      <c r="J173" s="18">
        <f t="shared" si="165"/>
        <v>0</v>
      </c>
      <c r="K173" s="18">
        <f t="shared" si="166"/>
        <v>0</v>
      </c>
      <c r="L173" s="18">
        <f t="shared" si="167"/>
        <v>0</v>
      </c>
      <c r="M173" s="18">
        <f t="shared" si="168"/>
        <v>0</v>
      </c>
      <c r="N173" s="18">
        <f t="shared" si="169"/>
        <v>0</v>
      </c>
      <c r="O173" s="18">
        <f t="shared" si="170"/>
        <v>0</v>
      </c>
      <c r="P173" s="18">
        <f t="shared" si="171"/>
        <v>0</v>
      </c>
      <c r="Q173" s="18">
        <f t="shared" si="172"/>
        <v>0</v>
      </c>
      <c r="R173" s="18">
        <f t="shared" si="173"/>
        <v>0</v>
      </c>
      <c r="S173" s="1310"/>
    </row>
    <row r="174" spans="1:19">
      <c r="A174" s="474" t="str">
        <f>+Gastos!A174</f>
        <v>95A</v>
      </c>
      <c r="B174" s="1031" t="s">
        <v>422</v>
      </c>
      <c r="C174" s="507" t="str">
        <f>+Gastos!C174</f>
        <v xml:space="preserve">       Desarrollo de la comunidad</v>
      </c>
      <c r="D174" s="18">
        <v>0</v>
      </c>
      <c r="E174" s="18">
        <f t="shared" si="160"/>
        <v>0</v>
      </c>
      <c r="F174" s="18">
        <f t="shared" si="161"/>
        <v>0</v>
      </c>
      <c r="G174" s="18">
        <f t="shared" si="162"/>
        <v>0</v>
      </c>
      <c r="H174" s="18">
        <f t="shared" si="163"/>
        <v>0</v>
      </c>
      <c r="I174" s="18">
        <f t="shared" si="164"/>
        <v>0</v>
      </c>
      <c r="J174" s="18">
        <f t="shared" si="165"/>
        <v>0</v>
      </c>
      <c r="K174" s="18">
        <f t="shared" si="166"/>
        <v>0</v>
      </c>
      <c r="L174" s="18">
        <f t="shared" si="167"/>
        <v>0</v>
      </c>
      <c r="M174" s="18">
        <f t="shared" si="168"/>
        <v>0</v>
      </c>
      <c r="N174" s="18">
        <f t="shared" si="169"/>
        <v>0</v>
      </c>
      <c r="O174" s="18">
        <f t="shared" si="170"/>
        <v>0</v>
      </c>
      <c r="P174" s="18">
        <f t="shared" si="171"/>
        <v>0</v>
      </c>
      <c r="Q174" s="18">
        <f t="shared" si="172"/>
        <v>0</v>
      </c>
      <c r="R174" s="18">
        <f t="shared" si="173"/>
        <v>0</v>
      </c>
      <c r="S174" s="1310"/>
    </row>
    <row r="175" spans="1:19">
      <c r="A175" s="474" t="str">
        <f>+Gastos!A175</f>
        <v>96A</v>
      </c>
      <c r="B175" s="1031" t="s">
        <v>424</v>
      </c>
      <c r="C175" s="507" t="str">
        <f>+Gastos!C175</f>
        <v xml:space="preserve">       Justicia, defensa y seguridad</v>
      </c>
      <c r="D175" s="18">
        <v>0</v>
      </c>
      <c r="E175" s="18">
        <f t="shared" si="160"/>
        <v>0</v>
      </c>
      <c r="F175" s="18">
        <f t="shared" si="161"/>
        <v>0</v>
      </c>
      <c r="G175" s="18">
        <f t="shared" si="162"/>
        <v>0</v>
      </c>
      <c r="H175" s="18">
        <f t="shared" si="163"/>
        <v>0</v>
      </c>
      <c r="I175" s="18">
        <f t="shared" si="164"/>
        <v>0</v>
      </c>
      <c r="J175" s="18">
        <f t="shared" si="165"/>
        <v>0</v>
      </c>
      <c r="K175" s="18">
        <f t="shared" si="166"/>
        <v>0</v>
      </c>
      <c r="L175" s="18">
        <f t="shared" si="167"/>
        <v>0</v>
      </c>
      <c r="M175" s="18">
        <f t="shared" si="168"/>
        <v>0</v>
      </c>
      <c r="N175" s="18">
        <f t="shared" si="169"/>
        <v>0</v>
      </c>
      <c r="O175" s="18">
        <f t="shared" si="170"/>
        <v>0</v>
      </c>
      <c r="P175" s="18">
        <f t="shared" si="171"/>
        <v>0</v>
      </c>
      <c r="Q175" s="18">
        <f t="shared" si="172"/>
        <v>0</v>
      </c>
      <c r="R175" s="18">
        <f t="shared" si="173"/>
        <v>0</v>
      </c>
      <c r="S175" s="1310"/>
    </row>
    <row r="176" spans="1:19">
      <c r="A176" s="474" t="str">
        <f>+Gastos!A176</f>
        <v>97A</v>
      </c>
      <c r="B176" s="1032" t="s">
        <v>426</v>
      </c>
      <c r="C176" s="507" t="str">
        <f>+Gastos!C176</f>
        <v xml:space="preserve">       Otros</v>
      </c>
      <c r="D176" s="18">
        <v>0</v>
      </c>
      <c r="E176" s="18">
        <f t="shared" si="160"/>
        <v>0</v>
      </c>
      <c r="F176" s="18">
        <f t="shared" si="161"/>
        <v>0</v>
      </c>
      <c r="G176" s="18">
        <f t="shared" si="162"/>
        <v>0</v>
      </c>
      <c r="H176" s="18">
        <f t="shared" si="163"/>
        <v>0</v>
      </c>
      <c r="I176" s="18">
        <f t="shared" si="164"/>
        <v>0</v>
      </c>
      <c r="J176" s="18">
        <f t="shared" si="165"/>
        <v>0</v>
      </c>
      <c r="K176" s="18">
        <f t="shared" si="166"/>
        <v>0</v>
      </c>
      <c r="L176" s="18">
        <f t="shared" si="167"/>
        <v>0</v>
      </c>
      <c r="M176" s="18">
        <f t="shared" si="168"/>
        <v>0</v>
      </c>
      <c r="N176" s="18">
        <f t="shared" si="169"/>
        <v>0</v>
      </c>
      <c r="O176" s="18">
        <f t="shared" si="170"/>
        <v>0</v>
      </c>
      <c r="P176" s="18">
        <f t="shared" si="171"/>
        <v>0</v>
      </c>
      <c r="Q176" s="18">
        <f t="shared" si="172"/>
        <v>0</v>
      </c>
      <c r="R176" s="18">
        <f t="shared" si="173"/>
        <v>0</v>
      </c>
      <c r="S176" s="1310"/>
    </row>
    <row r="177" spans="1:19">
      <c r="A177" s="474" t="str">
        <f>+Gastos!A177</f>
        <v>98A</v>
      </c>
      <c r="B177" s="93"/>
      <c r="C177" s="506" t="str">
        <f>+Gastos!C177</f>
        <v xml:space="preserve">    Subsidios para el acceso de la población al servicio</v>
      </c>
      <c r="D177" s="42">
        <f>SUM(D178:D182)</f>
        <v>0</v>
      </c>
      <c r="E177" s="42">
        <f t="shared" ref="E177:R177" si="174">SUM(E178:E182)</f>
        <v>0</v>
      </c>
      <c r="F177" s="42">
        <f t="shared" si="174"/>
        <v>0</v>
      </c>
      <c r="G177" s="42">
        <f t="shared" si="174"/>
        <v>0</v>
      </c>
      <c r="H177" s="42">
        <f t="shared" si="174"/>
        <v>0</v>
      </c>
      <c r="I177" s="42">
        <f t="shared" si="174"/>
        <v>0</v>
      </c>
      <c r="J177" s="42">
        <f t="shared" si="174"/>
        <v>0</v>
      </c>
      <c r="K177" s="42">
        <f t="shared" si="174"/>
        <v>0</v>
      </c>
      <c r="L177" s="42">
        <f t="shared" si="174"/>
        <v>0</v>
      </c>
      <c r="M177" s="42">
        <f t="shared" si="174"/>
        <v>0</v>
      </c>
      <c r="N177" s="42">
        <f t="shared" si="174"/>
        <v>0</v>
      </c>
      <c r="O177" s="42">
        <f t="shared" si="174"/>
        <v>0</v>
      </c>
      <c r="P177" s="42">
        <f t="shared" si="174"/>
        <v>0</v>
      </c>
      <c r="Q177" s="42">
        <f t="shared" si="174"/>
        <v>0</v>
      </c>
      <c r="R177" s="42">
        <f t="shared" si="174"/>
        <v>0</v>
      </c>
      <c r="S177" s="1310"/>
    </row>
    <row r="178" spans="1:19">
      <c r="A178" s="474" t="str">
        <f>+Gastos!A178</f>
        <v>311A</v>
      </c>
      <c r="B178" s="1033" t="s">
        <v>429</v>
      </c>
      <c r="C178" s="507" t="str">
        <f>+Gastos!C178</f>
        <v xml:space="preserve">       Agua Potable y Saneamiento Básico</v>
      </c>
      <c r="D178" s="18">
        <v>0</v>
      </c>
      <c r="E178" s="18">
        <f>+D178*$E$8</f>
        <v>0</v>
      </c>
      <c r="F178" s="18">
        <f t="shared" ref="F178:R178" si="175">+E178*$E$8</f>
        <v>0</v>
      </c>
      <c r="G178" s="18">
        <f t="shared" si="175"/>
        <v>0</v>
      </c>
      <c r="H178" s="18">
        <f t="shared" si="175"/>
        <v>0</v>
      </c>
      <c r="I178" s="18">
        <f t="shared" si="175"/>
        <v>0</v>
      </c>
      <c r="J178" s="18">
        <f t="shared" si="175"/>
        <v>0</v>
      </c>
      <c r="K178" s="18">
        <f t="shared" si="175"/>
        <v>0</v>
      </c>
      <c r="L178" s="18">
        <f t="shared" si="175"/>
        <v>0</v>
      </c>
      <c r="M178" s="18">
        <f t="shared" si="175"/>
        <v>0</v>
      </c>
      <c r="N178" s="18">
        <f t="shared" si="175"/>
        <v>0</v>
      </c>
      <c r="O178" s="18">
        <f t="shared" si="175"/>
        <v>0</v>
      </c>
      <c r="P178" s="18">
        <f t="shared" si="175"/>
        <v>0</v>
      </c>
      <c r="Q178" s="18">
        <f t="shared" si="175"/>
        <v>0</v>
      </c>
      <c r="R178" s="18">
        <f t="shared" si="175"/>
        <v>0</v>
      </c>
      <c r="S178" s="1310"/>
    </row>
    <row r="179" spans="1:19">
      <c r="A179" s="474" t="str">
        <f>+Gastos!A179</f>
        <v>99A</v>
      </c>
      <c r="B179" s="1033" t="s">
        <v>431</v>
      </c>
      <c r="C179" s="507" t="str">
        <f>+Gastos!C179</f>
        <v xml:space="preserve">       Vivienda</v>
      </c>
      <c r="D179" s="18">
        <v>0</v>
      </c>
      <c r="E179" s="18">
        <f>+D179*$E$8</f>
        <v>0</v>
      </c>
      <c r="F179" s="18">
        <f t="shared" ref="F179:R179" si="176">+E179*$E$8</f>
        <v>0</v>
      </c>
      <c r="G179" s="18">
        <f t="shared" si="176"/>
        <v>0</v>
      </c>
      <c r="H179" s="18">
        <f t="shared" si="176"/>
        <v>0</v>
      </c>
      <c r="I179" s="18">
        <f t="shared" si="176"/>
        <v>0</v>
      </c>
      <c r="J179" s="18">
        <f t="shared" si="176"/>
        <v>0</v>
      </c>
      <c r="K179" s="18">
        <f t="shared" si="176"/>
        <v>0</v>
      </c>
      <c r="L179" s="18">
        <f t="shared" si="176"/>
        <v>0</v>
      </c>
      <c r="M179" s="18">
        <f t="shared" si="176"/>
        <v>0</v>
      </c>
      <c r="N179" s="18">
        <f t="shared" si="176"/>
        <v>0</v>
      </c>
      <c r="O179" s="18">
        <f t="shared" si="176"/>
        <v>0</v>
      </c>
      <c r="P179" s="18">
        <f t="shared" si="176"/>
        <v>0</v>
      </c>
      <c r="Q179" s="18">
        <f t="shared" si="176"/>
        <v>0</v>
      </c>
      <c r="R179" s="18">
        <f t="shared" si="176"/>
        <v>0</v>
      </c>
      <c r="S179" s="1310"/>
    </row>
    <row r="180" spans="1:19">
      <c r="A180" s="474" t="str">
        <f>+Gastos!A180</f>
        <v>100A</v>
      </c>
      <c r="B180" s="1033" t="s">
        <v>433</v>
      </c>
      <c r="C180" s="507" t="str">
        <f>+Gastos!C180</f>
        <v xml:space="preserve">       Educación</v>
      </c>
      <c r="D180" s="18">
        <v>0</v>
      </c>
      <c r="E180" s="18">
        <f>+D180*$E$8</f>
        <v>0</v>
      </c>
      <c r="F180" s="18">
        <f t="shared" ref="F180:R180" si="177">+E180*$E$8</f>
        <v>0</v>
      </c>
      <c r="G180" s="18">
        <f t="shared" si="177"/>
        <v>0</v>
      </c>
      <c r="H180" s="18">
        <f t="shared" si="177"/>
        <v>0</v>
      </c>
      <c r="I180" s="18">
        <f t="shared" si="177"/>
        <v>0</v>
      </c>
      <c r="J180" s="18">
        <f t="shared" si="177"/>
        <v>0</v>
      </c>
      <c r="K180" s="18">
        <f t="shared" si="177"/>
        <v>0</v>
      </c>
      <c r="L180" s="18">
        <f t="shared" si="177"/>
        <v>0</v>
      </c>
      <c r="M180" s="18">
        <f t="shared" si="177"/>
        <v>0</v>
      </c>
      <c r="N180" s="18">
        <f t="shared" si="177"/>
        <v>0</v>
      </c>
      <c r="O180" s="18">
        <f t="shared" si="177"/>
        <v>0</v>
      </c>
      <c r="P180" s="18">
        <f t="shared" si="177"/>
        <v>0</v>
      </c>
      <c r="Q180" s="18">
        <f t="shared" si="177"/>
        <v>0</v>
      </c>
      <c r="R180" s="18">
        <f t="shared" si="177"/>
        <v>0</v>
      </c>
      <c r="S180" s="1310"/>
    </row>
    <row r="181" spans="1:19">
      <c r="A181" s="474" t="str">
        <f>+Gastos!A181</f>
        <v>101A</v>
      </c>
      <c r="B181" s="1033" t="s">
        <v>435</v>
      </c>
      <c r="C181" s="507" t="str">
        <f>+Gastos!C181</f>
        <v xml:space="preserve">       Salud</v>
      </c>
      <c r="D181" s="18">
        <v>0</v>
      </c>
      <c r="E181" s="18">
        <f>+D181*$E$8</f>
        <v>0</v>
      </c>
      <c r="F181" s="18">
        <f t="shared" ref="F181:R181" si="178">+E181*$E$8</f>
        <v>0</v>
      </c>
      <c r="G181" s="18">
        <f t="shared" si="178"/>
        <v>0</v>
      </c>
      <c r="H181" s="18">
        <f t="shared" si="178"/>
        <v>0</v>
      </c>
      <c r="I181" s="18">
        <f t="shared" si="178"/>
        <v>0</v>
      </c>
      <c r="J181" s="18">
        <f t="shared" si="178"/>
        <v>0</v>
      </c>
      <c r="K181" s="18">
        <f t="shared" si="178"/>
        <v>0</v>
      </c>
      <c r="L181" s="18">
        <f t="shared" si="178"/>
        <v>0</v>
      </c>
      <c r="M181" s="18">
        <f t="shared" si="178"/>
        <v>0</v>
      </c>
      <c r="N181" s="18">
        <f t="shared" si="178"/>
        <v>0</v>
      </c>
      <c r="O181" s="18">
        <f t="shared" si="178"/>
        <v>0</v>
      </c>
      <c r="P181" s="18">
        <f t="shared" si="178"/>
        <v>0</v>
      </c>
      <c r="Q181" s="18">
        <f t="shared" si="178"/>
        <v>0</v>
      </c>
      <c r="R181" s="18">
        <f t="shared" si="178"/>
        <v>0</v>
      </c>
      <c r="S181" s="1310"/>
    </row>
    <row r="182" spans="1:19">
      <c r="A182" s="474" t="str">
        <f>+Gastos!A182</f>
        <v>102A</v>
      </c>
      <c r="B182" s="1033" t="s">
        <v>437</v>
      </c>
      <c r="C182" s="507" t="str">
        <f>+Gastos!C182</f>
        <v xml:space="preserve">       Desarrollo Agropecuario y Minero</v>
      </c>
      <c r="D182" s="18">
        <v>0</v>
      </c>
      <c r="E182" s="18">
        <f>+D182*$E$8</f>
        <v>0</v>
      </c>
      <c r="F182" s="18">
        <f t="shared" ref="F182:R182" si="179">+E182*$E$8</f>
        <v>0</v>
      </c>
      <c r="G182" s="18">
        <f t="shared" si="179"/>
        <v>0</v>
      </c>
      <c r="H182" s="18">
        <f t="shared" si="179"/>
        <v>0</v>
      </c>
      <c r="I182" s="18">
        <f t="shared" si="179"/>
        <v>0</v>
      </c>
      <c r="J182" s="18">
        <f t="shared" si="179"/>
        <v>0</v>
      </c>
      <c r="K182" s="18">
        <f t="shared" si="179"/>
        <v>0</v>
      </c>
      <c r="L182" s="18">
        <f t="shared" si="179"/>
        <v>0</v>
      </c>
      <c r="M182" s="18">
        <f t="shared" si="179"/>
        <v>0</v>
      </c>
      <c r="N182" s="18">
        <f t="shared" si="179"/>
        <v>0</v>
      </c>
      <c r="O182" s="18">
        <f t="shared" si="179"/>
        <v>0</v>
      </c>
      <c r="P182" s="18">
        <f t="shared" si="179"/>
        <v>0</v>
      </c>
      <c r="Q182" s="18">
        <f t="shared" si="179"/>
        <v>0</v>
      </c>
      <c r="R182" s="18">
        <f t="shared" si="179"/>
        <v>0</v>
      </c>
      <c r="S182" s="1310"/>
    </row>
    <row r="183" spans="1:19">
      <c r="A183" s="474" t="str">
        <f>+Gastos!A183</f>
        <v>103A</v>
      </c>
      <c r="B183" s="93"/>
      <c r="C183" s="506" t="str">
        <f>+Gastos!C183</f>
        <v xml:space="preserve">    Formación Bruta de capital  y otros (construcción, reparación, mantenimiento, asistencia técnica, preinversión, etc)</v>
      </c>
      <c r="D183" s="42">
        <f>SUM(D184:D197)</f>
        <v>802322</v>
      </c>
      <c r="E183" s="42">
        <f t="shared" ref="E183:R183" si="180">SUM(E184:E197)</f>
        <v>698778.05</v>
      </c>
      <c r="F183" s="42">
        <f t="shared" si="180"/>
        <v>378230.79500000004</v>
      </c>
      <c r="G183" s="42">
        <f t="shared" si="180"/>
        <v>622732.48474999995</v>
      </c>
      <c r="H183" s="42">
        <f t="shared" si="180"/>
        <v>630881.50898749998</v>
      </c>
      <c r="I183" s="42">
        <f t="shared" si="180"/>
        <v>663092.58443687507</v>
      </c>
      <c r="J183" s="42">
        <f t="shared" si="180"/>
        <v>696940.21365871886</v>
      </c>
      <c r="K183" s="42">
        <f t="shared" si="180"/>
        <v>732508.57434165478</v>
      </c>
      <c r="L183" s="42">
        <f t="shared" si="180"/>
        <v>769883.55305873766</v>
      </c>
      <c r="M183" s="42">
        <f t="shared" si="180"/>
        <v>809157.18071167439</v>
      </c>
      <c r="N183" s="42">
        <f t="shared" si="180"/>
        <v>850426.83974725823</v>
      </c>
      <c r="O183" s="42">
        <f t="shared" si="180"/>
        <v>893790.48173462122</v>
      </c>
      <c r="P183" s="42">
        <f t="shared" si="180"/>
        <v>939357.85582135245</v>
      </c>
      <c r="Q183" s="42">
        <f t="shared" si="180"/>
        <v>987237.74861241993</v>
      </c>
      <c r="R183" s="42">
        <f t="shared" si="180"/>
        <v>1037548.236043041</v>
      </c>
      <c r="S183" s="1310"/>
    </row>
    <row r="184" spans="1:19">
      <c r="A184" s="474" t="str">
        <f>+Gastos!A184</f>
        <v>104A</v>
      </c>
      <c r="B184" s="1034" t="s">
        <v>440</v>
      </c>
      <c r="C184" s="507" t="str">
        <f>+Gastos!C184</f>
        <v xml:space="preserve">       Agua Potable y Saneamiento Básico</v>
      </c>
      <c r="D184" s="18">
        <v>0</v>
      </c>
      <c r="E184" s="18">
        <f t="shared" ref="E184" si="181">+D184*$E$8</f>
        <v>0</v>
      </c>
      <c r="F184" s="18">
        <f t="shared" ref="F184" si="182">+E184*$E$8</f>
        <v>0</v>
      </c>
      <c r="G184" s="18">
        <v>57572</v>
      </c>
      <c r="H184" s="18">
        <v>0</v>
      </c>
      <c r="I184" s="18">
        <v>667</v>
      </c>
      <c r="J184" s="18">
        <f t="shared" ref="J184" si="183">+I184*$E$8</f>
        <v>700.35</v>
      </c>
      <c r="K184" s="18">
        <f t="shared" ref="K184" si="184">+J184*$E$8</f>
        <v>735.36750000000006</v>
      </c>
      <c r="L184" s="18">
        <f t="shared" ref="L184" si="185">+K184*$E$8</f>
        <v>772.13587500000006</v>
      </c>
      <c r="M184" s="18">
        <f t="shared" ref="M184" si="186">+L184*$E$8</f>
        <v>810.74266875000012</v>
      </c>
      <c r="N184" s="18">
        <f t="shared" ref="N184" si="187">+M184*$E$8</f>
        <v>851.2798021875002</v>
      </c>
      <c r="O184" s="18">
        <f t="shared" ref="O184" si="188">+N184*$E$8</f>
        <v>893.84379229687522</v>
      </c>
      <c r="P184" s="18">
        <f t="shared" ref="P184" si="189">+O184*$E$8</f>
        <v>938.53598191171898</v>
      </c>
      <c r="Q184" s="18">
        <f t="shared" ref="Q184" si="190">+P184*$E$8</f>
        <v>985.46278100730501</v>
      </c>
      <c r="R184" s="18">
        <f t="shared" ref="R184" si="191">+Q184*$E$8</f>
        <v>1034.7359200576702</v>
      </c>
      <c r="S184" s="1310"/>
    </row>
    <row r="185" spans="1:19">
      <c r="A185" s="462" t="str">
        <f>+Gastos!A185</f>
        <v>105A</v>
      </c>
      <c r="B185" s="1034" t="s">
        <v>442</v>
      </c>
      <c r="C185" s="507" t="str">
        <f>+Gastos!C185</f>
        <v xml:space="preserve">       Infraestructura Vial </v>
      </c>
      <c r="D185" s="18">
        <v>532072</v>
      </c>
      <c r="E185" s="18">
        <v>131071</v>
      </c>
      <c r="F185" s="18">
        <v>0</v>
      </c>
      <c r="G185" s="18">
        <v>0</v>
      </c>
      <c r="H185" s="18">
        <v>0</v>
      </c>
      <c r="I185" s="18">
        <v>0</v>
      </c>
      <c r="J185" s="18">
        <v>693</v>
      </c>
      <c r="K185" s="18">
        <v>1449</v>
      </c>
      <c r="L185" s="18">
        <v>2271</v>
      </c>
      <c r="M185" s="18">
        <v>3164</v>
      </c>
      <c r="N185" s="18">
        <v>4134</v>
      </c>
      <c r="O185" s="18">
        <v>5183</v>
      </c>
      <c r="P185" s="18">
        <v>6320</v>
      </c>
      <c r="Q185" s="18">
        <v>7548</v>
      </c>
      <c r="R185" s="18">
        <v>8874</v>
      </c>
      <c r="S185" s="1310"/>
    </row>
    <row r="186" spans="1:19">
      <c r="A186" s="462" t="str">
        <f>+Gastos!A186</f>
        <v>106A</v>
      </c>
      <c r="B186" s="1034" t="s">
        <v>444</v>
      </c>
      <c r="C186" s="507" t="str">
        <f>+Gastos!C186</f>
        <v xml:space="preserve">       Vivienda</v>
      </c>
      <c r="D186" s="18">
        <v>0</v>
      </c>
      <c r="E186" s="18">
        <v>175000</v>
      </c>
      <c r="F186" s="18">
        <v>334</v>
      </c>
      <c r="G186" s="18">
        <f t="shared" ref="G186:G195" si="192">+F186*$E$8</f>
        <v>350.7</v>
      </c>
      <c r="H186" s="18">
        <f t="shared" ref="H186:H197" si="193">+G186*$E$8</f>
        <v>368.23500000000001</v>
      </c>
      <c r="I186" s="18">
        <f t="shared" ref="I186:I197" si="194">+H186*$E$8</f>
        <v>386.64675000000005</v>
      </c>
      <c r="J186" s="18">
        <f t="shared" ref="J186:J197" si="195">+I186*$E$8</f>
        <v>405.97908750000005</v>
      </c>
      <c r="K186" s="18">
        <f t="shared" ref="K186:K197" si="196">+J186*$E$8</f>
        <v>426.27804187500004</v>
      </c>
      <c r="L186" s="18">
        <f t="shared" ref="L186:L197" si="197">+K186*$E$8</f>
        <v>447.59194396875006</v>
      </c>
      <c r="M186" s="18">
        <f t="shared" ref="M186:M197" si="198">+L186*$E$8</f>
        <v>469.97154116718758</v>
      </c>
      <c r="N186" s="18">
        <f t="shared" ref="N186:N197" si="199">+M186*$E$8</f>
        <v>493.47011822554697</v>
      </c>
      <c r="O186" s="18">
        <f t="shared" ref="O186:O197" si="200">+N186*$E$8</f>
        <v>518.14362413682431</v>
      </c>
      <c r="P186" s="18">
        <f t="shared" ref="P186:P197" si="201">+O186*$E$8</f>
        <v>544.0508053436655</v>
      </c>
      <c r="Q186" s="18">
        <f t="shared" ref="Q186:Q197" si="202">+P186*$E$8</f>
        <v>571.25334561084878</v>
      </c>
      <c r="R186" s="18">
        <f t="shared" ref="R186:R197" si="203">+Q186*$E$8</f>
        <v>599.81601289139121</v>
      </c>
      <c r="S186" s="1310"/>
    </row>
    <row r="187" spans="1:19">
      <c r="A187" s="474" t="str">
        <f>+Gastos!A187</f>
        <v>107A</v>
      </c>
      <c r="B187" s="1034" t="s">
        <v>446</v>
      </c>
      <c r="C187" s="507" t="str">
        <f>+Gastos!C187</f>
        <v xml:space="preserve">       Educación</v>
      </c>
      <c r="D187" s="18">
        <v>0</v>
      </c>
      <c r="E187" s="18">
        <f t="shared" ref="E187" si="204">+D187*$E$8</f>
        <v>0</v>
      </c>
      <c r="F187" s="18">
        <v>50000</v>
      </c>
      <c r="G187" s="18">
        <f t="shared" si="192"/>
        <v>52500</v>
      </c>
      <c r="H187" s="18">
        <f t="shared" si="193"/>
        <v>55125</v>
      </c>
      <c r="I187" s="18">
        <f t="shared" si="194"/>
        <v>57881.25</v>
      </c>
      <c r="J187" s="18">
        <f t="shared" si="195"/>
        <v>60775.3125</v>
      </c>
      <c r="K187" s="18">
        <f t="shared" si="196"/>
        <v>63814.078125</v>
      </c>
      <c r="L187" s="18">
        <f t="shared" si="197"/>
        <v>67004.782031249997</v>
      </c>
      <c r="M187" s="18">
        <f t="shared" si="198"/>
        <v>70355.021132812501</v>
      </c>
      <c r="N187" s="18">
        <f t="shared" si="199"/>
        <v>73872.772189453128</v>
      </c>
      <c r="O187" s="18">
        <f t="shared" si="200"/>
        <v>77566.41079892579</v>
      </c>
      <c r="P187" s="18">
        <f t="shared" si="201"/>
        <v>81444.73133887208</v>
      </c>
      <c r="Q187" s="18">
        <f t="shared" si="202"/>
        <v>85516.967905815691</v>
      </c>
      <c r="R187" s="18">
        <f t="shared" si="203"/>
        <v>89792.816301106475</v>
      </c>
      <c r="S187" s="1310"/>
    </row>
    <row r="188" spans="1:19">
      <c r="A188" s="474" t="str">
        <f>+Gastos!A188</f>
        <v>108A</v>
      </c>
      <c r="B188" s="1034" t="s">
        <v>448</v>
      </c>
      <c r="C188" s="507" t="str">
        <f>+Gastos!C188</f>
        <v xml:space="preserve">       Educación Física, Deporte y Recreación</v>
      </c>
      <c r="D188" s="18">
        <v>8824</v>
      </c>
      <c r="E188" s="18">
        <v>20129</v>
      </c>
      <c r="F188" s="18">
        <v>31622</v>
      </c>
      <c r="G188" s="18">
        <f t="shared" si="192"/>
        <v>33203.1</v>
      </c>
      <c r="H188" s="18">
        <f t="shared" si="193"/>
        <v>34863.254999999997</v>
      </c>
      <c r="I188" s="18">
        <f t="shared" si="194"/>
        <v>36606.417750000001</v>
      </c>
      <c r="J188" s="18">
        <f t="shared" si="195"/>
        <v>38436.738637499999</v>
      </c>
      <c r="K188" s="18">
        <f t="shared" si="196"/>
        <v>40358.575569375003</v>
      </c>
      <c r="L188" s="18">
        <f t="shared" si="197"/>
        <v>42376.504347843758</v>
      </c>
      <c r="M188" s="18">
        <f t="shared" si="198"/>
        <v>44495.329565235945</v>
      </c>
      <c r="N188" s="18">
        <f t="shared" si="199"/>
        <v>46720.096043497746</v>
      </c>
      <c r="O188" s="18">
        <f t="shared" si="200"/>
        <v>49056.100845672634</v>
      </c>
      <c r="P188" s="18">
        <f t="shared" si="201"/>
        <v>51508.905887956265</v>
      </c>
      <c r="Q188" s="18">
        <f t="shared" si="202"/>
        <v>54084.351182354083</v>
      </c>
      <c r="R188" s="18">
        <f t="shared" si="203"/>
        <v>56788.56874147179</v>
      </c>
      <c r="S188" s="1310"/>
    </row>
    <row r="189" spans="1:19">
      <c r="A189" s="474" t="str">
        <f>+Gastos!A189</f>
        <v>109A</v>
      </c>
      <c r="B189" s="1034" t="s">
        <v>450</v>
      </c>
      <c r="C189" s="507" t="str">
        <f>+Gastos!C189</f>
        <v xml:space="preserve">       Salud</v>
      </c>
      <c r="D189" s="18">
        <v>43230</v>
      </c>
      <c r="E189" s="18">
        <f t="shared" ref="E189" si="205">+D189*$E$8</f>
        <v>45391.5</v>
      </c>
      <c r="F189" s="18">
        <f t="shared" ref="F189" si="206">+E189*$E$8</f>
        <v>47661.075000000004</v>
      </c>
      <c r="G189" s="18">
        <f t="shared" si="192"/>
        <v>50044.128750000003</v>
      </c>
      <c r="H189" s="18">
        <f t="shared" si="193"/>
        <v>52546.335187500008</v>
      </c>
      <c r="I189" s="18">
        <f t="shared" si="194"/>
        <v>55173.651946875012</v>
      </c>
      <c r="J189" s="18">
        <f t="shared" si="195"/>
        <v>57932.334544218764</v>
      </c>
      <c r="K189" s="18">
        <f t="shared" si="196"/>
        <v>60828.951271429702</v>
      </c>
      <c r="L189" s="18">
        <f t="shared" si="197"/>
        <v>63870.398835001186</v>
      </c>
      <c r="M189" s="18">
        <f t="shared" si="198"/>
        <v>67063.918776751249</v>
      </c>
      <c r="N189" s="18">
        <f t="shared" si="199"/>
        <v>70417.114715588817</v>
      </c>
      <c r="O189" s="18">
        <f t="shared" si="200"/>
        <v>73937.970451368266</v>
      </c>
      <c r="P189" s="18">
        <f t="shared" si="201"/>
        <v>77634.868973936682</v>
      </c>
      <c r="Q189" s="18">
        <f t="shared" si="202"/>
        <v>81516.612422633523</v>
      </c>
      <c r="R189" s="18">
        <f t="shared" si="203"/>
        <v>85592.443043765204</v>
      </c>
      <c r="S189" s="1310"/>
    </row>
    <row r="190" spans="1:19">
      <c r="A190" s="474" t="str">
        <f>+Gastos!A190</f>
        <v>110A</v>
      </c>
      <c r="B190" s="1034" t="s">
        <v>452</v>
      </c>
      <c r="C190" s="507" t="str">
        <f>+Gastos!C190</f>
        <v xml:space="preserve">       Cultura</v>
      </c>
      <c r="D190" s="18">
        <v>36505</v>
      </c>
      <c r="E190" s="18">
        <v>43529</v>
      </c>
      <c r="F190" s="18">
        <v>12065</v>
      </c>
      <c r="G190" s="18">
        <f t="shared" si="192"/>
        <v>12668.25</v>
      </c>
      <c r="H190" s="18">
        <f t="shared" si="193"/>
        <v>13301.6625</v>
      </c>
      <c r="I190" s="18">
        <f t="shared" si="194"/>
        <v>13966.745625000001</v>
      </c>
      <c r="J190" s="18">
        <f t="shared" si="195"/>
        <v>14665.082906250002</v>
      </c>
      <c r="K190" s="18">
        <f t="shared" si="196"/>
        <v>15398.337051562503</v>
      </c>
      <c r="L190" s="18">
        <f t="shared" si="197"/>
        <v>16168.253904140629</v>
      </c>
      <c r="M190" s="18">
        <f t="shared" si="198"/>
        <v>16976.66659934766</v>
      </c>
      <c r="N190" s="18">
        <f t="shared" si="199"/>
        <v>17825.499929315043</v>
      </c>
      <c r="O190" s="18">
        <f t="shared" si="200"/>
        <v>18716.774925780795</v>
      </c>
      <c r="P190" s="18">
        <f t="shared" si="201"/>
        <v>19652.613672069838</v>
      </c>
      <c r="Q190" s="18">
        <f t="shared" si="202"/>
        <v>20635.244355673331</v>
      </c>
      <c r="R190" s="18">
        <f t="shared" si="203"/>
        <v>21667.006573456998</v>
      </c>
      <c r="S190" s="1310"/>
    </row>
    <row r="191" spans="1:19">
      <c r="A191" s="474" t="str">
        <f>+Gastos!A191</f>
        <v>111A</v>
      </c>
      <c r="B191" s="1034" t="s">
        <v>454</v>
      </c>
      <c r="C191" s="507" t="str">
        <f>+Gastos!C191</f>
        <v xml:space="preserve">       Sector Energético</v>
      </c>
      <c r="D191" s="18">
        <v>0</v>
      </c>
      <c r="E191" s="18">
        <f t="shared" ref="E191:E196" si="207">+D191*$E$8</f>
        <v>0</v>
      </c>
      <c r="F191" s="18">
        <v>0</v>
      </c>
      <c r="G191" s="18">
        <v>0</v>
      </c>
      <c r="H191" s="18">
        <v>37463</v>
      </c>
      <c r="I191" s="18">
        <f t="shared" si="194"/>
        <v>39336.15</v>
      </c>
      <c r="J191" s="18">
        <f t="shared" si="195"/>
        <v>41302.957500000004</v>
      </c>
      <c r="K191" s="18">
        <f t="shared" si="196"/>
        <v>43368.105375000006</v>
      </c>
      <c r="L191" s="18">
        <f t="shared" si="197"/>
        <v>45536.510643750007</v>
      </c>
      <c r="M191" s="18">
        <f t="shared" si="198"/>
        <v>47813.336175937511</v>
      </c>
      <c r="N191" s="18">
        <f t="shared" si="199"/>
        <v>50204.00298473439</v>
      </c>
      <c r="O191" s="18">
        <f t="shared" si="200"/>
        <v>52714.20313397111</v>
      </c>
      <c r="P191" s="18">
        <f t="shared" si="201"/>
        <v>55349.913290669669</v>
      </c>
      <c r="Q191" s="18">
        <f t="shared" si="202"/>
        <v>58117.408955203151</v>
      </c>
      <c r="R191" s="18">
        <f t="shared" si="203"/>
        <v>61023.279402963308</v>
      </c>
      <c r="S191" s="1310"/>
    </row>
    <row r="192" spans="1:19">
      <c r="A192" s="474" t="str">
        <f>+Gastos!A192</f>
        <v>112A</v>
      </c>
      <c r="B192" s="1034" t="s">
        <v>456</v>
      </c>
      <c r="C192" s="507" t="str">
        <f>+Gastos!C192</f>
        <v xml:space="preserve">       Desarrollo Agropecuario y Minero</v>
      </c>
      <c r="D192" s="18">
        <v>30923</v>
      </c>
      <c r="E192" s="18">
        <f t="shared" si="207"/>
        <v>32469.15</v>
      </c>
      <c r="F192" s="18">
        <v>10317</v>
      </c>
      <c r="G192" s="18">
        <v>90746</v>
      </c>
      <c r="H192" s="18">
        <f t="shared" si="193"/>
        <v>95283.3</v>
      </c>
      <c r="I192" s="18">
        <f t="shared" si="194"/>
        <v>100047.46500000001</v>
      </c>
      <c r="J192" s="18">
        <f t="shared" si="195"/>
        <v>105049.83825000002</v>
      </c>
      <c r="K192" s="18">
        <f t="shared" si="196"/>
        <v>110302.33016250002</v>
      </c>
      <c r="L192" s="18">
        <f t="shared" si="197"/>
        <v>115817.44667062502</v>
      </c>
      <c r="M192" s="18">
        <f t="shared" si="198"/>
        <v>121608.31900415628</v>
      </c>
      <c r="N192" s="18">
        <f t="shared" si="199"/>
        <v>127688.7349543641</v>
      </c>
      <c r="O192" s="18">
        <f t="shared" si="200"/>
        <v>134073.17170208233</v>
      </c>
      <c r="P192" s="18">
        <f t="shared" si="201"/>
        <v>140776.83028718646</v>
      </c>
      <c r="Q192" s="18">
        <f t="shared" si="202"/>
        <v>147815.67180154577</v>
      </c>
      <c r="R192" s="18">
        <f t="shared" si="203"/>
        <v>155206.45539162308</v>
      </c>
      <c r="S192" s="1310"/>
    </row>
    <row r="193" spans="1:19">
      <c r="A193" s="474" t="str">
        <f>+Gastos!A193</f>
        <v>113A</v>
      </c>
      <c r="B193" s="1034" t="s">
        <v>458</v>
      </c>
      <c r="C193" s="507" t="str">
        <f>+Gastos!C193</f>
        <v xml:space="preserve">       Infraestructura Urbana</v>
      </c>
      <c r="D193" s="18">
        <v>70000</v>
      </c>
      <c r="E193" s="18">
        <f t="shared" si="207"/>
        <v>73500</v>
      </c>
      <c r="F193" s="18">
        <f t="shared" ref="F193:F196" si="208">+E193*$E$8</f>
        <v>77175</v>
      </c>
      <c r="G193" s="18">
        <f t="shared" si="192"/>
        <v>81033.75</v>
      </c>
      <c r="H193" s="18">
        <f t="shared" si="193"/>
        <v>85085.4375</v>
      </c>
      <c r="I193" s="18">
        <f t="shared" si="194"/>
        <v>89339.709375000006</v>
      </c>
      <c r="J193" s="18">
        <f t="shared" si="195"/>
        <v>93806.69484375001</v>
      </c>
      <c r="K193" s="18">
        <f t="shared" si="196"/>
        <v>98497.029585937518</v>
      </c>
      <c r="L193" s="18">
        <f t="shared" si="197"/>
        <v>103421.8810652344</v>
      </c>
      <c r="M193" s="18">
        <f t="shared" si="198"/>
        <v>108592.97511849612</v>
      </c>
      <c r="N193" s="18">
        <f t="shared" si="199"/>
        <v>114022.62387442093</v>
      </c>
      <c r="O193" s="18">
        <f t="shared" si="200"/>
        <v>119723.75506814198</v>
      </c>
      <c r="P193" s="18">
        <f t="shared" si="201"/>
        <v>125709.94282154909</v>
      </c>
      <c r="Q193" s="18">
        <f t="shared" si="202"/>
        <v>131995.43996262655</v>
      </c>
      <c r="R193" s="18">
        <f t="shared" si="203"/>
        <v>138595.21196075788</v>
      </c>
      <c r="S193" s="1310"/>
    </row>
    <row r="194" spans="1:19">
      <c r="A194" s="474" t="str">
        <f>+Gastos!A194</f>
        <v>114A</v>
      </c>
      <c r="B194" s="1034" t="s">
        <v>460</v>
      </c>
      <c r="C194" s="507" t="str">
        <f>+Gastos!C194</f>
        <v xml:space="preserve">       Desarrollo de la comunidad</v>
      </c>
      <c r="D194" s="18">
        <v>32438</v>
      </c>
      <c r="E194" s="18">
        <f t="shared" si="207"/>
        <v>34059.9</v>
      </c>
      <c r="F194" s="18">
        <f t="shared" si="208"/>
        <v>35762.895000000004</v>
      </c>
      <c r="G194" s="18">
        <f t="shared" si="192"/>
        <v>37551.039750000004</v>
      </c>
      <c r="H194" s="18">
        <f t="shared" si="193"/>
        <v>39428.591737500006</v>
      </c>
      <c r="I194" s="18">
        <f t="shared" si="194"/>
        <v>41400.021324375011</v>
      </c>
      <c r="J194" s="18">
        <f t="shared" si="195"/>
        <v>43470.022390593767</v>
      </c>
      <c r="K194" s="18">
        <f t="shared" si="196"/>
        <v>45643.523510123458</v>
      </c>
      <c r="L194" s="18">
        <f t="shared" si="197"/>
        <v>47925.699685629632</v>
      </c>
      <c r="M194" s="18">
        <f t="shared" si="198"/>
        <v>50321.984669911115</v>
      </c>
      <c r="N194" s="18">
        <f t="shared" si="199"/>
        <v>52838.083903406674</v>
      </c>
      <c r="O194" s="18">
        <f t="shared" si="200"/>
        <v>55479.988098577007</v>
      </c>
      <c r="P194" s="18">
        <f t="shared" si="201"/>
        <v>58253.987503505858</v>
      </c>
      <c r="Q194" s="18">
        <f t="shared" si="202"/>
        <v>61166.686878681154</v>
      </c>
      <c r="R194" s="18">
        <f t="shared" si="203"/>
        <v>64225.021222615214</v>
      </c>
      <c r="S194" s="1310"/>
    </row>
    <row r="195" spans="1:19">
      <c r="A195" s="474" t="str">
        <f>+Gastos!A195</f>
        <v>115A</v>
      </c>
      <c r="B195" s="1034" t="s">
        <v>462</v>
      </c>
      <c r="C195" s="507" t="str">
        <f>+Gastos!C195</f>
        <v xml:space="preserve">       Justicia, defensa y seguridad</v>
      </c>
      <c r="D195" s="18">
        <v>8330</v>
      </c>
      <c r="E195" s="18">
        <f t="shared" si="207"/>
        <v>8746.5</v>
      </c>
      <c r="F195" s="18">
        <f t="shared" si="208"/>
        <v>9183.8250000000007</v>
      </c>
      <c r="G195" s="18">
        <f t="shared" si="192"/>
        <v>9643.0162500000006</v>
      </c>
      <c r="H195" s="18">
        <f t="shared" si="193"/>
        <v>10125.167062500001</v>
      </c>
      <c r="I195" s="18">
        <f t="shared" si="194"/>
        <v>10631.425415625001</v>
      </c>
      <c r="J195" s="18">
        <f t="shared" si="195"/>
        <v>11162.996686406252</v>
      </c>
      <c r="K195" s="18">
        <f t="shared" si="196"/>
        <v>11721.146520726565</v>
      </c>
      <c r="L195" s="18">
        <f t="shared" si="197"/>
        <v>12307.203846762894</v>
      </c>
      <c r="M195" s="18">
        <f t="shared" si="198"/>
        <v>12922.564039101038</v>
      </c>
      <c r="N195" s="18">
        <f t="shared" si="199"/>
        <v>13568.692241056091</v>
      </c>
      <c r="O195" s="18">
        <f t="shared" si="200"/>
        <v>14247.126853108895</v>
      </c>
      <c r="P195" s="18">
        <f t="shared" si="201"/>
        <v>14959.48319576434</v>
      </c>
      <c r="Q195" s="18">
        <f t="shared" si="202"/>
        <v>15707.457355552559</v>
      </c>
      <c r="R195" s="18">
        <f t="shared" si="203"/>
        <v>16492.830223330187</v>
      </c>
      <c r="S195" s="1310"/>
    </row>
    <row r="196" spans="1:19">
      <c r="A196" s="474" t="str">
        <f>+Gastos!A196</f>
        <v>116A</v>
      </c>
      <c r="B196" s="1034" t="s">
        <v>464</v>
      </c>
      <c r="C196" s="507" t="str">
        <f>+Gastos!C196</f>
        <v xml:space="preserve">       Desarrollo Institucional</v>
      </c>
      <c r="D196" s="18">
        <v>40000</v>
      </c>
      <c r="E196" s="18">
        <f t="shared" si="207"/>
        <v>42000</v>
      </c>
      <c r="F196" s="18">
        <f t="shared" si="208"/>
        <v>44100</v>
      </c>
      <c r="G196" s="18">
        <v>134410</v>
      </c>
      <c r="H196" s="18">
        <f t="shared" si="193"/>
        <v>141130.5</v>
      </c>
      <c r="I196" s="18">
        <f t="shared" si="194"/>
        <v>148187.02499999999</v>
      </c>
      <c r="J196" s="18">
        <f t="shared" si="195"/>
        <v>155596.37625</v>
      </c>
      <c r="K196" s="18">
        <f t="shared" si="196"/>
        <v>163376.19506250002</v>
      </c>
      <c r="L196" s="18">
        <f t="shared" si="197"/>
        <v>171545.00481562503</v>
      </c>
      <c r="M196" s="18">
        <f t="shared" si="198"/>
        <v>180122.25505640628</v>
      </c>
      <c r="N196" s="18">
        <f t="shared" si="199"/>
        <v>189128.36780922662</v>
      </c>
      <c r="O196" s="18">
        <f t="shared" si="200"/>
        <v>198584.78619968795</v>
      </c>
      <c r="P196" s="18">
        <f t="shared" si="201"/>
        <v>208514.02550967236</v>
      </c>
      <c r="Q196" s="18">
        <f t="shared" si="202"/>
        <v>218939.72678515597</v>
      </c>
      <c r="R196" s="18">
        <f t="shared" si="203"/>
        <v>229886.71312441377</v>
      </c>
      <c r="S196" s="1310"/>
    </row>
    <row r="197" spans="1:19">
      <c r="A197" s="474" t="str">
        <f>+Gastos!A197</f>
        <v>117A</v>
      </c>
      <c r="B197" s="1035" t="s">
        <v>466</v>
      </c>
      <c r="C197" s="507" t="str">
        <f>+Gastos!C197</f>
        <v xml:space="preserve">       Otros</v>
      </c>
      <c r="D197" s="18">
        <v>0</v>
      </c>
      <c r="E197" s="18">
        <v>92882</v>
      </c>
      <c r="F197" s="18">
        <v>60010</v>
      </c>
      <c r="G197" s="18">
        <f t="shared" ref="G197" si="209">+F197*$E$8</f>
        <v>63010.5</v>
      </c>
      <c r="H197" s="18">
        <f t="shared" si="193"/>
        <v>66161.025000000009</v>
      </c>
      <c r="I197" s="18">
        <f t="shared" si="194"/>
        <v>69469.076250000013</v>
      </c>
      <c r="J197" s="18">
        <f t="shared" si="195"/>
        <v>72942.530062500024</v>
      </c>
      <c r="K197" s="18">
        <f t="shared" si="196"/>
        <v>76589.656565625031</v>
      </c>
      <c r="L197" s="18">
        <f t="shared" si="197"/>
        <v>80419.139393906284</v>
      </c>
      <c r="M197" s="18">
        <f t="shared" si="198"/>
        <v>84440.096363601595</v>
      </c>
      <c r="N197" s="18">
        <f t="shared" si="199"/>
        <v>88662.101181781676</v>
      </c>
      <c r="O197" s="18">
        <f t="shared" si="200"/>
        <v>93095.206240870757</v>
      </c>
      <c r="P197" s="18">
        <f t="shared" si="201"/>
        <v>97749.966552914295</v>
      </c>
      <c r="Q197" s="18">
        <f t="shared" si="202"/>
        <v>102637.46488056002</v>
      </c>
      <c r="R197" s="18">
        <f t="shared" si="203"/>
        <v>107769.33812458802</v>
      </c>
      <c r="S197" s="1310"/>
    </row>
    <row r="198" spans="1:19">
      <c r="A198" s="474" t="str">
        <f>+Gastos!A198</f>
        <v>228</v>
      </c>
      <c r="B198" s="1036"/>
      <c r="C198" s="506" t="str">
        <f>+Gastos!C198</f>
        <v xml:space="preserve">  DÉFICIT FISCAL (POR INVERSIÓN)</v>
      </c>
      <c r="D198" s="58">
        <f>+'Pasivo a Cancelar y Deuda'!C14</f>
        <v>0</v>
      </c>
      <c r="E198" s="58">
        <f>+'Pasivo a Cancelar y Deuda'!D14</f>
        <v>0</v>
      </c>
      <c r="F198" s="58">
        <f>+'Pasivo a Cancelar y Deuda'!E14</f>
        <v>0</v>
      </c>
      <c r="G198" s="58">
        <f>+'Pasivo a Cancelar y Deuda'!F14</f>
        <v>0</v>
      </c>
      <c r="H198" s="58">
        <f>+'Pasivo a Cancelar y Deuda'!G14</f>
        <v>0</v>
      </c>
      <c r="I198" s="58">
        <f>+'Pasivo a Cancelar y Deuda'!H14</f>
        <v>0</v>
      </c>
      <c r="J198" s="58">
        <f>+'Pasivo a Cancelar y Deuda'!I14</f>
        <v>0</v>
      </c>
      <c r="K198" s="58">
        <f>+'Pasivo a Cancelar y Deuda'!J14</f>
        <v>0</v>
      </c>
      <c r="L198" s="58">
        <f>+'Pasivo a Cancelar y Deuda'!K14</f>
        <v>0</v>
      </c>
      <c r="M198" s="58">
        <f>+'Pasivo a Cancelar y Deuda'!L14</f>
        <v>0</v>
      </c>
      <c r="N198" s="58">
        <f>+'Pasivo a Cancelar y Deuda'!M14</f>
        <v>0</v>
      </c>
      <c r="O198" s="58">
        <f>+'Pasivo a Cancelar y Deuda'!N14</f>
        <v>0</v>
      </c>
      <c r="P198" s="58">
        <f>+'Pasivo a Cancelar y Deuda'!O14</f>
        <v>0</v>
      </c>
      <c r="Q198" s="58">
        <f>+'Pasivo a Cancelar y Deuda'!P14</f>
        <v>0</v>
      </c>
      <c r="R198" s="58">
        <f>+'Pasivo a Cancelar y Deuda'!Q14</f>
        <v>0</v>
      </c>
      <c r="S198" s="1310"/>
    </row>
    <row r="199" spans="1:19">
      <c r="A199" s="474" t="str">
        <f>+Gastos!A199</f>
        <v>23</v>
      </c>
      <c r="B199" s="1018" t="s">
        <v>470</v>
      </c>
      <c r="C199" s="506" t="str">
        <f>+Gastos!C199</f>
        <v xml:space="preserve"> SERVICIO DE LA DEUDA</v>
      </c>
      <c r="D199" s="42">
        <f>+D200+D205</f>
        <v>60059</v>
      </c>
      <c r="E199" s="42">
        <f t="shared" ref="E199:R199" si="210">+E200+E205</f>
        <v>40000</v>
      </c>
      <c r="F199" s="42">
        <f t="shared" si="210"/>
        <v>52429</v>
      </c>
      <c r="G199" s="42">
        <f t="shared" si="210"/>
        <v>1036000</v>
      </c>
      <c r="H199" s="42">
        <f t="shared" si="210"/>
        <v>247800</v>
      </c>
      <c r="I199" s="42">
        <f t="shared" si="210"/>
        <v>260190</v>
      </c>
      <c r="J199" s="42">
        <f t="shared" si="210"/>
        <v>273199.5</v>
      </c>
      <c r="K199" s="42">
        <f t="shared" si="210"/>
        <v>286859.47499999998</v>
      </c>
      <c r="L199" s="42">
        <f t="shared" si="210"/>
        <v>1101202.44875</v>
      </c>
      <c r="M199" s="42">
        <f t="shared" si="210"/>
        <v>316262.57118750003</v>
      </c>
      <c r="N199" s="42">
        <f t="shared" si="210"/>
        <v>332075.69974687503</v>
      </c>
      <c r="O199" s="42">
        <f t="shared" si="210"/>
        <v>348679.4847342188</v>
      </c>
      <c r="P199" s="42">
        <f t="shared" si="210"/>
        <v>366113.45897092979</v>
      </c>
      <c r="Q199" s="42">
        <f t="shared" si="210"/>
        <v>384419.13191947626</v>
      </c>
      <c r="R199" s="42">
        <f t="shared" si="210"/>
        <v>403640.08851545007</v>
      </c>
      <c r="S199" s="1310"/>
    </row>
    <row r="200" spans="1:19">
      <c r="A200" s="475" t="str">
        <f>+Gastos!A200</f>
        <v>296A</v>
      </c>
      <c r="B200" s="1018" t="s">
        <v>473</v>
      </c>
      <c r="C200" s="506" t="str">
        <f>+Gastos!C200</f>
        <v xml:space="preserve">    Deuda Interna</v>
      </c>
      <c r="D200" s="42">
        <f>+D201+D202+D203+D204</f>
        <v>60059</v>
      </c>
      <c r="E200" s="42">
        <f t="shared" ref="E200:R200" si="211">+E201+E202+E203+E204</f>
        <v>40000</v>
      </c>
      <c r="F200" s="42">
        <f t="shared" si="211"/>
        <v>52429</v>
      </c>
      <c r="G200" s="42">
        <f t="shared" si="211"/>
        <v>236000</v>
      </c>
      <c r="H200" s="42">
        <f t="shared" si="211"/>
        <v>247800</v>
      </c>
      <c r="I200" s="42">
        <f t="shared" si="211"/>
        <v>260190</v>
      </c>
      <c r="J200" s="42">
        <f t="shared" si="211"/>
        <v>273199.5</v>
      </c>
      <c r="K200" s="42">
        <f t="shared" si="211"/>
        <v>286859.47499999998</v>
      </c>
      <c r="L200" s="42">
        <f t="shared" si="211"/>
        <v>301202.44875000004</v>
      </c>
      <c r="M200" s="42">
        <f t="shared" si="211"/>
        <v>316262.57118750003</v>
      </c>
      <c r="N200" s="42">
        <f t="shared" si="211"/>
        <v>332075.69974687503</v>
      </c>
      <c r="O200" s="42">
        <f t="shared" si="211"/>
        <v>348679.4847342188</v>
      </c>
      <c r="P200" s="42">
        <f t="shared" si="211"/>
        <v>366113.45897092979</v>
      </c>
      <c r="Q200" s="42">
        <f t="shared" si="211"/>
        <v>384419.13191947626</v>
      </c>
      <c r="R200" s="42">
        <f t="shared" si="211"/>
        <v>403640.08851545007</v>
      </c>
      <c r="S200" s="1310"/>
    </row>
    <row r="201" spans="1:19">
      <c r="A201" s="475" t="str">
        <f>+Gastos!A201</f>
        <v>297A</v>
      </c>
      <c r="B201" s="1018" t="s">
        <v>476</v>
      </c>
      <c r="C201" s="507" t="str">
        <f>+Gastos!C201</f>
        <v xml:space="preserve">      Amortización</v>
      </c>
      <c r="D201" s="18">
        <v>50059</v>
      </c>
      <c r="E201" s="18">
        <v>35000</v>
      </c>
      <c r="F201" s="18">
        <v>44996</v>
      </c>
      <c r="G201" s="18">
        <v>160000</v>
      </c>
      <c r="H201" s="18">
        <f t="shared" ref="H201:H204" si="212">+G201*$E$8</f>
        <v>168000</v>
      </c>
      <c r="I201" s="18">
        <f t="shared" ref="I201:I204" si="213">+H201*$E$8</f>
        <v>176400</v>
      </c>
      <c r="J201" s="18">
        <f t="shared" ref="J201:J204" si="214">+I201*$E$8</f>
        <v>185220</v>
      </c>
      <c r="K201" s="18">
        <f t="shared" ref="K201:K204" si="215">+J201*$E$8</f>
        <v>194481</v>
      </c>
      <c r="L201" s="18">
        <f t="shared" ref="L201:L204" si="216">+K201*$E$8</f>
        <v>204205.05000000002</v>
      </c>
      <c r="M201" s="18">
        <f t="shared" ref="M201:M204" si="217">+L201*$E$8</f>
        <v>214415.30250000002</v>
      </c>
      <c r="N201" s="18">
        <f t="shared" ref="N201:N204" si="218">+M201*$E$8</f>
        <v>225136.06762500003</v>
      </c>
      <c r="O201" s="18">
        <f t="shared" ref="O201:O204" si="219">+N201*$E$8</f>
        <v>236392.87100625003</v>
      </c>
      <c r="P201" s="18">
        <f t="shared" ref="P201:P204" si="220">+O201*$E$8</f>
        <v>248212.51455656256</v>
      </c>
      <c r="Q201" s="18">
        <f t="shared" ref="Q201:Q204" si="221">+P201*$E$8</f>
        <v>260623.14028439068</v>
      </c>
      <c r="R201" s="18">
        <f t="shared" ref="R201:R204" si="222">+Q201*$E$8</f>
        <v>273654.29729861021</v>
      </c>
      <c r="S201" s="1310"/>
    </row>
    <row r="202" spans="1:19">
      <c r="A202" s="475" t="str">
        <f>+Gastos!A202</f>
        <v>298A</v>
      </c>
      <c r="B202" s="1018" t="s">
        <v>479</v>
      </c>
      <c r="C202" s="507" t="str">
        <f>+Gastos!C202</f>
        <v xml:space="preserve">      Intereses</v>
      </c>
      <c r="D202" s="18">
        <v>10000</v>
      </c>
      <c r="E202" s="18">
        <v>5000</v>
      </c>
      <c r="F202" s="18">
        <v>7433</v>
      </c>
      <c r="G202" s="18">
        <v>76000</v>
      </c>
      <c r="H202" s="18">
        <f t="shared" si="212"/>
        <v>79800</v>
      </c>
      <c r="I202" s="18">
        <f t="shared" si="213"/>
        <v>83790</v>
      </c>
      <c r="J202" s="18">
        <f t="shared" si="214"/>
        <v>87979.5</v>
      </c>
      <c r="K202" s="18">
        <f t="shared" si="215"/>
        <v>92378.475000000006</v>
      </c>
      <c r="L202" s="18">
        <f t="shared" si="216"/>
        <v>96997.398750000008</v>
      </c>
      <c r="M202" s="18">
        <f t="shared" si="217"/>
        <v>101847.26868750001</v>
      </c>
      <c r="N202" s="18">
        <f t="shared" si="218"/>
        <v>106939.63212187501</v>
      </c>
      <c r="O202" s="18">
        <f t="shared" si="219"/>
        <v>112286.61372796877</v>
      </c>
      <c r="P202" s="18">
        <f t="shared" si="220"/>
        <v>117900.94441436722</v>
      </c>
      <c r="Q202" s="18">
        <f t="shared" si="221"/>
        <v>123795.99163508558</v>
      </c>
      <c r="R202" s="18">
        <f t="shared" si="222"/>
        <v>129985.79121683986</v>
      </c>
      <c r="S202" s="1310"/>
    </row>
    <row r="203" spans="1:19">
      <c r="A203" s="475" t="str">
        <f>+Gastos!A203</f>
        <v>299A</v>
      </c>
      <c r="B203" s="1018" t="s">
        <v>482</v>
      </c>
      <c r="C203" s="507" t="str">
        <f>+Gastos!C203</f>
        <v xml:space="preserve">      Comisiones y Otros</v>
      </c>
      <c r="D203" s="18">
        <v>0</v>
      </c>
      <c r="E203" s="18">
        <f t="shared" ref="E203:E204" si="223">+D203*$E$8</f>
        <v>0</v>
      </c>
      <c r="F203" s="18">
        <f t="shared" ref="F203:F204" si="224">+E203*$E$8</f>
        <v>0</v>
      </c>
      <c r="G203" s="18">
        <f t="shared" ref="G203:G204" si="225">+F203*$E$8</f>
        <v>0</v>
      </c>
      <c r="H203" s="18">
        <f t="shared" si="212"/>
        <v>0</v>
      </c>
      <c r="I203" s="18">
        <f t="shared" si="213"/>
        <v>0</v>
      </c>
      <c r="J203" s="18">
        <f t="shared" si="214"/>
        <v>0</v>
      </c>
      <c r="K203" s="18">
        <f t="shared" si="215"/>
        <v>0</v>
      </c>
      <c r="L203" s="18">
        <f t="shared" si="216"/>
        <v>0</v>
      </c>
      <c r="M203" s="18">
        <f t="shared" si="217"/>
        <v>0</v>
      </c>
      <c r="N203" s="18">
        <f t="shared" si="218"/>
        <v>0</v>
      </c>
      <c r="O203" s="18">
        <f t="shared" si="219"/>
        <v>0</v>
      </c>
      <c r="P203" s="18">
        <f t="shared" si="220"/>
        <v>0</v>
      </c>
      <c r="Q203" s="18">
        <f t="shared" si="221"/>
        <v>0</v>
      </c>
      <c r="R203" s="18">
        <f t="shared" si="222"/>
        <v>0</v>
      </c>
      <c r="S203" s="1310"/>
    </row>
    <row r="204" spans="1:19">
      <c r="A204" s="475" t="str">
        <f>+Gastos!A204</f>
        <v>300A</v>
      </c>
      <c r="B204" s="1018" t="s">
        <v>485</v>
      </c>
      <c r="C204" s="507" t="str">
        <f>+Gastos!C204</f>
        <v xml:space="preserve">      Bonos Pensionales</v>
      </c>
      <c r="D204" s="18">
        <v>0</v>
      </c>
      <c r="E204" s="18">
        <f t="shared" si="223"/>
        <v>0</v>
      </c>
      <c r="F204" s="18">
        <f t="shared" si="224"/>
        <v>0</v>
      </c>
      <c r="G204" s="18">
        <f t="shared" si="225"/>
        <v>0</v>
      </c>
      <c r="H204" s="18">
        <f t="shared" si="212"/>
        <v>0</v>
      </c>
      <c r="I204" s="18">
        <f t="shared" si="213"/>
        <v>0</v>
      </c>
      <c r="J204" s="18">
        <f t="shared" si="214"/>
        <v>0</v>
      </c>
      <c r="K204" s="18">
        <f t="shared" si="215"/>
        <v>0</v>
      </c>
      <c r="L204" s="18">
        <f t="shared" si="216"/>
        <v>0</v>
      </c>
      <c r="M204" s="18">
        <f t="shared" si="217"/>
        <v>0</v>
      </c>
      <c r="N204" s="18">
        <f t="shared" si="218"/>
        <v>0</v>
      </c>
      <c r="O204" s="18">
        <f t="shared" si="219"/>
        <v>0</v>
      </c>
      <c r="P204" s="18">
        <f t="shared" si="220"/>
        <v>0</v>
      </c>
      <c r="Q204" s="18">
        <f t="shared" si="221"/>
        <v>0</v>
      </c>
      <c r="R204" s="18">
        <f t="shared" si="222"/>
        <v>0</v>
      </c>
      <c r="S204" s="1310"/>
    </row>
    <row r="205" spans="1:19">
      <c r="A205" s="475" t="str">
        <f>+Gastos!A205</f>
        <v>301A</v>
      </c>
      <c r="B205" s="1018" t="s">
        <v>488</v>
      </c>
      <c r="C205" s="506" t="str">
        <f>+Gastos!C205</f>
        <v xml:space="preserve">    Deuda Externa</v>
      </c>
      <c r="D205" s="42">
        <f>+D206+D207+D208</f>
        <v>0</v>
      </c>
      <c r="E205" s="42">
        <f t="shared" ref="E205:R205" si="226">+E206+E207+E208</f>
        <v>0</v>
      </c>
      <c r="F205" s="42">
        <f t="shared" si="226"/>
        <v>0</v>
      </c>
      <c r="G205" s="42">
        <f t="shared" si="226"/>
        <v>800000</v>
      </c>
      <c r="H205" s="42">
        <f t="shared" si="226"/>
        <v>0</v>
      </c>
      <c r="I205" s="42">
        <f t="shared" si="226"/>
        <v>0</v>
      </c>
      <c r="J205" s="42">
        <f t="shared" si="226"/>
        <v>0</v>
      </c>
      <c r="K205" s="42">
        <f t="shared" si="226"/>
        <v>0</v>
      </c>
      <c r="L205" s="42">
        <f t="shared" si="226"/>
        <v>800000</v>
      </c>
      <c r="M205" s="42">
        <f t="shared" si="226"/>
        <v>0</v>
      </c>
      <c r="N205" s="42">
        <f t="shared" si="226"/>
        <v>0</v>
      </c>
      <c r="O205" s="42">
        <f t="shared" si="226"/>
        <v>0</v>
      </c>
      <c r="P205" s="42">
        <f t="shared" si="226"/>
        <v>0</v>
      </c>
      <c r="Q205" s="42">
        <f t="shared" si="226"/>
        <v>0</v>
      </c>
      <c r="R205" s="42">
        <f t="shared" si="226"/>
        <v>0</v>
      </c>
      <c r="S205" s="1310"/>
    </row>
    <row r="206" spans="1:19">
      <c r="A206" s="475" t="str">
        <f>+Gastos!A206</f>
        <v>302A</v>
      </c>
      <c r="B206" s="1018" t="s">
        <v>491</v>
      </c>
      <c r="C206" s="507" t="str">
        <f>+Gastos!C206</f>
        <v xml:space="preserve">      Amortización</v>
      </c>
      <c r="D206" s="18">
        <v>0</v>
      </c>
      <c r="E206" s="18">
        <f t="shared" ref="E206:E208" si="227">+D206*$E$8</f>
        <v>0</v>
      </c>
      <c r="F206" s="18">
        <f t="shared" ref="F206:F208" si="228">+E206*$E$8</f>
        <v>0</v>
      </c>
      <c r="G206" s="18">
        <v>800000</v>
      </c>
      <c r="H206" s="18">
        <v>0</v>
      </c>
      <c r="I206" s="18">
        <f t="shared" ref="I206:I208" si="229">+H206*$E$8</f>
        <v>0</v>
      </c>
      <c r="J206" s="18">
        <f t="shared" ref="J206:J208" si="230">+I206*$E$8</f>
        <v>0</v>
      </c>
      <c r="K206" s="18">
        <f t="shared" ref="K206:K208" si="231">+J206*$E$8</f>
        <v>0</v>
      </c>
      <c r="L206" s="18">
        <v>800000</v>
      </c>
      <c r="M206" s="18">
        <v>0</v>
      </c>
      <c r="N206" s="18">
        <f t="shared" ref="N206:N208" si="232">+M206*$E$8</f>
        <v>0</v>
      </c>
      <c r="O206" s="18">
        <f t="shared" ref="O206:O208" si="233">+N206*$E$8</f>
        <v>0</v>
      </c>
      <c r="P206" s="18">
        <f t="shared" ref="P206:P208" si="234">+O206*$E$8</f>
        <v>0</v>
      </c>
      <c r="Q206" s="18">
        <f t="shared" ref="Q206:Q208" si="235">+P206*$E$8</f>
        <v>0</v>
      </c>
      <c r="R206" s="18">
        <f t="shared" ref="R206:R208" si="236">+Q206*$E$8</f>
        <v>0</v>
      </c>
      <c r="S206" s="1310"/>
    </row>
    <row r="207" spans="1:19">
      <c r="A207" s="475" t="str">
        <f>+Gastos!A207</f>
        <v>303A</v>
      </c>
      <c r="B207" s="1018" t="s">
        <v>493</v>
      </c>
      <c r="C207" s="507" t="str">
        <f>+Gastos!C207</f>
        <v xml:space="preserve">      Intereses</v>
      </c>
      <c r="D207" s="18">
        <v>0</v>
      </c>
      <c r="E207" s="18">
        <f t="shared" si="227"/>
        <v>0</v>
      </c>
      <c r="F207" s="18">
        <f t="shared" si="228"/>
        <v>0</v>
      </c>
      <c r="G207" s="18">
        <f t="shared" ref="G207:G208" si="237">+F207*$E$8</f>
        <v>0</v>
      </c>
      <c r="H207" s="18">
        <f t="shared" ref="H207:H208" si="238">+G207*$E$8</f>
        <v>0</v>
      </c>
      <c r="I207" s="18">
        <f t="shared" si="229"/>
        <v>0</v>
      </c>
      <c r="J207" s="18">
        <f t="shared" si="230"/>
        <v>0</v>
      </c>
      <c r="K207" s="18">
        <f t="shared" si="231"/>
        <v>0</v>
      </c>
      <c r="L207" s="18">
        <f t="shared" ref="L207:L208" si="239">+K207*$E$8</f>
        <v>0</v>
      </c>
      <c r="M207" s="18">
        <f t="shared" ref="M207:M208" si="240">+L207*$E$8</f>
        <v>0</v>
      </c>
      <c r="N207" s="18">
        <f t="shared" si="232"/>
        <v>0</v>
      </c>
      <c r="O207" s="18">
        <f t="shared" si="233"/>
        <v>0</v>
      </c>
      <c r="P207" s="18">
        <f t="shared" si="234"/>
        <v>0</v>
      </c>
      <c r="Q207" s="18">
        <f t="shared" si="235"/>
        <v>0</v>
      </c>
      <c r="R207" s="18">
        <f t="shared" si="236"/>
        <v>0</v>
      </c>
      <c r="S207" s="1310"/>
    </row>
    <row r="208" spans="1:19" ht="13.5" thickBot="1">
      <c r="A208" s="476" t="str">
        <f>+Gastos!A208</f>
        <v>304A</v>
      </c>
      <c r="B208" s="1037" t="s">
        <v>495</v>
      </c>
      <c r="C208" s="1038" t="str">
        <f>+Gastos!C208</f>
        <v xml:space="preserve">      Comisiones y Otros</v>
      </c>
      <c r="D208" s="1040">
        <v>0</v>
      </c>
      <c r="E208" s="18">
        <f t="shared" si="227"/>
        <v>0</v>
      </c>
      <c r="F208" s="18">
        <f t="shared" si="228"/>
        <v>0</v>
      </c>
      <c r="G208" s="18">
        <f t="shared" si="237"/>
        <v>0</v>
      </c>
      <c r="H208" s="18">
        <f t="shared" si="238"/>
        <v>0</v>
      </c>
      <c r="I208" s="18">
        <f t="shared" si="229"/>
        <v>0</v>
      </c>
      <c r="J208" s="18">
        <f t="shared" si="230"/>
        <v>0</v>
      </c>
      <c r="K208" s="18">
        <f t="shared" si="231"/>
        <v>0</v>
      </c>
      <c r="L208" s="18">
        <f t="shared" si="239"/>
        <v>0</v>
      </c>
      <c r="M208" s="18">
        <f t="shared" si="240"/>
        <v>0</v>
      </c>
      <c r="N208" s="18">
        <f t="shared" si="232"/>
        <v>0</v>
      </c>
      <c r="O208" s="18">
        <f t="shared" si="233"/>
        <v>0</v>
      </c>
      <c r="P208" s="18">
        <f t="shared" si="234"/>
        <v>0</v>
      </c>
      <c r="Q208" s="18">
        <f t="shared" si="235"/>
        <v>0</v>
      </c>
      <c r="R208" s="18">
        <f t="shared" si="236"/>
        <v>0</v>
      </c>
      <c r="S208" s="90"/>
    </row>
    <row r="209" spans="1:19" hidden="1">
      <c r="A209" s="459" t="str">
        <f>A222</f>
        <v>118A</v>
      </c>
      <c r="B209" s="459">
        <f t="shared" ref="B209:S209" si="241">B222</f>
        <v>0</v>
      </c>
      <c r="C209" s="459" t="str">
        <f t="shared" si="241"/>
        <v>ORGANISMOS DE CONTROL</v>
      </c>
      <c r="D209" s="459">
        <f t="shared" si="241"/>
        <v>163187</v>
      </c>
      <c r="E209" s="459">
        <f t="shared" si="241"/>
        <v>175285</v>
      </c>
      <c r="F209" s="459">
        <f t="shared" si="241"/>
        <v>179461</v>
      </c>
      <c r="G209" s="459">
        <f t="shared" si="241"/>
        <v>187680</v>
      </c>
      <c r="H209" s="459">
        <f>H222</f>
        <v>195187.20000000001</v>
      </c>
      <c r="I209" s="459">
        <f t="shared" si="241"/>
        <v>202994.68800000002</v>
      </c>
      <c r="J209" s="459">
        <f t="shared" si="241"/>
        <v>211114.47552000004</v>
      </c>
      <c r="K209" s="459">
        <f t="shared" si="241"/>
        <v>219559.05454080005</v>
      </c>
      <c r="L209" s="459">
        <f>L222</f>
        <v>228341.41672243207</v>
      </c>
      <c r="M209" s="459">
        <f t="shared" si="241"/>
        <v>237475.07339132932</v>
      </c>
      <c r="N209" s="459">
        <f>N222</f>
        <v>246974.07632698253</v>
      </c>
      <c r="O209" s="459">
        <f t="shared" si="241"/>
        <v>256853.03938006185</v>
      </c>
      <c r="P209" s="459">
        <f t="shared" si="241"/>
        <v>267127.16095526435</v>
      </c>
      <c r="Q209" s="459">
        <f t="shared" si="241"/>
        <v>277812.24739347491</v>
      </c>
      <c r="R209" s="459">
        <f t="shared" si="241"/>
        <v>288924.73728921392</v>
      </c>
      <c r="S209" s="1318">
        <f t="shared" si="241"/>
        <v>0</v>
      </c>
    </row>
    <row r="210" spans="1:19" hidden="1">
      <c r="A210" s="459" t="str">
        <f t="shared" ref="A210:M212" si="242">A223</f>
        <v>242</v>
      </c>
      <c r="B210" s="459">
        <f t="shared" si="242"/>
        <v>0</v>
      </c>
      <c r="C210" s="459" t="str">
        <f t="shared" si="242"/>
        <v>Transferencias a Concejo</v>
      </c>
      <c r="D210" s="459">
        <f t="shared" si="242"/>
        <v>89809</v>
      </c>
      <c r="E210" s="459">
        <f t="shared" si="242"/>
        <v>98035</v>
      </c>
      <c r="F210" s="459">
        <f t="shared" si="242"/>
        <v>99121</v>
      </c>
      <c r="G210" s="459">
        <f t="shared" si="242"/>
        <v>102520</v>
      </c>
      <c r="H210" s="459">
        <f>H223</f>
        <v>106620.8</v>
      </c>
      <c r="I210" s="459">
        <f t="shared" si="242"/>
        <v>110885.63200000001</v>
      </c>
      <c r="J210" s="459">
        <f t="shared" si="242"/>
        <v>115321.05728000002</v>
      </c>
      <c r="K210" s="459">
        <f t="shared" si="242"/>
        <v>119933.89957120003</v>
      </c>
      <c r="L210" s="459">
        <f>L223</f>
        <v>124731.25555404804</v>
      </c>
      <c r="M210" s="459">
        <f t="shared" si="242"/>
        <v>129720.50577620996</v>
      </c>
      <c r="N210" s="459">
        <f>N223</f>
        <v>134909.32600725835</v>
      </c>
      <c r="O210" s="459">
        <f t="shared" ref="O210:S212" si="243">O223</f>
        <v>140305.6990475487</v>
      </c>
      <c r="P210" s="459">
        <f t="shared" si="243"/>
        <v>145917.92700945065</v>
      </c>
      <c r="Q210" s="459">
        <f t="shared" si="243"/>
        <v>151754.64408982868</v>
      </c>
      <c r="R210" s="459">
        <f t="shared" si="243"/>
        <v>157824.82985342183</v>
      </c>
      <c r="S210" s="1318">
        <f t="shared" si="243"/>
        <v>0</v>
      </c>
    </row>
    <row r="211" spans="1:19" hidden="1">
      <c r="A211" s="459" t="str">
        <f t="shared" si="242"/>
        <v>243</v>
      </c>
      <c r="B211" s="459">
        <f t="shared" si="242"/>
        <v>0</v>
      </c>
      <c r="C211" s="459" t="str">
        <f t="shared" si="242"/>
        <v xml:space="preserve">Transferencias a Contraloría </v>
      </c>
      <c r="D211" s="459">
        <f t="shared" si="242"/>
        <v>0</v>
      </c>
      <c r="E211" s="459">
        <f t="shared" si="242"/>
        <v>0</v>
      </c>
      <c r="F211" s="459">
        <f t="shared" si="242"/>
        <v>0</v>
      </c>
      <c r="G211" s="459">
        <f t="shared" si="242"/>
        <v>0</v>
      </c>
      <c r="H211" s="459">
        <f>H224</f>
        <v>0</v>
      </c>
      <c r="I211" s="459">
        <f t="shared" si="242"/>
        <v>0</v>
      </c>
      <c r="J211" s="459">
        <f t="shared" si="242"/>
        <v>0</v>
      </c>
      <c r="K211" s="459">
        <f t="shared" si="242"/>
        <v>0</v>
      </c>
      <c r="L211" s="459">
        <f>L224</f>
        <v>0</v>
      </c>
      <c r="M211" s="459">
        <f t="shared" si="242"/>
        <v>0</v>
      </c>
      <c r="N211" s="459">
        <f>N224</f>
        <v>0</v>
      </c>
      <c r="O211" s="459">
        <f t="shared" si="243"/>
        <v>0</v>
      </c>
      <c r="P211" s="459">
        <f t="shared" si="243"/>
        <v>0</v>
      </c>
      <c r="Q211" s="459">
        <f t="shared" si="243"/>
        <v>0</v>
      </c>
      <c r="R211" s="459">
        <f t="shared" si="243"/>
        <v>0</v>
      </c>
      <c r="S211" s="1318">
        <f t="shared" si="243"/>
        <v>0</v>
      </c>
    </row>
    <row r="212" spans="1:19" hidden="1">
      <c r="A212" s="459" t="str">
        <f t="shared" si="242"/>
        <v>244</v>
      </c>
      <c r="B212" s="459">
        <f t="shared" si="242"/>
        <v>0</v>
      </c>
      <c r="C212" s="459" t="str">
        <f t="shared" si="242"/>
        <v>Transferencias a Personería</v>
      </c>
      <c r="D212" s="459">
        <f t="shared" si="242"/>
        <v>73378</v>
      </c>
      <c r="E212" s="459">
        <f t="shared" si="242"/>
        <v>77250</v>
      </c>
      <c r="F212" s="459">
        <f t="shared" si="242"/>
        <v>80340</v>
      </c>
      <c r="G212" s="459">
        <f t="shared" si="242"/>
        <v>85160</v>
      </c>
      <c r="H212" s="459">
        <f>H225</f>
        <v>88566.400000000009</v>
      </c>
      <c r="I212" s="459">
        <f t="shared" si="242"/>
        <v>92109.056000000011</v>
      </c>
      <c r="J212" s="459">
        <f t="shared" si="242"/>
        <v>95793.418240000014</v>
      </c>
      <c r="K212" s="459">
        <f t="shared" si="242"/>
        <v>99625.154969600015</v>
      </c>
      <c r="L212" s="459">
        <f>L225</f>
        <v>103610.16116838402</v>
      </c>
      <c r="M212" s="459">
        <f t="shared" si="242"/>
        <v>107754.56761511938</v>
      </c>
      <c r="N212" s="459">
        <f>N225</f>
        <v>112064.75031972416</v>
      </c>
      <c r="O212" s="459">
        <f t="shared" si="243"/>
        <v>116547.34033251314</v>
      </c>
      <c r="P212" s="459">
        <f t="shared" si="243"/>
        <v>121209.23394581367</v>
      </c>
      <c r="Q212" s="459">
        <f t="shared" si="243"/>
        <v>126057.60330364622</v>
      </c>
      <c r="R212" s="459">
        <f t="shared" si="243"/>
        <v>131099.90743579206</v>
      </c>
      <c r="S212" s="1318">
        <f t="shared" si="243"/>
        <v>0</v>
      </c>
    </row>
    <row r="213" spans="1:19" hidden="1">
      <c r="A213" s="459" t="str">
        <f>A230</f>
        <v>341A</v>
      </c>
      <c r="B213" s="459">
        <f t="shared" ref="B213:S213" si="244">B230</f>
        <v>0</v>
      </c>
      <c r="C213" s="459" t="str">
        <f t="shared" si="244"/>
        <v>TRANSFERENCIAS A RESGUARDOS INDIGENAS</v>
      </c>
      <c r="D213" s="459">
        <f t="shared" si="244"/>
        <v>0</v>
      </c>
      <c r="E213" s="459">
        <f t="shared" si="244"/>
        <v>0</v>
      </c>
      <c r="F213" s="459">
        <f t="shared" si="244"/>
        <v>0</v>
      </c>
      <c r="G213" s="459">
        <f t="shared" si="244"/>
        <v>0</v>
      </c>
      <c r="H213" s="459">
        <f>H230</f>
        <v>0</v>
      </c>
      <c r="I213" s="459">
        <f t="shared" si="244"/>
        <v>0</v>
      </c>
      <c r="J213" s="459">
        <f t="shared" si="244"/>
        <v>0</v>
      </c>
      <c r="K213" s="459">
        <f t="shared" si="244"/>
        <v>0</v>
      </c>
      <c r="L213" s="459">
        <f>L230</f>
        <v>0</v>
      </c>
      <c r="M213" s="459">
        <f t="shared" si="244"/>
        <v>0</v>
      </c>
      <c r="N213" s="459">
        <f>N230</f>
        <v>0</v>
      </c>
      <c r="O213" s="459">
        <f t="shared" si="244"/>
        <v>0</v>
      </c>
      <c r="P213" s="459">
        <f t="shared" si="244"/>
        <v>0</v>
      </c>
      <c r="Q213" s="459">
        <f t="shared" si="244"/>
        <v>0</v>
      </c>
      <c r="R213" s="459">
        <f t="shared" si="244"/>
        <v>0</v>
      </c>
      <c r="S213" s="1318">
        <f t="shared" si="244"/>
        <v>0</v>
      </c>
    </row>
    <row r="214" spans="1:19" hidden="1">
      <c r="A214" s="459" t="str">
        <f>A231</f>
        <v>241</v>
      </c>
      <c r="B214" s="459">
        <f t="shared" ref="B214:S214" si="245">B231</f>
        <v>0</v>
      </c>
      <c r="C214" s="459" t="str">
        <f t="shared" si="245"/>
        <v>Resguardos Indigenas</v>
      </c>
      <c r="D214" s="459">
        <f t="shared" si="245"/>
        <v>0</v>
      </c>
      <c r="E214" s="459">
        <f t="shared" si="245"/>
        <v>0</v>
      </c>
      <c r="F214" s="459">
        <f t="shared" si="245"/>
        <v>0</v>
      </c>
      <c r="G214" s="459">
        <f t="shared" si="245"/>
        <v>0</v>
      </c>
      <c r="H214" s="459">
        <f>H231</f>
        <v>0</v>
      </c>
      <c r="I214" s="459">
        <f t="shared" si="245"/>
        <v>0</v>
      </c>
      <c r="J214" s="459">
        <f t="shared" si="245"/>
        <v>0</v>
      </c>
      <c r="K214" s="459">
        <f t="shared" si="245"/>
        <v>0</v>
      </c>
      <c r="L214" s="459">
        <f>L231</f>
        <v>0</v>
      </c>
      <c r="M214" s="459">
        <f t="shared" si="245"/>
        <v>0</v>
      </c>
      <c r="N214" s="459">
        <f>N231</f>
        <v>0</v>
      </c>
      <c r="O214" s="459">
        <f t="shared" si="245"/>
        <v>0</v>
      </c>
      <c r="P214" s="459">
        <f t="shared" si="245"/>
        <v>0</v>
      </c>
      <c r="Q214" s="459">
        <f t="shared" si="245"/>
        <v>0</v>
      </c>
      <c r="R214" s="459">
        <f t="shared" si="245"/>
        <v>0</v>
      </c>
      <c r="S214" s="1318">
        <f t="shared" si="245"/>
        <v>0</v>
      </c>
    </row>
    <row r="215" spans="1:19" ht="5.25" customHeight="1">
      <c r="A215" s="459"/>
      <c r="B215" s="3"/>
      <c r="C215" s="315"/>
      <c r="D215" s="460"/>
      <c r="E215" s="460"/>
      <c r="F215" s="460"/>
      <c r="G215" s="460"/>
      <c r="H215" s="460"/>
      <c r="I215" s="460"/>
      <c r="J215" s="460"/>
      <c r="K215" s="460"/>
      <c r="L215" s="460"/>
      <c r="M215" s="460"/>
      <c r="N215" s="460"/>
      <c r="O215" s="460"/>
      <c r="P215" s="460"/>
      <c r="Q215" s="460"/>
      <c r="R215" s="460"/>
      <c r="S215" s="1319"/>
    </row>
    <row r="216" spans="1:19" ht="5.25" customHeight="1">
      <c r="A216" s="3"/>
      <c r="B216" s="6"/>
      <c r="C216" s="3"/>
      <c r="D216" s="43"/>
      <c r="E216" s="43"/>
      <c r="F216" s="43"/>
      <c r="G216" s="43"/>
      <c r="H216" s="43"/>
      <c r="I216" s="43"/>
      <c r="J216" s="43"/>
      <c r="K216" s="43"/>
      <c r="L216" s="43"/>
      <c r="M216" s="43"/>
      <c r="N216" s="43"/>
      <c r="O216" s="43"/>
      <c r="P216" s="43"/>
      <c r="Q216" s="43"/>
      <c r="R216" s="43"/>
    </row>
    <row r="217" spans="1:19" ht="15">
      <c r="A217" s="2" t="s">
        <v>496</v>
      </c>
      <c r="B217" s="54"/>
      <c r="C217" s="1"/>
      <c r="D217" s="16"/>
      <c r="E217" s="16"/>
      <c r="F217" s="16"/>
      <c r="G217" s="16"/>
      <c r="H217" s="16"/>
      <c r="I217" s="16"/>
      <c r="J217" s="16"/>
      <c r="K217" s="16"/>
      <c r="L217" s="16"/>
      <c r="M217" s="16"/>
      <c r="N217" s="16"/>
      <c r="O217" s="16"/>
      <c r="P217" s="16"/>
      <c r="Q217" s="16"/>
      <c r="R217" s="16"/>
    </row>
    <row r="218" spans="1:19" ht="6" customHeight="1" thickBot="1">
      <c r="A218" s="1"/>
      <c r="B218" s="6"/>
      <c r="C218" s="1"/>
      <c r="D218" s="16"/>
      <c r="E218" s="16"/>
      <c r="F218" s="16"/>
      <c r="G218" s="16"/>
      <c r="H218" s="16"/>
      <c r="I218" s="16"/>
      <c r="J218" s="16"/>
      <c r="K218" s="16"/>
      <c r="L218" s="16"/>
      <c r="M218" s="16"/>
      <c r="N218" s="16"/>
      <c r="O218" s="16"/>
      <c r="P218" s="16"/>
      <c r="Q218" s="16"/>
      <c r="R218" s="16"/>
    </row>
    <row r="219" spans="1:19" ht="39" thickBot="1">
      <c r="A219" s="336" t="s">
        <v>497</v>
      </c>
      <c r="B219" s="1156"/>
      <c r="C219" s="328" t="s">
        <v>498</v>
      </c>
      <c r="D219" s="419" t="str">
        <f>+D22</f>
        <v>Escenario Financiero Año 2009</v>
      </c>
      <c r="E219" s="419" t="str">
        <f t="shared" ref="E219:R219" si="246">+E22</f>
        <v>Escenario Financiero Año 2010</v>
      </c>
      <c r="F219" s="419" t="str">
        <f t="shared" si="246"/>
        <v>Escenario Financiero Año 2011</v>
      </c>
      <c r="G219" s="419" t="str">
        <f t="shared" si="246"/>
        <v>Escenario Financiero Año 2012</v>
      </c>
      <c r="H219" s="419" t="str">
        <f>+H22</f>
        <v>Escenario Financiero Año 2013</v>
      </c>
      <c r="I219" s="419" t="str">
        <f t="shared" si="246"/>
        <v>Escenario Financiero Año 2014</v>
      </c>
      <c r="J219" s="419" t="str">
        <f t="shared" si="246"/>
        <v>Escenario Financiero Año 2015</v>
      </c>
      <c r="K219" s="419" t="str">
        <f t="shared" si="246"/>
        <v>Escenario Financiero Año 2016</v>
      </c>
      <c r="L219" s="419" t="str">
        <f>+L22</f>
        <v>Escenario Financiero Año 2017</v>
      </c>
      <c r="M219" s="419" t="str">
        <f t="shared" si="246"/>
        <v>Escenario Financiero Año 2018</v>
      </c>
      <c r="N219" s="419" t="str">
        <f>+N22</f>
        <v>Escenario Financiero Año 2019</v>
      </c>
      <c r="O219" s="419" t="str">
        <f t="shared" si="246"/>
        <v>Escenario Financiero Año 2020</v>
      </c>
      <c r="P219" s="419" t="str">
        <f t="shared" si="246"/>
        <v>Escenario Financiero Año 2021</v>
      </c>
      <c r="Q219" s="419" t="str">
        <f t="shared" si="246"/>
        <v>Escenario Financiero Año 2022</v>
      </c>
      <c r="R219" s="419" t="str">
        <f t="shared" si="246"/>
        <v>Escenario Financiero Año 2023</v>
      </c>
      <c r="S219" s="1321"/>
    </row>
    <row r="220" spans="1:19" hidden="1">
      <c r="A220" s="337"/>
      <c r="B220" s="6"/>
      <c r="C220" s="339"/>
      <c r="D220" s="420" t="s">
        <v>511</v>
      </c>
      <c r="E220" s="420" t="s">
        <v>511</v>
      </c>
      <c r="F220" s="420" t="s">
        <v>511</v>
      </c>
      <c r="G220" s="420" t="s">
        <v>511</v>
      </c>
      <c r="H220" s="420" t="s">
        <v>511</v>
      </c>
      <c r="I220" s="420" t="s">
        <v>511</v>
      </c>
      <c r="J220" s="420" t="s">
        <v>511</v>
      </c>
      <c r="K220" s="420" t="s">
        <v>511</v>
      </c>
      <c r="L220" s="420" t="s">
        <v>511</v>
      </c>
      <c r="M220" s="420" t="s">
        <v>511</v>
      </c>
      <c r="N220" s="420" t="s">
        <v>511</v>
      </c>
      <c r="O220" s="420" t="s">
        <v>511</v>
      </c>
      <c r="P220" s="420" t="s">
        <v>511</v>
      </c>
      <c r="Q220" s="420" t="s">
        <v>511</v>
      </c>
      <c r="R220" s="420" t="s">
        <v>511</v>
      </c>
      <c r="S220" s="1310"/>
    </row>
    <row r="221" spans="1:19" ht="1.5" customHeight="1" thickBot="1">
      <c r="A221" s="338"/>
      <c r="B221" s="6"/>
      <c r="C221" s="339"/>
      <c r="D221" s="421"/>
      <c r="E221" s="421"/>
      <c r="F221" s="421"/>
      <c r="G221" s="421"/>
      <c r="H221" s="421"/>
      <c r="I221" s="421"/>
      <c r="J221" s="421"/>
      <c r="K221" s="421"/>
      <c r="L221" s="421"/>
      <c r="M221" s="421"/>
      <c r="N221" s="421"/>
      <c r="O221" s="421"/>
      <c r="P221" s="421"/>
      <c r="Q221" s="421"/>
      <c r="R221" s="421"/>
      <c r="S221" s="1310"/>
    </row>
    <row r="222" spans="1:19">
      <c r="A222" s="44" t="s">
        <v>503</v>
      </c>
      <c r="B222" s="55"/>
      <c r="C222" s="334" t="s">
        <v>504</v>
      </c>
      <c r="D222" s="422">
        <f>SUM(D223:D225)</f>
        <v>163187</v>
      </c>
      <c r="E222" s="422">
        <f t="shared" ref="E222:R222" si="247">SUM(E223:E225)</f>
        <v>175285</v>
      </c>
      <c r="F222" s="422">
        <f t="shared" si="247"/>
        <v>179461</v>
      </c>
      <c r="G222" s="422">
        <f t="shared" si="247"/>
        <v>187680</v>
      </c>
      <c r="H222" s="422">
        <f>SUM(H223:H225)</f>
        <v>195187.20000000001</v>
      </c>
      <c r="I222" s="422">
        <f t="shared" si="247"/>
        <v>202994.68800000002</v>
      </c>
      <c r="J222" s="422">
        <f t="shared" si="247"/>
        <v>211114.47552000004</v>
      </c>
      <c r="K222" s="422">
        <f t="shared" si="247"/>
        <v>219559.05454080005</v>
      </c>
      <c r="L222" s="422">
        <f>SUM(L223:L225)</f>
        <v>228341.41672243207</v>
      </c>
      <c r="M222" s="422">
        <f t="shared" si="247"/>
        <v>237475.07339132932</v>
      </c>
      <c r="N222" s="422">
        <f>SUM(N223:N225)</f>
        <v>246974.07632698253</v>
      </c>
      <c r="O222" s="422">
        <f t="shared" si="247"/>
        <v>256853.03938006185</v>
      </c>
      <c r="P222" s="422">
        <f t="shared" si="247"/>
        <v>267127.16095526435</v>
      </c>
      <c r="Q222" s="422">
        <f t="shared" si="247"/>
        <v>277812.24739347491</v>
      </c>
      <c r="R222" s="422">
        <f t="shared" si="247"/>
        <v>288924.73728921392</v>
      </c>
      <c r="S222" s="1310"/>
    </row>
    <row r="223" spans="1:19">
      <c r="A223" s="28" t="s">
        <v>505</v>
      </c>
      <c r="B223" s="81"/>
      <c r="C223" s="335" t="s">
        <v>506</v>
      </c>
      <c r="D223" s="18">
        <v>89809</v>
      </c>
      <c r="E223" s="18">
        <v>98035</v>
      </c>
      <c r="F223" s="18">
        <v>99121</v>
      </c>
      <c r="G223" s="18">
        <v>102520</v>
      </c>
      <c r="H223" s="18">
        <f t="shared" ref="H223:R223" si="248">+G223*$F$8</f>
        <v>106620.8</v>
      </c>
      <c r="I223" s="18">
        <f t="shared" si="248"/>
        <v>110885.63200000001</v>
      </c>
      <c r="J223" s="18">
        <f t="shared" si="248"/>
        <v>115321.05728000002</v>
      </c>
      <c r="K223" s="18">
        <f t="shared" si="248"/>
        <v>119933.89957120003</v>
      </c>
      <c r="L223" s="18">
        <f t="shared" si="248"/>
        <v>124731.25555404804</v>
      </c>
      <c r="M223" s="18">
        <f t="shared" si="248"/>
        <v>129720.50577620996</v>
      </c>
      <c r="N223" s="18">
        <f t="shared" si="248"/>
        <v>134909.32600725835</v>
      </c>
      <c r="O223" s="18">
        <f t="shared" si="248"/>
        <v>140305.6990475487</v>
      </c>
      <c r="P223" s="18">
        <f t="shared" si="248"/>
        <v>145917.92700945065</v>
      </c>
      <c r="Q223" s="18">
        <f t="shared" si="248"/>
        <v>151754.64408982868</v>
      </c>
      <c r="R223" s="18">
        <f t="shared" si="248"/>
        <v>157824.82985342183</v>
      </c>
      <c r="S223" s="1310"/>
    </row>
    <row r="224" spans="1:19">
      <c r="A224" s="82" t="s">
        <v>507</v>
      </c>
      <c r="B224" s="83"/>
      <c r="C224" s="335" t="s">
        <v>508</v>
      </c>
      <c r="D224" s="18">
        <v>0</v>
      </c>
      <c r="E224" s="18">
        <f>+D224*$E$8</f>
        <v>0</v>
      </c>
      <c r="F224" s="18">
        <f t="shared" ref="F224:R224" si="249">+E224*$F$8</f>
        <v>0</v>
      </c>
      <c r="G224" s="18">
        <f t="shared" si="249"/>
        <v>0</v>
      </c>
      <c r="H224" s="18">
        <f t="shared" si="249"/>
        <v>0</v>
      </c>
      <c r="I224" s="18">
        <f t="shared" si="249"/>
        <v>0</v>
      </c>
      <c r="J224" s="18">
        <f t="shared" si="249"/>
        <v>0</v>
      </c>
      <c r="K224" s="18">
        <f t="shared" si="249"/>
        <v>0</v>
      </c>
      <c r="L224" s="18">
        <f t="shared" si="249"/>
        <v>0</v>
      </c>
      <c r="M224" s="18">
        <f t="shared" si="249"/>
        <v>0</v>
      </c>
      <c r="N224" s="18">
        <f t="shared" si="249"/>
        <v>0</v>
      </c>
      <c r="O224" s="18">
        <f t="shared" si="249"/>
        <v>0</v>
      </c>
      <c r="P224" s="18">
        <f t="shared" si="249"/>
        <v>0</v>
      </c>
      <c r="Q224" s="18">
        <f t="shared" si="249"/>
        <v>0</v>
      </c>
      <c r="R224" s="18">
        <f t="shared" si="249"/>
        <v>0</v>
      </c>
      <c r="S224" s="1310"/>
    </row>
    <row r="225" spans="1:21" ht="13.5" thickBot="1">
      <c r="A225" s="467" t="s">
        <v>509</v>
      </c>
      <c r="B225" s="1157"/>
      <c r="C225" s="333" t="s">
        <v>510</v>
      </c>
      <c r="D225" s="1040">
        <v>73378</v>
      </c>
      <c r="E225" s="18">
        <v>77250</v>
      </c>
      <c r="F225" s="18">
        <v>80340</v>
      </c>
      <c r="G225" s="18">
        <v>85160</v>
      </c>
      <c r="H225" s="18">
        <f t="shared" ref="H225:R225" si="250">+G225*$F$8</f>
        <v>88566.400000000009</v>
      </c>
      <c r="I225" s="18">
        <f t="shared" si="250"/>
        <v>92109.056000000011</v>
      </c>
      <c r="J225" s="18">
        <f t="shared" si="250"/>
        <v>95793.418240000014</v>
      </c>
      <c r="K225" s="18">
        <f t="shared" si="250"/>
        <v>99625.154969600015</v>
      </c>
      <c r="L225" s="18">
        <f t="shared" si="250"/>
        <v>103610.16116838402</v>
      </c>
      <c r="M225" s="18">
        <f t="shared" si="250"/>
        <v>107754.56761511938</v>
      </c>
      <c r="N225" s="18">
        <f t="shared" si="250"/>
        <v>112064.75031972416</v>
      </c>
      <c r="O225" s="18">
        <f t="shared" si="250"/>
        <v>116547.34033251314</v>
      </c>
      <c r="P225" s="18">
        <f t="shared" si="250"/>
        <v>121209.23394581367</v>
      </c>
      <c r="Q225" s="18">
        <f t="shared" si="250"/>
        <v>126057.60330364622</v>
      </c>
      <c r="R225" s="18">
        <f t="shared" si="250"/>
        <v>131099.90743579206</v>
      </c>
      <c r="S225" s="90"/>
    </row>
    <row r="226" spans="1:21" ht="6" customHeight="1" thickBot="1">
      <c r="A226" s="1"/>
      <c r="B226" s="6"/>
      <c r="C226" s="1"/>
      <c r="D226" s="16"/>
      <c r="E226" s="16"/>
      <c r="F226" s="16"/>
      <c r="G226" s="16"/>
      <c r="H226" s="16"/>
      <c r="I226" s="16"/>
      <c r="J226" s="16"/>
      <c r="K226" s="16"/>
      <c r="L226" s="16"/>
      <c r="M226" s="16"/>
      <c r="N226" s="16"/>
      <c r="O226" s="16"/>
      <c r="P226" s="16"/>
      <c r="Q226" s="16"/>
      <c r="R226" s="16"/>
    </row>
    <row r="227" spans="1:21" ht="39" thickBot="1">
      <c r="A227" s="336" t="s">
        <v>497</v>
      </c>
      <c r="B227" s="47"/>
      <c r="C227" s="328" t="s">
        <v>498</v>
      </c>
      <c r="D227" s="419" t="str">
        <f>+D219</f>
        <v>Escenario Financiero Año 2009</v>
      </c>
      <c r="E227" s="419" t="str">
        <f t="shared" ref="E227:R227" si="251">+E219</f>
        <v>Escenario Financiero Año 2010</v>
      </c>
      <c r="F227" s="419" t="str">
        <f t="shared" si="251"/>
        <v>Escenario Financiero Año 2011</v>
      </c>
      <c r="G227" s="419" t="str">
        <f t="shared" si="251"/>
        <v>Escenario Financiero Año 2012</v>
      </c>
      <c r="H227" s="419" t="str">
        <f>+H219</f>
        <v>Escenario Financiero Año 2013</v>
      </c>
      <c r="I227" s="419" t="str">
        <f t="shared" si="251"/>
        <v>Escenario Financiero Año 2014</v>
      </c>
      <c r="J227" s="419" t="str">
        <f t="shared" si="251"/>
        <v>Escenario Financiero Año 2015</v>
      </c>
      <c r="K227" s="419" t="str">
        <f t="shared" si="251"/>
        <v>Escenario Financiero Año 2016</v>
      </c>
      <c r="L227" s="419" t="str">
        <f>+L219</f>
        <v>Escenario Financiero Año 2017</v>
      </c>
      <c r="M227" s="419" t="str">
        <f t="shared" si="251"/>
        <v>Escenario Financiero Año 2018</v>
      </c>
      <c r="N227" s="419" t="str">
        <f>+N219</f>
        <v>Escenario Financiero Año 2019</v>
      </c>
      <c r="O227" s="419" t="str">
        <f t="shared" si="251"/>
        <v>Escenario Financiero Año 2020</v>
      </c>
      <c r="P227" s="419" t="str">
        <f t="shared" si="251"/>
        <v>Escenario Financiero Año 2021</v>
      </c>
      <c r="Q227" s="419" t="str">
        <f t="shared" si="251"/>
        <v>Escenario Financiero Año 2022</v>
      </c>
      <c r="R227" s="419" t="str">
        <f t="shared" si="251"/>
        <v>Escenario Financiero Año 2023</v>
      </c>
      <c r="S227" s="1321"/>
    </row>
    <row r="228" spans="1:21" ht="13.5" hidden="1" thickBot="1">
      <c r="A228" s="337"/>
      <c r="B228" s="47"/>
      <c r="C228" s="339"/>
      <c r="D228" s="420" t="s">
        <v>511</v>
      </c>
      <c r="E228" s="420" t="s">
        <v>511</v>
      </c>
      <c r="F228" s="420" t="s">
        <v>511</v>
      </c>
      <c r="G228" s="420" t="s">
        <v>511</v>
      </c>
      <c r="H228" s="420" t="s">
        <v>511</v>
      </c>
      <c r="I228" s="420" t="s">
        <v>511</v>
      </c>
      <c r="J228" s="420" t="s">
        <v>511</v>
      </c>
      <c r="K228" s="420" t="s">
        <v>511</v>
      </c>
      <c r="L228" s="420" t="s">
        <v>511</v>
      </c>
      <c r="M228" s="420" t="s">
        <v>511</v>
      </c>
      <c r="N228" s="420" t="s">
        <v>511</v>
      </c>
      <c r="O228" s="420" t="s">
        <v>511</v>
      </c>
      <c r="P228" s="420" t="s">
        <v>511</v>
      </c>
      <c r="Q228" s="420" t="s">
        <v>511</v>
      </c>
      <c r="R228" s="420" t="s">
        <v>511</v>
      </c>
      <c r="S228" s="1310"/>
    </row>
    <row r="229" spans="1:21" ht="13.5" hidden="1" customHeight="1" thickBot="1">
      <c r="A229" s="337"/>
      <c r="B229" s="47"/>
      <c r="C229" s="329"/>
      <c r="D229" s="421"/>
      <c r="E229" s="421"/>
      <c r="F229" s="421"/>
      <c r="G229" s="421"/>
      <c r="H229" s="421"/>
      <c r="I229" s="421"/>
      <c r="J229" s="421"/>
      <c r="K229" s="421"/>
      <c r="L229" s="421"/>
      <c r="M229" s="421"/>
      <c r="N229" s="421"/>
      <c r="O229" s="421"/>
      <c r="P229" s="421"/>
      <c r="Q229" s="421"/>
      <c r="R229" s="421"/>
      <c r="S229" s="1310"/>
    </row>
    <row r="230" spans="1:21">
      <c r="A230" s="45" t="s">
        <v>512</v>
      </c>
      <c r="B230" s="56"/>
      <c r="C230" s="334" t="s">
        <v>513</v>
      </c>
      <c r="D230" s="422">
        <f>SUM(D231:D233)</f>
        <v>0</v>
      </c>
      <c r="E230" s="422">
        <f t="shared" ref="E230:R230" si="252">SUM(E231:E233)</f>
        <v>0</v>
      </c>
      <c r="F230" s="422">
        <f t="shared" si="252"/>
        <v>0</v>
      </c>
      <c r="G230" s="422">
        <f t="shared" si="252"/>
        <v>0</v>
      </c>
      <c r="H230" s="422">
        <f>SUM(H231:H233)</f>
        <v>0</v>
      </c>
      <c r="I230" s="422">
        <f t="shared" si="252"/>
        <v>0</v>
      </c>
      <c r="J230" s="422">
        <f t="shared" si="252"/>
        <v>0</v>
      </c>
      <c r="K230" s="422">
        <f t="shared" si="252"/>
        <v>0</v>
      </c>
      <c r="L230" s="422">
        <f>SUM(L231:L233)</f>
        <v>0</v>
      </c>
      <c r="M230" s="422">
        <f t="shared" si="252"/>
        <v>0</v>
      </c>
      <c r="N230" s="422">
        <f>SUM(N231:N233)</f>
        <v>0</v>
      </c>
      <c r="O230" s="422">
        <f t="shared" si="252"/>
        <v>0</v>
      </c>
      <c r="P230" s="422">
        <f t="shared" si="252"/>
        <v>0</v>
      </c>
      <c r="Q230" s="422">
        <f t="shared" si="252"/>
        <v>0</v>
      </c>
      <c r="R230" s="422">
        <f t="shared" si="252"/>
        <v>0</v>
      </c>
      <c r="S230" s="1310"/>
    </row>
    <row r="231" spans="1:21">
      <c r="A231" s="28" t="s">
        <v>514</v>
      </c>
      <c r="B231" s="47"/>
      <c r="C231" s="335" t="s">
        <v>515</v>
      </c>
      <c r="D231" s="18">
        <v>0</v>
      </c>
      <c r="E231" s="18">
        <f>+D231*$E$8</f>
        <v>0</v>
      </c>
      <c r="F231" s="18">
        <f t="shared" ref="F231:R231" si="253">+E231*$F$8</f>
        <v>0</v>
      </c>
      <c r="G231" s="18">
        <f t="shared" si="253"/>
        <v>0</v>
      </c>
      <c r="H231" s="18">
        <f t="shared" si="253"/>
        <v>0</v>
      </c>
      <c r="I231" s="18">
        <f t="shared" si="253"/>
        <v>0</v>
      </c>
      <c r="J231" s="18">
        <f t="shared" si="253"/>
        <v>0</v>
      </c>
      <c r="K231" s="18">
        <f t="shared" si="253"/>
        <v>0</v>
      </c>
      <c r="L231" s="18">
        <f t="shared" si="253"/>
        <v>0</v>
      </c>
      <c r="M231" s="18">
        <f t="shared" si="253"/>
        <v>0</v>
      </c>
      <c r="N231" s="18">
        <f t="shared" si="253"/>
        <v>0</v>
      </c>
      <c r="O231" s="18">
        <f t="shared" si="253"/>
        <v>0</v>
      </c>
      <c r="P231" s="18">
        <f t="shared" si="253"/>
        <v>0</v>
      </c>
      <c r="Q231" s="18">
        <f t="shared" si="253"/>
        <v>0</v>
      </c>
      <c r="R231" s="18">
        <f t="shared" si="253"/>
        <v>0</v>
      </c>
      <c r="S231" s="1310"/>
    </row>
    <row r="232" spans="1:21">
      <c r="A232" s="28"/>
      <c r="B232" s="47"/>
      <c r="C232" s="335"/>
      <c r="D232" s="7"/>
      <c r="E232" s="7"/>
      <c r="F232" s="7"/>
      <c r="G232" s="7"/>
      <c r="H232" s="7"/>
      <c r="I232" s="7"/>
      <c r="J232" s="7"/>
      <c r="K232" s="7"/>
      <c r="L232" s="7"/>
      <c r="M232" s="7"/>
      <c r="N232" s="7"/>
      <c r="O232" s="7"/>
      <c r="P232" s="7"/>
      <c r="Q232" s="7"/>
      <c r="R232" s="7"/>
      <c r="S232" s="1310"/>
    </row>
    <row r="233" spans="1:21" ht="13.5" thickBot="1">
      <c r="A233" s="29"/>
      <c r="B233" s="47"/>
      <c r="C233" s="333"/>
      <c r="D233" s="87"/>
      <c r="E233" s="87"/>
      <c r="F233" s="87"/>
      <c r="G233" s="87"/>
      <c r="H233" s="87"/>
      <c r="I233" s="87"/>
      <c r="J233" s="87"/>
      <c r="K233" s="87"/>
      <c r="L233" s="87"/>
      <c r="M233" s="87"/>
      <c r="N233" s="87"/>
      <c r="O233" s="87"/>
      <c r="P233" s="87"/>
      <c r="Q233" s="87"/>
      <c r="R233" s="87"/>
      <c r="S233" s="90"/>
    </row>
    <row r="234" spans="1:21" hidden="1">
      <c r="A234" s="4"/>
      <c r="B234" s="47"/>
      <c r="C234" s="1"/>
      <c r="D234" s="10"/>
      <c r="E234" s="10"/>
      <c r="F234" s="1"/>
      <c r="G234" s="1"/>
      <c r="H234" s="1"/>
      <c r="I234" s="1"/>
      <c r="J234" s="1"/>
      <c r="K234" s="1"/>
      <c r="L234" s="1"/>
      <c r="M234" s="1"/>
      <c r="N234" s="1"/>
      <c r="O234" s="1"/>
      <c r="P234" s="1"/>
      <c r="Q234" s="1"/>
      <c r="R234" s="1"/>
      <c r="S234" s="1"/>
    </row>
    <row r="235" spans="1:21" hidden="1">
      <c r="A235" s="4"/>
      <c r="B235" s="47"/>
      <c r="C235" s="1"/>
      <c r="D235" s="10"/>
      <c r="E235" s="10"/>
      <c r="F235" s="1"/>
      <c r="G235" s="1"/>
      <c r="H235" s="1"/>
      <c r="I235" s="1"/>
      <c r="J235" s="1"/>
      <c r="K235" s="1"/>
      <c r="L235" s="1"/>
      <c r="M235" s="1"/>
      <c r="N235" s="1"/>
      <c r="O235" s="1"/>
      <c r="P235" s="1"/>
      <c r="Q235" s="1"/>
      <c r="R235" s="1"/>
      <c r="S235" s="1"/>
    </row>
    <row r="236" spans="1:21" hidden="1">
      <c r="A236" s="4"/>
      <c r="B236" s="47"/>
      <c r="C236" s="1"/>
      <c r="D236" s="10"/>
      <c r="E236" s="10"/>
      <c r="F236" s="1"/>
      <c r="G236" s="1"/>
      <c r="H236" s="1"/>
      <c r="I236" s="1"/>
      <c r="J236" s="1"/>
      <c r="K236" s="1"/>
      <c r="L236" s="1"/>
      <c r="M236" s="1"/>
      <c r="N236" s="1"/>
      <c r="O236" s="1"/>
      <c r="P236" s="1"/>
      <c r="Q236" s="1"/>
      <c r="R236" s="1"/>
      <c r="S236" s="1"/>
    </row>
    <row r="237" spans="1:21" hidden="1">
      <c r="A237" s="4"/>
      <c r="B237" s="47"/>
      <c r="C237" s="1"/>
      <c r="D237" s="10"/>
      <c r="E237" s="10"/>
      <c r="F237" s="1"/>
      <c r="G237" s="1"/>
      <c r="H237" s="1"/>
      <c r="I237" s="1"/>
      <c r="J237" s="1"/>
      <c r="K237" s="1"/>
      <c r="L237" s="1"/>
      <c r="M237" s="1"/>
      <c r="N237" s="1"/>
      <c r="O237" s="1"/>
      <c r="P237" s="1"/>
      <c r="Q237" s="1"/>
      <c r="R237" s="1"/>
      <c r="S237" s="1"/>
    </row>
    <row r="238" spans="1:21" hidden="1">
      <c r="A238" s="4"/>
      <c r="B238" s="47"/>
      <c r="C238" s="1"/>
      <c r="D238" s="10"/>
      <c r="E238" s="10"/>
      <c r="F238" s="1"/>
      <c r="G238" s="1"/>
      <c r="H238" s="1"/>
      <c r="I238" s="10"/>
      <c r="J238" s="10"/>
      <c r="K238" s="10"/>
      <c r="L238" s="1"/>
      <c r="M238" s="1"/>
      <c r="N238" s="1"/>
      <c r="O238" s="1"/>
      <c r="P238" s="1"/>
      <c r="Q238" s="1"/>
      <c r="R238" s="1"/>
      <c r="S238" s="1"/>
    </row>
    <row r="239" spans="1:21" s="1172" customFormat="1" hidden="1">
      <c r="A239" s="996"/>
      <c r="B239" s="996"/>
      <c r="C239" s="996"/>
      <c r="D239" s="996"/>
      <c r="E239" s="996"/>
      <c r="F239" s="996"/>
      <c r="G239" s="996"/>
      <c r="H239" s="996"/>
      <c r="I239" s="996"/>
      <c r="J239" s="996"/>
      <c r="K239" s="996"/>
      <c r="L239" s="996"/>
      <c r="M239" s="996"/>
      <c r="N239" s="996"/>
      <c r="O239" s="996"/>
      <c r="P239" s="996"/>
      <c r="Q239" s="996"/>
      <c r="R239" s="996"/>
      <c r="S239" s="996"/>
    </row>
    <row r="240" spans="1:21" s="1172" customFormat="1" hidden="1">
      <c r="A240" s="996"/>
      <c r="B240" s="996"/>
      <c r="C240" s="996" t="s">
        <v>1030</v>
      </c>
      <c r="D240" s="996">
        <v>4</v>
      </c>
      <c r="E240" s="996">
        <v>5</v>
      </c>
      <c r="F240" s="996">
        <v>6</v>
      </c>
      <c r="G240" s="996">
        <v>7</v>
      </c>
      <c r="H240" s="996">
        <v>8</v>
      </c>
      <c r="I240" s="996">
        <v>9</v>
      </c>
      <c r="J240" s="996">
        <v>10</v>
      </c>
      <c r="K240" s="996">
        <v>11</v>
      </c>
      <c r="L240" s="996">
        <v>12</v>
      </c>
      <c r="M240" s="996">
        <v>13</v>
      </c>
      <c r="N240" s="996">
        <v>14</v>
      </c>
      <c r="O240" s="996">
        <v>15</v>
      </c>
      <c r="P240" s="996">
        <v>16</v>
      </c>
      <c r="Q240" s="996">
        <v>17</v>
      </c>
      <c r="R240" s="996">
        <v>18</v>
      </c>
      <c r="S240" s="996">
        <v>19</v>
      </c>
      <c r="T240" s="1172">
        <v>20</v>
      </c>
      <c r="U240" s="1172">
        <v>21</v>
      </c>
    </row>
    <row r="241" spans="1:19" s="1172" customFormat="1" hidden="1">
      <c r="A241" s="996"/>
      <c r="B241" s="996"/>
      <c r="C241" s="996"/>
      <c r="D241" s="996"/>
      <c r="E241" s="996"/>
      <c r="F241" s="996"/>
      <c r="G241" s="996"/>
      <c r="H241" s="996"/>
      <c r="I241" s="996"/>
      <c r="J241" s="996"/>
      <c r="K241" s="996"/>
      <c r="L241" s="996"/>
      <c r="M241" s="996"/>
      <c r="N241" s="996"/>
      <c r="O241" s="996"/>
      <c r="P241" s="996"/>
      <c r="Q241" s="996"/>
      <c r="R241" s="996"/>
      <c r="S241" s="996"/>
    </row>
    <row r="242" spans="1:19" hidden="1">
      <c r="A242" s="4"/>
      <c r="B242" s="47"/>
      <c r="C242" s="1"/>
      <c r="D242" s="10"/>
      <c r="E242" s="10"/>
      <c r="F242" s="1"/>
      <c r="G242" s="1"/>
      <c r="H242" s="1"/>
      <c r="I242" s="10"/>
      <c r="J242" s="10"/>
      <c r="K242" s="10"/>
      <c r="L242" s="1"/>
      <c r="M242" s="1"/>
      <c r="N242" s="1"/>
      <c r="O242" s="1"/>
      <c r="P242" s="1"/>
      <c r="Q242" s="1"/>
      <c r="R242" s="1"/>
      <c r="S242" s="1"/>
    </row>
    <row r="243" spans="1:19">
      <c r="A243" s="4"/>
      <c r="B243" s="47"/>
      <c r="C243" s="1"/>
      <c r="D243" s="10"/>
      <c r="E243" s="10"/>
      <c r="F243" s="1"/>
      <c r="G243" s="1"/>
      <c r="H243" s="1"/>
      <c r="I243" s="10"/>
      <c r="J243" s="10"/>
      <c r="K243" s="10"/>
      <c r="L243" s="1"/>
      <c r="M243" s="1"/>
      <c r="N243" s="1"/>
      <c r="O243" s="1"/>
      <c r="P243" s="1"/>
      <c r="Q243" s="1"/>
      <c r="R243" s="1"/>
      <c r="S243" s="1"/>
    </row>
    <row r="244" spans="1:19">
      <c r="A244" s="4"/>
      <c r="B244" s="47"/>
      <c r="C244" s="1"/>
      <c r="D244" s="10"/>
      <c r="E244" s="10"/>
      <c r="F244" s="1"/>
      <c r="G244" s="1"/>
      <c r="H244" s="1"/>
      <c r="I244" s="10"/>
      <c r="J244" s="10"/>
      <c r="K244" s="10"/>
      <c r="L244" s="1"/>
      <c r="M244" s="1"/>
      <c r="N244" s="1"/>
      <c r="O244" s="1"/>
      <c r="P244" s="1"/>
      <c r="Q244" s="1"/>
      <c r="R244" s="1"/>
      <c r="S244" s="1"/>
    </row>
    <row r="245" spans="1:19">
      <c r="A245" s="4"/>
      <c r="B245" s="47"/>
      <c r="C245" s="1"/>
      <c r="D245" s="10"/>
      <c r="E245" s="10"/>
      <c r="F245" s="1"/>
      <c r="G245" s="1"/>
      <c r="H245" s="1"/>
      <c r="I245" s="10"/>
      <c r="J245" s="10"/>
      <c r="K245" s="10"/>
      <c r="L245" s="1"/>
      <c r="M245" s="1"/>
      <c r="N245" s="1"/>
      <c r="O245" s="1"/>
      <c r="P245" s="1"/>
      <c r="Q245" s="1"/>
      <c r="R245" s="1"/>
      <c r="S245" s="1"/>
    </row>
    <row r="246" spans="1:19" s="1415" customFormat="1">
      <c r="A246" s="1425"/>
      <c r="B246" s="1426"/>
      <c r="C246" s="1382"/>
      <c r="D246" s="1382"/>
      <c r="E246" s="1382"/>
      <c r="F246" s="1382"/>
      <c r="G246" s="1382"/>
      <c r="H246" s="1382"/>
      <c r="I246" s="1382"/>
      <c r="J246" s="1382"/>
      <c r="K246" s="1382"/>
      <c r="L246" s="1382"/>
      <c r="M246" s="1382"/>
      <c r="N246" s="1382"/>
      <c r="O246" s="1382"/>
      <c r="P246" s="1382"/>
      <c r="Q246" s="1382"/>
      <c r="R246" s="1382"/>
      <c r="S246" s="1382"/>
    </row>
    <row r="247" spans="1:19">
      <c r="A247" s="1427"/>
      <c r="B247" s="1428"/>
      <c r="D247" s="488"/>
      <c r="E247" s="488"/>
      <c r="I247" s="488"/>
      <c r="J247" s="488"/>
      <c r="K247" s="488"/>
    </row>
    <row r="248" spans="1:19">
      <c r="B248" s="1416"/>
      <c r="D248" s="488"/>
      <c r="E248" s="488"/>
      <c r="I248" s="488"/>
      <c r="J248" s="488"/>
      <c r="K248" s="488"/>
    </row>
    <row r="249" spans="1:19">
      <c r="B249" s="1416"/>
      <c r="D249" s="488"/>
      <c r="E249" s="488"/>
      <c r="I249" s="488"/>
      <c r="J249" s="488"/>
      <c r="K249" s="488"/>
    </row>
  </sheetData>
  <sheetProtection password="95B1" sheet="1" objects="1" scenarios="1"/>
  <phoneticPr fontId="34" type="noConversion"/>
  <printOptions horizontalCentered="1" verticalCentered="1" gridLines="1"/>
  <pageMargins left="0.19685039370078741" right="0.19685039370078741" top="0.39370078740157483" bottom="0.39370078740157483" header="0.19685039370078741" footer="0"/>
  <pageSetup scale="50" orientation="landscape" horizontalDpi="4294967293" r:id="rId1"/>
  <headerFooter alignWithMargins="0">
    <oddHeader>&amp;C&amp;"Arial,Negrita"&amp;12&amp;F</oddHeader>
    <oddFooter>&amp;L&amp;"Arial,Negrita"&amp;F &amp;A&amp;R&amp;"Arial,Negrita"Página &amp;P de &amp;N</oddFooter>
  </headerFooter>
  <legacyDrawing r:id="rId2"/>
</worksheet>
</file>

<file path=xl/worksheets/sheet11.xml><?xml version="1.0" encoding="utf-8"?>
<worksheet xmlns="http://schemas.openxmlformats.org/spreadsheetml/2006/main" xmlns:r="http://schemas.openxmlformats.org/officeDocument/2006/relationships">
  <sheetPr codeName="Hoja11"/>
  <dimension ref="A1:IS159"/>
  <sheetViews>
    <sheetView zoomScale="80" zoomScaleNormal="80" workbookViewId="0">
      <selection activeCell="C21" sqref="C21"/>
    </sheetView>
  </sheetViews>
  <sheetFormatPr baseColWidth="10" defaultRowHeight="11.25"/>
  <cols>
    <col min="1" max="1" width="11.42578125" style="256"/>
    <col min="2" max="2" width="64.7109375" style="256" customWidth="1"/>
    <col min="3" max="4" width="16.28515625" style="256" customWidth="1"/>
    <col min="5" max="5" width="13.28515625" style="256" customWidth="1"/>
    <col min="6" max="6" width="16.7109375" style="256" bestFit="1" customWidth="1"/>
    <col min="7" max="7" width="10.85546875" style="256" bestFit="1" customWidth="1"/>
    <col min="8" max="8" width="15.140625" style="256" bestFit="1" customWidth="1"/>
    <col min="9" max="9" width="12.28515625" style="256" bestFit="1" customWidth="1"/>
    <col min="10" max="252" width="11.42578125" style="256"/>
    <col min="253" max="253" width="0" style="256" hidden="1" customWidth="1"/>
    <col min="254" max="16384" width="11.42578125" style="256"/>
  </cols>
  <sheetData>
    <row r="1" spans="1:5">
      <c r="B1" s="353" t="s">
        <v>1031</v>
      </c>
      <c r="C1" s="354"/>
      <c r="D1" s="991" t="str">
        <f>+Ingresos!B8</f>
        <v>MUNICIPIO DE CUNDAY</v>
      </c>
    </row>
    <row r="2" spans="1:5">
      <c r="B2" s="353" t="s">
        <v>493</v>
      </c>
      <c r="C2" s="354"/>
    </row>
    <row r="3" spans="1:5" ht="12" thickBot="1">
      <c r="B3" s="257"/>
      <c r="C3" s="258">
        <v>1</v>
      </c>
      <c r="D3" s="259">
        <v>1</v>
      </c>
    </row>
    <row r="4" spans="1:5" ht="24.75" customHeight="1" thickBot="1">
      <c r="B4" s="260" t="s">
        <v>498</v>
      </c>
      <c r="C4" s="261">
        <f>+D4-1</f>
        <v>2010</v>
      </c>
      <c r="D4" s="261">
        <f>+Ingresos!B10</f>
        <v>2011</v>
      </c>
    </row>
    <row r="5" spans="1:5" ht="12.75" customHeight="1" thickBot="1">
      <c r="A5" s="477" t="s">
        <v>650</v>
      </c>
      <c r="B5" s="262" t="s">
        <v>1032</v>
      </c>
      <c r="C5" s="1160"/>
      <c r="D5" s="263">
        <f>+'Ley 617'!$F$86</f>
        <v>2736608</v>
      </c>
      <c r="E5" s="1338"/>
    </row>
    <row r="6" spans="1:5" ht="12.75" customHeight="1">
      <c r="A6" s="256" t="s">
        <v>112</v>
      </c>
      <c r="B6" s="262" t="s">
        <v>1033</v>
      </c>
      <c r="C6" s="1161"/>
      <c r="D6" s="264">
        <f>+'Ley 617'!$F$92</f>
        <v>818968</v>
      </c>
    </row>
    <row r="7" spans="1:5">
      <c r="A7" s="256" t="s">
        <v>1034</v>
      </c>
      <c r="B7" s="262" t="s">
        <v>1035</v>
      </c>
      <c r="C7" s="265" t="e">
        <f>+C6/C5</f>
        <v>#DIV/0!</v>
      </c>
      <c r="D7" s="265">
        <f>+D6/D5</f>
        <v>0.29926390626644372</v>
      </c>
    </row>
    <row r="8" spans="1:5">
      <c r="A8" s="256" t="s">
        <v>1036</v>
      </c>
      <c r="B8" s="262" t="s">
        <v>1037</v>
      </c>
      <c r="C8" s="266">
        <f>+IF(C4&gt;=2004,VLOOKUP((2004*10)+C16,E110:F116,2),IF(C4&lt;2001,VLOOKUP((2001*10)+C16,E89:F95,2),IF(OR(C4=2001,C4=2002,C4=2003,C4=2004),VLOOKUP((C4*10)+C16,E89:F116,2))))</f>
        <v>0.8</v>
      </c>
      <c r="D8" s="266">
        <f>+IF(D4&gt;=2004,VLOOKUP((2004*10)+D16,E110:F116,2),IF(D4&lt;2001,VLOOKUP((2001*10)+D16,E89:F95,2),IF(OR(D4=2001,D4=2002,D4=2003,D4=2004),VLOOKUP((D4*10)+D16,E89:F116,2))))</f>
        <v>0.8</v>
      </c>
      <c r="E8" s="988"/>
    </row>
    <row r="9" spans="1:5" ht="12.75" customHeight="1" thickBot="1">
      <c r="A9" s="256" t="s">
        <v>1038</v>
      </c>
      <c r="B9" s="267" t="s">
        <v>1039</v>
      </c>
      <c r="C9" s="268" t="e">
        <f>+C7-C8</f>
        <v>#DIV/0!</v>
      </c>
      <c r="D9" s="268">
        <f>+D7-D8</f>
        <v>-0.50073609373355632</v>
      </c>
    </row>
    <row r="10" spans="1:5" ht="12.75" customHeight="1">
      <c r="B10" s="355" t="s">
        <v>1040</v>
      </c>
      <c r="C10" s="355"/>
    </row>
    <row r="11" spans="1:5" ht="12.75" customHeight="1">
      <c r="B11" s="356"/>
      <c r="C11" s="357"/>
    </row>
    <row r="12" spans="1:5" ht="6" customHeight="1"/>
    <row r="13" spans="1:5" ht="6" customHeight="1" thickBot="1">
      <c r="B13" s="269"/>
      <c r="C13" s="270"/>
    </row>
    <row r="14" spans="1:5" ht="27" customHeight="1" thickBot="1">
      <c r="B14" s="277" t="s">
        <v>1041</v>
      </c>
      <c r="C14" s="261">
        <f>+C4</f>
        <v>2010</v>
      </c>
      <c r="D14" s="261">
        <f>+D4</f>
        <v>2011</v>
      </c>
    </row>
    <row r="15" spans="1:5" ht="12" thickBot="1">
      <c r="B15" s="351"/>
      <c r="C15" s="352"/>
    </row>
    <row r="16" spans="1:5">
      <c r="B16" s="272" t="s">
        <v>835</v>
      </c>
      <c r="C16" s="1159">
        <v>6</v>
      </c>
      <c r="D16" s="1165">
        <f>+Ingresos!B12</f>
        <v>6</v>
      </c>
    </row>
    <row r="17" spans="1:6">
      <c r="B17" s="273" t="s">
        <v>1042</v>
      </c>
      <c r="C17" s="1162">
        <v>11</v>
      </c>
      <c r="D17" s="1162">
        <v>11</v>
      </c>
    </row>
    <row r="18" spans="1:6">
      <c r="B18" s="273" t="s">
        <v>1043</v>
      </c>
      <c r="C18" s="1162"/>
      <c r="D18" s="1162">
        <v>70</v>
      </c>
    </row>
    <row r="19" spans="1:6">
      <c r="B19" s="273" t="s">
        <v>1044</v>
      </c>
      <c r="C19" s="1163"/>
      <c r="D19" s="1163"/>
    </row>
    <row r="20" spans="1:6" ht="12" thickBot="1">
      <c r="B20" s="274" t="s">
        <v>1045</v>
      </c>
      <c r="C20" s="1164"/>
      <c r="D20" s="1164"/>
    </row>
    <row r="21" spans="1:6" ht="27.75" customHeight="1">
      <c r="B21" s="353" t="str">
        <f>+B1</f>
        <v xml:space="preserve">Municipio de </v>
      </c>
      <c r="C21" s="354"/>
      <c r="D21" s="991" t="str">
        <f>+D1</f>
        <v>MUNICIPIO DE CUNDAY</v>
      </c>
    </row>
    <row r="22" spans="1:6" ht="12" thickBot="1">
      <c r="B22" s="275"/>
      <c r="C22" s="275"/>
    </row>
    <row r="23" spans="1:6" ht="12" thickBot="1">
      <c r="B23" s="276" t="s">
        <v>840</v>
      </c>
      <c r="C23" s="275"/>
      <c r="D23" s="1403"/>
    </row>
    <row r="24" spans="1:6" ht="27.75" customHeight="1" thickBot="1">
      <c r="B24" s="277" t="s">
        <v>1046</v>
      </c>
      <c r="C24" s="261">
        <f>+C4</f>
        <v>2010</v>
      </c>
      <c r="D24" s="261">
        <f>+D4</f>
        <v>2011</v>
      </c>
    </row>
    <row r="25" spans="1:6" s="279" customFormat="1" ht="12.75" customHeight="1">
      <c r="A25" s="478" t="s">
        <v>505</v>
      </c>
      <c r="B25" s="278" t="s">
        <v>1047</v>
      </c>
      <c r="C25" s="1161"/>
      <c r="D25" s="264">
        <f>+Gastos!J223</f>
        <v>99121</v>
      </c>
    </row>
    <row r="26" spans="1:6" s="279" customFormat="1" ht="12.75" customHeight="1">
      <c r="A26" s="279" t="s">
        <v>1048</v>
      </c>
      <c r="B26" s="278" t="s">
        <v>1049</v>
      </c>
      <c r="C26" s="264">
        <f>SUM(C27:C28)</f>
        <v>0</v>
      </c>
      <c r="D26" s="264">
        <f>SUM(D27:D28)</f>
        <v>41049.119999999995</v>
      </c>
    </row>
    <row r="27" spans="1:6" s="279" customFormat="1" ht="12.75" customHeight="1">
      <c r="A27" s="279" t="s">
        <v>1050</v>
      </c>
      <c r="B27" s="278" t="s">
        <v>1051</v>
      </c>
      <c r="C27" s="264">
        <f>+C17*C18*C19</f>
        <v>0</v>
      </c>
      <c r="D27" s="264">
        <f>+D17*D18*D19</f>
        <v>0</v>
      </c>
    </row>
    <row r="28" spans="1:6" s="279" customFormat="1" ht="12.75" customHeight="1">
      <c r="A28" s="279" t="s">
        <v>1052</v>
      </c>
      <c r="B28" s="1001">
        <f>+D28/D5</f>
        <v>1.4999999999999998E-2</v>
      </c>
      <c r="C28" s="1161"/>
      <c r="D28" s="264">
        <f>IF(AND(C5&lt;=1000,D23="60 SMLV"),D20*60,(IF(D4&gt;=2004,VLOOKUP((2004*10)+D16,E110:G116,3),IF(D4&lt;2001,VLOOKUP((2001*10)+D16,E89:G95,3),IF(OR(D4=2001,D4=2002,D4=2003,D4=2004),VLOOKUP((D4*10)+D16,E89:G116,3)))))*$D$5)</f>
        <v>41049.119999999995</v>
      </c>
      <c r="E28" s="1339"/>
      <c r="F28" s="1005"/>
    </row>
    <row r="29" spans="1:6" ht="12.75" customHeight="1" thickBot="1">
      <c r="A29" s="256" t="s">
        <v>1053</v>
      </c>
      <c r="B29" s="280" t="s">
        <v>1039</v>
      </c>
      <c r="C29" s="281">
        <f>+C25-C26</f>
        <v>0</v>
      </c>
      <c r="D29" s="281">
        <f>+D25-D26</f>
        <v>58071.880000000005</v>
      </c>
      <c r="E29" s="1340"/>
    </row>
    <row r="33" spans="1:253" ht="12" thickBot="1">
      <c r="B33" s="353" t="str">
        <f>+B1</f>
        <v xml:space="preserve">Municipio de </v>
      </c>
      <c r="C33" s="354"/>
      <c r="D33" s="991" t="str">
        <f>+D1</f>
        <v>MUNICIPIO DE CUNDAY</v>
      </c>
    </row>
    <row r="34" spans="1:253" ht="12" thickBot="1">
      <c r="B34" s="275"/>
      <c r="C34" s="1003" t="s">
        <v>99</v>
      </c>
      <c r="D34" s="1003" t="s">
        <v>99</v>
      </c>
      <c r="E34" s="992" t="s">
        <v>1054</v>
      </c>
      <c r="F34" s="986"/>
      <c r="IS34" s="986" t="s">
        <v>97</v>
      </c>
    </row>
    <row r="35" spans="1:253" ht="12" thickBot="1">
      <c r="B35" s="1000" t="s">
        <v>1055</v>
      </c>
      <c r="C35" s="275"/>
      <c r="IS35" s="986" t="s">
        <v>99</v>
      </c>
    </row>
    <row r="36" spans="1:253" s="279" customFormat="1" ht="31.5" customHeight="1" thickBot="1">
      <c r="B36" s="282" t="s">
        <v>1056</v>
      </c>
      <c r="C36" s="261">
        <f>+C4</f>
        <v>2010</v>
      </c>
      <c r="D36" s="261">
        <f>+D4</f>
        <v>2011</v>
      </c>
    </row>
    <row r="37" spans="1:253" s="279" customFormat="1" ht="12.75" customHeight="1">
      <c r="A37" s="478" t="s">
        <v>507</v>
      </c>
      <c r="B37" s="262" t="s">
        <v>1057</v>
      </c>
      <c r="C37" s="1345">
        <v>0</v>
      </c>
      <c r="D37" s="284">
        <f>+Gastos!J224</f>
        <v>0</v>
      </c>
    </row>
    <row r="38" spans="1:253" s="279" customFormat="1" ht="12.75" customHeight="1">
      <c r="A38" s="279" t="s">
        <v>978</v>
      </c>
      <c r="B38" s="1002">
        <f>+D38/D5</f>
        <v>0</v>
      </c>
      <c r="C38" s="264">
        <f>+IF(C34="NO",0,IF(C34="SI",IF(C4&gt;=2004,VLOOKUP((2004*10)+C16,E110:H116,4),IF(C4&lt;2001,VLOOKUP((2001*10)+C16,E89:H95,4),IF(OR(C4=2001,C4=2002,C4=2003,C4=2004),VLOOKUP((C4*10)+C16,E89:H116,4)))))*$C$5)</f>
        <v>0</v>
      </c>
      <c r="D38" s="264">
        <f>IF(D34="NO",0,IF(D34="SI",IF(K108&gt;L108,L108,K108),0))</f>
        <v>0</v>
      </c>
    </row>
    <row r="39" spans="1:253" ht="12.75" customHeight="1" thickBot="1">
      <c r="A39" s="256" t="s">
        <v>1058</v>
      </c>
      <c r="B39" s="267" t="s">
        <v>1059</v>
      </c>
      <c r="C39" s="285">
        <f>+C37-C38</f>
        <v>0</v>
      </c>
      <c r="D39" s="285">
        <f>+D37-D38</f>
        <v>0</v>
      </c>
    </row>
    <row r="40" spans="1:253">
      <c r="B40" s="286" t="s">
        <v>1060</v>
      </c>
    </row>
    <row r="41" spans="1:253" ht="3.75" customHeight="1"/>
    <row r="42" spans="1:253" ht="3.75" customHeight="1"/>
    <row r="43" spans="1:253">
      <c r="B43" s="353" t="str">
        <f>+B1</f>
        <v xml:space="preserve">Municipio de </v>
      </c>
      <c r="C43" s="354"/>
      <c r="D43" s="991" t="str">
        <f>+D1</f>
        <v>MUNICIPIO DE CUNDAY</v>
      </c>
    </row>
    <row r="45" spans="1:253" ht="12" thickBot="1">
      <c r="B45" s="276" t="s">
        <v>1055</v>
      </c>
      <c r="C45" s="275"/>
    </row>
    <row r="46" spans="1:253" ht="27.75" customHeight="1" thickBot="1">
      <c r="B46" s="282" t="s">
        <v>1061</v>
      </c>
      <c r="C46" s="261">
        <f>+C4</f>
        <v>2010</v>
      </c>
      <c r="D46" s="261">
        <f>+D4</f>
        <v>2011</v>
      </c>
    </row>
    <row r="47" spans="1:253">
      <c r="A47" s="479" t="s">
        <v>509</v>
      </c>
      <c r="B47" s="262" t="s">
        <v>1047</v>
      </c>
      <c r="C47" s="1166">
        <v>77250</v>
      </c>
      <c r="D47" s="284">
        <f>+Gastos!J225</f>
        <v>80340</v>
      </c>
      <c r="E47" s="1006"/>
      <c r="F47" s="287"/>
    </row>
    <row r="48" spans="1:253">
      <c r="A48" s="256" t="s">
        <v>1062</v>
      </c>
      <c r="B48" s="1004" t="s">
        <v>1063</v>
      </c>
      <c r="C48" s="284">
        <f>+IF(C16=3,C20*350,IF(C16=4,C20*280,IF(C16=5,C20*190,IF(C16=6,C20*150,(IF(C4&gt;=2004,VLOOKUP((2004*10)+C16,E110:I116,5),IF(C4&lt;2001,VLOOKUP((2001*10)+C16,E89:I95,5),IF(OR(C4=2001,C4=2002,C4=2003,C4=2004),VLOOKUP((C4*10)+C16,E89:I116,5)))))*$C$5))))</f>
        <v>0</v>
      </c>
      <c r="D48" s="264">
        <f>IF(D16=3,D20*350,IF(D16=4,D20*280,IF(D16=5,D20*190,IF(D16=6,D20*150,(IF(D4&gt;=2004,VLOOKUP((2004*10)+D16,E110:I116,5),IF(D4&lt;2001,VLOOKUP((2001*10)+D16,E89:I95,5),IF(OR(D4=2001,D4=2002,D4=2003,D4=2004),VLOOKUP((D4*10)+D16,E89:I116,5)))))*$D$5))))</f>
        <v>0</v>
      </c>
      <c r="E48" s="1007"/>
      <c r="F48" s="1008"/>
    </row>
    <row r="49" spans="1:5" ht="12" thickBot="1">
      <c r="A49" s="256" t="s">
        <v>1064</v>
      </c>
      <c r="B49" s="267" t="s">
        <v>1039</v>
      </c>
      <c r="C49" s="285">
        <f>+C47-C48</f>
        <v>77250</v>
      </c>
      <c r="D49" s="285">
        <f>+D47-D48</f>
        <v>80340</v>
      </c>
    </row>
    <row r="50" spans="1:5">
      <c r="B50" s="286" t="s">
        <v>1065</v>
      </c>
    </row>
    <row r="52" spans="1:5" hidden="1"/>
    <row r="53" spans="1:5" hidden="1"/>
    <row r="55" spans="1:5">
      <c r="B55" s="353" t="s">
        <v>1066</v>
      </c>
      <c r="D55" s="354" t="str">
        <f>+Ingresos!$B$8</f>
        <v>MUNICIPIO DE CUNDAY</v>
      </c>
      <c r="E55" s="288"/>
    </row>
    <row r="56" spans="1:5" ht="12" thickBot="1">
      <c r="B56" s="290" t="str">
        <f>'Capacidad de Pago'!D47</f>
        <v>(en millones de $)</v>
      </c>
      <c r="D56" s="289"/>
    </row>
    <row r="57" spans="1:5" ht="63.75" customHeight="1">
      <c r="B57" s="349" t="str">
        <f>'Capacidad de Pago'!A47</f>
        <v>CAPACIDAD DE ENDEUDAMIENTO</v>
      </c>
      <c r="C57" s="349" t="s">
        <v>1067</v>
      </c>
      <c r="D57" s="349" t="s">
        <v>1068</v>
      </c>
      <c r="E57" s="349" t="s">
        <v>1069</v>
      </c>
    </row>
    <row r="58" spans="1:5" ht="16.5" customHeight="1" thickBot="1">
      <c r="B58" s="350"/>
      <c r="C58" s="999">
        <f>+D58-1</f>
        <v>2010</v>
      </c>
      <c r="D58" s="999">
        <f>IF(OR(Ingresos!E10=0,Ingresos!E10=4),'Cuadros para Informe Municipios'!D4+1,'Cuadros para Informe Municipios'!D4)</f>
        <v>2011</v>
      </c>
      <c r="E58" s="999">
        <f>+D58</f>
        <v>2011</v>
      </c>
    </row>
    <row r="59" spans="1:5">
      <c r="A59" s="480" t="s">
        <v>1252</v>
      </c>
      <c r="B59" s="272" t="str">
        <f>'Capacidad de Pago'!B50</f>
        <v xml:space="preserve">INGRESOS CORRIENTES </v>
      </c>
      <c r="C59" s="263">
        <f>'Capacidad de Pago'!C50</f>
        <v>2373166</v>
      </c>
      <c r="D59" s="291">
        <f>'Capacidad de Pago'!D50</f>
        <v>2491824.2999999998</v>
      </c>
      <c r="E59" s="291">
        <f>'Capacidad de Pago'!E50</f>
        <v>2258600.4</v>
      </c>
    </row>
    <row r="60" spans="1:5">
      <c r="A60" s="480" t="s">
        <v>110</v>
      </c>
      <c r="B60" s="292" t="str">
        <f>'Capacidad de Pago'!B51</f>
        <v>GASTOS DE FUNCIONAMIENTO</v>
      </c>
      <c r="C60" s="264">
        <f>'Capacidad de Pago'!C51</f>
        <v>860814.85</v>
      </c>
      <c r="D60" s="284">
        <f>'Capacidad de Pago'!D51</f>
        <v>903855.59250000003</v>
      </c>
      <c r="E60" s="284">
        <f>'Capacidad de Pago'!E51</f>
        <v>903855.59250000003</v>
      </c>
    </row>
    <row r="61" spans="1:5">
      <c r="A61" s="480" t="s">
        <v>700</v>
      </c>
      <c r="B61" s="293" t="str">
        <f>'Capacidad de Pago'!B52</f>
        <v>AHORRO OPERACIONAL (1-2)</v>
      </c>
      <c r="C61" s="264">
        <f>'Capacidad de Pago'!C52</f>
        <v>1512351.15</v>
      </c>
      <c r="D61" s="284">
        <f>'Capacidad de Pago'!D52</f>
        <v>1587968.7074999998</v>
      </c>
      <c r="E61" s="284">
        <f>'Capacidad de Pago'!E52</f>
        <v>1354744.8074999999</v>
      </c>
    </row>
    <row r="62" spans="1:5">
      <c r="A62" s="480" t="s">
        <v>706</v>
      </c>
      <c r="B62" s="293" t="str">
        <f>'Capacidad de Pago'!B53</f>
        <v xml:space="preserve">SALDO DEUDA CON NUEVO CREDITO </v>
      </c>
      <c r="C62" s="264">
        <f>'Capacidad de Pago'!C53</f>
        <v>0</v>
      </c>
      <c r="D62" s="284">
        <f>'Capacidad de Pago'!D53</f>
        <v>23331</v>
      </c>
      <c r="E62" s="284">
        <f>'Capacidad de Pago'!E53</f>
        <v>23331</v>
      </c>
    </row>
    <row r="63" spans="1:5" ht="12" thickBot="1">
      <c r="A63" s="480" t="s">
        <v>722</v>
      </c>
      <c r="B63" s="294" t="str">
        <f>'Capacidad de Pago'!B54</f>
        <v>INTERESES DE LA DEUDA</v>
      </c>
      <c r="C63" s="281">
        <f>'Capacidad de Pago'!C54</f>
        <v>0</v>
      </c>
      <c r="D63" s="285">
        <f>'Capacidad de Pago'!D54</f>
        <v>0</v>
      </c>
      <c r="E63" s="285">
        <f>'Capacidad de Pago'!E54</f>
        <v>0</v>
      </c>
    </row>
    <row r="64" spans="1:5">
      <c r="A64" s="256" t="s">
        <v>742</v>
      </c>
      <c r="B64" s="295" t="str">
        <f>'Capacidad de Pago'!B56</f>
        <v>SOLVENCIA = INTERESES / AHORRO OPERACIONAL  = ( 5 / 3 )</v>
      </c>
      <c r="C64" s="296">
        <f>'Capacidad de Pago'!C56</f>
        <v>0</v>
      </c>
      <c r="D64" s="297">
        <f>'Capacidad de Pago'!D56</f>
        <v>0</v>
      </c>
      <c r="E64" s="297">
        <f>'Capacidad de Pago'!E56</f>
        <v>0</v>
      </c>
    </row>
    <row r="65" spans="1:5" ht="12" thickBot="1">
      <c r="A65" s="256" t="s">
        <v>744</v>
      </c>
      <c r="B65" s="298" t="str">
        <f>'Capacidad de Pago'!B57</f>
        <v>SOSTENIBILIDAD = SALDO DEUDA / INGRESOS CORRIENTES  = (4 / 1 )</v>
      </c>
      <c r="C65" s="299">
        <f>'Capacidad de Pago'!C57</f>
        <v>0</v>
      </c>
      <c r="D65" s="300">
        <f>'Capacidad de Pago'!D57</f>
        <v>9.3630196960516037E-3</v>
      </c>
      <c r="E65" s="300">
        <f>'Capacidad de Pago'!E57</f>
        <v>1.0329848520349152E-2</v>
      </c>
    </row>
    <row r="66" spans="1:5" ht="12" hidden="1" thickBot="1">
      <c r="A66" s="256" t="s">
        <v>746</v>
      </c>
      <c r="B66" s="301" t="str">
        <f>'Capacidad de Pago'!B58</f>
        <v>ESTADO ACTUAL DE LA ENTIDAD (SEMÁFORO)</v>
      </c>
      <c r="C66" s="302">
        <f>'Capacidad de Pago'!C58</f>
        <v>0</v>
      </c>
      <c r="D66" s="303">
        <f>'Capacidad de Pago'!D58</f>
        <v>-1</v>
      </c>
      <c r="E66" s="303">
        <f>'Capacidad de Pago'!E58</f>
        <v>-1</v>
      </c>
    </row>
    <row r="67" spans="1:5" ht="23.25" customHeight="1" thickBot="1">
      <c r="B67" s="301" t="str">
        <f>'Capacidad de Pago'!B59</f>
        <v>ESTADO ACTUAL DE LA ENTIDAD (SEMÁFORO)</v>
      </c>
      <c r="C67" s="302">
        <f>'Capacidad de Pago'!C59</f>
        <v>0</v>
      </c>
      <c r="D67" s="303" t="str">
        <f>'Capacidad de Pago'!D59</f>
        <v>VERDE</v>
      </c>
      <c r="E67" s="303" t="str">
        <f>'Capacidad de Pago'!E59</f>
        <v>VERDE</v>
      </c>
    </row>
    <row r="68" spans="1:5" ht="15.75">
      <c r="B68" s="10" t="s">
        <v>1070</v>
      </c>
      <c r="C68" s="118"/>
      <c r="D68" s="10"/>
      <c r="E68" s="6"/>
    </row>
    <row r="69" spans="1:5" ht="6.75" customHeight="1"/>
    <row r="70" spans="1:5" ht="6.75" customHeight="1"/>
    <row r="71" spans="1:5">
      <c r="B71" s="353" t="str">
        <f>+B1</f>
        <v xml:space="preserve">Municipio de </v>
      </c>
      <c r="C71" s="354"/>
      <c r="D71" s="991" t="str">
        <f>+D1</f>
        <v>MUNICIPIO DE CUNDAY</v>
      </c>
    </row>
    <row r="72" spans="1:5" ht="12" thickBot="1">
      <c r="B72" s="276" t="s">
        <v>1055</v>
      </c>
      <c r="C72" s="275"/>
    </row>
    <row r="73" spans="1:5" ht="12" thickBot="1">
      <c r="B73" s="271" t="s">
        <v>498</v>
      </c>
      <c r="C73" s="283">
        <f>+C4</f>
        <v>2010</v>
      </c>
      <c r="D73" s="283">
        <f>+D4</f>
        <v>2011</v>
      </c>
    </row>
    <row r="74" spans="1:5" ht="18.75" customHeight="1">
      <c r="A74" s="256" t="s">
        <v>1071</v>
      </c>
      <c r="B74" s="262" t="s">
        <v>1072</v>
      </c>
      <c r="C74" s="304">
        <f>SUM(C75:C76)</f>
        <v>77250</v>
      </c>
      <c r="D74" s="304">
        <f>SUM(D75:D76)</f>
        <v>998429</v>
      </c>
    </row>
    <row r="75" spans="1:5" ht="14.25" customHeight="1">
      <c r="A75" s="256" t="str">
        <f>A6</f>
        <v>21</v>
      </c>
      <c r="B75" s="262" t="s">
        <v>1073</v>
      </c>
      <c r="C75" s="284">
        <f>+C6</f>
        <v>0</v>
      </c>
      <c r="D75" s="284">
        <f>+D6</f>
        <v>818968</v>
      </c>
    </row>
    <row r="76" spans="1:5" ht="15.75" customHeight="1">
      <c r="A76" s="256" t="s">
        <v>1074</v>
      </c>
      <c r="B76" s="262" t="s">
        <v>1075</v>
      </c>
      <c r="C76" s="284">
        <f>+C25+C47+C37</f>
        <v>77250</v>
      </c>
      <c r="D76" s="284">
        <f>+D25+D47+D37</f>
        <v>179461</v>
      </c>
    </row>
    <row r="77" spans="1:5" ht="16.5" customHeight="1" thickBot="1">
      <c r="A77" s="256" t="str">
        <f>A5</f>
        <v>120A</v>
      </c>
      <c r="B77" s="262" t="s">
        <v>1076</v>
      </c>
      <c r="C77" s="284">
        <f>+C5</f>
        <v>0</v>
      </c>
      <c r="D77" s="284">
        <f>+D5</f>
        <v>2736608</v>
      </c>
    </row>
    <row r="78" spans="1:5" ht="18" customHeight="1" thickBot="1">
      <c r="A78" s="256" t="s">
        <v>1077</v>
      </c>
      <c r="B78" s="305" t="s">
        <v>1078</v>
      </c>
      <c r="C78" s="306" t="e">
        <f>+C74/C77</f>
        <v>#DIV/0!</v>
      </c>
      <c r="D78" s="306">
        <f>+D74/D77</f>
        <v>0.36484180416047896</v>
      </c>
    </row>
    <row r="79" spans="1:5" ht="18" customHeight="1" thickBot="1">
      <c r="A79" s="256" t="s">
        <v>1079</v>
      </c>
      <c r="B79" s="305" t="s">
        <v>1080</v>
      </c>
      <c r="C79" s="1370"/>
      <c r="D79" s="1370"/>
    </row>
    <row r="80" spans="1:5" ht="18" customHeight="1" thickBot="1">
      <c r="A80" s="256" t="s">
        <v>1081</v>
      </c>
      <c r="B80" s="305" t="s">
        <v>1039</v>
      </c>
      <c r="C80" s="306" t="e">
        <f>+C78-C79</f>
        <v>#DIV/0!</v>
      </c>
      <c r="D80" s="306">
        <f>+D78-D79</f>
        <v>0.36484180416047896</v>
      </c>
    </row>
    <row r="83" spans="2:12">
      <c r="B83" s="1265"/>
      <c r="C83" s="279"/>
      <c r="D83" s="279"/>
    </row>
    <row r="84" spans="2:12">
      <c r="B84" s="1266"/>
      <c r="C84" s="1267"/>
      <c r="D84" s="1267"/>
    </row>
    <row r="85" spans="2:12">
      <c r="B85" s="289"/>
      <c r="C85" s="1268"/>
      <c r="D85" s="1266"/>
    </row>
    <row r="86" spans="2:12">
      <c r="B86" s="1269"/>
      <c r="C86" s="1266"/>
      <c r="D86" s="1266"/>
    </row>
    <row r="87" spans="2:12" s="986" customFormat="1">
      <c r="B87" s="1324"/>
      <c r="C87" s="1325"/>
      <c r="D87" s="1325"/>
    </row>
    <row r="88" spans="2:12" ht="12" hidden="1">
      <c r="C88" s="1346" t="s">
        <v>1082</v>
      </c>
      <c r="D88" s="1346" t="s">
        <v>1083</v>
      </c>
      <c r="E88" s="995" t="s">
        <v>1084</v>
      </c>
      <c r="F88" s="995" t="s">
        <v>1085</v>
      </c>
      <c r="G88" s="995" t="s">
        <v>1086</v>
      </c>
      <c r="H88" s="995" t="s">
        <v>1087</v>
      </c>
      <c r="I88" s="995" t="s">
        <v>1088</v>
      </c>
      <c r="J88" s="986" t="s">
        <v>1089</v>
      </c>
      <c r="K88" s="256" t="s">
        <v>1090</v>
      </c>
    </row>
    <row r="89" spans="2:12" ht="12.75" hidden="1">
      <c r="C89" s="1346" t="s">
        <v>1091</v>
      </c>
      <c r="D89" s="1346" t="s">
        <v>1092</v>
      </c>
      <c r="E89" s="996">
        <v>20010</v>
      </c>
      <c r="F89" s="996">
        <v>0.61</v>
      </c>
      <c r="G89" s="997">
        <v>1.7999999999999999E-2</v>
      </c>
      <c r="H89" s="987">
        <v>3.6999999999999998E-2</v>
      </c>
      <c r="I89" s="987">
        <v>1.9E-2</v>
      </c>
      <c r="J89" s="986">
        <v>1990</v>
      </c>
      <c r="K89" s="1342">
        <v>32.36</v>
      </c>
      <c r="L89" s="256">
        <f>K89/100+1</f>
        <v>1.3235999999999999</v>
      </c>
    </row>
    <row r="90" spans="2:12" ht="12.75" hidden="1">
      <c r="E90" s="996">
        <v>20011</v>
      </c>
      <c r="F90" s="996">
        <v>0.8</v>
      </c>
      <c r="G90" s="997">
        <v>1.7999999999999999E-2</v>
      </c>
      <c r="H90" s="987">
        <v>3.2000000000000001E-2</v>
      </c>
      <c r="I90" s="987">
        <v>2.3E-2</v>
      </c>
      <c r="J90" s="1341">
        <v>1991</v>
      </c>
      <c r="K90" s="1342">
        <v>26.82</v>
      </c>
      <c r="L90" s="256">
        <f t="shared" ref="L90:L107" si="0">K90/100+1</f>
        <v>1.2682</v>
      </c>
    </row>
    <row r="91" spans="2:12" ht="12.75" hidden="1">
      <c r="E91" s="996">
        <v>20012</v>
      </c>
      <c r="F91" s="996">
        <v>0.85</v>
      </c>
      <c r="G91" s="997">
        <v>1.7999999999999999E-2</v>
      </c>
      <c r="H91" s="987">
        <v>3.5999999999999997E-2</v>
      </c>
      <c r="I91" s="987">
        <v>3.2000000000000001E-2</v>
      </c>
      <c r="J91" s="986">
        <v>1992</v>
      </c>
      <c r="K91" s="1342">
        <v>25.13</v>
      </c>
      <c r="L91" s="256">
        <f t="shared" si="0"/>
        <v>1.2513000000000001</v>
      </c>
    </row>
    <row r="92" spans="2:12" ht="12.75" hidden="1">
      <c r="E92" s="996">
        <v>20013</v>
      </c>
      <c r="F92" s="996">
        <v>0.85</v>
      </c>
      <c r="G92" s="997">
        <v>1.4999999999999999E-2</v>
      </c>
      <c r="H92" s="986">
        <v>0</v>
      </c>
      <c r="I92" s="986">
        <v>350</v>
      </c>
      <c r="J92" s="1341">
        <v>1993</v>
      </c>
      <c r="K92" s="1342">
        <v>22.6</v>
      </c>
      <c r="L92" s="256">
        <f t="shared" si="0"/>
        <v>1.226</v>
      </c>
    </row>
    <row r="93" spans="2:12" ht="12.75" hidden="1">
      <c r="E93" s="996">
        <v>20014</v>
      </c>
      <c r="F93" s="996">
        <v>0.95</v>
      </c>
      <c r="G93" s="997">
        <v>1.4999999999999999E-2</v>
      </c>
      <c r="H93" s="986">
        <v>0</v>
      </c>
      <c r="I93" s="986">
        <v>280</v>
      </c>
      <c r="J93" s="986">
        <v>1994</v>
      </c>
      <c r="K93" s="1342">
        <v>22.59</v>
      </c>
      <c r="L93" s="256">
        <f t="shared" si="0"/>
        <v>1.2259</v>
      </c>
    </row>
    <row r="94" spans="2:12" ht="12.75" hidden="1">
      <c r="E94" s="996">
        <v>20015</v>
      </c>
      <c r="F94" s="996">
        <v>0.95</v>
      </c>
      <c r="G94" s="997">
        <v>1.4999999999999999E-2</v>
      </c>
      <c r="H94" s="986">
        <v>0</v>
      </c>
      <c r="I94" s="986">
        <v>190</v>
      </c>
      <c r="J94" s="1341">
        <v>1995</v>
      </c>
      <c r="K94" s="1342">
        <v>19.46</v>
      </c>
      <c r="L94" s="256">
        <f t="shared" si="0"/>
        <v>1.1945999999999999</v>
      </c>
    </row>
    <row r="95" spans="2:12" ht="12.75" hidden="1">
      <c r="E95" s="996">
        <v>20016</v>
      </c>
      <c r="F95" s="996">
        <v>0.95</v>
      </c>
      <c r="G95" s="997">
        <v>1.4999999999999999E-2</v>
      </c>
      <c r="H95" s="986">
        <v>0</v>
      </c>
      <c r="I95" s="986">
        <v>150</v>
      </c>
      <c r="J95" s="986">
        <v>1996</v>
      </c>
      <c r="K95" s="1342">
        <v>21.63</v>
      </c>
      <c r="L95" s="256">
        <f t="shared" si="0"/>
        <v>1.2162999999999999</v>
      </c>
    </row>
    <row r="96" spans="2:12" ht="12.75" hidden="1">
      <c r="E96" s="996">
        <v>20020</v>
      </c>
      <c r="F96" s="998">
        <v>0.56999999999999995</v>
      </c>
      <c r="G96" s="997">
        <v>1.7000000000000001E-2</v>
      </c>
      <c r="H96" s="997">
        <v>3.4000000000000002E-2</v>
      </c>
      <c r="I96" s="997">
        <v>1.7999999999999999E-2</v>
      </c>
      <c r="J96" s="1341">
        <v>1997</v>
      </c>
      <c r="K96" s="1342">
        <v>17.68</v>
      </c>
      <c r="L96" s="256">
        <f t="shared" si="0"/>
        <v>1.1768000000000001</v>
      </c>
    </row>
    <row r="97" spans="5:12" ht="12.75" hidden="1">
      <c r="E97" s="996">
        <v>20021</v>
      </c>
      <c r="F97" s="998">
        <v>0.75</v>
      </c>
      <c r="G97" s="997">
        <v>1.7000000000000001E-2</v>
      </c>
      <c r="H97" s="997">
        <v>0.03</v>
      </c>
      <c r="I97" s="997">
        <v>2.1000000000000001E-2</v>
      </c>
      <c r="J97" s="986">
        <v>1998</v>
      </c>
      <c r="K97" s="1342">
        <v>16.7</v>
      </c>
      <c r="L97" s="256">
        <f t="shared" si="0"/>
        <v>1.167</v>
      </c>
    </row>
    <row r="98" spans="5:12" ht="12.75" hidden="1">
      <c r="E98" s="996">
        <v>20022</v>
      </c>
      <c r="F98" s="998">
        <v>0.8</v>
      </c>
      <c r="G98" s="997">
        <v>1.7000000000000001E-2</v>
      </c>
      <c r="H98" s="997">
        <v>3.3000000000000002E-2</v>
      </c>
      <c r="I98" s="997">
        <v>2.8000000000000001E-2</v>
      </c>
      <c r="J98" s="1341">
        <v>1999</v>
      </c>
      <c r="K98" s="1342">
        <v>9.23</v>
      </c>
      <c r="L98" s="256">
        <f t="shared" si="0"/>
        <v>1.0923</v>
      </c>
    </row>
    <row r="99" spans="5:12" ht="12.75" hidden="1">
      <c r="E99" s="996">
        <v>20023</v>
      </c>
      <c r="F99" s="998">
        <v>0.8</v>
      </c>
      <c r="G99" s="997">
        <v>1.4999999999999999E-2</v>
      </c>
      <c r="H99" s="998">
        <v>0</v>
      </c>
      <c r="I99" s="986">
        <v>350</v>
      </c>
      <c r="J99" s="986">
        <v>2000</v>
      </c>
      <c r="K99" s="1342">
        <v>8.75</v>
      </c>
      <c r="L99" s="256">
        <f t="shared" si="0"/>
        <v>1.0874999999999999</v>
      </c>
    </row>
    <row r="100" spans="5:12" ht="12.75" hidden="1">
      <c r="E100" s="996">
        <v>20024</v>
      </c>
      <c r="F100" s="998">
        <v>0.9</v>
      </c>
      <c r="G100" s="997">
        <v>1.4999999999999999E-2</v>
      </c>
      <c r="H100" s="998">
        <v>0</v>
      </c>
      <c r="I100" s="986">
        <v>280</v>
      </c>
      <c r="J100" s="1341">
        <v>2001</v>
      </c>
      <c r="K100" s="1342">
        <v>7.65</v>
      </c>
      <c r="L100" s="256">
        <f t="shared" si="0"/>
        <v>1.0765</v>
      </c>
    </row>
    <row r="101" spans="5:12" ht="12.75" hidden="1">
      <c r="E101" s="996">
        <v>20025</v>
      </c>
      <c r="F101" s="998">
        <v>0.9</v>
      </c>
      <c r="G101" s="997">
        <v>1.4999999999999999E-2</v>
      </c>
      <c r="H101" s="998">
        <v>0</v>
      </c>
      <c r="I101" s="986">
        <v>190</v>
      </c>
      <c r="J101" s="986">
        <v>2002</v>
      </c>
      <c r="K101" s="1343">
        <v>6.99</v>
      </c>
      <c r="L101" s="256">
        <f t="shared" si="0"/>
        <v>1.0699000000000001</v>
      </c>
    </row>
    <row r="102" spans="5:12" ht="12.75" hidden="1">
      <c r="E102" s="996">
        <v>20026</v>
      </c>
      <c r="F102" s="998">
        <v>0.9</v>
      </c>
      <c r="G102" s="997">
        <v>1.4999999999999999E-2</v>
      </c>
      <c r="H102" s="998">
        <v>0</v>
      </c>
      <c r="I102" s="986">
        <v>150</v>
      </c>
      <c r="J102" s="1341">
        <v>2003</v>
      </c>
      <c r="K102" s="1343">
        <v>6.49</v>
      </c>
      <c r="L102" s="256">
        <f t="shared" si="0"/>
        <v>1.0649</v>
      </c>
    </row>
    <row r="103" spans="5:12" ht="12.75" hidden="1">
      <c r="E103" s="10">
        <v>20030</v>
      </c>
      <c r="F103" s="998">
        <v>0.54</v>
      </c>
      <c r="G103" s="997">
        <v>1.6E-2</v>
      </c>
      <c r="H103" s="997">
        <v>3.1E-2</v>
      </c>
      <c r="I103" s="997">
        <v>1.7000000000000001E-2</v>
      </c>
      <c r="J103" s="986">
        <v>2004</v>
      </c>
      <c r="K103" s="1343">
        <v>5.5</v>
      </c>
      <c r="L103" s="256">
        <f t="shared" si="0"/>
        <v>1.0549999999999999</v>
      </c>
    </row>
    <row r="104" spans="5:12" ht="12.75" hidden="1">
      <c r="E104" s="10">
        <v>20031</v>
      </c>
      <c r="F104" s="998">
        <v>0.7</v>
      </c>
      <c r="G104" s="997">
        <v>1.6E-2</v>
      </c>
      <c r="H104" s="997">
        <v>2.8000000000000001E-2</v>
      </c>
      <c r="I104" s="997">
        <v>1.9E-2</v>
      </c>
      <c r="J104" s="986">
        <v>2005</v>
      </c>
      <c r="K104" s="256">
        <v>5</v>
      </c>
      <c r="L104" s="256">
        <f t="shared" si="0"/>
        <v>1.05</v>
      </c>
    </row>
    <row r="105" spans="5:12" ht="12.75" hidden="1">
      <c r="E105" s="10">
        <v>20032</v>
      </c>
      <c r="F105" s="998">
        <v>0.75</v>
      </c>
      <c r="G105" s="997">
        <v>1.6E-2</v>
      </c>
      <c r="H105" s="997">
        <v>0.03</v>
      </c>
      <c r="I105" s="997">
        <v>2.5000000000000001E-2</v>
      </c>
      <c r="J105" s="986">
        <v>2006</v>
      </c>
      <c r="K105" s="256">
        <v>4.5</v>
      </c>
      <c r="L105" s="256">
        <f t="shared" si="0"/>
        <v>1.0449999999999999</v>
      </c>
    </row>
    <row r="106" spans="5:12" ht="12.75" hidden="1">
      <c r="E106" s="10">
        <v>20033</v>
      </c>
      <c r="F106" s="998">
        <v>0.75</v>
      </c>
      <c r="G106" s="997">
        <v>1.4999999999999999E-2</v>
      </c>
      <c r="H106" s="998">
        <v>0</v>
      </c>
      <c r="I106" s="986">
        <v>350</v>
      </c>
      <c r="J106" s="986">
        <v>2007</v>
      </c>
      <c r="K106" s="256">
        <v>3.5</v>
      </c>
      <c r="L106" s="256">
        <f t="shared" si="0"/>
        <v>1.0349999999999999</v>
      </c>
    </row>
    <row r="107" spans="5:12" ht="12.75" hidden="1">
      <c r="E107" s="10">
        <v>20034</v>
      </c>
      <c r="F107" s="998">
        <v>0.85</v>
      </c>
      <c r="G107" s="997">
        <v>1.4999999999999999E-2</v>
      </c>
      <c r="H107" s="998">
        <v>0</v>
      </c>
      <c r="I107" s="986">
        <v>280</v>
      </c>
      <c r="J107" s="986">
        <v>2008</v>
      </c>
      <c r="K107" s="256">
        <v>3</v>
      </c>
      <c r="L107" s="256">
        <f t="shared" si="0"/>
        <v>1.03</v>
      </c>
    </row>
    <row r="108" spans="5:12" ht="12.75" hidden="1">
      <c r="E108" s="10">
        <v>20035</v>
      </c>
      <c r="F108" s="998">
        <v>0.85</v>
      </c>
      <c r="G108" s="997">
        <v>1.4999999999999999E-2</v>
      </c>
      <c r="H108" s="998">
        <v>0</v>
      </c>
      <c r="I108" s="986">
        <v>190</v>
      </c>
      <c r="J108" s="986" t="s">
        <v>1093</v>
      </c>
      <c r="K108" s="1344">
        <f>IF(D4&gt;=2004,VLOOKUP((2004*10)+D16,E110:J116,4),IF(D4&lt;2001,VLOOKUP((2001*10)+D16,E89:J95,4),IF(OR(D4=2001,D4=2002,D4=2003,D4=2004),VLOOKUP((D4*10)+D16,E89:J116,4))))*$D$5</f>
        <v>0</v>
      </c>
      <c r="L108" s="1344">
        <f>VLOOKUP($C$4,J89:L107,3)*C37</f>
        <v>0</v>
      </c>
    </row>
    <row r="109" spans="5:12" ht="12.75" hidden="1">
      <c r="E109" s="10">
        <v>20036</v>
      </c>
      <c r="F109" s="998">
        <v>0.85</v>
      </c>
      <c r="G109" s="997">
        <v>1.4999999999999999E-2</v>
      </c>
      <c r="H109" s="998">
        <v>0</v>
      </c>
      <c r="I109" s="986">
        <v>150</v>
      </c>
      <c r="J109" s="986"/>
    </row>
    <row r="110" spans="5:12" ht="12.75" hidden="1">
      <c r="E110" s="996">
        <v>20040</v>
      </c>
      <c r="F110" s="998">
        <v>0.5</v>
      </c>
      <c r="G110" s="997">
        <v>1.4999999999999999E-2</v>
      </c>
      <c r="H110" s="997">
        <v>2.8000000000000001E-2</v>
      </c>
      <c r="I110" s="997">
        <v>1.6E-2</v>
      </c>
      <c r="J110" s="996"/>
    </row>
    <row r="111" spans="5:12" ht="12.75" hidden="1">
      <c r="E111" s="996">
        <v>20041</v>
      </c>
      <c r="F111" s="998">
        <v>0.65</v>
      </c>
      <c r="G111" s="997">
        <v>1.4999999999999999E-2</v>
      </c>
      <c r="H111" s="997">
        <v>2.5000000000000001E-2</v>
      </c>
      <c r="I111" s="997">
        <v>1.7000000000000001E-2</v>
      </c>
      <c r="J111" s="996"/>
    </row>
    <row r="112" spans="5:12" ht="12.75" hidden="1">
      <c r="E112" s="996">
        <v>20042</v>
      </c>
      <c r="F112" s="998">
        <v>0.7</v>
      </c>
      <c r="G112" s="997">
        <v>1.4999999999999999E-2</v>
      </c>
      <c r="H112" s="997">
        <v>2.8000000000000001E-2</v>
      </c>
      <c r="I112" s="997">
        <v>2.1999999999999999E-2</v>
      </c>
      <c r="J112" s="996"/>
    </row>
    <row r="113" spans="1:11" ht="12.75" hidden="1">
      <c r="E113" s="996">
        <v>20043</v>
      </c>
      <c r="F113" s="998">
        <v>0.7</v>
      </c>
      <c r="G113" s="997">
        <v>1.4999999999999999E-2</v>
      </c>
      <c r="H113" s="998">
        <v>0</v>
      </c>
      <c r="I113" s="986">
        <v>350</v>
      </c>
      <c r="J113" s="996"/>
    </row>
    <row r="114" spans="1:11" ht="12.75" hidden="1">
      <c r="E114" s="996">
        <v>20044</v>
      </c>
      <c r="F114" s="998">
        <v>0.8</v>
      </c>
      <c r="G114" s="997">
        <v>1.4999999999999999E-2</v>
      </c>
      <c r="H114" s="998">
        <v>0</v>
      </c>
      <c r="I114" s="986">
        <v>280</v>
      </c>
      <c r="J114" s="996"/>
    </row>
    <row r="115" spans="1:11" ht="12.75" hidden="1">
      <c r="E115" s="996">
        <v>20045</v>
      </c>
      <c r="F115" s="998">
        <v>0.8</v>
      </c>
      <c r="G115" s="997">
        <v>1.4999999999999999E-2</v>
      </c>
      <c r="H115" s="998">
        <v>0</v>
      </c>
      <c r="I115" s="986">
        <v>190</v>
      </c>
      <c r="J115" s="996"/>
    </row>
    <row r="116" spans="1:11" ht="12.75" hidden="1">
      <c r="D116"/>
      <c r="E116" s="996">
        <v>20046</v>
      </c>
      <c r="F116" s="998">
        <v>0.8</v>
      </c>
      <c r="G116" s="997">
        <v>1.4999999999999999E-2</v>
      </c>
      <c r="H116" s="998">
        <v>0</v>
      </c>
      <c r="I116" s="986">
        <v>150</v>
      </c>
      <c r="J116" s="996"/>
    </row>
    <row r="117" spans="1:11" s="287" customFormat="1" ht="12.75" hidden="1">
      <c r="A117" s="986"/>
      <c r="B117" s="986"/>
      <c r="C117" s="986"/>
      <c r="D117" s="1326"/>
      <c r="E117" s="1326">
        <v>2005</v>
      </c>
      <c r="F117" s="1327"/>
      <c r="G117" s="1326"/>
      <c r="H117" s="986"/>
      <c r="I117" s="986"/>
      <c r="J117" s="986"/>
      <c r="K117" s="256"/>
    </row>
    <row r="118" spans="1:11" ht="12.75" hidden="1">
      <c r="D118"/>
      <c r="E118" s="1326">
        <v>2006</v>
      </c>
      <c r="F118" s="1327"/>
      <c r="G118" s="1326"/>
      <c r="H118" s="986"/>
      <c r="I118" s="986"/>
      <c r="J118" s="986"/>
    </row>
    <row r="119" spans="1:11" s="986" customFormat="1" ht="12.75">
      <c r="D119" s="1326"/>
      <c r="E119" s="1326"/>
      <c r="F119" s="1327"/>
      <c r="G119" s="1326"/>
    </row>
    <row r="120" spans="1:11" ht="12.75">
      <c r="D120"/>
      <c r="E120"/>
      <c r="F120" s="984"/>
      <c r="G120"/>
    </row>
    <row r="121" spans="1:11" ht="12.75">
      <c r="D121"/>
      <c r="E121"/>
      <c r="F121" s="984"/>
      <c r="G121"/>
    </row>
    <row r="122" spans="1:11" ht="12.75">
      <c r="D122"/>
      <c r="E122"/>
      <c r="F122" s="984"/>
      <c r="G122"/>
    </row>
    <row r="123" spans="1:11" ht="12.75">
      <c r="D123"/>
      <c r="E123"/>
      <c r="F123" s="984"/>
      <c r="G123"/>
    </row>
    <row r="124" spans="1:11" ht="12.75">
      <c r="D124"/>
      <c r="E124"/>
      <c r="F124" s="984"/>
      <c r="G124"/>
    </row>
    <row r="125" spans="1:11" ht="12.75">
      <c r="D125"/>
      <c r="E125"/>
      <c r="F125" s="984"/>
      <c r="G125"/>
    </row>
    <row r="126" spans="1:11" ht="12.75">
      <c r="D126"/>
      <c r="E126"/>
      <c r="F126" s="984"/>
      <c r="G126"/>
    </row>
    <row r="127" spans="1:11" ht="12.75">
      <c r="D127"/>
      <c r="E127"/>
      <c r="F127" s="984"/>
      <c r="G127"/>
    </row>
    <row r="128" spans="1:11" ht="12.75">
      <c r="D128"/>
      <c r="E128"/>
      <c r="F128" s="984"/>
      <c r="G128"/>
    </row>
    <row r="129" spans="4:9" ht="12.75">
      <c r="D129"/>
      <c r="E129"/>
      <c r="F129" s="984"/>
      <c r="G129"/>
    </row>
    <row r="130" spans="4:9" ht="12.75">
      <c r="D130"/>
      <c r="E130"/>
      <c r="F130" s="984"/>
      <c r="G130"/>
    </row>
    <row r="131" spans="4:9" ht="12.75">
      <c r="E131"/>
      <c r="F131"/>
      <c r="G131"/>
      <c r="H131"/>
      <c r="I131"/>
    </row>
    <row r="132" spans="4:9" ht="12.75">
      <c r="E132"/>
      <c r="F132" s="985"/>
    </row>
    <row r="133" spans="4:9" ht="12.75">
      <c r="E133"/>
      <c r="F133" s="985"/>
    </row>
    <row r="134" spans="4:9" ht="12.75">
      <c r="E134"/>
      <c r="F134" s="985"/>
    </row>
    <row r="135" spans="4:9" ht="12.75">
      <c r="E135"/>
      <c r="F135" s="985"/>
    </row>
    <row r="136" spans="4:9" ht="12.75">
      <c r="E136"/>
      <c r="F136" s="985"/>
    </row>
    <row r="137" spans="4:9" ht="12.75">
      <c r="E137"/>
      <c r="F137" s="985"/>
    </row>
    <row r="138" spans="4:9" ht="12.75">
      <c r="E138"/>
      <c r="F138" s="985"/>
    </row>
    <row r="139" spans="4:9" ht="12.75">
      <c r="E139"/>
      <c r="F139" s="985"/>
    </row>
    <row r="140" spans="4:9" ht="12.75">
      <c r="E140"/>
      <c r="F140" s="985"/>
    </row>
    <row r="141" spans="4:9" ht="12.75">
      <c r="E141"/>
      <c r="F141" s="985"/>
    </row>
    <row r="142" spans="4:9" ht="12.75">
      <c r="E142"/>
      <c r="F142" s="985"/>
    </row>
    <row r="143" spans="4:9" ht="12.75">
      <c r="E143"/>
      <c r="F143" s="985"/>
    </row>
    <row r="144" spans="4:9" ht="12.75">
      <c r="E144"/>
      <c r="F144" s="985"/>
    </row>
    <row r="145" spans="5:6" ht="12.75">
      <c r="E145"/>
      <c r="F145" s="985"/>
    </row>
    <row r="146" spans="5:6" ht="12.75">
      <c r="E146"/>
      <c r="F146" s="985"/>
    </row>
    <row r="147" spans="5:6" ht="12.75">
      <c r="E147"/>
      <c r="F147" s="985"/>
    </row>
    <row r="148" spans="5:6" ht="12.75">
      <c r="E148"/>
      <c r="F148" s="985"/>
    </row>
    <row r="149" spans="5:6" ht="12.75">
      <c r="E149"/>
      <c r="F149" s="985"/>
    </row>
    <row r="150" spans="5:6" ht="12.75">
      <c r="E150"/>
      <c r="F150" s="985"/>
    </row>
    <row r="151" spans="5:6" ht="12.75">
      <c r="E151"/>
      <c r="F151" s="985"/>
    </row>
    <row r="152" spans="5:6" ht="12.75">
      <c r="E152"/>
      <c r="F152" s="985"/>
    </row>
    <row r="153" spans="5:6" ht="12.75">
      <c r="E153"/>
      <c r="F153" s="985"/>
    </row>
    <row r="154" spans="5:6" ht="12.75">
      <c r="E154"/>
      <c r="F154" s="985"/>
    </row>
    <row r="155" spans="5:6" ht="12.75">
      <c r="E155"/>
      <c r="F155" s="985"/>
    </row>
    <row r="156" spans="5:6" ht="12.75">
      <c r="E156"/>
      <c r="F156" s="985"/>
    </row>
    <row r="157" spans="5:6" ht="12.75">
      <c r="E157"/>
      <c r="F157" s="985"/>
    </row>
    <row r="158" spans="5:6" ht="12.75">
      <c r="E158"/>
      <c r="F158" s="985"/>
    </row>
    <row r="159" spans="5:6" ht="12.75">
      <c r="E159"/>
      <c r="F159" s="985"/>
    </row>
  </sheetData>
  <sheetProtection password="95B1" sheet="1" objects="1" scenarios="1"/>
  <phoneticPr fontId="34" type="noConversion"/>
  <dataValidations count="2">
    <dataValidation type="list" allowBlank="1" showInputMessage="1" showErrorMessage="1" sqref="C34:D34">
      <formula1>$IS$34:$IS$35</formula1>
    </dataValidation>
    <dataValidation type="list" allowBlank="1" showInputMessage="1" showErrorMessage="1" sqref="D23">
      <formula1>$D$88:$D$89</formula1>
    </dataValidation>
  </dataValidations>
  <printOptions horizontalCentered="1" verticalCentered="1"/>
  <pageMargins left="0.78740157480314965" right="0.78740157480314965" top="0.55000000000000004" bottom="0.68" header="0" footer="0.19685039370078741"/>
  <pageSetup scale="65" orientation="portrait" horizontalDpi="4294967293" r:id="rId1"/>
  <headerFooter alignWithMargins="0">
    <oddHeader>&amp;C&amp;"Arial,Negrita"&amp;12&amp;F</oddHeader>
    <oddFooter>&amp;L&amp;"Arial,Negrita"&amp;F &amp;A&amp;R&amp;"Arial,Negrita"Página &amp;P de &amp;N</oddFooter>
  </headerFooter>
  <cellWatches>
    <cellWatch r="D34"/>
  </cellWatches>
  <legacyDrawing r:id="rId2"/>
</worksheet>
</file>

<file path=xl/worksheets/sheet12.xml><?xml version="1.0" encoding="utf-8"?>
<worksheet xmlns="http://schemas.openxmlformats.org/spreadsheetml/2006/main" xmlns:r="http://schemas.openxmlformats.org/officeDocument/2006/relationships">
  <sheetPr codeName="Hoja12"/>
  <dimension ref="A1:AJ50"/>
  <sheetViews>
    <sheetView zoomScale="80" workbookViewId="0">
      <selection activeCell="E8" sqref="E8"/>
    </sheetView>
  </sheetViews>
  <sheetFormatPr baseColWidth="10" defaultRowHeight="12.75"/>
  <cols>
    <col min="1" max="1" width="11.42578125" style="123"/>
    <col min="2" max="2" width="27.5703125" style="185" customWidth="1"/>
    <col min="3" max="4" width="13.7109375" style="121" customWidth="1"/>
    <col min="5" max="5" width="13.42578125" style="121" customWidth="1"/>
    <col min="6" max="6" width="12.140625" style="121" customWidth="1"/>
    <col min="7" max="7" width="14" style="121" customWidth="1"/>
    <col min="8" max="8" width="13.85546875" style="121" customWidth="1"/>
    <col min="9" max="9" width="13.42578125" style="121" customWidth="1"/>
    <col min="10" max="10" width="13.28515625" style="121" customWidth="1"/>
    <col min="11" max="11" width="13.42578125" style="121" customWidth="1"/>
    <col min="12" max="13" width="14" style="121" customWidth="1"/>
    <col min="14" max="14" width="13.85546875" style="121" customWidth="1"/>
    <col min="15" max="15" width="12.7109375" style="121" customWidth="1"/>
    <col min="16" max="16" width="13.140625" style="121" customWidth="1"/>
    <col min="17" max="17" width="10.7109375" style="121" customWidth="1"/>
    <col min="18" max="18" width="12" style="121" customWidth="1"/>
    <col min="19" max="19" width="12.28515625" style="121" customWidth="1"/>
    <col min="20" max="20" width="11.42578125" style="122"/>
    <col min="21" max="16384" width="11.42578125" style="123"/>
  </cols>
  <sheetData>
    <row r="1" spans="1:29" ht="21" customHeight="1">
      <c r="B1" s="9" t="s">
        <v>1094</v>
      </c>
      <c r="AB1" s="121"/>
      <c r="AC1" s="121"/>
    </row>
    <row r="2" spans="1:29" ht="12.75" customHeight="1">
      <c r="B2" s="11" t="s">
        <v>1224</v>
      </c>
      <c r="AB2" s="121"/>
      <c r="AC2" s="121"/>
    </row>
    <row r="3" spans="1:29" ht="12.75" customHeight="1">
      <c r="B3" s="11" t="s">
        <v>1225</v>
      </c>
      <c r="AB3" s="121"/>
      <c r="AC3" s="121"/>
    </row>
    <row r="4" spans="1:29" ht="25.5" customHeight="1">
      <c r="B4" s="124" t="s">
        <v>1095</v>
      </c>
      <c r="C4" s="125"/>
      <c r="D4" s="358"/>
      <c r="E4" s="358"/>
      <c r="F4" s="126"/>
      <c r="G4" s="126"/>
      <c r="H4" s="126"/>
      <c r="I4" s="126"/>
      <c r="J4" s="126"/>
      <c r="K4" s="126"/>
      <c r="L4" s="126"/>
      <c r="M4" s="126"/>
      <c r="N4" s="126"/>
      <c r="O4" s="126"/>
      <c r="P4" s="126"/>
      <c r="Q4" s="126"/>
      <c r="R4" s="126"/>
      <c r="S4" s="126"/>
      <c r="T4" s="126"/>
      <c r="U4" s="126"/>
    </row>
    <row r="5" spans="1:29" ht="18.75" customHeight="1">
      <c r="B5" s="124" t="s">
        <v>1096</v>
      </c>
      <c r="C5" s="127"/>
      <c r="D5" s="359"/>
      <c r="E5" s="359"/>
      <c r="F5" s="126"/>
      <c r="G5" s="126"/>
      <c r="H5" s="126"/>
      <c r="I5" s="126"/>
      <c r="J5" s="126"/>
      <c r="K5" s="126"/>
      <c r="L5" s="126"/>
      <c r="M5" s="126"/>
      <c r="N5" s="126"/>
      <c r="O5" s="126"/>
      <c r="P5" s="126"/>
      <c r="Q5" s="126"/>
      <c r="R5" s="126"/>
      <c r="S5" s="126"/>
      <c r="T5" s="126"/>
      <c r="U5" s="126"/>
    </row>
    <row r="6" spans="1:29" ht="21.75" customHeight="1" thickBot="1">
      <c r="B6" s="128" t="s">
        <v>1097</v>
      </c>
      <c r="C6" s="125"/>
      <c r="D6" s="125"/>
      <c r="E6" s="125"/>
      <c r="F6" s="125"/>
      <c r="G6" s="360"/>
      <c r="H6" s="360"/>
      <c r="I6" s="125"/>
      <c r="J6" s="125"/>
      <c r="K6" s="125"/>
      <c r="L6" s="125"/>
      <c r="M6" s="125"/>
      <c r="N6" s="125"/>
      <c r="O6" s="125"/>
      <c r="P6" s="125"/>
      <c r="Q6" s="125"/>
      <c r="R6" s="125"/>
      <c r="S6" s="125"/>
      <c r="T6" s="125"/>
      <c r="U6" s="129"/>
    </row>
    <row r="7" spans="1:29" ht="13.5" thickBot="1">
      <c r="B7" s="128" t="s">
        <v>840</v>
      </c>
      <c r="C7" s="130"/>
      <c r="D7" s="363" t="s">
        <v>1098</v>
      </c>
      <c r="E7" s="364"/>
      <c r="F7" s="364"/>
      <c r="G7" s="365"/>
      <c r="H7" s="365"/>
      <c r="I7" s="364"/>
      <c r="J7" s="364"/>
      <c r="K7" s="364"/>
      <c r="L7" s="366"/>
      <c r="M7" s="367" t="s">
        <v>1098</v>
      </c>
      <c r="N7" s="368"/>
      <c r="O7" s="368"/>
      <c r="P7" s="368"/>
      <c r="Q7" s="368"/>
      <c r="R7" s="368"/>
      <c r="S7" s="368"/>
      <c r="T7" s="368"/>
      <c r="U7" s="369"/>
    </row>
    <row r="8" spans="1:29" s="124" customFormat="1" ht="107.25" customHeight="1">
      <c r="B8" s="375" t="s">
        <v>1099</v>
      </c>
      <c r="C8" s="1011" t="s">
        <v>1100</v>
      </c>
      <c r="D8" s="384" t="s">
        <v>1101</v>
      </c>
      <c r="E8" s="362"/>
      <c r="F8" s="362"/>
      <c r="G8" s="362"/>
      <c r="H8" s="362"/>
      <c r="I8" s="362"/>
      <c r="J8" s="362" t="s">
        <v>1102</v>
      </c>
      <c r="K8" s="362" t="s">
        <v>1103</v>
      </c>
      <c r="L8" s="373" t="s">
        <v>1104</v>
      </c>
      <c r="M8" s="361" t="s">
        <v>1105</v>
      </c>
      <c r="N8" s="362"/>
      <c r="O8" s="362"/>
      <c r="P8" s="362"/>
      <c r="Q8" s="362"/>
      <c r="R8" s="362"/>
      <c r="S8" s="362" t="s">
        <v>1106</v>
      </c>
      <c r="T8" s="362" t="s">
        <v>1107</v>
      </c>
      <c r="U8" s="371" t="s">
        <v>1108</v>
      </c>
    </row>
    <row r="9" spans="1:29" s="124" customFormat="1" ht="88.5" customHeight="1">
      <c r="B9" s="381"/>
      <c r="C9" s="383"/>
      <c r="D9" s="131" t="s">
        <v>1109</v>
      </c>
      <c r="E9" s="132" t="s">
        <v>1110</v>
      </c>
      <c r="F9" s="132" t="s">
        <v>1111</v>
      </c>
      <c r="G9" s="132" t="s">
        <v>1112</v>
      </c>
      <c r="H9" s="132" t="s">
        <v>1113</v>
      </c>
      <c r="I9" s="133" t="s">
        <v>1114</v>
      </c>
      <c r="J9" s="370"/>
      <c r="K9" s="370"/>
      <c r="L9" s="374"/>
      <c r="M9" s="134" t="s">
        <v>1109</v>
      </c>
      <c r="N9" s="132" t="s">
        <v>1110</v>
      </c>
      <c r="O9" s="132" t="s">
        <v>1111</v>
      </c>
      <c r="P9" s="132" t="s">
        <v>1112</v>
      </c>
      <c r="Q9" s="132" t="s">
        <v>1113</v>
      </c>
      <c r="R9" s="133" t="s">
        <v>1114</v>
      </c>
      <c r="S9" s="370"/>
      <c r="T9" s="370"/>
      <c r="U9" s="372"/>
    </row>
    <row r="10" spans="1:29" s="143" customFormat="1" ht="13.5" thickBot="1">
      <c r="B10" s="382"/>
      <c r="C10" s="135" t="s">
        <v>1115</v>
      </c>
      <c r="D10" s="136"/>
      <c r="E10" s="137"/>
      <c r="F10" s="137"/>
      <c r="G10" s="137"/>
      <c r="H10" s="137"/>
      <c r="I10" s="137" t="s">
        <v>1116</v>
      </c>
      <c r="J10" s="137" t="s">
        <v>1117</v>
      </c>
      <c r="K10" s="138" t="s">
        <v>1118</v>
      </c>
      <c r="L10" s="139" t="s">
        <v>1119</v>
      </c>
      <c r="M10" s="140"/>
      <c r="N10" s="138"/>
      <c r="O10" s="138"/>
      <c r="P10" s="138"/>
      <c r="Q10" s="138"/>
      <c r="R10" s="138" t="s">
        <v>1120</v>
      </c>
      <c r="S10" s="138" t="s">
        <v>1121</v>
      </c>
      <c r="T10" s="141" t="s">
        <v>1122</v>
      </c>
      <c r="U10" s="142" t="s">
        <v>1123</v>
      </c>
    </row>
    <row r="11" spans="1:29" s="143" customFormat="1">
      <c r="A11" s="436" t="s">
        <v>1124</v>
      </c>
      <c r="B11" s="965" t="s">
        <v>537</v>
      </c>
      <c r="C11" s="187"/>
      <c r="D11" s="188"/>
      <c r="E11" s="189"/>
      <c r="F11" s="189"/>
      <c r="G11" s="189"/>
      <c r="H11" s="189"/>
      <c r="I11" s="144"/>
      <c r="J11" s="144"/>
      <c r="K11" s="189"/>
      <c r="L11" s="145"/>
      <c r="M11" s="198"/>
      <c r="N11" s="189"/>
      <c r="O11" s="189"/>
      <c r="P11" s="189"/>
      <c r="Q11" s="189"/>
      <c r="R11" s="144"/>
      <c r="S11" s="144"/>
      <c r="T11" s="200"/>
      <c r="U11" s="146"/>
    </row>
    <row r="12" spans="1:29">
      <c r="A12" s="436" t="s">
        <v>1125</v>
      </c>
      <c r="B12" s="147" t="s">
        <v>1126</v>
      </c>
      <c r="C12" s="190"/>
      <c r="D12" s="191"/>
      <c r="E12" s="192"/>
      <c r="F12" s="192"/>
      <c r="G12" s="192"/>
      <c r="H12" s="192"/>
      <c r="I12" s="148">
        <f>SUM(D12:H12)</f>
        <v>0</v>
      </c>
      <c r="J12" s="149">
        <f>+C12-I12</f>
        <v>0</v>
      </c>
      <c r="K12" s="192"/>
      <c r="L12" s="150">
        <f>+J12+K12</f>
        <v>0</v>
      </c>
      <c r="M12" s="199"/>
      <c r="N12" s="192"/>
      <c r="O12" s="192"/>
      <c r="P12" s="192"/>
      <c r="Q12" s="192"/>
      <c r="R12" s="148">
        <f>SUM(M12:Q12)</f>
        <v>0</v>
      </c>
      <c r="S12" s="149">
        <f>+L12-R12</f>
        <v>0</v>
      </c>
      <c r="T12" s="201"/>
      <c r="U12" s="151">
        <f>+S12+T12</f>
        <v>0</v>
      </c>
    </row>
    <row r="13" spans="1:29">
      <c r="A13" s="436" t="s">
        <v>1127</v>
      </c>
      <c r="B13" s="147" t="s">
        <v>1128</v>
      </c>
      <c r="C13" s="193"/>
      <c r="D13" s="191"/>
      <c r="E13" s="192"/>
      <c r="F13" s="192"/>
      <c r="G13" s="192"/>
      <c r="H13" s="192"/>
      <c r="I13" s="148">
        <f>SUM(D13:H13)</f>
        <v>0</v>
      </c>
      <c r="J13" s="149">
        <f>+C13-I13</f>
        <v>0</v>
      </c>
      <c r="K13" s="192"/>
      <c r="L13" s="150">
        <f>+J13+K13</f>
        <v>0</v>
      </c>
      <c r="M13" s="199"/>
      <c r="N13" s="192"/>
      <c r="O13" s="192"/>
      <c r="P13" s="192"/>
      <c r="Q13" s="192"/>
      <c r="R13" s="148">
        <f>SUM(M13:Q13)</f>
        <v>0</v>
      </c>
      <c r="S13" s="149">
        <f>+L13-R13</f>
        <v>0</v>
      </c>
      <c r="T13" s="201"/>
      <c r="U13" s="151">
        <f>+S13+T13</f>
        <v>0</v>
      </c>
    </row>
    <row r="14" spans="1:29">
      <c r="A14" s="436" t="s">
        <v>1129</v>
      </c>
      <c r="B14" s="147" t="s">
        <v>1130</v>
      </c>
      <c r="C14" s="193"/>
      <c r="D14" s="191"/>
      <c r="E14" s="192"/>
      <c r="F14" s="192"/>
      <c r="G14" s="192"/>
      <c r="H14" s="192"/>
      <c r="I14" s="148">
        <f>SUM(D14:H14)</f>
        <v>0</v>
      </c>
      <c r="J14" s="149">
        <f>+C14-I14</f>
        <v>0</v>
      </c>
      <c r="K14" s="192"/>
      <c r="L14" s="150">
        <f>+J14+K14</f>
        <v>0</v>
      </c>
      <c r="M14" s="199"/>
      <c r="N14" s="192"/>
      <c r="O14" s="192"/>
      <c r="P14" s="192"/>
      <c r="Q14" s="192"/>
      <c r="R14" s="148">
        <f>SUM(M14:Q14)</f>
        <v>0</v>
      </c>
      <c r="S14" s="149">
        <f>+L14-R14</f>
        <v>0</v>
      </c>
      <c r="T14" s="201"/>
      <c r="U14" s="151">
        <f>+S14+T14</f>
        <v>0</v>
      </c>
    </row>
    <row r="15" spans="1:29">
      <c r="A15" s="436" t="s">
        <v>1131</v>
      </c>
      <c r="B15" s="147" t="s">
        <v>658</v>
      </c>
      <c r="C15" s="193"/>
      <c r="D15" s="191"/>
      <c r="E15" s="192"/>
      <c r="F15" s="192"/>
      <c r="G15" s="192"/>
      <c r="H15" s="192"/>
      <c r="I15" s="148">
        <f>SUM(D15:H15)</f>
        <v>0</v>
      </c>
      <c r="J15" s="149">
        <f>+C15-I15</f>
        <v>0</v>
      </c>
      <c r="K15" s="192"/>
      <c r="L15" s="150">
        <f>+J15+K15</f>
        <v>0</v>
      </c>
      <c r="M15" s="199"/>
      <c r="N15" s="192"/>
      <c r="O15" s="192"/>
      <c r="P15" s="192"/>
      <c r="Q15" s="192"/>
      <c r="R15" s="148">
        <f>SUM(M15:Q15)</f>
        <v>0</v>
      </c>
      <c r="S15" s="149">
        <f>+L15-R15</f>
        <v>0</v>
      </c>
      <c r="T15" s="201"/>
      <c r="U15" s="151">
        <f>+S15+T15</f>
        <v>0</v>
      </c>
    </row>
    <row r="16" spans="1:29">
      <c r="A16" s="436" t="s">
        <v>1132</v>
      </c>
      <c r="B16" s="147" t="s">
        <v>1133</v>
      </c>
      <c r="C16" s="193"/>
      <c r="D16" s="191"/>
      <c r="E16" s="192"/>
      <c r="F16" s="192"/>
      <c r="G16" s="192"/>
      <c r="H16" s="192"/>
      <c r="I16" s="148">
        <f>SUM(D16:H16)</f>
        <v>0</v>
      </c>
      <c r="J16" s="149">
        <f>+C16-I16</f>
        <v>0</v>
      </c>
      <c r="K16" s="192"/>
      <c r="L16" s="150">
        <f>+J16+K16</f>
        <v>0</v>
      </c>
      <c r="M16" s="199"/>
      <c r="N16" s="192"/>
      <c r="O16" s="192"/>
      <c r="P16" s="192"/>
      <c r="Q16" s="192"/>
      <c r="R16" s="148">
        <f>SUM(M16:Q16)</f>
        <v>0</v>
      </c>
      <c r="S16" s="149">
        <f>+L16-R16</f>
        <v>0</v>
      </c>
      <c r="T16" s="201"/>
      <c r="U16" s="151">
        <f>+S16+T16</f>
        <v>0</v>
      </c>
    </row>
    <row r="17" spans="1:36" ht="13.5" thickBot="1">
      <c r="A17" s="436" t="s">
        <v>1134</v>
      </c>
      <c r="B17" s="152" t="s">
        <v>1135</v>
      </c>
      <c r="C17" s="153">
        <f t="shared" ref="C17:U17" si="0">SUM(C12:C16)</f>
        <v>0</v>
      </c>
      <c r="D17" s="154">
        <f t="shared" si="0"/>
        <v>0</v>
      </c>
      <c r="E17" s="155">
        <f t="shared" si="0"/>
        <v>0</v>
      </c>
      <c r="F17" s="155">
        <f t="shared" si="0"/>
        <v>0</v>
      </c>
      <c r="G17" s="155">
        <f t="shared" si="0"/>
        <v>0</v>
      </c>
      <c r="H17" s="155">
        <f t="shared" si="0"/>
        <v>0</v>
      </c>
      <c r="I17" s="155">
        <f t="shared" si="0"/>
        <v>0</v>
      </c>
      <c r="J17" s="155">
        <f t="shared" si="0"/>
        <v>0</v>
      </c>
      <c r="K17" s="155">
        <f t="shared" si="0"/>
        <v>0</v>
      </c>
      <c r="L17" s="156">
        <f t="shared" si="0"/>
        <v>0</v>
      </c>
      <c r="M17" s="157">
        <f t="shared" si="0"/>
        <v>0</v>
      </c>
      <c r="N17" s="155">
        <f t="shared" si="0"/>
        <v>0</v>
      </c>
      <c r="O17" s="155">
        <f t="shared" si="0"/>
        <v>0</v>
      </c>
      <c r="P17" s="155">
        <f t="shared" si="0"/>
        <v>0</v>
      </c>
      <c r="Q17" s="155">
        <f t="shared" si="0"/>
        <v>0</v>
      </c>
      <c r="R17" s="155">
        <f t="shared" si="0"/>
        <v>0</v>
      </c>
      <c r="S17" s="155">
        <f t="shared" si="0"/>
        <v>0</v>
      </c>
      <c r="T17" s="155">
        <f t="shared" si="0"/>
        <v>0</v>
      </c>
      <c r="U17" s="158">
        <f t="shared" si="0"/>
        <v>0</v>
      </c>
    </row>
    <row r="18" spans="1:36">
      <c r="A18" s="436" t="s">
        <v>1136</v>
      </c>
      <c r="B18" s="159" t="s">
        <v>1137</v>
      </c>
      <c r="C18" s="194"/>
      <c r="D18" s="195"/>
      <c r="E18" s="196"/>
      <c r="F18" s="196"/>
      <c r="G18" s="196"/>
      <c r="H18" s="196"/>
      <c r="I18" s="160"/>
      <c r="J18" s="160"/>
      <c r="K18" s="160"/>
      <c r="L18" s="161"/>
      <c r="M18" s="252"/>
      <c r="N18" s="196"/>
      <c r="O18" s="196"/>
      <c r="P18" s="196"/>
      <c r="Q18" s="196"/>
      <c r="R18" s="160"/>
      <c r="S18" s="160"/>
      <c r="T18" s="251"/>
      <c r="U18" s="162"/>
    </row>
    <row r="19" spans="1:36">
      <c r="A19" s="436" t="s">
        <v>1138</v>
      </c>
      <c r="B19" s="147" t="s">
        <v>1139</v>
      </c>
      <c r="C19" s="193"/>
      <c r="D19" s="191"/>
      <c r="E19" s="197"/>
      <c r="F19" s="197"/>
      <c r="G19" s="197"/>
      <c r="H19" s="197"/>
      <c r="I19" s="148">
        <f>SUM(D19:H19)</f>
        <v>0</v>
      </c>
      <c r="J19" s="149">
        <f>+C19-I19</f>
        <v>0</v>
      </c>
      <c r="K19" s="192"/>
      <c r="L19" s="150">
        <f>+J19+K19</f>
        <v>0</v>
      </c>
      <c r="M19" s="202"/>
      <c r="N19" s="197"/>
      <c r="O19" s="197"/>
      <c r="P19" s="197"/>
      <c r="Q19" s="197"/>
      <c r="R19" s="148">
        <f>SUM(M19:Q19)</f>
        <v>0</v>
      </c>
      <c r="S19" s="149">
        <f>+L19-R19</f>
        <v>0</v>
      </c>
      <c r="T19" s="201"/>
      <c r="U19" s="151">
        <f>+S19+T19</f>
        <v>0</v>
      </c>
    </row>
    <row r="20" spans="1:36">
      <c r="A20" s="436" t="s">
        <v>1140</v>
      </c>
      <c r="B20" s="147" t="s">
        <v>1141</v>
      </c>
      <c r="C20" s="193"/>
      <c r="D20" s="191"/>
      <c r="E20" s="192"/>
      <c r="F20" s="192"/>
      <c r="G20" s="192"/>
      <c r="H20" s="192"/>
      <c r="I20" s="148">
        <f>SUM(D20:H20)</f>
        <v>0</v>
      </c>
      <c r="J20" s="149">
        <f>+C20-I20</f>
        <v>0</v>
      </c>
      <c r="K20" s="192"/>
      <c r="L20" s="150">
        <f>+J20+K20</f>
        <v>0</v>
      </c>
      <c r="M20" s="199"/>
      <c r="N20" s="192"/>
      <c r="O20" s="192"/>
      <c r="P20" s="192"/>
      <c r="Q20" s="192"/>
      <c r="R20" s="148">
        <f>SUM(M20:Q20)</f>
        <v>0</v>
      </c>
      <c r="S20" s="149">
        <f>+L20-R20</f>
        <v>0</v>
      </c>
      <c r="T20" s="201"/>
      <c r="U20" s="151">
        <f>+S20+T20</f>
        <v>0</v>
      </c>
    </row>
    <row r="21" spans="1:36">
      <c r="A21" s="436" t="s">
        <v>1142</v>
      </c>
      <c r="B21" s="147" t="s">
        <v>1143</v>
      </c>
      <c r="C21" s="193"/>
      <c r="D21" s="191"/>
      <c r="E21" s="192"/>
      <c r="F21" s="192"/>
      <c r="G21" s="192"/>
      <c r="H21" s="192"/>
      <c r="I21" s="148">
        <f>SUM(D21:H21)</f>
        <v>0</v>
      </c>
      <c r="J21" s="149">
        <f>+C21-I21</f>
        <v>0</v>
      </c>
      <c r="K21" s="192"/>
      <c r="L21" s="150">
        <f>+J21+K21</f>
        <v>0</v>
      </c>
      <c r="M21" s="199"/>
      <c r="N21" s="192"/>
      <c r="O21" s="192"/>
      <c r="P21" s="192"/>
      <c r="Q21" s="192"/>
      <c r="R21" s="148">
        <f>SUM(M21:Q21)</f>
        <v>0</v>
      </c>
      <c r="S21" s="149">
        <f>+L21-R21</f>
        <v>0</v>
      </c>
      <c r="T21" s="201"/>
      <c r="U21" s="151">
        <f>+S21+T21</f>
        <v>0</v>
      </c>
    </row>
    <row r="22" spans="1:36">
      <c r="A22" s="436" t="s">
        <v>1144</v>
      </c>
      <c r="B22" s="147" t="s">
        <v>1145</v>
      </c>
      <c r="C22" s="193"/>
      <c r="D22" s="191"/>
      <c r="E22" s="192"/>
      <c r="F22" s="192"/>
      <c r="G22" s="192"/>
      <c r="H22" s="192"/>
      <c r="I22" s="148">
        <f>SUM(D22:H22)</f>
        <v>0</v>
      </c>
      <c r="J22" s="149">
        <f>+C22-I22</f>
        <v>0</v>
      </c>
      <c r="K22" s="192"/>
      <c r="L22" s="150">
        <f>+J22+K22</f>
        <v>0</v>
      </c>
      <c r="M22" s="199"/>
      <c r="N22" s="192"/>
      <c r="O22" s="192"/>
      <c r="P22" s="192"/>
      <c r="Q22" s="192"/>
      <c r="R22" s="148">
        <f>SUM(M22:Q22)</f>
        <v>0</v>
      </c>
      <c r="S22" s="149">
        <f>+L22-R22</f>
        <v>0</v>
      </c>
      <c r="T22" s="201"/>
      <c r="U22" s="151">
        <f>+S22+T22</f>
        <v>0</v>
      </c>
    </row>
    <row r="23" spans="1:36">
      <c r="A23" s="436" t="s">
        <v>1146</v>
      </c>
      <c r="B23" s="147" t="s">
        <v>1147</v>
      </c>
      <c r="C23" s="193"/>
      <c r="D23" s="191"/>
      <c r="E23" s="192"/>
      <c r="F23" s="192"/>
      <c r="G23" s="192"/>
      <c r="H23" s="192"/>
      <c r="I23" s="148">
        <f>SUM(D23:H23)</f>
        <v>0</v>
      </c>
      <c r="J23" s="149">
        <f>+C23-I23</f>
        <v>0</v>
      </c>
      <c r="K23" s="192"/>
      <c r="L23" s="150">
        <f>+J23+K23</f>
        <v>0</v>
      </c>
      <c r="M23" s="199"/>
      <c r="N23" s="192"/>
      <c r="O23" s="192"/>
      <c r="P23" s="192"/>
      <c r="Q23" s="192"/>
      <c r="R23" s="148">
        <f>SUM(M23:Q23)</f>
        <v>0</v>
      </c>
      <c r="S23" s="149">
        <f>+L23-R23</f>
        <v>0</v>
      </c>
      <c r="T23" s="201"/>
      <c r="U23" s="151">
        <f>+S23+T23</f>
        <v>0</v>
      </c>
    </row>
    <row r="24" spans="1:36" ht="13.5" thickBot="1">
      <c r="A24" s="436" t="s">
        <v>1148</v>
      </c>
      <c r="B24" s="152" t="s">
        <v>1135</v>
      </c>
      <c r="C24" s="163">
        <f t="shared" ref="C24:U24" si="1">SUM(C19:C23)</f>
        <v>0</v>
      </c>
      <c r="D24" s="164">
        <f t="shared" si="1"/>
        <v>0</v>
      </c>
      <c r="E24" s="165">
        <f t="shared" si="1"/>
        <v>0</v>
      </c>
      <c r="F24" s="165">
        <f t="shared" si="1"/>
        <v>0</v>
      </c>
      <c r="G24" s="165">
        <f t="shared" si="1"/>
        <v>0</v>
      </c>
      <c r="H24" s="165">
        <f t="shared" si="1"/>
        <v>0</v>
      </c>
      <c r="I24" s="165">
        <f t="shared" si="1"/>
        <v>0</v>
      </c>
      <c r="J24" s="165">
        <f t="shared" si="1"/>
        <v>0</v>
      </c>
      <c r="K24" s="165">
        <f t="shared" si="1"/>
        <v>0</v>
      </c>
      <c r="L24" s="166">
        <f t="shared" si="1"/>
        <v>0</v>
      </c>
      <c r="M24" s="167">
        <f t="shared" si="1"/>
        <v>0</v>
      </c>
      <c r="N24" s="165">
        <f t="shared" si="1"/>
        <v>0</v>
      </c>
      <c r="O24" s="165">
        <f t="shared" si="1"/>
        <v>0</v>
      </c>
      <c r="P24" s="165">
        <f t="shared" si="1"/>
        <v>0</v>
      </c>
      <c r="Q24" s="165">
        <f t="shared" si="1"/>
        <v>0</v>
      </c>
      <c r="R24" s="165">
        <f t="shared" si="1"/>
        <v>0</v>
      </c>
      <c r="S24" s="165">
        <f t="shared" si="1"/>
        <v>0</v>
      </c>
      <c r="T24" s="165">
        <f t="shared" si="1"/>
        <v>0</v>
      </c>
      <c r="U24" s="168">
        <f t="shared" si="1"/>
        <v>0</v>
      </c>
    </row>
    <row r="25" spans="1:36" ht="13.5" thickBot="1">
      <c r="A25" s="436" t="s">
        <v>1149</v>
      </c>
      <c r="B25" s="152" t="s">
        <v>1150</v>
      </c>
      <c r="C25" s="163">
        <f t="shared" ref="C25:U25" si="2">+C24+C17</f>
        <v>0</v>
      </c>
      <c r="D25" s="164">
        <f t="shared" si="2"/>
        <v>0</v>
      </c>
      <c r="E25" s="165">
        <f t="shared" si="2"/>
        <v>0</v>
      </c>
      <c r="F25" s="165">
        <f t="shared" si="2"/>
        <v>0</v>
      </c>
      <c r="G25" s="165">
        <f t="shared" si="2"/>
        <v>0</v>
      </c>
      <c r="H25" s="165">
        <f t="shared" si="2"/>
        <v>0</v>
      </c>
      <c r="I25" s="165">
        <f t="shared" si="2"/>
        <v>0</v>
      </c>
      <c r="J25" s="165">
        <f t="shared" si="2"/>
        <v>0</v>
      </c>
      <c r="K25" s="165">
        <f t="shared" si="2"/>
        <v>0</v>
      </c>
      <c r="L25" s="166">
        <f t="shared" si="2"/>
        <v>0</v>
      </c>
      <c r="M25" s="167">
        <f t="shared" si="2"/>
        <v>0</v>
      </c>
      <c r="N25" s="165">
        <f t="shared" si="2"/>
        <v>0</v>
      </c>
      <c r="O25" s="165">
        <f t="shared" si="2"/>
        <v>0</v>
      </c>
      <c r="P25" s="165">
        <f t="shared" si="2"/>
        <v>0</v>
      </c>
      <c r="Q25" s="165">
        <f t="shared" si="2"/>
        <v>0</v>
      </c>
      <c r="R25" s="165">
        <f t="shared" si="2"/>
        <v>0</v>
      </c>
      <c r="S25" s="165">
        <f t="shared" si="2"/>
        <v>0</v>
      </c>
      <c r="T25" s="165">
        <f t="shared" si="2"/>
        <v>0</v>
      </c>
      <c r="U25" s="168">
        <f t="shared" si="2"/>
        <v>0</v>
      </c>
    </row>
    <row r="26" spans="1:36">
      <c r="B26" s="169"/>
      <c r="C26" s="170"/>
      <c r="D26" s="170"/>
      <c r="E26" s="170"/>
      <c r="F26" s="170"/>
      <c r="G26" s="170"/>
      <c r="H26" s="170"/>
      <c r="I26" s="170"/>
      <c r="J26" s="170"/>
      <c r="K26" s="170"/>
      <c r="L26" s="170"/>
      <c r="M26" s="170"/>
      <c r="N26" s="170"/>
      <c r="O26" s="170"/>
      <c r="P26" s="170"/>
      <c r="Q26" s="170"/>
      <c r="R26" s="170"/>
      <c r="S26" s="170"/>
      <c r="T26" s="171"/>
      <c r="U26" s="172"/>
    </row>
    <row r="27" spans="1:36">
      <c r="B27" s="169"/>
      <c r="C27" s="170"/>
      <c r="D27" s="170"/>
      <c r="E27" s="170"/>
      <c r="F27" s="170"/>
      <c r="G27" s="170"/>
      <c r="H27" s="170"/>
      <c r="I27" s="170"/>
      <c r="J27" s="170"/>
      <c r="K27" s="170"/>
      <c r="L27" s="170"/>
      <c r="M27" s="170"/>
      <c r="N27" s="170"/>
      <c r="O27" s="170"/>
      <c r="P27" s="170"/>
      <c r="Q27" s="170"/>
      <c r="R27" s="170"/>
      <c r="S27" s="170"/>
      <c r="T27" s="171"/>
      <c r="U27" s="172"/>
    </row>
    <row r="28" spans="1:36" ht="18" customHeight="1" thickBot="1">
      <c r="B28" s="169"/>
      <c r="C28" s="173"/>
      <c r="D28" s="170"/>
      <c r="E28" s="170"/>
      <c r="F28" s="129" t="s">
        <v>1151</v>
      </c>
      <c r="G28" s="170"/>
      <c r="H28" s="170"/>
      <c r="I28" s="170"/>
      <c r="J28" s="170"/>
      <c r="K28" s="170"/>
      <c r="L28" s="170"/>
      <c r="M28" s="170"/>
      <c r="N28" s="170"/>
      <c r="O28" s="170"/>
      <c r="P28" s="170"/>
      <c r="Q28" s="170"/>
      <c r="R28" s="170"/>
      <c r="S28" s="170"/>
      <c r="T28" s="171"/>
      <c r="U28" s="172"/>
    </row>
    <row r="29" spans="1:36" ht="33" customHeight="1">
      <c r="B29" s="375" t="s">
        <v>1152</v>
      </c>
      <c r="C29" s="343" t="s">
        <v>1153</v>
      </c>
      <c r="D29" s="377" t="s">
        <v>1154</v>
      </c>
      <c r="E29" s="378"/>
      <c r="F29" s="379" t="s">
        <v>1155</v>
      </c>
      <c r="G29" s="170"/>
      <c r="H29" s="170"/>
      <c r="I29" s="173"/>
      <c r="J29" s="170"/>
      <c r="K29" s="170"/>
      <c r="L29" s="170"/>
      <c r="M29" s="170"/>
      <c r="N29" s="170"/>
      <c r="O29" s="170"/>
      <c r="P29" s="170"/>
      <c r="Q29" s="170"/>
      <c r="R29" s="173"/>
      <c r="S29" s="170"/>
      <c r="T29" s="171"/>
      <c r="U29" s="172"/>
    </row>
    <row r="30" spans="1:36" ht="42.75" customHeight="1" thickBot="1">
      <c r="B30" s="376"/>
      <c r="C30" s="344"/>
      <c r="D30" s="174" t="s">
        <v>1111</v>
      </c>
      <c r="E30" s="138" t="s">
        <v>1156</v>
      </c>
      <c r="F30" s="380"/>
      <c r="G30" s="170"/>
      <c r="H30" s="170"/>
      <c r="I30" s="175"/>
      <c r="J30" s="170"/>
      <c r="K30" s="170"/>
      <c r="L30" s="170"/>
      <c r="M30" s="170"/>
      <c r="N30" s="170"/>
      <c r="O30" s="170"/>
      <c r="P30" s="170"/>
      <c r="Q30" s="170"/>
      <c r="R30" s="175"/>
      <c r="S30" s="170"/>
      <c r="T30" s="171"/>
      <c r="U30" s="172"/>
      <c r="V30" s="176"/>
      <c r="W30" s="176"/>
      <c r="X30" s="176"/>
      <c r="Y30" s="176"/>
      <c r="Z30" s="176"/>
      <c r="AA30" s="176"/>
      <c r="AB30" s="176"/>
      <c r="AC30" s="176"/>
      <c r="AD30" s="176"/>
      <c r="AE30" s="176"/>
      <c r="AF30" s="176"/>
      <c r="AG30" s="176"/>
      <c r="AH30" s="176"/>
      <c r="AI30" s="176"/>
      <c r="AJ30" s="176"/>
    </row>
    <row r="31" spans="1:36" ht="15.75" thickBot="1">
      <c r="A31" s="436" t="s">
        <v>1157</v>
      </c>
      <c r="B31" s="177" t="s">
        <v>537</v>
      </c>
      <c r="C31" s="203"/>
      <c r="D31" s="204"/>
      <c r="E31" s="205"/>
      <c r="F31" s="206"/>
      <c r="G31" s="170"/>
      <c r="H31" s="170"/>
      <c r="I31" s="175"/>
      <c r="J31" s="170"/>
      <c r="K31" s="170"/>
      <c r="L31" s="170"/>
      <c r="M31" s="170"/>
      <c r="N31" s="170"/>
      <c r="O31" s="170"/>
      <c r="P31" s="170"/>
      <c r="Q31" s="170"/>
      <c r="R31" s="175"/>
      <c r="S31" s="170"/>
      <c r="T31" s="171"/>
      <c r="U31" s="172"/>
      <c r="V31" s="176"/>
      <c r="W31" s="176"/>
      <c r="X31" s="176"/>
      <c r="Y31" s="176"/>
      <c r="Z31" s="176"/>
      <c r="AA31" s="176"/>
      <c r="AB31" s="176"/>
      <c r="AC31" s="176"/>
      <c r="AD31" s="176"/>
      <c r="AE31" s="176"/>
      <c r="AF31" s="176"/>
      <c r="AG31" s="176"/>
      <c r="AH31" s="176"/>
      <c r="AI31" s="176"/>
      <c r="AJ31" s="176"/>
    </row>
    <row r="32" spans="1:36">
      <c r="A32" s="436" t="s">
        <v>1158</v>
      </c>
      <c r="B32" s="177" t="s">
        <v>1126</v>
      </c>
      <c r="C32" s="207"/>
      <c r="D32" s="208"/>
      <c r="E32" s="209"/>
      <c r="F32" s="210"/>
      <c r="G32" s="170"/>
      <c r="H32" s="170"/>
      <c r="I32" s="170"/>
      <c r="J32" s="170"/>
      <c r="K32" s="170"/>
      <c r="L32" s="170"/>
      <c r="M32" s="170"/>
      <c r="N32" s="170"/>
      <c r="O32" s="170"/>
      <c r="P32" s="170"/>
      <c r="Q32" s="170"/>
      <c r="R32" s="170"/>
      <c r="S32" s="170"/>
      <c r="T32" s="171"/>
      <c r="U32" s="172"/>
      <c r="V32" s="176"/>
      <c r="W32" s="176"/>
      <c r="X32" s="176"/>
      <c r="Y32" s="176"/>
      <c r="Z32" s="176"/>
      <c r="AA32" s="176"/>
      <c r="AB32" s="176"/>
      <c r="AC32" s="176"/>
      <c r="AD32" s="176"/>
      <c r="AE32" s="176"/>
      <c r="AF32" s="176"/>
      <c r="AG32" s="176"/>
      <c r="AH32" s="176"/>
      <c r="AI32" s="176"/>
      <c r="AJ32" s="176"/>
    </row>
    <row r="33" spans="1:21">
      <c r="A33" s="436" t="s">
        <v>1159</v>
      </c>
      <c r="B33" s="147" t="s">
        <v>1128</v>
      </c>
      <c r="C33" s="193"/>
      <c r="D33" s="211"/>
      <c r="E33" s="212"/>
      <c r="F33" s="213"/>
      <c r="G33" s="170"/>
      <c r="H33" s="170"/>
      <c r="I33" s="170"/>
      <c r="J33" s="170"/>
      <c r="K33" s="170"/>
      <c r="L33" s="170"/>
      <c r="M33" s="170"/>
      <c r="N33" s="170"/>
      <c r="O33" s="170"/>
      <c r="P33" s="170"/>
      <c r="Q33" s="170"/>
      <c r="R33" s="170"/>
      <c r="S33" s="170"/>
      <c r="T33" s="171"/>
      <c r="U33" s="172"/>
    </row>
    <row r="34" spans="1:21">
      <c r="A34" s="436" t="s">
        <v>1160</v>
      </c>
      <c r="B34" s="147" t="s">
        <v>1130</v>
      </c>
      <c r="C34" s="193"/>
      <c r="D34" s="211"/>
      <c r="E34" s="212"/>
      <c r="F34" s="213"/>
      <c r="G34" s="170"/>
      <c r="H34" s="170"/>
      <c r="I34" s="170"/>
      <c r="J34" s="170"/>
      <c r="K34" s="170"/>
      <c r="L34" s="170"/>
      <c r="M34" s="170"/>
      <c r="N34" s="170"/>
      <c r="O34" s="170"/>
      <c r="P34" s="170"/>
      <c r="Q34" s="170"/>
      <c r="R34" s="170"/>
      <c r="S34" s="170"/>
      <c r="T34" s="171"/>
      <c r="U34" s="172"/>
    </row>
    <row r="35" spans="1:21">
      <c r="A35" s="436" t="s">
        <v>1161</v>
      </c>
      <c r="B35" s="147" t="s">
        <v>658</v>
      </c>
      <c r="C35" s="193"/>
      <c r="D35" s="211"/>
      <c r="E35" s="212"/>
      <c r="F35" s="213"/>
      <c r="G35" s="170"/>
      <c r="H35" s="170"/>
      <c r="I35" s="170"/>
      <c r="J35" s="170"/>
      <c r="K35" s="170"/>
      <c r="L35" s="170"/>
      <c r="M35" s="170"/>
      <c r="N35" s="170"/>
      <c r="O35" s="170"/>
      <c r="P35" s="170"/>
      <c r="Q35" s="170"/>
      <c r="R35" s="170"/>
      <c r="S35" s="170"/>
      <c r="T35" s="171"/>
      <c r="U35" s="172"/>
    </row>
    <row r="36" spans="1:21">
      <c r="A36" s="436" t="s">
        <v>1162</v>
      </c>
      <c r="B36" s="147" t="s">
        <v>1133</v>
      </c>
      <c r="C36" s="193"/>
      <c r="D36" s="211"/>
      <c r="E36" s="212"/>
      <c r="F36" s="213"/>
      <c r="G36" s="170"/>
      <c r="H36" s="170"/>
      <c r="I36" s="170"/>
      <c r="J36" s="170"/>
      <c r="K36" s="170"/>
      <c r="L36" s="170"/>
      <c r="M36" s="170"/>
      <c r="N36" s="170"/>
      <c r="O36" s="170"/>
      <c r="P36" s="170"/>
      <c r="Q36" s="170"/>
      <c r="R36" s="170"/>
      <c r="S36" s="170"/>
      <c r="T36" s="171"/>
      <c r="U36" s="172"/>
    </row>
    <row r="37" spans="1:21" ht="13.5" thickBot="1">
      <c r="A37" s="436" t="s">
        <v>1163</v>
      </c>
      <c r="B37" s="152" t="s">
        <v>1135</v>
      </c>
      <c r="C37" s="178">
        <f>SUM(C32:C36)</f>
        <v>0</v>
      </c>
      <c r="D37" s="178">
        <f>SUM(D32:D36)</f>
        <v>0</v>
      </c>
      <c r="E37" s="178">
        <f>SUM(E32:E36)</f>
        <v>0</v>
      </c>
      <c r="F37" s="178">
        <f>SUM(F32:F36)</f>
        <v>0</v>
      </c>
      <c r="G37" s="170"/>
      <c r="H37" s="170"/>
      <c r="I37" s="170"/>
      <c r="J37" s="170"/>
      <c r="K37" s="170"/>
      <c r="L37" s="170"/>
      <c r="M37" s="170"/>
      <c r="N37" s="170"/>
      <c r="O37" s="170"/>
      <c r="P37" s="170"/>
      <c r="Q37" s="170"/>
      <c r="R37" s="170"/>
      <c r="S37" s="170"/>
      <c r="T37" s="171"/>
      <c r="U37" s="172"/>
    </row>
    <row r="38" spans="1:21" ht="13.5" thickBot="1">
      <c r="A38" s="436" t="s">
        <v>1164</v>
      </c>
      <c r="B38" s="177" t="s">
        <v>1137</v>
      </c>
      <c r="C38" s="179"/>
      <c r="D38" s="170"/>
      <c r="E38" s="170"/>
      <c r="F38" s="170"/>
      <c r="G38" s="170"/>
      <c r="H38" s="170"/>
      <c r="I38" s="170"/>
      <c r="J38" s="170"/>
      <c r="K38" s="170"/>
      <c r="L38" s="170"/>
      <c r="M38" s="170"/>
      <c r="N38" s="170"/>
      <c r="O38" s="170"/>
      <c r="P38" s="170"/>
      <c r="Q38" s="170"/>
      <c r="R38" s="170"/>
      <c r="S38" s="170"/>
      <c r="T38" s="171"/>
      <c r="U38" s="172"/>
    </row>
    <row r="39" spans="1:21">
      <c r="A39" s="436" t="s">
        <v>1165</v>
      </c>
      <c r="B39" s="177" t="s">
        <v>1139</v>
      </c>
      <c r="C39" s="214"/>
      <c r="D39" s="215"/>
      <c r="E39" s="216"/>
      <c r="F39" s="217"/>
      <c r="G39" s="170"/>
      <c r="H39" s="170"/>
      <c r="I39" s="170"/>
      <c r="J39" s="170"/>
      <c r="K39" s="170"/>
      <c r="L39" s="170"/>
      <c r="M39" s="170"/>
      <c r="N39" s="170"/>
      <c r="O39" s="170"/>
      <c r="P39" s="170"/>
      <c r="Q39" s="170"/>
      <c r="R39" s="170"/>
      <c r="S39" s="170"/>
      <c r="T39" s="171"/>
      <c r="U39" s="172"/>
    </row>
    <row r="40" spans="1:21">
      <c r="A40" s="436" t="s">
        <v>1169</v>
      </c>
      <c r="B40" s="180" t="s">
        <v>1141</v>
      </c>
      <c r="C40" s="207"/>
      <c r="D40" s="218"/>
      <c r="E40" s="212"/>
      <c r="F40" s="213"/>
      <c r="G40" s="170"/>
      <c r="H40" s="170"/>
      <c r="I40" s="170"/>
      <c r="J40" s="170"/>
      <c r="K40" s="170"/>
      <c r="L40" s="170"/>
      <c r="M40" s="170"/>
      <c r="N40" s="170"/>
      <c r="O40" s="170"/>
      <c r="P40" s="170"/>
      <c r="Q40" s="170"/>
      <c r="R40" s="170"/>
      <c r="S40" s="170"/>
      <c r="T40" s="171"/>
      <c r="U40" s="172"/>
    </row>
    <row r="41" spans="1:21">
      <c r="A41" s="436" t="s">
        <v>1170</v>
      </c>
      <c r="B41" s="147" t="s">
        <v>1143</v>
      </c>
      <c r="C41" s="193"/>
      <c r="D41" s="218"/>
      <c r="E41" s="212"/>
      <c r="F41" s="213"/>
      <c r="G41" s="170"/>
      <c r="H41" s="170"/>
      <c r="I41" s="170"/>
      <c r="J41" s="170"/>
      <c r="K41" s="170"/>
      <c r="L41" s="170"/>
      <c r="M41" s="170"/>
      <c r="N41" s="170"/>
      <c r="O41" s="170"/>
      <c r="P41" s="170"/>
      <c r="Q41" s="170"/>
      <c r="R41" s="170"/>
      <c r="S41" s="170"/>
      <c r="T41" s="171"/>
      <c r="U41" s="172"/>
    </row>
    <row r="42" spans="1:21">
      <c r="A42" s="436" t="s">
        <v>1171</v>
      </c>
      <c r="B42" s="147" t="s">
        <v>1172</v>
      </c>
      <c r="C42" s="193"/>
      <c r="D42" s="218"/>
      <c r="E42" s="212"/>
      <c r="F42" s="213"/>
      <c r="G42" s="170"/>
      <c r="H42" s="170"/>
      <c r="I42" s="170"/>
      <c r="J42" s="170"/>
      <c r="K42" s="170"/>
      <c r="L42" s="170"/>
      <c r="M42" s="170"/>
      <c r="N42" s="170"/>
      <c r="O42" s="170"/>
      <c r="P42" s="170"/>
      <c r="Q42" s="170"/>
      <c r="R42" s="170"/>
      <c r="S42" s="170"/>
      <c r="T42" s="171"/>
      <c r="U42" s="172"/>
    </row>
    <row r="43" spans="1:21">
      <c r="A43" s="436" t="s">
        <v>1173</v>
      </c>
      <c r="B43" s="147" t="s">
        <v>1147</v>
      </c>
      <c r="C43" s="193"/>
      <c r="D43" s="218"/>
      <c r="E43" s="212"/>
      <c r="F43" s="213"/>
      <c r="G43" s="170"/>
      <c r="H43" s="170"/>
      <c r="I43" s="170"/>
      <c r="J43" s="170"/>
      <c r="K43" s="170"/>
      <c r="L43" s="170"/>
      <c r="M43" s="170"/>
      <c r="N43" s="170"/>
      <c r="O43" s="170"/>
      <c r="P43" s="170"/>
      <c r="Q43" s="170"/>
      <c r="R43" s="170"/>
      <c r="S43" s="170"/>
      <c r="T43" s="171"/>
      <c r="U43" s="172"/>
    </row>
    <row r="44" spans="1:21" ht="13.5" thickBot="1">
      <c r="A44" s="436" t="s">
        <v>1174</v>
      </c>
      <c r="B44" s="152" t="s">
        <v>1135</v>
      </c>
      <c r="C44" s="178">
        <f>SUM(C39:C43)</f>
        <v>0</v>
      </c>
      <c r="D44" s="178">
        <f>SUM(D39:D43)</f>
        <v>0</v>
      </c>
      <c r="E44" s="178">
        <f>SUM(E39:E43)</f>
        <v>0</v>
      </c>
      <c r="F44" s="178">
        <f>SUM(F39:F43)</f>
        <v>0</v>
      </c>
      <c r="G44" s="170"/>
      <c r="H44" s="170"/>
      <c r="I44" s="170"/>
      <c r="J44" s="170"/>
      <c r="K44" s="170"/>
      <c r="L44" s="170"/>
      <c r="M44" s="170"/>
      <c r="N44" s="170"/>
      <c r="O44" s="170"/>
      <c r="P44" s="170"/>
      <c r="Q44" s="170"/>
      <c r="R44" s="170"/>
      <c r="S44" s="170"/>
      <c r="T44" s="171"/>
      <c r="U44" s="172"/>
    </row>
    <row r="45" spans="1:21" ht="55.5" customHeight="1" thickBot="1">
      <c r="A45" s="436" t="s">
        <v>1175</v>
      </c>
      <c r="B45" s="181" t="s">
        <v>1176</v>
      </c>
      <c r="C45" s="178">
        <f>+C44+C37</f>
        <v>0</v>
      </c>
      <c r="D45" s="178">
        <f>+D44+D37</f>
        <v>0</v>
      </c>
      <c r="E45" s="178">
        <f>+E44+E37</f>
        <v>0</v>
      </c>
      <c r="F45" s="178">
        <f>+F44+F37</f>
        <v>0</v>
      </c>
      <c r="G45" s="170"/>
      <c r="H45" s="170"/>
      <c r="I45" s="170"/>
      <c r="J45" s="170"/>
      <c r="K45" s="170"/>
      <c r="L45" s="170"/>
      <c r="M45" s="170"/>
      <c r="N45" s="170"/>
      <c r="O45" s="170"/>
      <c r="P45" s="170"/>
      <c r="Q45" s="170"/>
      <c r="R45" s="170"/>
      <c r="S45" s="170"/>
      <c r="T45" s="171"/>
      <c r="U45" s="172"/>
    </row>
    <row r="46" spans="1:21" ht="16.5" thickBot="1">
      <c r="A46" s="437" t="s">
        <v>1177</v>
      </c>
      <c r="B46" s="182" t="s">
        <v>1178</v>
      </c>
      <c r="C46" s="183"/>
      <c r="D46" s="184"/>
      <c r="E46" s="184"/>
      <c r="F46" s="253"/>
    </row>
    <row r="50" spans="3:3">
      <c r="C50" s="186"/>
    </row>
  </sheetData>
  <phoneticPr fontId="34" type="noConversion"/>
  <printOptions horizontalCentered="1" verticalCentered="1"/>
  <pageMargins left="0.23" right="0.23" top="0.39370078740157483" bottom="0.39370078740157483" header="0.19685039370078741" footer="0.19685039370078741"/>
  <pageSetup scale="50" orientation="landscape" r:id="rId1"/>
  <headerFooter alignWithMargins="0">
    <oddHeader>&amp;C&amp;"Arial,Negrita"&amp;12&amp;F</oddHeader>
    <oddFooter>&amp;L&amp;"Arial,Negrita"&amp;F &amp;A&amp;R&amp;"Arial,Negrita"Página &amp;P de &amp;N</oddFooter>
  </headerFooter>
  <legacyDrawing r:id="rId2"/>
</worksheet>
</file>

<file path=xl/worksheets/sheet13.xml><?xml version="1.0" encoding="utf-8"?>
<worksheet xmlns="http://schemas.openxmlformats.org/spreadsheetml/2006/main" xmlns:r="http://schemas.openxmlformats.org/officeDocument/2006/relationships">
  <sheetPr codeName="Hoja13">
    <pageSetUpPr fitToPage="1"/>
  </sheetPr>
  <dimension ref="A1:M19"/>
  <sheetViews>
    <sheetView zoomScale="80" workbookViewId="0">
      <selection activeCell="D8" sqref="D8"/>
    </sheetView>
  </sheetViews>
  <sheetFormatPr baseColWidth="10" defaultColWidth="19.140625" defaultRowHeight="12.75"/>
  <cols>
    <col min="1" max="1" width="28.5703125" style="6" customWidth="1"/>
    <col min="2" max="3" width="14.5703125" style="53" customWidth="1"/>
    <col min="4" max="4" width="15.7109375" style="53" customWidth="1"/>
    <col min="5" max="5" width="15.5703125" style="53" customWidth="1"/>
    <col min="6" max="6" width="15.7109375" style="53" customWidth="1"/>
    <col min="7" max="7" width="14.42578125" style="53" customWidth="1"/>
    <col min="8" max="10" width="13.7109375" style="53" customWidth="1"/>
    <col min="11" max="11" width="14.5703125" style="53" customWidth="1"/>
    <col min="12" max="12" width="17.140625" style="53" customWidth="1"/>
    <col min="13" max="13" width="13.7109375" style="53" customWidth="1"/>
    <col min="14" max="14" width="13.7109375" style="6" customWidth="1"/>
    <col min="15" max="15" width="15.7109375" style="6" customWidth="1"/>
    <col min="16" max="16" width="13.7109375" style="6" customWidth="1"/>
    <col min="17" max="17" width="19" style="6" customWidth="1"/>
    <col min="18" max="18" width="18.42578125" style="6" customWidth="1"/>
    <col min="19" max="21" width="13.7109375" style="6" customWidth="1"/>
    <col min="22" max="22" width="15.5703125" style="6" customWidth="1"/>
    <col min="23" max="23" width="14.5703125" style="6" customWidth="1"/>
    <col min="24" max="24" width="14.7109375" style="6" customWidth="1"/>
    <col min="25" max="26" width="14.5703125" style="6" customWidth="1"/>
    <col min="27" max="27" width="15.7109375" style="6" customWidth="1"/>
    <col min="28" max="28" width="14.5703125" style="6" customWidth="1"/>
    <col min="29" max="29" width="16.28515625" style="6" customWidth="1"/>
    <col min="30" max="30" width="12.7109375" style="6" customWidth="1"/>
    <col min="31" max="32" width="13.7109375" style="6" customWidth="1"/>
    <col min="33" max="34" width="14.5703125" style="6" customWidth="1"/>
    <col min="35" max="16384" width="19.140625" style="6"/>
  </cols>
  <sheetData>
    <row r="1" spans="1:13">
      <c r="A1" s="405" t="s">
        <v>1179</v>
      </c>
      <c r="B1" s="405"/>
      <c r="C1" s="405"/>
      <c r="D1" s="405"/>
      <c r="E1" s="405"/>
      <c r="F1" s="405"/>
      <c r="G1" s="405"/>
      <c r="H1" s="405"/>
      <c r="I1" s="405"/>
      <c r="J1" s="405"/>
      <c r="K1" s="405"/>
      <c r="L1" s="405"/>
      <c r="M1" s="405"/>
    </row>
    <row r="2" spans="1:13">
      <c r="B2" s="219"/>
      <c r="C2" s="219"/>
      <c r="D2" s="219"/>
      <c r="E2" s="219"/>
      <c r="F2" s="219"/>
      <c r="G2" s="219"/>
      <c r="H2" s="219"/>
      <c r="I2" s="219"/>
      <c r="J2" s="219"/>
      <c r="K2" s="219"/>
      <c r="L2" s="219"/>
      <c r="M2" s="219"/>
    </row>
    <row r="3" spans="1:13" s="92" customFormat="1" ht="12.75" customHeight="1">
      <c r="A3" s="220"/>
      <c r="B3" s="221"/>
      <c r="C3" s="222"/>
      <c r="D3" s="222"/>
      <c r="E3" s="223"/>
      <c r="F3" s="223"/>
      <c r="G3" s="224"/>
      <c r="H3" s="221"/>
      <c r="I3" s="221"/>
      <c r="J3" s="221"/>
      <c r="M3" s="225"/>
    </row>
    <row r="4" spans="1:13" s="92" customFormat="1" ht="12.75" customHeight="1" thickBot="1">
      <c r="A4" s="220"/>
      <c r="D4" s="222"/>
      <c r="E4" s="223"/>
      <c r="F4" s="223"/>
      <c r="G4" s="224"/>
      <c r="H4" s="221"/>
      <c r="I4" s="221"/>
      <c r="J4" s="221"/>
      <c r="M4" s="225"/>
    </row>
    <row r="5" spans="1:13" s="92" customFormat="1" ht="36.75" thickBot="1">
      <c r="A5" s="388" t="s">
        <v>90</v>
      </c>
      <c r="B5" s="391" t="s">
        <v>1180</v>
      </c>
      <c r="C5" s="391" t="s">
        <v>1181</v>
      </c>
      <c r="D5" s="397" t="s">
        <v>1182</v>
      </c>
      <c r="E5" s="394" t="s">
        <v>1183</v>
      </c>
      <c r="F5" s="394" t="s">
        <v>1184</v>
      </c>
      <c r="G5" s="394" t="s">
        <v>1185</v>
      </c>
      <c r="H5" s="406" t="s">
        <v>1186</v>
      </c>
      <c r="I5" s="406"/>
      <c r="J5" s="407"/>
      <c r="K5" s="400" t="s">
        <v>1187</v>
      </c>
      <c r="L5" s="225"/>
    </row>
    <row r="6" spans="1:13" s="92" customFormat="1" ht="12.75" customHeight="1" thickBot="1">
      <c r="A6" s="389"/>
      <c r="B6" s="392"/>
      <c r="C6" s="392"/>
      <c r="D6" s="398"/>
      <c r="E6" s="395"/>
      <c r="F6" s="395"/>
      <c r="G6" s="395"/>
      <c r="H6" s="404" t="s">
        <v>99</v>
      </c>
      <c r="I6" s="402" t="s">
        <v>97</v>
      </c>
      <c r="J6" s="403"/>
      <c r="K6" s="401"/>
      <c r="L6" s="225"/>
    </row>
    <row r="7" spans="1:13" s="92" customFormat="1" ht="12.75" customHeight="1" thickBot="1">
      <c r="A7" s="390"/>
      <c r="B7" s="393"/>
      <c r="C7" s="393"/>
      <c r="D7" s="399"/>
      <c r="E7" s="396"/>
      <c r="F7" s="396"/>
      <c r="G7" s="396"/>
      <c r="H7" s="396"/>
      <c r="I7" s="226" t="s">
        <v>1188</v>
      </c>
      <c r="J7" s="226" t="s">
        <v>1189</v>
      </c>
      <c r="K7" s="227" t="s">
        <v>1190</v>
      </c>
      <c r="L7" s="225"/>
    </row>
    <row r="8" spans="1:13" s="92" customFormat="1" ht="12.75" customHeight="1" thickBot="1">
      <c r="A8" s="36">
        <f>+'Cuadros para Informe Municipios'!C16</f>
        <v>6</v>
      </c>
      <c r="B8" s="37">
        <f>+'Balance Financiero'!C110</f>
        <v>0.79537601910998912</v>
      </c>
      <c r="C8" s="37">
        <f>+'Balance Financiero'!C108</f>
        <v>0.31104745009835605</v>
      </c>
      <c r="D8" s="35"/>
      <c r="E8" s="37">
        <f>+'Balance Financiero'!C112</f>
        <v>0</v>
      </c>
      <c r="F8" s="37">
        <f>+'Capacidad de Pago'!C41</f>
        <v>0</v>
      </c>
      <c r="G8" s="34"/>
      <c r="H8" s="33"/>
      <c r="I8" s="31"/>
      <c r="J8" s="32"/>
      <c r="K8" s="248" t="s">
        <v>1191</v>
      </c>
      <c r="L8" s="225"/>
    </row>
    <row r="9" spans="1:13" s="92" customFormat="1" ht="12.75" customHeight="1" thickBot="1">
      <c r="A9" s="220"/>
      <c r="D9" s="222"/>
      <c r="E9" s="223"/>
      <c r="F9" s="223"/>
      <c r="G9" s="224"/>
      <c r="H9" s="221"/>
      <c r="I9" s="221"/>
      <c r="J9" s="221"/>
      <c r="M9" s="225"/>
    </row>
    <row r="10" spans="1:13" ht="30" customHeight="1" thickBot="1">
      <c r="A10" s="385" t="s">
        <v>1192</v>
      </c>
      <c r="B10" s="386"/>
      <c r="C10" s="386"/>
      <c r="D10" s="386"/>
      <c r="E10" s="387"/>
    </row>
    <row r="11" spans="1:13" s="232" customFormat="1" ht="32.25" customHeight="1" thickBot="1">
      <c r="A11" s="228"/>
      <c r="B11" s="229" t="s">
        <v>1193</v>
      </c>
      <c r="C11" s="230" t="s">
        <v>1194</v>
      </c>
      <c r="D11" s="229" t="s">
        <v>1195</v>
      </c>
      <c r="E11" s="231" t="s">
        <v>1196</v>
      </c>
      <c r="F11" s="8"/>
      <c r="G11" s="8"/>
      <c r="H11" s="8"/>
      <c r="I11" s="8"/>
      <c r="J11" s="8"/>
      <c r="K11" s="8"/>
      <c r="L11" s="8"/>
      <c r="M11" s="8"/>
    </row>
    <row r="12" spans="1:13" s="232" customFormat="1" ht="35.25" customHeight="1">
      <c r="A12" s="233" t="s">
        <v>1197</v>
      </c>
      <c r="B12" s="234" t="s">
        <v>1198</v>
      </c>
      <c r="C12" s="235" t="s">
        <v>1199</v>
      </c>
      <c r="D12" s="234" t="s">
        <v>1199</v>
      </c>
      <c r="E12" s="236" t="s">
        <v>1200</v>
      </c>
      <c r="F12" s="8"/>
      <c r="G12" s="8"/>
      <c r="H12" s="8"/>
      <c r="I12" s="8"/>
      <c r="J12" s="8"/>
      <c r="K12" s="8"/>
      <c r="L12" s="8"/>
      <c r="M12" s="8"/>
    </row>
    <row r="13" spans="1:13" s="232" customFormat="1" ht="77.25" customHeight="1">
      <c r="A13" s="237" t="s">
        <v>1201</v>
      </c>
      <c r="B13" s="238" t="s">
        <v>1202</v>
      </c>
      <c r="C13" s="239" t="s">
        <v>1203</v>
      </c>
      <c r="D13" s="238" t="s">
        <v>1204</v>
      </c>
      <c r="E13" s="240" t="s">
        <v>1200</v>
      </c>
      <c r="F13" s="8"/>
      <c r="G13" s="8"/>
      <c r="H13" s="8"/>
      <c r="I13" s="8"/>
      <c r="J13" s="8"/>
      <c r="K13" s="8"/>
      <c r="L13" s="8"/>
      <c r="M13" s="8"/>
    </row>
    <row r="14" spans="1:13" s="232" customFormat="1" ht="15.75" customHeight="1">
      <c r="A14" s="237" t="s">
        <v>1205</v>
      </c>
      <c r="B14" s="238" t="s">
        <v>1206</v>
      </c>
      <c r="C14" s="241" t="s">
        <v>1206</v>
      </c>
      <c r="D14" s="242" t="s">
        <v>1207</v>
      </c>
      <c r="E14" s="240" t="s">
        <v>1207</v>
      </c>
      <c r="F14" s="8"/>
      <c r="G14" s="8"/>
      <c r="H14" s="8"/>
      <c r="I14" s="8"/>
      <c r="J14" s="8"/>
      <c r="K14" s="8"/>
      <c r="L14" s="8"/>
      <c r="M14" s="8"/>
    </row>
    <row r="15" spans="1:13" s="232" customFormat="1" ht="41.25" customHeight="1">
      <c r="A15" s="237" t="s">
        <v>1208</v>
      </c>
      <c r="B15" s="238" t="s">
        <v>1209</v>
      </c>
      <c r="C15" s="241" t="s">
        <v>1210</v>
      </c>
      <c r="D15" s="242" t="s">
        <v>1211</v>
      </c>
      <c r="E15" s="240" t="s">
        <v>1210</v>
      </c>
      <c r="F15" s="243"/>
      <c r="G15" s="243"/>
      <c r="H15" s="243"/>
      <c r="I15" s="243"/>
      <c r="J15" s="243"/>
      <c r="K15" s="243"/>
      <c r="L15" s="243"/>
      <c r="M15" s="243"/>
    </row>
    <row r="16" spans="1:13" s="232" customFormat="1" ht="33.75" customHeight="1">
      <c r="A16" s="244" t="s">
        <v>1213</v>
      </c>
      <c r="B16" s="242" t="s">
        <v>1214</v>
      </c>
      <c r="C16" s="241" t="s">
        <v>1215</v>
      </c>
      <c r="D16" s="238" t="s">
        <v>1215</v>
      </c>
      <c r="E16" s="240" t="s">
        <v>1215</v>
      </c>
      <c r="F16" s="243"/>
      <c r="G16" s="243"/>
      <c r="H16" s="243"/>
      <c r="I16" s="243"/>
      <c r="J16" s="243"/>
      <c r="K16" s="243"/>
      <c r="L16" s="243"/>
      <c r="M16" s="243"/>
    </row>
    <row r="17" spans="1:13" s="232" customFormat="1" ht="30" customHeight="1">
      <c r="A17" s="244" t="s">
        <v>1216</v>
      </c>
      <c r="B17" s="238" t="s">
        <v>1217</v>
      </c>
      <c r="C17" s="239" t="s">
        <v>1218</v>
      </c>
      <c r="D17" s="238" t="s">
        <v>1219</v>
      </c>
      <c r="E17" s="240" t="s">
        <v>1220</v>
      </c>
      <c r="F17" s="243"/>
      <c r="G17" s="243"/>
      <c r="H17" s="243"/>
      <c r="I17" s="243"/>
      <c r="J17" s="243"/>
      <c r="K17" s="243"/>
      <c r="L17" s="243"/>
      <c r="M17" s="243"/>
    </row>
    <row r="18" spans="1:13" s="232" customFormat="1" ht="45.75" thickBot="1">
      <c r="A18" s="245" t="s">
        <v>1221</v>
      </c>
      <c r="B18" s="249"/>
      <c r="C18" s="250"/>
      <c r="D18" s="246" t="s">
        <v>1222</v>
      </c>
      <c r="E18" s="247" t="s">
        <v>1223</v>
      </c>
      <c r="F18" s="243"/>
      <c r="G18" s="243"/>
      <c r="H18" s="243"/>
      <c r="I18" s="243"/>
      <c r="J18" s="243"/>
      <c r="K18" s="243"/>
      <c r="L18" s="243"/>
      <c r="M18" s="243"/>
    </row>
    <row r="19" spans="1:13" s="232" customFormat="1">
      <c r="B19" s="243"/>
      <c r="C19" s="243"/>
      <c r="D19" s="243"/>
      <c r="E19" s="243"/>
      <c r="F19" s="243"/>
      <c r="G19" s="243"/>
      <c r="H19" s="243"/>
      <c r="I19" s="243"/>
      <c r="J19" s="243"/>
      <c r="K19" s="243"/>
      <c r="L19" s="243"/>
      <c r="M19" s="243"/>
    </row>
  </sheetData>
  <sheetProtection password="C049" sheet="1" objects="1" scenarios="1"/>
  <phoneticPr fontId="34" type="noConversion"/>
  <printOptions horizontalCentered="1" verticalCentered="1"/>
  <pageMargins left="0.61" right="0.53" top="1" bottom="1" header="0" footer="0"/>
  <pageSetup paperSize="119" scale="61" orientation="landscape" r:id="rId1"/>
  <headerFooter alignWithMargins="0">
    <oddHeader>&amp;C&amp;"Arial,Negrita"&amp;12&amp;F</oddHeader>
    <oddFooter>&amp;L&amp;"Arial,Negrita"&amp;F &amp;A&amp;R&amp;"Arial,Negrita"Página &amp;P de &amp;N</oddFooter>
  </headerFooter>
</worksheet>
</file>

<file path=xl/worksheets/sheet14.xml><?xml version="1.0" encoding="utf-8"?>
<worksheet xmlns="http://schemas.openxmlformats.org/spreadsheetml/2006/main" xmlns:r="http://schemas.openxmlformats.org/officeDocument/2006/relationships">
  <dimension ref="A1"/>
  <sheetViews>
    <sheetView topLeftCell="A7"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2"/>
  <dimension ref="A1:P265"/>
  <sheetViews>
    <sheetView topLeftCell="G1" zoomScaleNormal="100" zoomScaleSheetLayoutView="75" workbookViewId="0">
      <pane ySplit="510" topLeftCell="A109" activePane="bottomLeft"/>
      <selection activeCell="C1" sqref="C1:C1048576"/>
      <selection pane="bottomLeft" activeCell="C34" sqref="C34"/>
    </sheetView>
  </sheetViews>
  <sheetFormatPr baseColWidth="10" defaultRowHeight="12.75"/>
  <cols>
    <col min="1" max="1" width="11.85546875" style="1" customWidth="1"/>
    <col min="2" max="2" width="3.5703125" style="6" customWidth="1"/>
    <col min="3" max="3" width="48.28515625" style="1" customWidth="1"/>
    <col min="4" max="4" width="16.28515625" style="1" customWidth="1"/>
    <col min="5" max="5" width="15.7109375" style="10" customWidth="1"/>
    <col min="6" max="6" width="15.7109375" style="1" hidden="1" customWidth="1"/>
    <col min="7" max="7" width="15.7109375" style="1" customWidth="1"/>
    <col min="8" max="9" width="15.7109375" style="10" customWidth="1"/>
    <col min="10" max="10" width="16.28515625" style="10" customWidth="1"/>
    <col min="11" max="11" width="14.28515625" style="10" customWidth="1"/>
    <col min="12" max="12" width="15.28515625" style="1" customWidth="1"/>
    <col min="13" max="13" width="15.7109375" style="1" customWidth="1"/>
    <col min="14" max="14" width="14.140625" style="1" customWidth="1"/>
    <col min="15" max="15" width="14" style="49" customWidth="1"/>
    <col min="16" max="16" width="15.7109375" style="1" customWidth="1"/>
    <col min="17" max="16384" width="11.42578125" style="1"/>
  </cols>
  <sheetData>
    <row r="1" spans="1:15" s="438" customFormat="1" ht="12.75" customHeight="1">
      <c r="A1" s="509" t="s">
        <v>1224</v>
      </c>
      <c r="B1" s="509"/>
      <c r="C1" s="509"/>
      <c r="D1" s="509"/>
      <c r="E1" s="509"/>
      <c r="O1" s="510"/>
    </row>
    <row r="2" spans="1:15" s="438" customFormat="1" ht="12.75" customHeight="1">
      <c r="A2" s="509" t="s">
        <v>1225</v>
      </c>
      <c r="B2" s="509"/>
      <c r="C2" s="509"/>
      <c r="D2" s="509"/>
      <c r="E2" s="509"/>
      <c r="O2" s="510"/>
    </row>
    <row r="3" spans="1:15" s="438" customFormat="1" ht="3.75" customHeight="1">
      <c r="A3" s="449"/>
      <c r="B3" s="449"/>
      <c r="C3" s="449"/>
      <c r="O3" s="510"/>
    </row>
    <row r="4" spans="1:15" s="438" customFormat="1" ht="3.75" customHeight="1" thickBot="1">
      <c r="A4" s="450"/>
      <c r="B4" s="450"/>
      <c r="C4" s="450"/>
      <c r="O4" s="510"/>
    </row>
    <row r="5" spans="1:15" s="438" customFormat="1" ht="13.5" hidden="1" thickBot="1">
      <c r="A5" s="511" t="s">
        <v>1226</v>
      </c>
      <c r="B5" s="512"/>
      <c r="C5" s="1015">
        <f>Ingresos!B6</f>
        <v>0</v>
      </c>
      <c r="O5" s="510"/>
    </row>
    <row r="6" spans="1:15" s="438" customFormat="1">
      <c r="A6" s="511" t="s">
        <v>100</v>
      </c>
      <c r="B6" s="512"/>
      <c r="C6" s="1015" t="str">
        <f>Ingresos!B8</f>
        <v>MUNICIPIO DE CUNDAY</v>
      </c>
      <c r="D6" s="514"/>
      <c r="O6" s="510"/>
    </row>
    <row r="7" spans="1:15" s="438" customFormat="1">
      <c r="A7" s="513" t="s">
        <v>1228</v>
      </c>
      <c r="B7" s="451"/>
      <c r="C7" s="1013">
        <f>Ingresos!B10</f>
        <v>2011</v>
      </c>
      <c r="D7" s="445"/>
      <c r="O7" s="510"/>
    </row>
    <row r="8" spans="1:15" s="438" customFormat="1" ht="13.5" thickBot="1">
      <c r="A8" s="515" t="s">
        <v>1230</v>
      </c>
      <c r="B8" s="516"/>
      <c r="C8" s="1014">
        <f>Ingresos!B12</f>
        <v>6</v>
      </c>
      <c r="O8" s="510"/>
    </row>
    <row r="9" spans="1:15" s="438" customFormat="1" ht="13.5" hidden="1" thickBot="1">
      <c r="A9" s="515" t="s">
        <v>1231</v>
      </c>
      <c r="B9" s="516"/>
      <c r="C9" s="1014">
        <f>Ingresos!B14</f>
        <v>0</v>
      </c>
      <c r="O9" s="510"/>
    </row>
    <row r="10" spans="1:15" s="438" customFormat="1" ht="4.5" hidden="1" customHeight="1">
      <c r="A10" s="450"/>
      <c r="B10" s="450"/>
      <c r="C10" s="450"/>
      <c r="O10" s="510"/>
    </row>
    <row r="11" spans="1:15" s="438" customFormat="1" hidden="1">
      <c r="A11" s="451" t="s">
        <v>101</v>
      </c>
      <c r="B11" s="451"/>
      <c r="C11" s="451"/>
      <c r="D11" s="451"/>
      <c r="O11" s="510"/>
    </row>
    <row r="12" spans="1:15" s="438" customFormat="1" ht="3.75" hidden="1" customHeight="1" thickBot="1">
      <c r="A12" s="450"/>
      <c r="B12" s="450"/>
      <c r="C12" s="450"/>
      <c r="D12" s="517"/>
      <c r="O12" s="510"/>
    </row>
    <row r="13" spans="1:15" s="438" customFormat="1" hidden="1">
      <c r="A13" s="511" t="s">
        <v>1233</v>
      </c>
      <c r="B13" s="512"/>
      <c r="C13" s="1015">
        <f>Ingresos!B17</f>
        <v>617</v>
      </c>
      <c r="D13" s="441"/>
      <c r="O13" s="510"/>
    </row>
    <row r="14" spans="1:15" s="438" customFormat="1" hidden="1">
      <c r="A14" s="513" t="s">
        <v>1234</v>
      </c>
      <c r="B14" s="451"/>
      <c r="C14" s="1013">
        <f>Ingresos!B18</f>
        <v>0</v>
      </c>
      <c r="D14" s="441"/>
      <c r="O14" s="510"/>
    </row>
    <row r="15" spans="1:15" s="438" customFormat="1" ht="13.5" hidden="1" thickBot="1">
      <c r="A15" s="515" t="s">
        <v>1235</v>
      </c>
      <c r="B15" s="516"/>
      <c r="C15" s="1014">
        <f>Ingresos!B19</f>
        <v>0</v>
      </c>
      <c r="D15" s="441"/>
      <c r="O15" s="510"/>
    </row>
    <row r="16" spans="1:15" s="438" customFormat="1" ht="4.5" hidden="1" customHeight="1">
      <c r="A16" s="450"/>
      <c r="B16" s="450"/>
      <c r="C16" s="450"/>
      <c r="D16" s="441"/>
      <c r="O16" s="510"/>
    </row>
    <row r="17" spans="1:16" s="438" customFormat="1" hidden="1">
      <c r="A17" s="451" t="s">
        <v>102</v>
      </c>
      <c r="B17" s="451"/>
      <c r="C17" s="451"/>
      <c r="D17" s="445"/>
      <c r="E17" s="445"/>
      <c r="F17" s="441"/>
      <c r="G17" s="441"/>
      <c r="H17" s="441"/>
      <c r="I17" s="441"/>
      <c r="J17" s="441"/>
      <c r="K17" s="441"/>
      <c r="O17" s="510"/>
    </row>
    <row r="18" spans="1:16" s="438" customFormat="1" ht="1.5" customHeight="1">
      <c r="A18" s="450"/>
      <c r="B18" s="450"/>
      <c r="C18" s="450"/>
      <c r="E18" s="445"/>
      <c r="F18" s="441"/>
      <c r="G18" s="441"/>
      <c r="H18" s="441"/>
      <c r="I18" s="441"/>
      <c r="J18" s="441"/>
      <c r="K18" s="441"/>
      <c r="O18" s="510"/>
    </row>
    <row r="19" spans="1:16" s="438" customFormat="1" ht="1.5" customHeight="1">
      <c r="A19" s="450"/>
      <c r="B19" s="450"/>
      <c r="C19" s="450"/>
      <c r="E19" s="441"/>
      <c r="F19" s="441"/>
      <c r="G19" s="441"/>
      <c r="H19" s="441"/>
      <c r="I19" s="441"/>
      <c r="J19" s="441"/>
      <c r="K19" s="441"/>
      <c r="O19" s="510"/>
    </row>
    <row r="20" spans="1:16" s="438" customFormat="1" ht="1.5" customHeight="1">
      <c r="A20" s="449"/>
      <c r="B20" s="449"/>
      <c r="C20" s="449"/>
      <c r="F20" s="518" t="e">
        <f>+F21-6841</f>
        <v>#REF!</v>
      </c>
      <c r="G20" s="518"/>
      <c r="H20" s="518"/>
      <c r="I20" s="518"/>
      <c r="J20" s="518"/>
      <c r="K20" s="518"/>
      <c r="O20" s="510"/>
    </row>
    <row r="21" spans="1:16" s="438" customFormat="1" ht="1.5" customHeight="1" thickBot="1">
      <c r="A21" s="450"/>
      <c r="B21" s="450"/>
      <c r="C21" s="450"/>
      <c r="F21" s="518" t="e">
        <f>38281-F27</f>
        <v>#REF!</v>
      </c>
      <c r="G21" s="518"/>
      <c r="H21" s="518"/>
      <c r="I21" s="518"/>
      <c r="J21" s="518"/>
      <c r="K21" s="518"/>
      <c r="O21" s="510"/>
    </row>
    <row r="22" spans="1:16" ht="66.75" customHeight="1" thickBot="1">
      <c r="A22" s="408" t="s">
        <v>103</v>
      </c>
      <c r="B22" s="408"/>
      <c r="C22" s="336" t="s">
        <v>1241</v>
      </c>
      <c r="D22" s="336" t="str">
        <f>+Ingresos!C25</f>
        <v>Escenario Financiero Año 2011</v>
      </c>
      <c r="E22" s="311" t="s">
        <v>1242</v>
      </c>
      <c r="F22" s="1016"/>
      <c r="G22" s="311" t="s">
        <v>104</v>
      </c>
      <c r="H22" s="311" t="s">
        <v>1244</v>
      </c>
      <c r="I22" s="311" t="s">
        <v>105</v>
      </c>
      <c r="J22" s="311" t="s">
        <v>106</v>
      </c>
      <c r="K22" s="311" t="s">
        <v>107</v>
      </c>
      <c r="L22" s="311" t="s">
        <v>1247</v>
      </c>
      <c r="M22" s="311" t="s">
        <v>108</v>
      </c>
      <c r="N22" s="311" t="s">
        <v>1249</v>
      </c>
      <c r="O22" s="1017" t="s">
        <v>1250</v>
      </c>
      <c r="P22" s="1399" t="s">
        <v>109</v>
      </c>
    </row>
    <row r="23" spans="1:16" ht="66.75" hidden="1" customHeight="1" thickBot="1">
      <c r="A23" s="337"/>
      <c r="B23" s="337"/>
      <c r="C23" s="336"/>
      <c r="D23" s="336"/>
      <c r="E23" s="311"/>
      <c r="F23" s="1018"/>
      <c r="G23" s="311"/>
      <c r="H23" s="311"/>
      <c r="I23" s="311"/>
      <c r="J23" s="311"/>
      <c r="K23" s="311"/>
      <c r="L23" s="311"/>
      <c r="M23" s="311"/>
      <c r="N23" s="311"/>
      <c r="O23" s="1017"/>
      <c r="P23" s="311"/>
    </row>
    <row r="24" spans="1:16" ht="66.75" hidden="1" customHeight="1" thickBot="1">
      <c r="A24" s="337"/>
      <c r="B24" s="337"/>
      <c r="C24" s="336"/>
      <c r="D24" s="336"/>
      <c r="E24" s="311"/>
      <c r="F24" s="1018"/>
      <c r="G24" s="311"/>
      <c r="H24" s="311"/>
      <c r="I24" s="311"/>
      <c r="J24" s="311"/>
      <c r="K24" s="311"/>
      <c r="L24" s="311"/>
      <c r="M24" s="311"/>
      <c r="N24" s="311"/>
      <c r="O24" s="1017"/>
      <c r="P24" s="311"/>
    </row>
    <row r="25" spans="1:16">
      <c r="A25" s="61" t="s">
        <v>110</v>
      </c>
      <c r="B25" s="68"/>
      <c r="C25" s="503" t="s">
        <v>111</v>
      </c>
      <c r="D25" s="62">
        <f>+D26+D72+D199+D222+D230</f>
        <v>6706172.4450000003</v>
      </c>
      <c r="E25" s="62">
        <f>+E26+E72+E199+E222+E230</f>
        <v>3488578</v>
      </c>
      <c r="F25" s="337">
        <v>0</v>
      </c>
      <c r="G25" s="62">
        <f>+G26+G72+G199+G222+G230</f>
        <v>6706172.4450000003</v>
      </c>
      <c r="H25" s="62">
        <f t="shared" ref="H25:H88" si="0">+G25-E25</f>
        <v>3217594.4450000003</v>
      </c>
      <c r="I25" s="62">
        <f>+I26+I72+I199+I222+I230</f>
        <v>5209924.4450000003</v>
      </c>
      <c r="J25" s="62">
        <f>+J26+J72+J199+J222+J230</f>
        <v>5209924.4450000003</v>
      </c>
      <c r="K25" s="62">
        <f>+K26+K72+K199+K222+K230</f>
        <v>4880875.4450000003</v>
      </c>
      <c r="L25" s="63">
        <f t="shared" ref="L25:L86" si="1">+J25/G25</f>
        <v>0.77688495005588842</v>
      </c>
      <c r="M25" s="62">
        <f>+M26+M72+M199+M222+M230</f>
        <v>6500735.5499999998</v>
      </c>
      <c r="N25" s="63">
        <f t="shared" ref="N25:N86" si="2">+(J25/M25)-1</f>
        <v>-0.19856385405494603</v>
      </c>
      <c r="O25" s="63">
        <f t="shared" ref="O25:O86" si="3">+J25/D25</f>
        <v>0.77688495005588842</v>
      </c>
      <c r="P25" s="62">
        <f>+P26+P72+P199+P222+P230</f>
        <v>6412157.1999999993</v>
      </c>
    </row>
    <row r="26" spans="1:16" ht="12.75" customHeight="1" thickBot="1">
      <c r="A26" s="61" t="s">
        <v>112</v>
      </c>
      <c r="B26" s="68"/>
      <c r="C26" s="504" t="s">
        <v>113</v>
      </c>
      <c r="D26" s="1019">
        <f>+D27+D42+D46+D69</f>
        <v>633728</v>
      </c>
      <c r="E26" s="42">
        <f>+E27+E42+E46+E69</f>
        <v>660213</v>
      </c>
      <c r="F26" s="337">
        <v>0</v>
      </c>
      <c r="G26" s="42">
        <f>+G27+G42+G46+G69</f>
        <v>831910</v>
      </c>
      <c r="H26" s="42">
        <f t="shared" si="0"/>
        <v>171697</v>
      </c>
      <c r="I26" s="42">
        <f>+I27+I42+I46+I69</f>
        <v>831910</v>
      </c>
      <c r="J26" s="42">
        <f>+J27+J42+J46+J69</f>
        <v>831910</v>
      </c>
      <c r="K26" s="42">
        <f>+K27+K42+K46+K69</f>
        <v>796442</v>
      </c>
      <c r="L26" s="64">
        <f t="shared" si="1"/>
        <v>1</v>
      </c>
      <c r="M26" s="42">
        <f>+M27+M42+M46+M69</f>
        <v>785529.85</v>
      </c>
      <c r="N26" s="64">
        <f t="shared" si="2"/>
        <v>5.9043141390489495E-2</v>
      </c>
      <c r="O26" s="64">
        <f t="shared" si="3"/>
        <v>1.3127240708947687</v>
      </c>
      <c r="P26" s="42">
        <f>+P27+P42+P46+P69</f>
        <v>685529.85</v>
      </c>
    </row>
    <row r="27" spans="1:16">
      <c r="A27" s="61" t="s">
        <v>114</v>
      </c>
      <c r="B27" s="68"/>
      <c r="C27" s="504" t="s">
        <v>115</v>
      </c>
      <c r="D27" s="1019">
        <f>+D28+D29+D35</f>
        <v>248973</v>
      </c>
      <c r="E27" s="42">
        <f>+E28+E29+E35</f>
        <v>238314</v>
      </c>
      <c r="F27" s="62" t="e">
        <f>+F28+F74+#REF!+F224</f>
        <v>#REF!</v>
      </c>
      <c r="G27" s="42">
        <f>+G28+G29+G35</f>
        <v>342094</v>
      </c>
      <c r="H27" s="42">
        <f t="shared" si="0"/>
        <v>103780</v>
      </c>
      <c r="I27" s="42">
        <f>+I28+I29+I35</f>
        <v>342094</v>
      </c>
      <c r="J27" s="42">
        <f>+J28+J29+J35</f>
        <v>342094</v>
      </c>
      <c r="K27" s="42">
        <f>+K28+K29+K35</f>
        <v>306626</v>
      </c>
      <c r="L27" s="64">
        <f t="shared" si="1"/>
        <v>1</v>
      </c>
      <c r="M27" s="42">
        <f>+M28+M29+M35</f>
        <v>316296.84999999998</v>
      </c>
      <c r="N27" s="64">
        <f t="shared" si="2"/>
        <v>8.1559933334777179E-2</v>
      </c>
      <c r="O27" s="64">
        <f t="shared" si="3"/>
        <v>1.3740204761158841</v>
      </c>
      <c r="P27" s="42">
        <f>+P28+P29+P35</f>
        <v>316296.84999999998</v>
      </c>
    </row>
    <row r="28" spans="1:16">
      <c r="A28" s="61" t="s">
        <v>116</v>
      </c>
      <c r="B28" s="68"/>
      <c r="C28" s="504" t="s">
        <v>117</v>
      </c>
      <c r="D28" s="1020">
        <f>VLOOKUP(A28,'Gastos Proyecciones'!$A$22:$R$233,LOOKUP($D$22,'Gastos Proyecciones'!$D$22:$R$22,'Gastos Proyecciones'!$D$240:$R$240),FALSE)</f>
        <v>235487</v>
      </c>
      <c r="E28" s="18">
        <v>165863</v>
      </c>
      <c r="F28" s="980">
        <v>0</v>
      </c>
      <c r="G28" s="18">
        <v>235587</v>
      </c>
      <c r="H28" s="58">
        <f t="shared" si="0"/>
        <v>69724</v>
      </c>
      <c r="I28" s="18">
        <v>235587</v>
      </c>
      <c r="J28" s="18">
        <v>235587</v>
      </c>
      <c r="K28" s="18">
        <v>200119</v>
      </c>
      <c r="L28" s="66">
        <f t="shared" si="1"/>
        <v>1</v>
      </c>
      <c r="M28" s="18">
        <v>254896</v>
      </c>
      <c r="N28" s="66">
        <f t="shared" si="2"/>
        <v>-7.5752463749921506E-2</v>
      </c>
      <c r="O28" s="66">
        <f t="shared" si="3"/>
        <v>1.0004246518916118</v>
      </c>
      <c r="P28" s="18">
        <f>VLOOKUP(A28,'Gastos Proyecciones'!$A$22:$R$233,LOOKUP(Ingresos!$O$190,'Gastos Proyecciones'!$D$22:$R$22,'Gastos Proyecciones'!$D$240:$R$240),FALSE)</f>
        <v>254896</v>
      </c>
    </row>
    <row r="29" spans="1:16">
      <c r="A29" s="61" t="s">
        <v>118</v>
      </c>
      <c r="B29" s="68"/>
      <c r="C29" s="504" t="s">
        <v>119</v>
      </c>
      <c r="D29" s="1019">
        <f>SUM(D30:D34)</f>
        <v>0</v>
      </c>
      <c r="E29" s="42">
        <f>SUM(E30:E34)</f>
        <v>0</v>
      </c>
      <c r="F29" s="42">
        <f>+F30+F31+F37</f>
        <v>0</v>
      </c>
      <c r="G29" s="42">
        <f>SUM(G30:G34)</f>
        <v>0</v>
      </c>
      <c r="H29" s="42">
        <f t="shared" si="0"/>
        <v>0</v>
      </c>
      <c r="I29" s="42">
        <f>SUM(I30:I34)</f>
        <v>0</v>
      </c>
      <c r="J29" s="42">
        <f>SUM(J30:J34)</f>
        <v>0</v>
      </c>
      <c r="K29" s="42">
        <f>SUM(K30:K34)</f>
        <v>0</v>
      </c>
      <c r="L29" s="64" t="e">
        <f t="shared" si="1"/>
        <v>#DIV/0!</v>
      </c>
      <c r="M29" s="42">
        <f>SUM(M30:M34)</f>
        <v>0</v>
      </c>
      <c r="N29" s="64" t="e">
        <f t="shared" si="2"/>
        <v>#DIV/0!</v>
      </c>
      <c r="O29" s="64" t="e">
        <f t="shared" si="3"/>
        <v>#DIV/0!</v>
      </c>
      <c r="P29" s="42">
        <f>SUM(P30:P34)</f>
        <v>0</v>
      </c>
    </row>
    <row r="30" spans="1:16">
      <c r="A30" s="67" t="s">
        <v>120</v>
      </c>
      <c r="B30" s="68"/>
      <c r="C30" s="505" t="s">
        <v>121</v>
      </c>
      <c r="D30" s="1020">
        <f>VLOOKUP(A30,'Gastos Proyecciones'!$A$22:$R$233,LOOKUP($D$22,'Gastos Proyecciones'!$D$22:$R$22,'Gastos Proyecciones'!$D$240:$R$240),FALSE)</f>
        <v>0</v>
      </c>
      <c r="E30" s="18">
        <v>0</v>
      </c>
      <c r="F30" s="980">
        <v>0</v>
      </c>
      <c r="G30" s="18">
        <v>0</v>
      </c>
      <c r="H30" s="58">
        <f t="shared" si="0"/>
        <v>0</v>
      </c>
      <c r="I30" s="18">
        <v>0</v>
      </c>
      <c r="J30" s="18">
        <v>0</v>
      </c>
      <c r="K30" s="18">
        <v>0</v>
      </c>
      <c r="L30" s="66" t="e">
        <f t="shared" si="1"/>
        <v>#DIV/0!</v>
      </c>
      <c r="M30" s="18">
        <v>0</v>
      </c>
      <c r="N30" s="66" t="e">
        <f t="shared" si="2"/>
        <v>#DIV/0!</v>
      </c>
      <c r="O30" s="66" t="e">
        <f t="shared" si="3"/>
        <v>#DIV/0!</v>
      </c>
      <c r="P30" s="18">
        <f>VLOOKUP(A30,'Gastos Proyecciones'!$A$22:$R$233,LOOKUP(Ingresos!$O$190,'Gastos Proyecciones'!$D$22:$R$22,'Gastos Proyecciones'!$D$240:$R$240),FALSE)</f>
        <v>0</v>
      </c>
    </row>
    <row r="31" spans="1:16">
      <c r="A31" s="67" t="s">
        <v>122</v>
      </c>
      <c r="B31" s="68"/>
      <c r="C31" s="505" t="s">
        <v>123</v>
      </c>
      <c r="D31" s="1020">
        <f>VLOOKUP(A31,'Gastos Proyecciones'!$A$22:$R$233,LOOKUP($D$22,'Gastos Proyecciones'!$D$22:$R$22,'Gastos Proyecciones'!$D$240:$R$240),FALSE)</f>
        <v>0</v>
      </c>
      <c r="E31" s="18">
        <v>0</v>
      </c>
      <c r="F31" s="980">
        <v>0</v>
      </c>
      <c r="G31" s="18">
        <v>0</v>
      </c>
      <c r="H31" s="58">
        <f t="shared" si="0"/>
        <v>0</v>
      </c>
      <c r="I31" s="18">
        <v>0</v>
      </c>
      <c r="J31" s="18">
        <v>0</v>
      </c>
      <c r="K31" s="18">
        <v>0</v>
      </c>
      <c r="L31" s="66" t="e">
        <f t="shared" si="1"/>
        <v>#DIV/0!</v>
      </c>
      <c r="M31" s="18">
        <v>0</v>
      </c>
      <c r="N31" s="66" t="e">
        <f t="shared" si="2"/>
        <v>#DIV/0!</v>
      </c>
      <c r="O31" s="66" t="e">
        <f t="shared" si="3"/>
        <v>#DIV/0!</v>
      </c>
      <c r="P31" s="18">
        <f>VLOOKUP(A31,'Gastos Proyecciones'!$A$22:$R$233,LOOKUP(Ingresos!$O$190,'Gastos Proyecciones'!$D$22:$R$22,'Gastos Proyecciones'!$D$240:$R$240),FALSE)</f>
        <v>0</v>
      </c>
    </row>
    <row r="32" spans="1:16">
      <c r="A32" s="67" t="s">
        <v>124</v>
      </c>
      <c r="B32" s="68"/>
      <c r="C32" s="505" t="s">
        <v>125</v>
      </c>
      <c r="D32" s="1020">
        <f>VLOOKUP(A32,'Gastos Proyecciones'!$A$22:$R$233,LOOKUP($D$22,'Gastos Proyecciones'!$D$22:$R$22,'Gastos Proyecciones'!$D$240:$R$240),FALSE)</f>
        <v>0</v>
      </c>
      <c r="E32" s="18">
        <v>0</v>
      </c>
      <c r="F32" s="980">
        <v>0</v>
      </c>
      <c r="G32" s="18">
        <v>0</v>
      </c>
      <c r="H32" s="58">
        <f t="shared" si="0"/>
        <v>0</v>
      </c>
      <c r="I32" s="18">
        <v>0</v>
      </c>
      <c r="J32" s="18">
        <v>0</v>
      </c>
      <c r="K32" s="18">
        <v>0</v>
      </c>
      <c r="L32" s="66" t="e">
        <f t="shared" si="1"/>
        <v>#DIV/0!</v>
      </c>
      <c r="M32" s="18">
        <v>0</v>
      </c>
      <c r="N32" s="66" t="e">
        <f t="shared" si="2"/>
        <v>#DIV/0!</v>
      </c>
      <c r="O32" s="66" t="e">
        <f t="shared" si="3"/>
        <v>#DIV/0!</v>
      </c>
      <c r="P32" s="18">
        <f>VLOOKUP(A32,'Gastos Proyecciones'!$A$22:$R$233,LOOKUP(Ingresos!$O$190,'Gastos Proyecciones'!$D$22:$R$22,'Gastos Proyecciones'!$D$240:$R$240),FALSE)</f>
        <v>0</v>
      </c>
    </row>
    <row r="33" spans="1:16">
      <c r="A33" s="67" t="s">
        <v>126</v>
      </c>
      <c r="B33" s="68"/>
      <c r="C33" s="505" t="s">
        <v>127</v>
      </c>
      <c r="D33" s="1020">
        <f>VLOOKUP(A33,'Gastos Proyecciones'!$A$22:$R$233,LOOKUP($D$22,'Gastos Proyecciones'!$D$22:$R$22,'Gastos Proyecciones'!$D$240:$R$240),FALSE)</f>
        <v>0</v>
      </c>
      <c r="E33" s="18">
        <v>0</v>
      </c>
      <c r="F33" s="980">
        <v>0</v>
      </c>
      <c r="G33" s="18">
        <v>0</v>
      </c>
      <c r="H33" s="58">
        <f t="shared" si="0"/>
        <v>0</v>
      </c>
      <c r="I33" s="18">
        <v>0</v>
      </c>
      <c r="J33" s="18">
        <v>0</v>
      </c>
      <c r="K33" s="18">
        <v>0</v>
      </c>
      <c r="L33" s="66" t="e">
        <f t="shared" si="1"/>
        <v>#DIV/0!</v>
      </c>
      <c r="M33" s="18">
        <v>0</v>
      </c>
      <c r="N33" s="66" t="e">
        <f t="shared" si="2"/>
        <v>#DIV/0!</v>
      </c>
      <c r="O33" s="66" t="e">
        <f t="shared" si="3"/>
        <v>#DIV/0!</v>
      </c>
      <c r="P33" s="18">
        <f>VLOOKUP(A33,'Gastos Proyecciones'!$A$22:$R$233,LOOKUP(Ingresos!$O$190,'Gastos Proyecciones'!$D$22:$R$22,'Gastos Proyecciones'!$D$240:$R$240),FALSE)</f>
        <v>0</v>
      </c>
    </row>
    <row r="34" spans="1:16">
      <c r="A34" s="67" t="s">
        <v>128</v>
      </c>
      <c r="B34" s="68"/>
      <c r="C34" s="505" t="s">
        <v>129</v>
      </c>
      <c r="D34" s="1020">
        <f>VLOOKUP(A34,'Gastos Proyecciones'!$A$22:$R$233,LOOKUP($D$22,'Gastos Proyecciones'!$D$22:$R$22,'Gastos Proyecciones'!$D$240:$R$240),FALSE)</f>
        <v>0</v>
      </c>
      <c r="E34" s="18">
        <v>0</v>
      </c>
      <c r="F34" s="980">
        <v>0</v>
      </c>
      <c r="G34" s="18">
        <v>0</v>
      </c>
      <c r="H34" s="58">
        <f t="shared" si="0"/>
        <v>0</v>
      </c>
      <c r="I34" s="18">
        <v>0</v>
      </c>
      <c r="J34" s="18">
        <v>0</v>
      </c>
      <c r="K34" s="18">
        <v>0</v>
      </c>
      <c r="L34" s="66" t="e">
        <f t="shared" si="1"/>
        <v>#DIV/0!</v>
      </c>
      <c r="M34" s="18">
        <v>0</v>
      </c>
      <c r="N34" s="66" t="e">
        <f t="shared" si="2"/>
        <v>#DIV/0!</v>
      </c>
      <c r="O34" s="66" t="e">
        <f t="shared" si="3"/>
        <v>#DIV/0!</v>
      </c>
      <c r="P34" s="18">
        <f>VLOOKUP(A34,'Gastos Proyecciones'!$A$22:$R$233,LOOKUP(Ingresos!$O$190,'Gastos Proyecciones'!$D$22:$R$22,'Gastos Proyecciones'!$D$240:$R$240),FALSE)</f>
        <v>0</v>
      </c>
    </row>
    <row r="35" spans="1:16">
      <c r="A35" s="61" t="s">
        <v>130</v>
      </c>
      <c r="B35" s="68"/>
      <c r="C35" s="504" t="s">
        <v>131</v>
      </c>
      <c r="D35" s="1019">
        <f>+D36+D39</f>
        <v>13486</v>
      </c>
      <c r="E35" s="42">
        <f>+E36+E39</f>
        <v>72451</v>
      </c>
      <c r="F35" s="76" t="e">
        <f>+E33+#REF!+#REF!-#REF!-#REF!</f>
        <v>#REF!</v>
      </c>
      <c r="G35" s="42">
        <f>+G36+G39</f>
        <v>106507</v>
      </c>
      <c r="H35" s="42">
        <f t="shared" si="0"/>
        <v>34056</v>
      </c>
      <c r="I35" s="42">
        <f>+I36+I39</f>
        <v>106507</v>
      </c>
      <c r="J35" s="42">
        <f>+J36+J39</f>
        <v>106507</v>
      </c>
      <c r="K35" s="42">
        <f>+K36+K39</f>
        <v>106507</v>
      </c>
      <c r="L35" s="64">
        <f t="shared" si="1"/>
        <v>1</v>
      </c>
      <c r="M35" s="42">
        <f>+M36+M39</f>
        <v>61400.850000000006</v>
      </c>
      <c r="N35" s="64">
        <f t="shared" si="2"/>
        <v>0.73461768037413155</v>
      </c>
      <c r="O35" s="64">
        <f t="shared" si="3"/>
        <v>7.8975975085273618</v>
      </c>
      <c r="P35" s="42">
        <f>+P36+P39</f>
        <v>61400.850000000006</v>
      </c>
    </row>
    <row r="36" spans="1:16">
      <c r="A36" s="61" t="s">
        <v>132</v>
      </c>
      <c r="B36" s="68"/>
      <c r="C36" s="504" t="s">
        <v>133</v>
      </c>
      <c r="D36" s="1019">
        <f>SUM(D37:D38)</f>
        <v>13486</v>
      </c>
      <c r="E36" s="42">
        <f>SUM(E37:E38)</f>
        <v>72451</v>
      </c>
      <c r="F36" s="76" t="e">
        <f>+E34+#REF!+#REF!-#REF!-#REF!</f>
        <v>#REF!</v>
      </c>
      <c r="G36" s="42">
        <f>SUM(G37:G38)</f>
        <v>106507</v>
      </c>
      <c r="H36" s="42">
        <f t="shared" si="0"/>
        <v>34056</v>
      </c>
      <c r="I36" s="42">
        <f>SUM(I37:I38)</f>
        <v>106507</v>
      </c>
      <c r="J36" s="42">
        <f>SUM(J37:J38)</f>
        <v>106507</v>
      </c>
      <c r="K36" s="42">
        <f>SUM(K37:K38)</f>
        <v>106507</v>
      </c>
      <c r="L36" s="64">
        <f t="shared" si="1"/>
        <v>1</v>
      </c>
      <c r="M36" s="42">
        <f>SUM(M37:M38)</f>
        <v>61400.850000000006</v>
      </c>
      <c r="N36" s="64">
        <f t="shared" si="2"/>
        <v>0.73461768037413155</v>
      </c>
      <c r="O36" s="64">
        <f t="shared" si="3"/>
        <v>7.8975975085273618</v>
      </c>
      <c r="P36" s="42">
        <f>SUM(P37:P38)</f>
        <v>61400.850000000006</v>
      </c>
    </row>
    <row r="37" spans="1:16">
      <c r="A37" s="67" t="s">
        <v>134</v>
      </c>
      <c r="B37" s="68"/>
      <c r="C37" s="505" t="s">
        <v>135</v>
      </c>
      <c r="D37" s="1020">
        <f>VLOOKUP(A37,'Gastos Proyecciones'!$A$22:$R$233,LOOKUP($D$22,'Gastos Proyecciones'!$D$22:$R$22,'Gastos Proyecciones'!$D$240:$R$240),FALSE)</f>
        <v>3557</v>
      </c>
      <c r="E37" s="18">
        <v>58604</v>
      </c>
      <c r="F37" s="980">
        <v>0</v>
      </c>
      <c r="G37" s="18">
        <v>86578</v>
      </c>
      <c r="H37" s="58">
        <f t="shared" si="0"/>
        <v>27974</v>
      </c>
      <c r="I37" s="18">
        <v>86578</v>
      </c>
      <c r="J37" s="18">
        <v>86578</v>
      </c>
      <c r="K37" s="18">
        <v>86578</v>
      </c>
      <c r="L37" s="66">
        <f t="shared" si="1"/>
        <v>1</v>
      </c>
      <c r="M37" s="18">
        <v>43557.15</v>
      </c>
      <c r="N37" s="66">
        <f t="shared" si="2"/>
        <v>0.98768744052354207</v>
      </c>
      <c r="O37" s="66">
        <f t="shared" si="3"/>
        <v>24.340174304188924</v>
      </c>
      <c r="P37" s="18">
        <f>VLOOKUP(A37,'Gastos Proyecciones'!$A$22:$R$233,LOOKUP(Ingresos!$O$190,'Gastos Proyecciones'!$D$22:$R$22,'Gastos Proyecciones'!$D$240:$R$240),FALSE)</f>
        <v>43557.15</v>
      </c>
    </row>
    <row r="38" spans="1:16">
      <c r="A38" s="67" t="s">
        <v>136</v>
      </c>
      <c r="B38" s="68"/>
      <c r="C38" s="505" t="s">
        <v>137</v>
      </c>
      <c r="D38" s="1020">
        <f>VLOOKUP(A38,'Gastos Proyecciones'!$A$22:$R$233,LOOKUP($D$22,'Gastos Proyecciones'!$D$22:$R$22,'Gastos Proyecciones'!$D$240:$R$240),FALSE)</f>
        <v>9929</v>
      </c>
      <c r="E38" s="18">
        <v>13847</v>
      </c>
      <c r="F38" s="980">
        <v>0</v>
      </c>
      <c r="G38" s="18">
        <v>19929</v>
      </c>
      <c r="H38" s="58">
        <f t="shared" si="0"/>
        <v>6082</v>
      </c>
      <c r="I38" s="18">
        <v>19929</v>
      </c>
      <c r="J38" s="18">
        <v>19929</v>
      </c>
      <c r="K38" s="18">
        <v>19929</v>
      </c>
      <c r="L38" s="66">
        <f t="shared" si="1"/>
        <v>1</v>
      </c>
      <c r="M38" s="18">
        <v>17843.7</v>
      </c>
      <c r="N38" s="66">
        <f t="shared" si="2"/>
        <v>0.11686477580322463</v>
      </c>
      <c r="O38" s="66">
        <f t="shared" si="3"/>
        <v>2.0071507704703393</v>
      </c>
      <c r="P38" s="18">
        <f>VLOOKUP(A38,'Gastos Proyecciones'!$A$22:$R$233,LOOKUP(Ingresos!$O$190,'Gastos Proyecciones'!$D$22:$R$22,'Gastos Proyecciones'!$D$240:$R$240),FALSE)</f>
        <v>17843.7</v>
      </c>
    </row>
    <row r="39" spans="1:16">
      <c r="A39" s="61" t="s">
        <v>138</v>
      </c>
      <c r="B39" s="68"/>
      <c r="C39" s="504" t="s">
        <v>139</v>
      </c>
      <c r="D39" s="1019">
        <f>SUM(D40:D41)</f>
        <v>0</v>
      </c>
      <c r="E39" s="42">
        <f>SUM(E40:E41)</f>
        <v>0</v>
      </c>
      <c r="F39" s="76" t="e">
        <f>+E37+#REF!+#REF!-#REF!-#REF!</f>
        <v>#REF!</v>
      </c>
      <c r="G39" s="42">
        <f>SUM(G40:G41)</f>
        <v>0</v>
      </c>
      <c r="H39" s="42">
        <f t="shared" si="0"/>
        <v>0</v>
      </c>
      <c r="I39" s="42">
        <f>SUM(I40:I41)</f>
        <v>0</v>
      </c>
      <c r="J39" s="42">
        <f>SUM(J40:J41)</f>
        <v>0</v>
      </c>
      <c r="K39" s="42">
        <f>SUM(K40:K41)</f>
        <v>0</v>
      </c>
      <c r="L39" s="64" t="e">
        <f t="shared" si="1"/>
        <v>#DIV/0!</v>
      </c>
      <c r="M39" s="42">
        <f>SUM(M40:M41)</f>
        <v>0</v>
      </c>
      <c r="N39" s="64" t="e">
        <f t="shared" si="2"/>
        <v>#DIV/0!</v>
      </c>
      <c r="O39" s="64" t="e">
        <f t="shared" si="3"/>
        <v>#DIV/0!</v>
      </c>
      <c r="P39" s="42">
        <f>SUM(P40:P41)</f>
        <v>0</v>
      </c>
    </row>
    <row r="40" spans="1:16">
      <c r="A40" s="67" t="s">
        <v>140</v>
      </c>
      <c r="B40" s="68"/>
      <c r="C40" s="505" t="s">
        <v>135</v>
      </c>
      <c r="D40" s="1020">
        <f>VLOOKUP(A40,'Gastos Proyecciones'!$A$22:$R$233,LOOKUP($D$22,'Gastos Proyecciones'!$D$22:$R$22,'Gastos Proyecciones'!$D$240:$R$240),FALSE)</f>
        <v>0</v>
      </c>
      <c r="E40" s="18">
        <v>0</v>
      </c>
      <c r="F40" s="980">
        <v>0</v>
      </c>
      <c r="G40" s="18">
        <v>0</v>
      </c>
      <c r="H40" s="58">
        <f t="shared" si="0"/>
        <v>0</v>
      </c>
      <c r="I40" s="18">
        <v>0</v>
      </c>
      <c r="J40" s="18">
        <v>0</v>
      </c>
      <c r="K40" s="18">
        <v>0</v>
      </c>
      <c r="L40" s="66" t="e">
        <f t="shared" si="1"/>
        <v>#DIV/0!</v>
      </c>
      <c r="M40" s="18">
        <v>0</v>
      </c>
      <c r="N40" s="66" t="e">
        <f t="shared" si="2"/>
        <v>#DIV/0!</v>
      </c>
      <c r="O40" s="66" t="e">
        <f t="shared" si="3"/>
        <v>#DIV/0!</v>
      </c>
      <c r="P40" s="18">
        <f>VLOOKUP(A40,'Gastos Proyecciones'!$A$22:$R$233,LOOKUP(Ingresos!$O$190,'Gastos Proyecciones'!$D$22:$R$22,'Gastos Proyecciones'!$D$240:$R$240),FALSE)</f>
        <v>0</v>
      </c>
    </row>
    <row r="41" spans="1:16">
      <c r="A41" s="67" t="s">
        <v>141</v>
      </c>
      <c r="B41" s="68"/>
      <c r="C41" s="505" t="s">
        <v>137</v>
      </c>
      <c r="D41" s="1020">
        <f>VLOOKUP(A41,'Gastos Proyecciones'!$A$22:$R$233,LOOKUP($D$22,'Gastos Proyecciones'!$D$22:$R$22,'Gastos Proyecciones'!$D$240:$R$240),FALSE)</f>
        <v>0</v>
      </c>
      <c r="E41" s="18">
        <v>0</v>
      </c>
      <c r="F41" s="980">
        <v>0</v>
      </c>
      <c r="G41" s="18">
        <v>0</v>
      </c>
      <c r="H41" s="58">
        <f t="shared" si="0"/>
        <v>0</v>
      </c>
      <c r="I41" s="18">
        <v>0</v>
      </c>
      <c r="J41" s="18">
        <v>0</v>
      </c>
      <c r="K41" s="18">
        <v>0</v>
      </c>
      <c r="L41" s="66" t="e">
        <f t="shared" si="1"/>
        <v>#DIV/0!</v>
      </c>
      <c r="M41" s="18">
        <v>0</v>
      </c>
      <c r="N41" s="66" t="e">
        <f t="shared" si="2"/>
        <v>#DIV/0!</v>
      </c>
      <c r="O41" s="66" t="e">
        <f t="shared" si="3"/>
        <v>#DIV/0!</v>
      </c>
      <c r="P41" s="18">
        <f>VLOOKUP(A41,'Gastos Proyecciones'!$A$22:$R$233,LOOKUP(Ingresos!$O$190,'Gastos Proyecciones'!$D$22:$R$22,'Gastos Proyecciones'!$D$240:$R$240),FALSE)</f>
        <v>0</v>
      </c>
    </row>
    <row r="42" spans="1:16">
      <c r="A42" s="61" t="s">
        <v>142</v>
      </c>
      <c r="B42" s="68"/>
      <c r="C42" s="504" t="s">
        <v>143</v>
      </c>
      <c r="D42" s="1019">
        <f>SUM(D43:D45)</f>
        <v>17213</v>
      </c>
      <c r="E42" s="42">
        <f>SUM(E43:E45)</f>
        <v>29957</v>
      </c>
      <c r="F42" s="76" t="e">
        <f>+E40+#REF!+#REF!-#REF!-#REF!</f>
        <v>#REF!</v>
      </c>
      <c r="G42" s="42">
        <f>SUM(G43:G45)</f>
        <v>106998</v>
      </c>
      <c r="H42" s="42">
        <f t="shared" si="0"/>
        <v>77041</v>
      </c>
      <c r="I42" s="42">
        <f>SUM(I43:I45)</f>
        <v>106998</v>
      </c>
      <c r="J42" s="42">
        <f>SUM(J43:J45)</f>
        <v>106998</v>
      </c>
      <c r="K42" s="42">
        <f>SUM(K43:K45)</f>
        <v>106998</v>
      </c>
      <c r="L42" s="64">
        <f t="shared" si="1"/>
        <v>1</v>
      </c>
      <c r="M42" s="42">
        <f>SUM(M43:M45)</f>
        <v>119671</v>
      </c>
      <c r="N42" s="64">
        <f t="shared" si="2"/>
        <v>-0.10589867219292892</v>
      </c>
      <c r="O42" s="64">
        <f t="shared" si="3"/>
        <v>6.2161157264857954</v>
      </c>
      <c r="P42" s="42">
        <f>SUM(P43:P45)</f>
        <v>19671</v>
      </c>
    </row>
    <row r="43" spans="1:16">
      <c r="A43" s="67" t="s">
        <v>144</v>
      </c>
      <c r="B43" s="68"/>
      <c r="C43" s="505" t="s">
        <v>145</v>
      </c>
      <c r="D43" s="1020">
        <f>VLOOKUP(A43,'Gastos Proyecciones'!$A$22:$R$233,LOOKUP($D$22,'Gastos Proyecciones'!$D$22:$R$22,'Gastos Proyecciones'!$D$240:$R$240),FALSE)</f>
        <v>7393</v>
      </c>
      <c r="E43" s="18">
        <v>7000</v>
      </c>
      <c r="F43" s="980">
        <v>0</v>
      </c>
      <c r="G43" s="18">
        <v>27393</v>
      </c>
      <c r="H43" s="58">
        <f t="shared" si="0"/>
        <v>20393</v>
      </c>
      <c r="I43" s="18">
        <v>27393</v>
      </c>
      <c r="J43" s="18">
        <v>27393</v>
      </c>
      <c r="K43" s="18">
        <v>27393</v>
      </c>
      <c r="L43" s="66">
        <f t="shared" si="1"/>
        <v>1</v>
      </c>
      <c r="M43" s="18">
        <v>39820</v>
      </c>
      <c r="N43" s="66">
        <f t="shared" si="2"/>
        <v>-0.31207935710698143</v>
      </c>
      <c r="O43" s="66">
        <f t="shared" si="3"/>
        <v>3.7052617340727716</v>
      </c>
      <c r="P43" s="18">
        <f>VLOOKUP(A43,'Gastos Proyecciones'!$A$22:$R$233,LOOKUP(Ingresos!$O$190,'Gastos Proyecciones'!$D$22:$R$22,'Gastos Proyecciones'!$D$240:$R$240),FALSE)</f>
        <v>9820</v>
      </c>
    </row>
    <row r="44" spans="1:16">
      <c r="A44" s="67" t="s">
        <v>146</v>
      </c>
      <c r="B44" s="68"/>
      <c r="C44" s="505" t="s">
        <v>147</v>
      </c>
      <c r="D44" s="1020">
        <f>VLOOKUP(A44,'Gastos Proyecciones'!$A$22:$R$233,LOOKUP($D$22,'Gastos Proyecciones'!$D$22:$R$22,'Gastos Proyecciones'!$D$240:$R$240),FALSE)</f>
        <v>9820</v>
      </c>
      <c r="E44" s="18">
        <v>22957</v>
      </c>
      <c r="F44" s="980">
        <v>0</v>
      </c>
      <c r="G44" s="18">
        <v>79605</v>
      </c>
      <c r="H44" s="58">
        <f t="shared" si="0"/>
        <v>56648</v>
      </c>
      <c r="I44" s="18">
        <v>79605</v>
      </c>
      <c r="J44" s="18">
        <v>79605</v>
      </c>
      <c r="K44" s="18">
        <v>79605</v>
      </c>
      <c r="L44" s="66">
        <f t="shared" si="1"/>
        <v>1</v>
      </c>
      <c r="M44" s="18">
        <v>79851</v>
      </c>
      <c r="N44" s="66">
        <f t="shared" si="2"/>
        <v>-3.080737874290862E-3</v>
      </c>
      <c r="O44" s="66">
        <f t="shared" si="3"/>
        <v>8.1064154786150713</v>
      </c>
      <c r="P44" s="18">
        <f>VLOOKUP(A44,'Gastos Proyecciones'!$A$22:$R$233,LOOKUP(Ingresos!$O$190,'Gastos Proyecciones'!$D$22:$R$22,'Gastos Proyecciones'!$D$240:$R$240),FALSE)</f>
        <v>9851</v>
      </c>
    </row>
    <row r="45" spans="1:16">
      <c r="A45" s="67" t="s">
        <v>148</v>
      </c>
      <c r="B45" s="68"/>
      <c r="C45" s="505" t="s">
        <v>149</v>
      </c>
      <c r="D45" s="1020">
        <f>VLOOKUP(A45,'Gastos Proyecciones'!$A$22:$R$233,LOOKUP($D$22,'Gastos Proyecciones'!$D$22:$R$22,'Gastos Proyecciones'!$D$240:$R$240),FALSE)</f>
        <v>0</v>
      </c>
      <c r="E45" s="18">
        <v>0</v>
      </c>
      <c r="F45" s="980">
        <v>0</v>
      </c>
      <c r="G45" s="18">
        <v>0</v>
      </c>
      <c r="H45" s="58">
        <f t="shared" si="0"/>
        <v>0</v>
      </c>
      <c r="I45" s="18">
        <v>0</v>
      </c>
      <c r="J45" s="18">
        <v>0</v>
      </c>
      <c r="K45" s="18">
        <v>0</v>
      </c>
      <c r="L45" s="66" t="e">
        <f t="shared" si="1"/>
        <v>#DIV/0!</v>
      </c>
      <c r="M45" s="18">
        <v>0</v>
      </c>
      <c r="N45" s="66" t="e">
        <f t="shared" si="2"/>
        <v>#DIV/0!</v>
      </c>
      <c r="O45" s="66" t="e">
        <f t="shared" si="3"/>
        <v>#DIV/0!</v>
      </c>
      <c r="P45" s="18">
        <f>VLOOKUP(A45,'Gastos Proyecciones'!$A$22:$R$233,LOOKUP(Ingresos!$O$190,'Gastos Proyecciones'!$D$22:$R$22,'Gastos Proyecciones'!$D$240:$R$240),FALSE)</f>
        <v>0</v>
      </c>
    </row>
    <row r="46" spans="1:16">
      <c r="A46" s="61" t="s">
        <v>150</v>
      </c>
      <c r="B46" s="68"/>
      <c r="C46" s="504" t="s">
        <v>151</v>
      </c>
      <c r="D46" s="1019">
        <f>+D47+D58+D66+D67+D68+D64+D65</f>
        <v>367542</v>
      </c>
      <c r="E46" s="1019">
        <f>+E47+E58+E66+E67+E68+E64+E65</f>
        <v>391942</v>
      </c>
      <c r="F46" s="76" t="e">
        <f>+E44+#REF!+#REF!-#REF!-#REF!</f>
        <v>#REF!</v>
      </c>
      <c r="G46" s="1019">
        <f>+G47+G58+G66+G67+G68+G64+G65</f>
        <v>382818</v>
      </c>
      <c r="H46" s="42">
        <f t="shared" si="0"/>
        <v>-9124</v>
      </c>
      <c r="I46" s="1019">
        <f>+I47+I58+I66+I67+I68+I64+I65</f>
        <v>382818</v>
      </c>
      <c r="J46" s="1019">
        <f>+J47+J58+J66+J67+J68+J64+J65</f>
        <v>382818</v>
      </c>
      <c r="K46" s="1019">
        <f>+K47+K58+K66+K67+K68+K64+K65</f>
        <v>382818</v>
      </c>
      <c r="L46" s="64">
        <f t="shared" si="1"/>
        <v>1</v>
      </c>
      <c r="M46" s="1019">
        <f>+M47+M58+M66+M67+M68+M64+M65</f>
        <v>349562</v>
      </c>
      <c r="N46" s="64">
        <f t="shared" si="2"/>
        <v>9.5136199014766998E-2</v>
      </c>
      <c r="O46" s="64">
        <f t="shared" si="3"/>
        <v>1.041562596927698</v>
      </c>
      <c r="P46" s="1019">
        <f>+P47+P58+P66+P67+P68+P64+P65</f>
        <v>349562</v>
      </c>
    </row>
    <row r="47" spans="1:16">
      <c r="A47" s="61" t="s">
        <v>152</v>
      </c>
      <c r="B47" s="68"/>
      <c r="C47" s="504" t="s">
        <v>153</v>
      </c>
      <c r="D47" s="1019">
        <f>+D48+D52</f>
        <v>354600</v>
      </c>
      <c r="E47" s="42">
        <f>+E48+E52</f>
        <v>374927</v>
      </c>
      <c r="F47" s="76" t="e">
        <f>+E45+#REF!+#REF!-#REF!-#REF!</f>
        <v>#REF!</v>
      </c>
      <c r="G47" s="42">
        <f>+G48+G52</f>
        <v>365803</v>
      </c>
      <c r="H47" s="42">
        <f t="shared" si="0"/>
        <v>-9124</v>
      </c>
      <c r="I47" s="42">
        <f>+I48+I52</f>
        <v>365803</v>
      </c>
      <c r="J47" s="42">
        <f>+J48+J52</f>
        <v>365803</v>
      </c>
      <c r="K47" s="42">
        <f>+K48+K52</f>
        <v>365803</v>
      </c>
      <c r="L47" s="64">
        <f t="shared" si="1"/>
        <v>1</v>
      </c>
      <c r="M47" s="42">
        <f>+M48+M52</f>
        <v>320756</v>
      </c>
      <c r="N47" s="64">
        <f t="shared" si="2"/>
        <v>0.1404400852984824</v>
      </c>
      <c r="O47" s="64">
        <f t="shared" si="3"/>
        <v>1.0315933446136492</v>
      </c>
      <c r="P47" s="42">
        <f>+P48+P52</f>
        <v>320756</v>
      </c>
    </row>
    <row r="48" spans="1:16">
      <c r="A48" s="68" t="s">
        <v>154</v>
      </c>
      <c r="B48" s="68"/>
      <c r="C48" s="504" t="s">
        <v>155</v>
      </c>
      <c r="D48" s="1019">
        <f>SUM(D49:D51)</f>
        <v>175139</v>
      </c>
      <c r="E48" s="42">
        <f>SUM(E49:E51)</f>
        <v>183721</v>
      </c>
      <c r="F48" s="42" t="e">
        <f>+F49+F60+F68+F70+F72</f>
        <v>#REF!</v>
      </c>
      <c r="G48" s="42">
        <f>SUM(G49:G51)</f>
        <v>176352</v>
      </c>
      <c r="H48" s="42">
        <f t="shared" si="0"/>
        <v>-7369</v>
      </c>
      <c r="I48" s="42">
        <f>SUM(I49:I51)</f>
        <v>176352</v>
      </c>
      <c r="J48" s="42">
        <f>SUM(J49:J51)</f>
        <v>176352</v>
      </c>
      <c r="K48" s="42">
        <f>SUM(K49:K51)</f>
        <v>176352</v>
      </c>
      <c r="L48" s="64">
        <f t="shared" si="1"/>
        <v>1</v>
      </c>
      <c r="M48" s="42">
        <f>SUM(M49:M51)</f>
        <v>145471</v>
      </c>
      <c r="N48" s="64">
        <f t="shared" si="2"/>
        <v>0.21228286050140577</v>
      </c>
      <c r="O48" s="64">
        <f t="shared" si="3"/>
        <v>1.0069259274062317</v>
      </c>
      <c r="P48" s="42">
        <f>SUM(P49:P51)</f>
        <v>145471</v>
      </c>
    </row>
    <row r="49" spans="1:16">
      <c r="A49" s="67" t="s">
        <v>156</v>
      </c>
      <c r="B49" s="68"/>
      <c r="C49" s="505" t="s">
        <v>157</v>
      </c>
      <c r="D49" s="1020">
        <f>VLOOKUP(A49,'Gastos Proyecciones'!$A$22:$R$233,LOOKUP($D$22,'Gastos Proyecciones'!$D$22:$R$22,'Gastos Proyecciones'!$D$240:$R$240),FALSE)</f>
        <v>0</v>
      </c>
      <c r="E49" s="18">
        <v>0</v>
      </c>
      <c r="F49" s="980">
        <v>0</v>
      </c>
      <c r="G49" s="18">
        <v>0</v>
      </c>
      <c r="H49" s="58">
        <f t="shared" si="0"/>
        <v>0</v>
      </c>
      <c r="I49" s="18">
        <v>0</v>
      </c>
      <c r="J49" s="18">
        <v>0</v>
      </c>
      <c r="K49" s="18">
        <v>0</v>
      </c>
      <c r="L49" s="66" t="e">
        <f t="shared" si="1"/>
        <v>#DIV/0!</v>
      </c>
      <c r="M49" s="18">
        <v>0</v>
      </c>
      <c r="N49" s="66" t="e">
        <f t="shared" si="2"/>
        <v>#DIV/0!</v>
      </c>
      <c r="O49" s="66" t="e">
        <f t="shared" si="3"/>
        <v>#DIV/0!</v>
      </c>
      <c r="P49" s="18">
        <f>VLOOKUP(A49,'Gastos Proyecciones'!$A$22:$R$233,LOOKUP(Ingresos!$O$190,'Gastos Proyecciones'!$D$22:$R$22,'Gastos Proyecciones'!$D$240:$R$240),FALSE)</f>
        <v>0</v>
      </c>
    </row>
    <row r="50" spans="1:16">
      <c r="A50" s="67" t="s">
        <v>158</v>
      </c>
      <c r="B50" s="68"/>
      <c r="C50" s="505" t="s">
        <v>159</v>
      </c>
      <c r="D50" s="1020">
        <f>VLOOKUP(A50,'Gastos Proyecciones'!$A$22:$R$233,LOOKUP($D$22,'Gastos Proyecciones'!$D$22:$R$22,'Gastos Proyecciones'!$D$240:$R$240),FALSE)</f>
        <v>175139</v>
      </c>
      <c r="E50" s="18">
        <v>183721</v>
      </c>
      <c r="F50" s="980">
        <v>0</v>
      </c>
      <c r="G50" s="18">
        <v>176352</v>
      </c>
      <c r="H50" s="58">
        <f t="shared" si="0"/>
        <v>-7369</v>
      </c>
      <c r="I50" s="18">
        <v>176352</v>
      </c>
      <c r="J50" s="18">
        <v>176352</v>
      </c>
      <c r="K50" s="18">
        <v>176352</v>
      </c>
      <c r="L50" s="66">
        <f t="shared" si="1"/>
        <v>1</v>
      </c>
      <c r="M50" s="18">
        <v>145471</v>
      </c>
      <c r="N50" s="66">
        <f t="shared" si="2"/>
        <v>0.21228286050140577</v>
      </c>
      <c r="O50" s="66">
        <f t="shared" si="3"/>
        <v>1.0069259274062317</v>
      </c>
      <c r="P50" s="18">
        <f>VLOOKUP(A50,'Gastos Proyecciones'!$A$22:$R$233,LOOKUP(Ingresos!$O$190,'Gastos Proyecciones'!$D$22:$R$22,'Gastos Proyecciones'!$D$240:$R$240),FALSE)</f>
        <v>145471</v>
      </c>
    </row>
    <row r="51" spans="1:16">
      <c r="A51" s="67" t="s">
        <v>160</v>
      </c>
      <c r="B51" s="68"/>
      <c r="C51" s="505" t="s">
        <v>161</v>
      </c>
      <c r="D51" s="1020">
        <f>VLOOKUP(A51,'Gastos Proyecciones'!$A$22:$R$233,LOOKUP($D$22,'Gastos Proyecciones'!$D$22:$R$22,'Gastos Proyecciones'!$D$240:$R$240),FALSE)</f>
        <v>0</v>
      </c>
      <c r="E51" s="18">
        <v>0</v>
      </c>
      <c r="F51" s="980">
        <v>0</v>
      </c>
      <c r="G51" s="18">
        <v>0</v>
      </c>
      <c r="H51" s="58">
        <f t="shared" si="0"/>
        <v>0</v>
      </c>
      <c r="I51" s="18">
        <v>0</v>
      </c>
      <c r="J51" s="18">
        <v>0</v>
      </c>
      <c r="K51" s="18">
        <v>0</v>
      </c>
      <c r="L51" s="66" t="e">
        <f t="shared" si="1"/>
        <v>#DIV/0!</v>
      </c>
      <c r="M51" s="18">
        <v>0</v>
      </c>
      <c r="N51" s="66" t="e">
        <f t="shared" si="2"/>
        <v>#DIV/0!</v>
      </c>
      <c r="O51" s="66" t="e">
        <f t="shared" si="3"/>
        <v>#DIV/0!</v>
      </c>
      <c r="P51" s="18">
        <f>VLOOKUP(A51,'Gastos Proyecciones'!$A$22:$R$233,LOOKUP(Ingresos!$O$190,'Gastos Proyecciones'!$D$22:$R$22,'Gastos Proyecciones'!$D$240:$R$240),FALSE)</f>
        <v>0</v>
      </c>
    </row>
    <row r="52" spans="1:16">
      <c r="A52" s="67" t="s">
        <v>162</v>
      </c>
      <c r="B52" s="68"/>
      <c r="C52" s="504" t="s">
        <v>163</v>
      </c>
      <c r="D52" s="1019">
        <f>+D53+D54+D57+D55+D56</f>
        <v>179461</v>
      </c>
      <c r="E52" s="1019">
        <f>+E53+E54+E57+E55+E56</f>
        <v>191206</v>
      </c>
      <c r="F52" s="1019">
        <f>+F53+F54+F57+F55+F56</f>
        <v>0</v>
      </c>
      <c r="G52" s="1019">
        <f>+G53+G54+G57+G55+G56</f>
        <v>189451</v>
      </c>
      <c r="H52" s="42">
        <f t="shared" si="0"/>
        <v>-1755</v>
      </c>
      <c r="I52" s="1019">
        <f>+I53+I54+I57+I55+I56</f>
        <v>189451</v>
      </c>
      <c r="J52" s="1019">
        <f>+J53+J54+J57+J55+J56</f>
        <v>189451</v>
      </c>
      <c r="K52" s="1019">
        <f>+K53+K54+K57+K55+K56</f>
        <v>189451</v>
      </c>
      <c r="L52" s="64">
        <f t="shared" si="1"/>
        <v>1</v>
      </c>
      <c r="M52" s="1019">
        <f>+M53+M54+M57+M55+M56</f>
        <v>175285</v>
      </c>
      <c r="N52" s="64">
        <f t="shared" si="2"/>
        <v>8.0816955244316313E-2</v>
      </c>
      <c r="O52" s="64">
        <f t="shared" si="3"/>
        <v>1.0556666908130456</v>
      </c>
      <c r="P52" s="1019">
        <f>+P53+P54+P57+P55+P56</f>
        <v>175285</v>
      </c>
    </row>
    <row r="53" spans="1:16" s="57" customFormat="1">
      <c r="A53" s="68" t="s">
        <v>164</v>
      </c>
      <c r="B53" s="68"/>
      <c r="C53" s="1175" t="s">
        <v>165</v>
      </c>
      <c r="D53" s="1020">
        <f>VLOOKUP(A53,'Gastos Proyecciones'!$A$22:$R$233,LOOKUP($D$22,'Gastos Proyecciones'!$D$22:$R$22,'Gastos Proyecciones'!$D$240:$R$240),FALSE)</f>
        <v>0</v>
      </c>
      <c r="E53" s="18">
        <v>0</v>
      </c>
      <c r="F53" s="980">
        <v>0</v>
      </c>
      <c r="G53" s="18">
        <v>0</v>
      </c>
      <c r="H53" s="58">
        <f t="shared" si="0"/>
        <v>0</v>
      </c>
      <c r="I53" s="18">
        <v>0</v>
      </c>
      <c r="J53" s="18">
        <v>0</v>
      </c>
      <c r="K53" s="18">
        <v>0</v>
      </c>
      <c r="L53" s="66" t="e">
        <f t="shared" si="1"/>
        <v>#DIV/0!</v>
      </c>
      <c r="M53" s="18">
        <v>0</v>
      </c>
      <c r="N53" s="66" t="e">
        <f t="shared" si="2"/>
        <v>#DIV/0!</v>
      </c>
      <c r="O53" s="66" t="e">
        <f t="shared" si="3"/>
        <v>#DIV/0!</v>
      </c>
      <c r="P53" s="18">
        <v>0</v>
      </c>
    </row>
    <row r="54" spans="1:16">
      <c r="A54" s="68" t="s">
        <v>166</v>
      </c>
      <c r="B54" s="68"/>
      <c r="C54" s="505" t="s">
        <v>167</v>
      </c>
      <c r="D54" s="1020">
        <f>VLOOKUP(A54,'Gastos Proyecciones'!$A$22:$R$233,LOOKUP($D$22,'Gastos Proyecciones'!$D$22:$R$22,'Gastos Proyecciones'!$D$240:$R$240),FALSE)</f>
        <v>0</v>
      </c>
      <c r="E54" s="18">
        <v>0</v>
      </c>
      <c r="F54" s="980">
        <v>0</v>
      </c>
      <c r="G54" s="18">
        <v>0</v>
      </c>
      <c r="H54" s="58">
        <f t="shared" si="0"/>
        <v>0</v>
      </c>
      <c r="I54" s="18">
        <v>0</v>
      </c>
      <c r="J54" s="18">
        <v>0</v>
      </c>
      <c r="K54" s="18">
        <v>0</v>
      </c>
      <c r="L54" s="69" t="e">
        <f t="shared" si="1"/>
        <v>#DIV/0!</v>
      </c>
      <c r="M54" s="18">
        <v>0</v>
      </c>
      <c r="N54" s="69" t="e">
        <f t="shared" si="2"/>
        <v>#DIV/0!</v>
      </c>
      <c r="O54" s="64" t="e">
        <f t="shared" si="3"/>
        <v>#DIV/0!</v>
      </c>
      <c r="P54" s="18">
        <f>VLOOKUP(A54,'Gastos Proyecciones'!$A$22:$R$233,LOOKUP(Ingresos!$O$190,'Gastos Proyecciones'!$D$22:$R$22,'Gastos Proyecciones'!$D$240:$R$240),FALSE)</f>
        <v>0</v>
      </c>
    </row>
    <row r="55" spans="1:16">
      <c r="A55" s="68" t="s">
        <v>168</v>
      </c>
      <c r="B55" s="68"/>
      <c r="C55" s="505" t="s">
        <v>169</v>
      </c>
      <c r="D55" s="1020">
        <f>VLOOKUP(A55,'Gastos Proyecciones'!$A$22:$R$233,LOOKUP($D$22,'Gastos Proyecciones'!$D$22:$R$22,'Gastos Proyecciones'!$D$240:$R$240),FALSE)</f>
        <v>0</v>
      </c>
      <c r="E55" s="18">
        <v>0</v>
      </c>
      <c r="F55" s="980">
        <v>0</v>
      </c>
      <c r="G55" s="18">
        <v>0</v>
      </c>
      <c r="H55" s="58">
        <f t="shared" si="0"/>
        <v>0</v>
      </c>
      <c r="I55" s="18">
        <v>0</v>
      </c>
      <c r="J55" s="18">
        <v>0</v>
      </c>
      <c r="K55" s="18">
        <v>0</v>
      </c>
      <c r="L55" s="66" t="e">
        <f t="shared" si="1"/>
        <v>#DIV/0!</v>
      </c>
      <c r="M55" s="18">
        <v>0</v>
      </c>
      <c r="N55" s="66" t="e">
        <f t="shared" si="2"/>
        <v>#DIV/0!</v>
      </c>
      <c r="O55" s="66" t="e">
        <f t="shared" si="3"/>
        <v>#DIV/0!</v>
      </c>
      <c r="P55" s="18">
        <f>VLOOKUP(A55,'Gastos Proyecciones'!$A$22:$R$233,LOOKUP(Ingresos!$O$190,'Gastos Proyecciones'!$D$22:$R$22,'Gastos Proyecciones'!$D$240:$R$240),FALSE)</f>
        <v>0</v>
      </c>
    </row>
    <row r="56" spans="1:16">
      <c r="A56" s="68" t="s">
        <v>170</v>
      </c>
      <c r="B56" s="68"/>
      <c r="C56" s="505" t="s">
        <v>171</v>
      </c>
      <c r="D56" s="1020">
        <f>VLOOKUP(A56,'Gastos Proyecciones'!$A$22:$R$233,LOOKUP($D$22,'Gastos Proyecciones'!$D$22:$R$22,'Gastos Proyecciones'!$D$240:$R$240),FALSE)</f>
        <v>0</v>
      </c>
      <c r="E56" s="18">
        <v>0</v>
      </c>
      <c r="F56" s="980">
        <v>0</v>
      </c>
      <c r="G56" s="18">
        <v>0</v>
      </c>
      <c r="H56" s="58">
        <f t="shared" si="0"/>
        <v>0</v>
      </c>
      <c r="I56" s="18">
        <v>0</v>
      </c>
      <c r="J56" s="18">
        <v>0</v>
      </c>
      <c r="K56" s="18">
        <v>0</v>
      </c>
      <c r="L56" s="66" t="e">
        <f t="shared" si="1"/>
        <v>#DIV/0!</v>
      </c>
      <c r="M56" s="18">
        <v>0</v>
      </c>
      <c r="N56" s="66" t="e">
        <f t="shared" si="2"/>
        <v>#DIV/0!</v>
      </c>
      <c r="O56" s="66" t="e">
        <f t="shared" si="3"/>
        <v>#DIV/0!</v>
      </c>
      <c r="P56" s="18">
        <f>VLOOKUP(A56,'Gastos Proyecciones'!$A$22:$R$233,LOOKUP(Ingresos!$O$190,'Gastos Proyecciones'!$D$22:$R$22,'Gastos Proyecciones'!$D$240:$R$240),FALSE)</f>
        <v>0</v>
      </c>
    </row>
    <row r="57" spans="1:16">
      <c r="A57" s="68" t="s">
        <v>172</v>
      </c>
      <c r="B57" s="68"/>
      <c r="C57" s="505" t="s">
        <v>173</v>
      </c>
      <c r="D57" s="1020">
        <f>VLOOKUP(A57,'Gastos Proyecciones'!$A$22:$R$233,LOOKUP($D$22,'Gastos Proyecciones'!$D$22:$R$22,'Gastos Proyecciones'!$D$240:$R$240),FALSE)</f>
        <v>179461</v>
      </c>
      <c r="E57" s="18">
        <v>191206</v>
      </c>
      <c r="F57" s="980">
        <v>0</v>
      </c>
      <c r="G57" s="18">
        <v>189451</v>
      </c>
      <c r="H57" s="58">
        <f t="shared" si="0"/>
        <v>-1755</v>
      </c>
      <c r="I57" s="18">
        <v>189451</v>
      </c>
      <c r="J57" s="18">
        <v>189451</v>
      </c>
      <c r="K57" s="18">
        <v>189451</v>
      </c>
      <c r="L57" s="69">
        <f t="shared" si="1"/>
        <v>1</v>
      </c>
      <c r="M57" s="18">
        <v>175285</v>
      </c>
      <c r="N57" s="69">
        <f t="shared" si="2"/>
        <v>8.0816955244316313E-2</v>
      </c>
      <c r="O57" s="64">
        <f t="shared" si="3"/>
        <v>1.0556666908130456</v>
      </c>
      <c r="P57" s="18">
        <f>VLOOKUP(A57,'Gastos Proyecciones'!$A$22:$R$233,LOOKUP(Ingresos!$O$190,'Gastos Proyecciones'!$D$22:$R$22,'Gastos Proyecciones'!$D$240:$R$240),FALSE)</f>
        <v>175285</v>
      </c>
    </row>
    <row r="58" spans="1:16">
      <c r="A58" s="61" t="s">
        <v>174</v>
      </c>
      <c r="B58" s="68"/>
      <c r="C58" s="504" t="s">
        <v>175</v>
      </c>
      <c r="D58" s="1019">
        <f>+D59+D63</f>
        <v>0</v>
      </c>
      <c r="E58" s="42">
        <f>+E59+E63</f>
        <v>0</v>
      </c>
      <c r="F58" s="76" t="e">
        <f>+#REF!+#REF!+#REF!-#REF!-#REF!</f>
        <v>#REF!</v>
      </c>
      <c r="G58" s="42">
        <f>+G59+G63</f>
        <v>0</v>
      </c>
      <c r="H58" s="42">
        <f t="shared" si="0"/>
        <v>0</v>
      </c>
      <c r="I58" s="42">
        <f>+I59+I63</f>
        <v>0</v>
      </c>
      <c r="J58" s="42">
        <f>+J59+J63</f>
        <v>0</v>
      </c>
      <c r="K58" s="42">
        <f>+K59+K63</f>
        <v>0</v>
      </c>
      <c r="L58" s="64" t="e">
        <f t="shared" si="1"/>
        <v>#DIV/0!</v>
      </c>
      <c r="M58" s="42">
        <f>+M59+M63</f>
        <v>0</v>
      </c>
      <c r="N58" s="64" t="e">
        <f t="shared" si="2"/>
        <v>#DIV/0!</v>
      </c>
      <c r="O58" s="64" t="e">
        <f t="shared" si="3"/>
        <v>#DIV/0!</v>
      </c>
      <c r="P58" s="42">
        <f>+P59+P63</f>
        <v>0</v>
      </c>
    </row>
    <row r="59" spans="1:16">
      <c r="A59" s="61" t="s">
        <v>176</v>
      </c>
      <c r="B59" s="68"/>
      <c r="C59" s="504" t="s">
        <v>155</v>
      </c>
      <c r="D59" s="1019">
        <f>SUM(D60:D62)</f>
        <v>0</v>
      </c>
      <c r="E59" s="42">
        <f>SUM(E60:E62)</f>
        <v>0</v>
      </c>
      <c r="F59" s="76" t="e">
        <f>+#REF!+#REF!+#REF!-#REF!-#REF!</f>
        <v>#REF!</v>
      </c>
      <c r="G59" s="42">
        <f>SUM(G60:G62)</f>
        <v>0</v>
      </c>
      <c r="H59" s="42">
        <f t="shared" si="0"/>
        <v>0</v>
      </c>
      <c r="I59" s="42">
        <f>SUM(I60:I62)</f>
        <v>0</v>
      </c>
      <c r="J59" s="42">
        <f>SUM(J60:J62)</f>
        <v>0</v>
      </c>
      <c r="K59" s="42">
        <f>SUM(K60:K62)</f>
        <v>0</v>
      </c>
      <c r="L59" s="64" t="e">
        <f t="shared" si="1"/>
        <v>#DIV/0!</v>
      </c>
      <c r="M59" s="42">
        <f>SUM(M60:M62)</f>
        <v>0</v>
      </c>
      <c r="N59" s="64" t="e">
        <f t="shared" si="2"/>
        <v>#DIV/0!</v>
      </c>
      <c r="O59" s="64" t="e">
        <f t="shared" si="3"/>
        <v>#DIV/0!</v>
      </c>
      <c r="P59" s="42">
        <f>SUM(P60:P62)</f>
        <v>0</v>
      </c>
    </row>
    <row r="60" spans="1:16">
      <c r="A60" s="67" t="s">
        <v>177</v>
      </c>
      <c r="B60" s="68"/>
      <c r="C60" s="505" t="s">
        <v>157</v>
      </c>
      <c r="D60" s="1020">
        <f>VLOOKUP(A60,'Gastos Proyecciones'!$A$22:$R$233,LOOKUP($D$22,'Gastos Proyecciones'!$D$22:$R$22,'Gastos Proyecciones'!$D$240:$R$240),FALSE)</f>
        <v>0</v>
      </c>
      <c r="E60" s="18">
        <v>0</v>
      </c>
      <c r="F60" s="980">
        <v>0</v>
      </c>
      <c r="G60" s="18">
        <v>0</v>
      </c>
      <c r="H60" s="58">
        <f t="shared" si="0"/>
        <v>0</v>
      </c>
      <c r="I60" s="18">
        <v>0</v>
      </c>
      <c r="J60" s="18">
        <v>0</v>
      </c>
      <c r="K60" s="18">
        <v>0</v>
      </c>
      <c r="L60" s="66" t="e">
        <f t="shared" si="1"/>
        <v>#DIV/0!</v>
      </c>
      <c r="M60" s="18">
        <v>0</v>
      </c>
      <c r="N60" s="66" t="e">
        <f t="shared" si="2"/>
        <v>#DIV/0!</v>
      </c>
      <c r="O60" s="66" t="e">
        <f t="shared" si="3"/>
        <v>#DIV/0!</v>
      </c>
      <c r="P60" s="18">
        <f>VLOOKUP(A60,'Gastos Proyecciones'!$A$22:$R$233,LOOKUP(Ingresos!$O$190,'Gastos Proyecciones'!$D$22:$R$22,'Gastos Proyecciones'!$D$240:$R$240),FALSE)</f>
        <v>0</v>
      </c>
    </row>
    <row r="61" spans="1:16">
      <c r="A61" s="67" t="s">
        <v>178</v>
      </c>
      <c r="B61" s="68"/>
      <c r="C61" s="505" t="s">
        <v>159</v>
      </c>
      <c r="D61" s="1020">
        <f>VLOOKUP(A61,'Gastos Proyecciones'!$A$22:$R$233,LOOKUP($D$22,'Gastos Proyecciones'!$D$22:$R$22,'Gastos Proyecciones'!$D$240:$R$240),FALSE)</f>
        <v>0</v>
      </c>
      <c r="E61" s="18">
        <v>0</v>
      </c>
      <c r="F61" s="980">
        <v>0</v>
      </c>
      <c r="G61" s="18">
        <v>0</v>
      </c>
      <c r="H61" s="58">
        <f t="shared" si="0"/>
        <v>0</v>
      </c>
      <c r="I61" s="18">
        <v>0</v>
      </c>
      <c r="J61" s="18">
        <v>0</v>
      </c>
      <c r="K61" s="18">
        <v>0</v>
      </c>
      <c r="L61" s="66" t="e">
        <f t="shared" si="1"/>
        <v>#DIV/0!</v>
      </c>
      <c r="M61" s="18">
        <v>0</v>
      </c>
      <c r="N61" s="66" t="e">
        <f t="shared" si="2"/>
        <v>#DIV/0!</v>
      </c>
      <c r="O61" s="66" t="e">
        <f t="shared" si="3"/>
        <v>#DIV/0!</v>
      </c>
      <c r="P61" s="18">
        <f>VLOOKUP(A61,'Gastos Proyecciones'!$A$22:$R$233,LOOKUP(Ingresos!$O$190,'Gastos Proyecciones'!$D$22:$R$22,'Gastos Proyecciones'!$D$240:$R$240),FALSE)</f>
        <v>0</v>
      </c>
    </row>
    <row r="62" spans="1:16">
      <c r="A62" s="67" t="s">
        <v>179</v>
      </c>
      <c r="B62" s="68"/>
      <c r="C62" s="505" t="s">
        <v>161</v>
      </c>
      <c r="D62" s="1020">
        <f>VLOOKUP(A62,'Gastos Proyecciones'!$A$22:$R$233,LOOKUP($D$22,'Gastos Proyecciones'!$D$22:$R$22,'Gastos Proyecciones'!$D$240:$R$240),FALSE)</f>
        <v>0</v>
      </c>
      <c r="E62" s="18">
        <v>0</v>
      </c>
      <c r="F62" s="980">
        <v>0</v>
      </c>
      <c r="G62" s="18">
        <v>0</v>
      </c>
      <c r="H62" s="58">
        <f t="shared" si="0"/>
        <v>0</v>
      </c>
      <c r="I62" s="18">
        <v>0</v>
      </c>
      <c r="J62" s="18">
        <v>0</v>
      </c>
      <c r="K62" s="18">
        <v>0</v>
      </c>
      <c r="L62" s="66" t="e">
        <f t="shared" si="1"/>
        <v>#DIV/0!</v>
      </c>
      <c r="M62" s="18">
        <v>0</v>
      </c>
      <c r="N62" s="66" t="e">
        <f t="shared" si="2"/>
        <v>#DIV/0!</v>
      </c>
      <c r="O62" s="66" t="e">
        <f t="shared" si="3"/>
        <v>#DIV/0!</v>
      </c>
      <c r="P62" s="18">
        <v>0</v>
      </c>
    </row>
    <row r="63" spans="1:16">
      <c r="A63" s="67" t="s">
        <v>180</v>
      </c>
      <c r="B63" s="68"/>
      <c r="C63" s="1337" t="s">
        <v>181</v>
      </c>
      <c r="D63" s="1020">
        <f>VLOOKUP(A63,'Gastos Proyecciones'!$A$22:$R$233,LOOKUP($D$22,'Gastos Proyecciones'!$D$22:$R$22,'Gastos Proyecciones'!$D$240:$R$240),FALSE)</f>
        <v>0</v>
      </c>
      <c r="E63" s="18">
        <v>0</v>
      </c>
      <c r="F63" s="980">
        <v>0</v>
      </c>
      <c r="G63" s="18">
        <v>0</v>
      </c>
      <c r="H63" s="58">
        <f t="shared" si="0"/>
        <v>0</v>
      </c>
      <c r="I63" s="18">
        <v>0</v>
      </c>
      <c r="J63" s="18">
        <v>0</v>
      </c>
      <c r="K63" s="18">
        <v>0</v>
      </c>
      <c r="L63" s="66" t="e">
        <f t="shared" si="1"/>
        <v>#DIV/0!</v>
      </c>
      <c r="M63" s="18">
        <v>0</v>
      </c>
      <c r="N63" s="66" t="e">
        <f t="shared" si="2"/>
        <v>#DIV/0!</v>
      </c>
      <c r="O63" s="66" t="e">
        <f t="shared" si="3"/>
        <v>#DIV/0!</v>
      </c>
      <c r="P63" s="18">
        <f>VLOOKUP(A63,'Gastos Proyecciones'!$A$22:$R$233,LOOKUP(Ingresos!$O$190,'Gastos Proyecciones'!$D$22:$R$22,'Gastos Proyecciones'!$D$240:$R$240),FALSE)</f>
        <v>0</v>
      </c>
    </row>
    <row r="64" spans="1:16">
      <c r="A64" s="67" t="s">
        <v>182</v>
      </c>
      <c r="B64" s="68"/>
      <c r="C64" s="504" t="s">
        <v>183</v>
      </c>
      <c r="D64" s="1020">
        <f>VLOOKUP(A64,'Gastos Proyecciones'!$A$22:$R$233,LOOKUP($D$22,'Gastos Proyecciones'!$D$22:$R$22,'Gastos Proyecciones'!$D$240:$R$240),FALSE)</f>
        <v>0</v>
      </c>
      <c r="E64" s="18">
        <v>0</v>
      </c>
      <c r="F64" s="980">
        <v>0</v>
      </c>
      <c r="G64" s="18">
        <v>0</v>
      </c>
      <c r="H64" s="58">
        <f t="shared" si="0"/>
        <v>0</v>
      </c>
      <c r="I64" s="18">
        <v>0</v>
      </c>
      <c r="J64" s="18">
        <v>0</v>
      </c>
      <c r="K64" s="18">
        <v>0</v>
      </c>
      <c r="L64" s="66" t="e">
        <f t="shared" si="1"/>
        <v>#DIV/0!</v>
      </c>
      <c r="M64" s="18">
        <v>0</v>
      </c>
      <c r="N64" s="66" t="e">
        <f t="shared" si="2"/>
        <v>#DIV/0!</v>
      </c>
      <c r="O64" s="66" t="e">
        <f t="shared" si="3"/>
        <v>#DIV/0!</v>
      </c>
      <c r="P64" s="18">
        <f>VLOOKUP(A64,'Gastos Proyecciones'!$A$22:$R$233,LOOKUP(Ingresos!$O$190,'Gastos Proyecciones'!$D$22:$R$22,'Gastos Proyecciones'!$D$240:$R$240),FALSE)</f>
        <v>0</v>
      </c>
    </row>
    <row r="65" spans="1:16">
      <c r="A65" s="61" t="s">
        <v>184</v>
      </c>
      <c r="B65" s="70"/>
      <c r="C65" s="504" t="s">
        <v>185</v>
      </c>
      <c r="D65" s="491">
        <f>VLOOKUP(A65,'Gastos Proyecciones'!$A$22:$R$233,LOOKUP($D$22,'Gastos Proyecciones'!$D$22:$R$22,'Gastos Proyecciones'!$D$240:$R$240),FALSE)</f>
        <v>0</v>
      </c>
      <c r="E65" s="18">
        <v>0</v>
      </c>
      <c r="F65" s="980">
        <v>0</v>
      </c>
      <c r="G65" s="18">
        <v>0</v>
      </c>
      <c r="H65" s="58">
        <f t="shared" si="0"/>
        <v>0</v>
      </c>
      <c r="I65" s="18">
        <v>0</v>
      </c>
      <c r="J65" s="18">
        <v>0</v>
      </c>
      <c r="K65" s="18">
        <v>0</v>
      </c>
      <c r="L65" s="66" t="e">
        <f t="shared" si="1"/>
        <v>#DIV/0!</v>
      </c>
      <c r="M65" s="18">
        <v>0</v>
      </c>
      <c r="N65" s="66" t="e">
        <f t="shared" si="2"/>
        <v>#DIV/0!</v>
      </c>
      <c r="O65" s="66" t="e">
        <f t="shared" si="3"/>
        <v>#DIV/0!</v>
      </c>
      <c r="P65" s="18">
        <f>VLOOKUP(A65,'Gastos Proyecciones'!$A$22:$R$233,LOOKUP(Ingresos!$O$190,'Gastos Proyecciones'!$D$22:$R$22,'Gastos Proyecciones'!$D$240:$R$240),FALSE)</f>
        <v>0</v>
      </c>
    </row>
    <row r="66" spans="1:16">
      <c r="A66" s="70" t="s">
        <v>186</v>
      </c>
      <c r="B66" s="68"/>
      <c r="C66" s="504" t="s">
        <v>187</v>
      </c>
      <c r="D66" s="491">
        <f>VLOOKUP(A66,'Gastos Proyecciones'!$A$22:$R$233,LOOKUP($D$22,'Gastos Proyecciones'!$D$22:$R$22,'Gastos Proyecciones'!$D$240:$R$240),FALSE)</f>
        <v>0</v>
      </c>
      <c r="E66" s="18">
        <v>0</v>
      </c>
      <c r="F66" s="980">
        <v>0</v>
      </c>
      <c r="G66" s="18">
        <v>0</v>
      </c>
      <c r="H66" s="58">
        <f t="shared" si="0"/>
        <v>0</v>
      </c>
      <c r="I66" s="18">
        <v>0</v>
      </c>
      <c r="J66" s="18">
        <v>0</v>
      </c>
      <c r="K66" s="18">
        <v>0</v>
      </c>
      <c r="L66" s="66" t="e">
        <f t="shared" si="1"/>
        <v>#DIV/0!</v>
      </c>
      <c r="M66" s="18">
        <v>0</v>
      </c>
      <c r="N66" s="66" t="e">
        <f t="shared" si="2"/>
        <v>#DIV/0!</v>
      </c>
      <c r="O66" s="66" t="e">
        <f t="shared" si="3"/>
        <v>#DIV/0!</v>
      </c>
      <c r="P66" s="18">
        <v>0</v>
      </c>
    </row>
    <row r="67" spans="1:16">
      <c r="A67" s="70" t="s">
        <v>188</v>
      </c>
      <c r="B67" s="68"/>
      <c r="C67" s="504" t="s">
        <v>189</v>
      </c>
      <c r="D67" s="1020">
        <f>VLOOKUP(A67,'Gastos Proyecciones'!$A$22:$R$233,LOOKUP($D$22,'Gastos Proyecciones'!$D$22:$R$22,'Gastos Proyecciones'!$D$240:$R$240),FALSE)</f>
        <v>0</v>
      </c>
      <c r="E67" s="18">
        <v>4073</v>
      </c>
      <c r="F67" s="980">
        <v>0</v>
      </c>
      <c r="G67" s="18">
        <v>4073</v>
      </c>
      <c r="H67" s="58">
        <f t="shared" si="0"/>
        <v>0</v>
      </c>
      <c r="I67" s="18">
        <v>4073</v>
      </c>
      <c r="J67" s="18">
        <v>4073</v>
      </c>
      <c r="K67" s="18">
        <v>4073</v>
      </c>
      <c r="L67" s="66">
        <f t="shared" si="1"/>
        <v>1</v>
      </c>
      <c r="M67" s="18">
        <v>0</v>
      </c>
      <c r="N67" s="66" t="e">
        <f t="shared" si="2"/>
        <v>#DIV/0!</v>
      </c>
      <c r="O67" s="66" t="e">
        <f t="shared" si="3"/>
        <v>#DIV/0!</v>
      </c>
      <c r="P67" s="18">
        <v>0</v>
      </c>
    </row>
    <row r="68" spans="1:16">
      <c r="A68" s="61" t="s">
        <v>190</v>
      </c>
      <c r="B68" s="68"/>
      <c r="C68" s="506" t="s">
        <v>191</v>
      </c>
      <c r="D68" s="491">
        <f>VLOOKUP(A68,'Gastos Proyecciones'!$A$22:$R$233,LOOKUP($D$22,'Gastos Proyecciones'!$D$22:$R$22,'Gastos Proyecciones'!$D$240:$R$240),FALSE)</f>
        <v>12942</v>
      </c>
      <c r="E68" s="18">
        <v>12942</v>
      </c>
      <c r="F68" s="980">
        <v>0</v>
      </c>
      <c r="G68" s="18">
        <v>12942</v>
      </c>
      <c r="H68" s="58">
        <f t="shared" si="0"/>
        <v>0</v>
      </c>
      <c r="I68" s="18">
        <v>12942</v>
      </c>
      <c r="J68" s="18">
        <v>12942</v>
      </c>
      <c r="K68" s="18">
        <v>12942</v>
      </c>
      <c r="L68" s="66">
        <f t="shared" si="1"/>
        <v>1</v>
      </c>
      <c r="M68" s="18">
        <v>28806</v>
      </c>
      <c r="N68" s="66">
        <f t="shared" si="2"/>
        <v>-0.55071860029160591</v>
      </c>
      <c r="O68" s="66">
        <f t="shared" si="3"/>
        <v>1</v>
      </c>
      <c r="P68" s="18">
        <f>VLOOKUP(A68,'Gastos Proyecciones'!$A$22:$R$233,LOOKUP(Ingresos!$O$190,'Gastos Proyecciones'!$D$22:$R$22,'Gastos Proyecciones'!$D$240:$R$240),FALSE)</f>
        <v>28806</v>
      </c>
    </row>
    <row r="69" spans="1:16">
      <c r="A69" s="70" t="s">
        <v>192</v>
      </c>
      <c r="B69" s="68"/>
      <c r="C69" s="506" t="s">
        <v>193</v>
      </c>
      <c r="D69" s="42">
        <f>SUM(D70:D71)</f>
        <v>0</v>
      </c>
      <c r="E69" s="42">
        <f>SUM(E70:E71)</f>
        <v>0</v>
      </c>
      <c r="F69" s="42">
        <v>0</v>
      </c>
      <c r="G69" s="42">
        <f>SUM(G70:G71)</f>
        <v>0</v>
      </c>
      <c r="H69" s="42">
        <f t="shared" si="0"/>
        <v>0</v>
      </c>
      <c r="I69" s="42">
        <f>SUM(I70:I71)</f>
        <v>0</v>
      </c>
      <c r="J69" s="42">
        <f>SUM(J70:J71)</f>
        <v>0</v>
      </c>
      <c r="K69" s="42">
        <f>SUM(K70:K71)</f>
        <v>0</v>
      </c>
      <c r="L69" s="64" t="e">
        <f t="shared" si="1"/>
        <v>#DIV/0!</v>
      </c>
      <c r="M69" s="42">
        <f>SUM(M70:M71)</f>
        <v>0</v>
      </c>
      <c r="N69" s="64" t="e">
        <f t="shared" si="2"/>
        <v>#DIV/0!</v>
      </c>
      <c r="O69" s="64" t="e">
        <f t="shared" si="3"/>
        <v>#DIV/0!</v>
      </c>
      <c r="P69" s="42">
        <f>SUM(P70:P71)</f>
        <v>0</v>
      </c>
    </row>
    <row r="70" spans="1:16">
      <c r="A70" s="72" t="s">
        <v>194</v>
      </c>
      <c r="B70" s="68"/>
      <c r="C70" s="1175" t="s">
        <v>195</v>
      </c>
      <c r="D70" s="491">
        <f>VLOOKUP(A70,'Gastos Proyecciones'!$A$22:$R$233,LOOKUP($D$22,'Gastos Proyecciones'!$D$22:$R$22,'Gastos Proyecciones'!$D$240:$R$240),FALSE)</f>
        <v>0</v>
      </c>
      <c r="E70" s="1350">
        <v>0</v>
      </c>
      <c r="F70" s="1350"/>
      <c r="G70" s="1350">
        <v>0</v>
      </c>
      <c r="H70" s="58">
        <f t="shared" si="0"/>
        <v>0</v>
      </c>
      <c r="I70" s="1350">
        <v>0</v>
      </c>
      <c r="J70" s="58">
        <f>+'Pasivo a Cancelar y Deuda'!F27</f>
        <v>0</v>
      </c>
      <c r="K70" s="58">
        <f>+'Pasivo a Cancelar y Deuda'!H27</f>
        <v>0</v>
      </c>
      <c r="L70" s="66" t="e">
        <f t="shared" si="1"/>
        <v>#DIV/0!</v>
      </c>
      <c r="M70" s="18">
        <v>0</v>
      </c>
      <c r="N70" s="66" t="e">
        <f t="shared" si="2"/>
        <v>#DIV/0!</v>
      </c>
      <c r="O70" s="66" t="e">
        <f t="shared" si="3"/>
        <v>#DIV/0!</v>
      </c>
      <c r="P70" s="1350">
        <f>VLOOKUP(A70,'Gastos Proyecciones'!$A$22:$R$233,LOOKUP(Ingresos!$O$190,'Gastos Proyecciones'!$D$22:$R$22,'Gastos Proyecciones'!$D$240:$R$240),FALSE)</f>
        <v>0</v>
      </c>
    </row>
    <row r="71" spans="1:16">
      <c r="A71" s="72" t="s">
        <v>196</v>
      </c>
      <c r="B71" s="68"/>
      <c r="C71" s="1175" t="s">
        <v>197</v>
      </c>
      <c r="D71" s="491">
        <f>VLOOKUP(A71,'Gastos Proyecciones'!$A$22:$R$233,LOOKUP($D$22,'Gastos Proyecciones'!$D$22:$R$22,'Gastos Proyecciones'!$D$240:$R$240),FALSE)</f>
        <v>0</v>
      </c>
      <c r="E71" s="1350">
        <v>0</v>
      </c>
      <c r="F71" s="1350"/>
      <c r="G71" s="1350">
        <v>0</v>
      </c>
      <c r="H71" s="58">
        <f t="shared" si="0"/>
        <v>0</v>
      </c>
      <c r="I71" s="1350">
        <v>0</v>
      </c>
      <c r="J71" s="58">
        <f>+'Pasivo a Cancelar y Deuda'!G27</f>
        <v>0</v>
      </c>
      <c r="K71" s="58">
        <f>+'Pasivo a Cancelar y Deuda'!I27</f>
        <v>0</v>
      </c>
      <c r="L71" s="66" t="e">
        <f t="shared" si="1"/>
        <v>#DIV/0!</v>
      </c>
      <c r="M71" s="18">
        <v>0</v>
      </c>
      <c r="N71" s="66" t="e">
        <f t="shared" si="2"/>
        <v>#DIV/0!</v>
      </c>
      <c r="O71" s="66" t="e">
        <f t="shared" si="3"/>
        <v>#DIV/0!</v>
      </c>
      <c r="P71" s="1350">
        <f>VLOOKUP(A71,'Gastos Proyecciones'!$A$22:$R$233,LOOKUP(Ingresos!$O$190,'Gastos Proyecciones'!$D$22:$R$22,'Gastos Proyecciones'!$D$240:$R$240),FALSE)</f>
        <v>0</v>
      </c>
    </row>
    <row r="72" spans="1:16">
      <c r="A72" s="462" t="s">
        <v>198</v>
      </c>
      <c r="B72" s="1018"/>
      <c r="C72" s="508" t="s">
        <v>199</v>
      </c>
      <c r="D72" s="42">
        <f>+D73+D125+D162+D198</f>
        <v>5840554.4450000003</v>
      </c>
      <c r="E72" s="42">
        <f>+E73+E125+E162+E198</f>
        <v>2512359</v>
      </c>
      <c r="F72" s="42" t="e">
        <f>+F73+F88+F125+F162+F198</f>
        <v>#REF!</v>
      </c>
      <c r="G72" s="42">
        <f>+G73+G125+G162+G198</f>
        <v>5642372.4450000003</v>
      </c>
      <c r="H72" s="42">
        <f t="shared" si="0"/>
        <v>3130013.4450000003</v>
      </c>
      <c r="I72" s="42">
        <f>+I73+I125+I162+I198</f>
        <v>4146124.4449999998</v>
      </c>
      <c r="J72" s="42">
        <f>+J73+J125+J162+J198</f>
        <v>4146124.4449999998</v>
      </c>
      <c r="K72" s="42">
        <f>+K73+K125+K162+K198</f>
        <v>3864107.4449999998</v>
      </c>
      <c r="L72" s="64">
        <f t="shared" si="1"/>
        <v>0.73481934867204601</v>
      </c>
      <c r="M72" s="42">
        <f>+M73+M125+M162+M198</f>
        <v>5534920.7000000002</v>
      </c>
      <c r="N72" s="64">
        <f t="shared" si="2"/>
        <v>-0.25091529405290314</v>
      </c>
      <c r="O72" s="64">
        <f t="shared" si="3"/>
        <v>0.70988541996204257</v>
      </c>
      <c r="P72" s="42">
        <f>+P73+P125+P162+P198</f>
        <v>5546342.3499999996</v>
      </c>
    </row>
    <row r="73" spans="1:16">
      <c r="A73" s="70" t="s">
        <v>200</v>
      </c>
      <c r="B73" s="93"/>
      <c r="C73" s="506" t="s">
        <v>201</v>
      </c>
      <c r="D73" s="42">
        <f>+D74+D81+D88</f>
        <v>3966075.65</v>
      </c>
      <c r="E73" s="42">
        <f>+E74+E81+E88</f>
        <v>2457359</v>
      </c>
      <c r="F73" s="1019" t="e">
        <f>+E70+#REF!+#REF!-#REF!-#REF!</f>
        <v>#REF!</v>
      </c>
      <c r="G73" s="42">
        <f>+G74+G81+G88</f>
        <v>3707341.65</v>
      </c>
      <c r="H73" s="42">
        <f t="shared" si="0"/>
        <v>1249982.6499999999</v>
      </c>
      <c r="I73" s="42">
        <f>+I74+I81+I88</f>
        <v>3707341.65</v>
      </c>
      <c r="J73" s="42">
        <f>+J74+J81+J88</f>
        <v>3707341.65</v>
      </c>
      <c r="K73" s="42">
        <f>+K74+K81+K88</f>
        <v>3425324.65</v>
      </c>
      <c r="L73" s="64">
        <f t="shared" si="1"/>
        <v>1</v>
      </c>
      <c r="M73" s="42">
        <f>+M74+M81+M88</f>
        <v>4677019.3</v>
      </c>
      <c r="N73" s="64">
        <f t="shared" si="2"/>
        <v>-0.20732812669813017</v>
      </c>
      <c r="O73" s="64">
        <f t="shared" si="3"/>
        <v>0.93476322117052912</v>
      </c>
      <c r="P73" s="42">
        <f>+P74+P81+P88</f>
        <v>4677019.3</v>
      </c>
    </row>
    <row r="74" spans="1:16">
      <c r="A74" s="463" t="s">
        <v>202</v>
      </c>
      <c r="B74" s="1018"/>
      <c r="C74" s="506" t="s">
        <v>203</v>
      </c>
      <c r="D74" s="42">
        <f>SUM(D75:D80)</f>
        <v>487689</v>
      </c>
      <c r="E74" s="42">
        <f>SUM(E75:E80)</f>
        <v>190000</v>
      </c>
      <c r="F74" s="42" t="e">
        <f>+F75+F102+F144+F187+#REF!</f>
        <v>#REF!</v>
      </c>
      <c r="G74" s="42">
        <f>SUM(G75:G80)</f>
        <v>487689</v>
      </c>
      <c r="H74" s="42">
        <f t="shared" si="0"/>
        <v>297689</v>
      </c>
      <c r="I74" s="42">
        <f>SUM(I75:I80)</f>
        <v>487689</v>
      </c>
      <c r="J74" s="42">
        <f>SUM(J75:J80)</f>
        <v>487689</v>
      </c>
      <c r="K74" s="42">
        <f>SUM(K75:K80)</f>
        <v>487689</v>
      </c>
      <c r="L74" s="64">
        <f t="shared" si="1"/>
        <v>1</v>
      </c>
      <c r="M74" s="42">
        <f>SUM(M75:M80)</f>
        <v>469798</v>
      </c>
      <c r="N74" s="64">
        <f t="shared" si="2"/>
        <v>3.8082324743826002E-2</v>
      </c>
      <c r="O74" s="64">
        <f t="shared" si="3"/>
        <v>1</v>
      </c>
      <c r="P74" s="42">
        <f>SUM(P75:P80)</f>
        <v>469798</v>
      </c>
    </row>
    <row r="75" spans="1:16" s="10" customFormat="1">
      <c r="A75" s="70" t="s">
        <v>204</v>
      </c>
      <c r="B75" s="93" t="s">
        <v>205</v>
      </c>
      <c r="C75" s="507" t="s">
        <v>206</v>
      </c>
      <c r="D75" s="1020">
        <f>VLOOKUP(A75,'Gastos Proyecciones'!$A$22:$R$233,LOOKUP($D$22,'Gastos Proyecciones'!$D$22:$R$22,'Gastos Proyecciones'!$D$240:$R$240),FALSE)</f>
        <v>39366</v>
      </c>
      <c r="E75" s="18">
        <v>57000</v>
      </c>
      <c r="F75" s="980">
        <v>0</v>
      </c>
      <c r="G75" s="18">
        <v>39366</v>
      </c>
      <c r="H75" s="58">
        <f t="shared" si="0"/>
        <v>-17634</v>
      </c>
      <c r="I75" s="18">
        <v>39366</v>
      </c>
      <c r="J75" s="18">
        <v>39366</v>
      </c>
      <c r="K75" s="18">
        <v>39366</v>
      </c>
      <c r="L75" s="69">
        <f t="shared" si="1"/>
        <v>1</v>
      </c>
      <c r="M75" s="18">
        <v>32000</v>
      </c>
      <c r="N75" s="69">
        <f t="shared" si="2"/>
        <v>0.23018749999999999</v>
      </c>
      <c r="O75" s="64">
        <f t="shared" si="3"/>
        <v>1</v>
      </c>
      <c r="P75" s="18">
        <f>VLOOKUP(A75,'Gastos Proyecciones'!$A$22:$R$233,LOOKUP(Ingresos!$O$190,'Gastos Proyecciones'!$D$22:$R$22,'Gastos Proyecciones'!$D$240:$R$240),FALSE)</f>
        <v>32000</v>
      </c>
    </row>
    <row r="76" spans="1:16">
      <c r="A76" s="464" t="s">
        <v>207</v>
      </c>
      <c r="B76" s="1018"/>
      <c r="C76" s="507" t="s">
        <v>223</v>
      </c>
      <c r="D76" s="1020">
        <f>VLOOKUP(A76,'Gastos Proyecciones'!$A$22:$R$233,LOOKUP($D$22,'Gastos Proyecciones'!$D$22:$R$22,'Gastos Proyecciones'!$D$240:$R$240),FALSE)</f>
        <v>74330</v>
      </c>
      <c r="E76" s="18">
        <v>57000</v>
      </c>
      <c r="F76" s="980">
        <v>0</v>
      </c>
      <c r="G76" s="18">
        <v>74330</v>
      </c>
      <c r="H76" s="58">
        <f t="shared" si="0"/>
        <v>17330</v>
      </c>
      <c r="I76" s="18">
        <v>74330</v>
      </c>
      <c r="J76" s="18">
        <v>74330</v>
      </c>
      <c r="K76" s="18">
        <v>74330</v>
      </c>
      <c r="L76" s="66">
        <f t="shared" si="1"/>
        <v>1</v>
      </c>
      <c r="M76" s="18">
        <v>44848</v>
      </c>
      <c r="N76" s="66">
        <f t="shared" si="2"/>
        <v>0.65737602568676423</v>
      </c>
      <c r="O76" s="66">
        <f t="shared" si="3"/>
        <v>1</v>
      </c>
      <c r="P76" s="18">
        <f>VLOOKUP(A76,'Gastos Proyecciones'!$A$22:$R$233,LOOKUP(Ingresos!$O$190,'Gastos Proyecciones'!$D$22:$R$22,'Gastos Proyecciones'!$D$240:$R$240),FALSE)</f>
        <v>44848</v>
      </c>
    </row>
    <row r="77" spans="1:16">
      <c r="A77" s="464" t="s">
        <v>224</v>
      </c>
      <c r="B77" s="1018"/>
      <c r="C77" s="507" t="s">
        <v>225</v>
      </c>
      <c r="D77" s="1020">
        <f>VLOOKUP(A77,'Gastos Proyecciones'!$A$22:$R$233,LOOKUP($D$22,'Gastos Proyecciones'!$D$22:$R$22,'Gastos Proyecciones'!$D$240:$R$240),FALSE)</f>
        <v>0</v>
      </c>
      <c r="E77" s="18">
        <v>0</v>
      </c>
      <c r="F77" s="980">
        <v>0</v>
      </c>
      <c r="G77" s="18">
        <v>0</v>
      </c>
      <c r="H77" s="58">
        <f t="shared" si="0"/>
        <v>0</v>
      </c>
      <c r="I77" s="18">
        <v>0</v>
      </c>
      <c r="J77" s="18">
        <v>0</v>
      </c>
      <c r="K77" s="18">
        <v>0</v>
      </c>
      <c r="L77" s="66" t="e">
        <f t="shared" si="1"/>
        <v>#DIV/0!</v>
      </c>
      <c r="M77" s="18">
        <v>0</v>
      </c>
      <c r="N77" s="66" t="e">
        <f t="shared" si="2"/>
        <v>#DIV/0!</v>
      </c>
      <c r="O77" s="66" t="e">
        <f t="shared" si="3"/>
        <v>#DIV/0!</v>
      </c>
      <c r="P77" s="18">
        <f>VLOOKUP(A77,'Gastos Proyecciones'!$A$22:$R$233,LOOKUP(Ingresos!$O$190,'Gastos Proyecciones'!$D$22:$R$22,'Gastos Proyecciones'!$D$240:$R$240),FALSE)</f>
        <v>0</v>
      </c>
    </row>
    <row r="78" spans="1:16">
      <c r="A78" s="464" t="s">
        <v>226</v>
      </c>
      <c r="B78" s="1018"/>
      <c r="C78" s="507" t="s">
        <v>227</v>
      </c>
      <c r="D78" s="1020">
        <f>VLOOKUP(A78,'Gastos Proyecciones'!$A$22:$R$233,LOOKUP($D$22,'Gastos Proyecciones'!$D$22:$R$22,'Gastos Proyecciones'!$D$240:$R$240),FALSE)</f>
        <v>0</v>
      </c>
      <c r="E78" s="18">
        <v>0</v>
      </c>
      <c r="F78" s="980">
        <v>0</v>
      </c>
      <c r="G78" s="18">
        <v>0</v>
      </c>
      <c r="H78" s="58">
        <f t="shared" si="0"/>
        <v>0</v>
      </c>
      <c r="I78" s="18">
        <v>0</v>
      </c>
      <c r="J78" s="18">
        <v>0</v>
      </c>
      <c r="K78" s="18">
        <v>0</v>
      </c>
      <c r="L78" s="69" t="e">
        <f t="shared" si="1"/>
        <v>#DIV/0!</v>
      </c>
      <c r="M78" s="18">
        <v>0</v>
      </c>
      <c r="N78" s="69" t="e">
        <f t="shared" si="2"/>
        <v>#DIV/0!</v>
      </c>
      <c r="O78" s="64" t="e">
        <f t="shared" si="3"/>
        <v>#DIV/0!</v>
      </c>
      <c r="P78" s="18">
        <f>VLOOKUP(A78,'Gastos Proyecciones'!$A$22:$R$233,LOOKUP(Ingresos!$O$190,'Gastos Proyecciones'!$D$22:$R$22,'Gastos Proyecciones'!$D$240:$R$240),FALSE)</f>
        <v>0</v>
      </c>
    </row>
    <row r="79" spans="1:16">
      <c r="A79" s="464" t="s">
        <v>228</v>
      </c>
      <c r="B79" s="1018"/>
      <c r="C79" s="507" t="s">
        <v>229</v>
      </c>
      <c r="D79" s="1020">
        <f>VLOOKUP(A79,'Gastos Proyecciones'!$A$22:$R$233,LOOKUP($D$22,'Gastos Proyecciones'!$D$22:$R$22,'Gastos Proyecciones'!$D$240:$R$240),FALSE)</f>
        <v>0</v>
      </c>
      <c r="E79" s="18">
        <v>0</v>
      </c>
      <c r="F79" s="980">
        <v>0</v>
      </c>
      <c r="G79" s="18">
        <v>0</v>
      </c>
      <c r="H79" s="58">
        <f t="shared" si="0"/>
        <v>0</v>
      </c>
      <c r="I79" s="18">
        <v>0</v>
      </c>
      <c r="J79" s="18">
        <v>0</v>
      </c>
      <c r="K79" s="18">
        <v>0</v>
      </c>
      <c r="L79" s="66" t="e">
        <f t="shared" si="1"/>
        <v>#DIV/0!</v>
      </c>
      <c r="M79" s="18">
        <v>0</v>
      </c>
      <c r="N79" s="66" t="e">
        <f t="shared" si="2"/>
        <v>#DIV/0!</v>
      </c>
      <c r="O79" s="66" t="e">
        <f t="shared" si="3"/>
        <v>#DIV/0!</v>
      </c>
      <c r="P79" s="18">
        <f>VLOOKUP(A79,'Gastos Proyecciones'!$A$22:$R$233,LOOKUP(Ingresos!$O$190,'Gastos Proyecciones'!$D$22:$R$22,'Gastos Proyecciones'!$D$240:$R$240),FALSE)</f>
        <v>0</v>
      </c>
    </row>
    <row r="80" spans="1:16">
      <c r="A80" s="70" t="s">
        <v>230</v>
      </c>
      <c r="B80" s="1018" t="s">
        <v>231</v>
      </c>
      <c r="C80" s="507" t="s">
        <v>232</v>
      </c>
      <c r="D80" s="1020">
        <f>VLOOKUP(A80,'Gastos Proyecciones'!$A$22:$R$233,LOOKUP($D$22,'Gastos Proyecciones'!$D$22:$R$22,'Gastos Proyecciones'!$D$240:$R$240),FALSE)</f>
        <v>373993</v>
      </c>
      <c r="E80" s="18">
        <v>76000</v>
      </c>
      <c r="F80" s="980">
        <v>0</v>
      </c>
      <c r="G80" s="18">
        <v>373993</v>
      </c>
      <c r="H80" s="58">
        <f t="shared" si="0"/>
        <v>297993</v>
      </c>
      <c r="I80" s="18">
        <v>373993</v>
      </c>
      <c r="J80" s="18">
        <v>373993</v>
      </c>
      <c r="K80" s="18">
        <v>373993</v>
      </c>
      <c r="L80" s="66">
        <f t="shared" si="1"/>
        <v>1</v>
      </c>
      <c r="M80" s="18">
        <v>392950</v>
      </c>
      <c r="N80" s="66">
        <f t="shared" si="2"/>
        <v>-4.8242778979513901E-2</v>
      </c>
      <c r="O80" s="66">
        <f t="shared" si="3"/>
        <v>1</v>
      </c>
      <c r="P80" s="18">
        <f>VLOOKUP(A80,'Gastos Proyecciones'!$A$22:$R$233,LOOKUP(Ingresos!$O$190,'Gastos Proyecciones'!$D$22:$R$22,'Gastos Proyecciones'!$D$240:$R$240),FALSE)</f>
        <v>392950</v>
      </c>
    </row>
    <row r="81" spans="1:16" s="14" customFormat="1">
      <c r="A81" s="61" t="s">
        <v>233</v>
      </c>
      <c r="B81" s="1018"/>
      <c r="C81" s="504" t="s">
        <v>234</v>
      </c>
      <c r="D81" s="42">
        <f>SUM(D82:D87)</f>
        <v>1883749</v>
      </c>
      <c r="E81" s="42">
        <f>SUM(E82:E87)</f>
        <v>1261000</v>
      </c>
      <c r="F81" s="1019">
        <v>0</v>
      </c>
      <c r="G81" s="42">
        <f>SUM(G82:G87)</f>
        <v>1883749</v>
      </c>
      <c r="H81" s="42">
        <f t="shared" si="0"/>
        <v>622749</v>
      </c>
      <c r="I81" s="42">
        <f>SUM(I82:I87)</f>
        <v>1883749</v>
      </c>
      <c r="J81" s="42">
        <f>SUM(J82:J87)</f>
        <v>1883749</v>
      </c>
      <c r="K81" s="42">
        <f>SUM(K82:K87)</f>
        <v>1601732</v>
      </c>
      <c r="L81" s="64">
        <f t="shared" si="1"/>
        <v>1</v>
      </c>
      <c r="M81" s="42">
        <f>SUM(M82:M87)</f>
        <v>2494225</v>
      </c>
      <c r="N81" s="64">
        <f t="shared" si="2"/>
        <v>-0.24475578586534896</v>
      </c>
      <c r="O81" s="64">
        <f t="shared" si="3"/>
        <v>1</v>
      </c>
      <c r="P81" s="42">
        <f>SUM(P82:P87)</f>
        <v>2494225</v>
      </c>
    </row>
    <row r="82" spans="1:16">
      <c r="A82" s="72" t="s">
        <v>235</v>
      </c>
      <c r="B82" s="93" t="s">
        <v>236</v>
      </c>
      <c r="C82" s="507" t="s">
        <v>237</v>
      </c>
      <c r="D82" s="1020">
        <f>VLOOKUP(A82,'Gastos Proyecciones'!$A$22:$R$233,LOOKUP($D$22,'Gastos Proyecciones'!$D$22:$R$22,'Gastos Proyecciones'!$D$240:$R$240),FALSE)</f>
        <v>0</v>
      </c>
      <c r="E82" s="18">
        <v>0</v>
      </c>
      <c r="F82" s="980">
        <v>0</v>
      </c>
      <c r="G82" s="18">
        <v>0</v>
      </c>
      <c r="H82" s="58">
        <f t="shared" si="0"/>
        <v>0</v>
      </c>
      <c r="I82" s="18">
        <v>0</v>
      </c>
      <c r="J82" s="18">
        <v>0</v>
      </c>
      <c r="K82" s="18">
        <v>0</v>
      </c>
      <c r="L82" s="66" t="e">
        <f t="shared" si="1"/>
        <v>#DIV/0!</v>
      </c>
      <c r="M82" s="18">
        <v>0</v>
      </c>
      <c r="N82" s="66" t="e">
        <f t="shared" si="2"/>
        <v>#DIV/0!</v>
      </c>
      <c r="O82" s="66" t="e">
        <f t="shared" si="3"/>
        <v>#DIV/0!</v>
      </c>
      <c r="P82" s="18">
        <f>VLOOKUP(A82,'Gastos Proyecciones'!$A$22:$R$233,LOOKUP(Ingresos!$O$190,'Gastos Proyecciones'!$D$22:$R$22,'Gastos Proyecciones'!$D$240:$R$240),FALSE)</f>
        <v>0</v>
      </c>
    </row>
    <row r="83" spans="1:16">
      <c r="A83" s="464" t="s">
        <v>238</v>
      </c>
      <c r="B83" s="1018"/>
      <c r="C83" s="507" t="s">
        <v>223</v>
      </c>
      <c r="D83" s="1020">
        <f>VLOOKUP(A83,'Gastos Proyecciones'!$A$22:$R$233,LOOKUP($D$22,'Gastos Proyecciones'!$D$22:$R$22,'Gastos Proyecciones'!$D$240:$R$240),FALSE)</f>
        <v>0</v>
      </c>
      <c r="E83" s="18">
        <v>0</v>
      </c>
      <c r="F83" s="980">
        <v>0</v>
      </c>
      <c r="G83" s="18">
        <v>0</v>
      </c>
      <c r="H83" s="58">
        <f t="shared" si="0"/>
        <v>0</v>
      </c>
      <c r="I83" s="18">
        <v>0</v>
      </c>
      <c r="J83" s="18">
        <v>0</v>
      </c>
      <c r="K83" s="18">
        <v>0</v>
      </c>
      <c r="L83" s="66" t="e">
        <f t="shared" si="1"/>
        <v>#DIV/0!</v>
      </c>
      <c r="M83" s="18">
        <v>0</v>
      </c>
      <c r="N83" s="66" t="e">
        <f t="shared" si="2"/>
        <v>#DIV/0!</v>
      </c>
      <c r="O83" s="66" t="e">
        <f t="shared" si="3"/>
        <v>#DIV/0!</v>
      </c>
      <c r="P83" s="18">
        <f>VLOOKUP(A83,'Gastos Proyecciones'!$A$22:$R$233,LOOKUP(Ingresos!$O$190,'Gastos Proyecciones'!$D$22:$R$22,'Gastos Proyecciones'!$D$240:$R$240),FALSE)</f>
        <v>0</v>
      </c>
    </row>
    <row r="84" spans="1:16">
      <c r="A84" s="464" t="s">
        <v>239</v>
      </c>
      <c r="B84" s="1018"/>
      <c r="C84" s="507" t="s">
        <v>240</v>
      </c>
      <c r="D84" s="1020">
        <f>VLOOKUP(A84,'Gastos Proyecciones'!$A$22:$R$233,LOOKUP($D$22,'Gastos Proyecciones'!$D$22:$R$22,'Gastos Proyecciones'!$D$240:$R$240),FALSE)</f>
        <v>0</v>
      </c>
      <c r="E84" s="18">
        <v>0</v>
      </c>
      <c r="F84" s="980">
        <v>0</v>
      </c>
      <c r="G84" s="18">
        <v>0</v>
      </c>
      <c r="H84" s="58">
        <f t="shared" si="0"/>
        <v>0</v>
      </c>
      <c r="I84" s="18">
        <v>0</v>
      </c>
      <c r="J84" s="18">
        <v>0</v>
      </c>
      <c r="K84" s="18">
        <v>0</v>
      </c>
      <c r="L84" s="66" t="e">
        <f t="shared" si="1"/>
        <v>#DIV/0!</v>
      </c>
      <c r="M84" s="18">
        <v>0</v>
      </c>
      <c r="N84" s="66" t="e">
        <f t="shared" si="2"/>
        <v>#DIV/0!</v>
      </c>
      <c r="O84" s="66" t="e">
        <f t="shared" si="3"/>
        <v>#DIV/0!</v>
      </c>
      <c r="P84" s="18">
        <f>VLOOKUP(A84,'Gastos Proyecciones'!$A$22:$R$233,LOOKUP(Ingresos!$O$190,'Gastos Proyecciones'!$D$22:$R$22,'Gastos Proyecciones'!$D$240:$R$240),FALSE)</f>
        <v>0</v>
      </c>
    </row>
    <row r="85" spans="1:16">
      <c r="A85" s="464" t="s">
        <v>241</v>
      </c>
      <c r="B85" s="1018"/>
      <c r="C85" s="507" t="s">
        <v>227</v>
      </c>
      <c r="D85" s="1020">
        <f>VLOOKUP(A85,'Gastos Proyecciones'!$A$22:$R$233,LOOKUP($D$22,'Gastos Proyecciones'!$D$22:$R$22,'Gastos Proyecciones'!$D$240:$R$240),FALSE)</f>
        <v>0</v>
      </c>
      <c r="E85" s="18">
        <v>0</v>
      </c>
      <c r="F85" s="980">
        <v>0</v>
      </c>
      <c r="G85" s="18">
        <v>0</v>
      </c>
      <c r="H85" s="58">
        <f t="shared" si="0"/>
        <v>0</v>
      </c>
      <c r="I85" s="18">
        <v>0</v>
      </c>
      <c r="J85" s="18">
        <v>0</v>
      </c>
      <c r="K85" s="18">
        <v>0</v>
      </c>
      <c r="L85" s="66" t="e">
        <f t="shared" si="1"/>
        <v>#DIV/0!</v>
      </c>
      <c r="M85" s="18">
        <v>0</v>
      </c>
      <c r="N85" s="66" t="e">
        <f t="shared" si="2"/>
        <v>#DIV/0!</v>
      </c>
      <c r="O85" s="66" t="e">
        <f t="shared" si="3"/>
        <v>#DIV/0!</v>
      </c>
      <c r="P85" s="18">
        <f>VLOOKUP(A85,'Gastos Proyecciones'!$A$22:$R$233,LOOKUP(Ingresos!$O$190,'Gastos Proyecciones'!$D$22:$R$22,'Gastos Proyecciones'!$D$240:$R$240),FALSE)</f>
        <v>0</v>
      </c>
    </row>
    <row r="86" spans="1:16">
      <c r="A86" s="464" t="s">
        <v>242</v>
      </c>
      <c r="B86" s="1018"/>
      <c r="C86" s="507" t="s">
        <v>243</v>
      </c>
      <c r="D86" s="1020">
        <f>VLOOKUP(A86,'Gastos Proyecciones'!$A$22:$R$233,LOOKUP($D$22,'Gastos Proyecciones'!$D$22:$R$22,'Gastos Proyecciones'!$D$240:$R$240),FALSE)</f>
        <v>0</v>
      </c>
      <c r="E86" s="18">
        <v>0</v>
      </c>
      <c r="F86" s="980">
        <v>0</v>
      </c>
      <c r="G86" s="18">
        <v>0</v>
      </c>
      <c r="H86" s="58">
        <f t="shared" si="0"/>
        <v>0</v>
      </c>
      <c r="I86" s="18">
        <v>0</v>
      </c>
      <c r="J86" s="18">
        <v>0</v>
      </c>
      <c r="K86" s="18">
        <v>0</v>
      </c>
      <c r="L86" s="69" t="e">
        <f t="shared" si="1"/>
        <v>#DIV/0!</v>
      </c>
      <c r="M86" s="18">
        <v>0</v>
      </c>
      <c r="N86" s="69" t="e">
        <f t="shared" si="2"/>
        <v>#DIV/0!</v>
      </c>
      <c r="O86" s="69" t="e">
        <f t="shared" si="3"/>
        <v>#DIV/0!</v>
      </c>
      <c r="P86" s="18">
        <f>VLOOKUP(A86,'Gastos Proyecciones'!$A$22:$R$233,LOOKUP(Ingresos!$O$190,'Gastos Proyecciones'!$D$22:$R$22,'Gastos Proyecciones'!$D$240:$R$240),FALSE)</f>
        <v>0</v>
      </c>
    </row>
    <row r="87" spans="1:16">
      <c r="A87" s="72" t="s">
        <v>244</v>
      </c>
      <c r="B87" s="1018" t="s">
        <v>245</v>
      </c>
      <c r="C87" s="507" t="s">
        <v>246</v>
      </c>
      <c r="D87" s="1020">
        <f>VLOOKUP(A87,'Gastos Proyecciones'!$A$22:$R$233,LOOKUP($D$22,'Gastos Proyecciones'!$D$22:$R$22,'Gastos Proyecciones'!$D$240:$R$240),FALSE)</f>
        <v>1883749</v>
      </c>
      <c r="E87" s="18">
        <v>1261000</v>
      </c>
      <c r="F87" s="980">
        <v>0</v>
      </c>
      <c r="G87" s="18">
        <v>1883749</v>
      </c>
      <c r="H87" s="58">
        <f t="shared" si="0"/>
        <v>622749</v>
      </c>
      <c r="I87" s="18">
        <v>1883749</v>
      </c>
      <c r="J87" s="18">
        <v>1883749</v>
      </c>
      <c r="K87" s="18">
        <v>1601732</v>
      </c>
      <c r="L87" s="69">
        <f t="shared" ref="L87:L151" si="4">+J87/G87</f>
        <v>1</v>
      </c>
      <c r="M87" s="18">
        <v>2494225</v>
      </c>
      <c r="N87" s="69">
        <f t="shared" ref="N87:N151" si="5">+(J87/M87)-1</f>
        <v>-0.24475578586534896</v>
      </c>
      <c r="O87" s="69">
        <f t="shared" ref="O87:O151" si="6">+J87/D87</f>
        <v>1</v>
      </c>
      <c r="P87" s="18">
        <f>VLOOKUP(A87,'Gastos Proyecciones'!$A$22:$R$233,LOOKUP(Ingresos!$O$190,'Gastos Proyecciones'!$D$22:$R$22,'Gastos Proyecciones'!$D$240:$R$240),FALSE)</f>
        <v>2494225</v>
      </c>
    </row>
    <row r="88" spans="1:16" s="14" customFormat="1">
      <c r="A88" s="72" t="s">
        <v>247</v>
      </c>
      <c r="B88" s="93"/>
      <c r="C88" s="506" t="s">
        <v>248</v>
      </c>
      <c r="D88" s="42">
        <f>+D89+D103+D110</f>
        <v>1594637.65</v>
      </c>
      <c r="E88" s="42">
        <f>+E89+E103+E110</f>
        <v>1006359</v>
      </c>
      <c r="F88" s="42">
        <v>0</v>
      </c>
      <c r="G88" s="42">
        <f>+G89+G103+G110</f>
        <v>1335903.6499999999</v>
      </c>
      <c r="H88" s="42">
        <f t="shared" si="0"/>
        <v>329544.64999999991</v>
      </c>
      <c r="I88" s="42">
        <f>+I89+I103+I110</f>
        <v>1335903.6499999999</v>
      </c>
      <c r="J88" s="42">
        <f>+J89+J103+J110</f>
        <v>1335903.6499999999</v>
      </c>
      <c r="K88" s="42">
        <f>+K89+K103+K110</f>
        <v>1335903.6499999999</v>
      </c>
      <c r="L88" s="64">
        <f t="shared" si="4"/>
        <v>1</v>
      </c>
      <c r="M88" s="42">
        <f>+M89+M103+M110</f>
        <v>1712996.2999999998</v>
      </c>
      <c r="N88" s="64">
        <f t="shared" si="5"/>
        <v>-0.22013628984487588</v>
      </c>
      <c r="O88" s="64">
        <f t="shared" si="6"/>
        <v>0.8377474657016909</v>
      </c>
      <c r="P88" s="42">
        <f>+P89+P103+P110</f>
        <v>1712996.2999999998</v>
      </c>
    </row>
    <row r="89" spans="1:16" s="14" customFormat="1">
      <c r="A89" s="61" t="s">
        <v>249</v>
      </c>
      <c r="B89" s="93"/>
      <c r="C89" s="506" t="s">
        <v>250</v>
      </c>
      <c r="D89" s="42">
        <f>SUM(D90:D102)</f>
        <v>0</v>
      </c>
      <c r="E89" s="42">
        <f>SUM(E90:E102)</f>
        <v>0</v>
      </c>
      <c r="F89" s="1019">
        <v>0</v>
      </c>
      <c r="G89" s="42">
        <f>SUM(G90:G102)</f>
        <v>0</v>
      </c>
      <c r="H89" s="42">
        <f t="shared" ref="H89:H152" si="7">+G89-E89</f>
        <v>0</v>
      </c>
      <c r="I89" s="42">
        <f>SUM(I90:I102)</f>
        <v>0</v>
      </c>
      <c r="J89" s="42">
        <f>SUM(J90:J102)</f>
        <v>0</v>
      </c>
      <c r="K89" s="42">
        <f>SUM(K90:K102)</f>
        <v>0</v>
      </c>
      <c r="L89" s="64" t="e">
        <f t="shared" si="4"/>
        <v>#DIV/0!</v>
      </c>
      <c r="M89" s="42">
        <f>SUM(M90:M102)</f>
        <v>0</v>
      </c>
      <c r="N89" s="64" t="e">
        <f t="shared" si="5"/>
        <v>#DIV/0!</v>
      </c>
      <c r="O89" s="64" t="e">
        <f t="shared" si="6"/>
        <v>#DIV/0!</v>
      </c>
      <c r="P89" s="42">
        <f>SUM(P90:P102)</f>
        <v>0</v>
      </c>
    </row>
    <row r="90" spans="1:16">
      <c r="A90" s="61" t="s">
        <v>251</v>
      </c>
      <c r="B90" s="1021" t="s">
        <v>252</v>
      </c>
      <c r="C90" s="507" t="s">
        <v>253</v>
      </c>
      <c r="D90" s="1020">
        <f>VLOOKUP(A90,'Gastos Proyecciones'!$A$22:$R$233,LOOKUP($D$22,'Gastos Proyecciones'!$D$22:$R$22,'Gastos Proyecciones'!$D$240:$R$240),FALSE)</f>
        <v>0</v>
      </c>
      <c r="E90" s="18">
        <v>0</v>
      </c>
      <c r="F90" s="980">
        <v>0</v>
      </c>
      <c r="G90" s="18">
        <v>0</v>
      </c>
      <c r="H90" s="58">
        <f t="shared" si="7"/>
        <v>0</v>
      </c>
      <c r="I90" s="18">
        <v>0</v>
      </c>
      <c r="J90" s="18">
        <v>0</v>
      </c>
      <c r="K90" s="18">
        <v>0</v>
      </c>
      <c r="L90" s="69" t="e">
        <f t="shared" si="4"/>
        <v>#DIV/0!</v>
      </c>
      <c r="M90" s="18">
        <v>0</v>
      </c>
      <c r="N90" s="69" t="e">
        <f t="shared" si="5"/>
        <v>#DIV/0!</v>
      </c>
      <c r="O90" s="69" t="e">
        <f t="shared" si="6"/>
        <v>#DIV/0!</v>
      </c>
      <c r="P90" s="18">
        <f>VLOOKUP(A90,'Gastos Proyecciones'!$A$22:$R$233,LOOKUP(Ingresos!$O$190,'Gastos Proyecciones'!$D$22:$R$22,'Gastos Proyecciones'!$D$240:$R$240),FALSE)</f>
        <v>0</v>
      </c>
    </row>
    <row r="91" spans="1:16" s="10" customFormat="1">
      <c r="A91" s="61" t="s">
        <v>254</v>
      </c>
      <c r="B91" s="1021" t="s">
        <v>255</v>
      </c>
      <c r="C91" s="507" t="s">
        <v>256</v>
      </c>
      <c r="D91" s="1020">
        <f>VLOOKUP(A91,'Gastos Proyecciones'!$A$22:$R$233,LOOKUP($D$22,'Gastos Proyecciones'!$D$22:$R$22,'Gastos Proyecciones'!$D$240:$R$240),FALSE)</f>
        <v>0</v>
      </c>
      <c r="E91" s="18">
        <v>0</v>
      </c>
      <c r="F91" s="980">
        <v>0</v>
      </c>
      <c r="G91" s="18">
        <v>0</v>
      </c>
      <c r="H91" s="58">
        <f t="shared" si="7"/>
        <v>0</v>
      </c>
      <c r="I91" s="18">
        <v>0</v>
      </c>
      <c r="J91" s="18">
        <v>0</v>
      </c>
      <c r="K91" s="18">
        <v>0</v>
      </c>
      <c r="L91" s="66" t="e">
        <f t="shared" si="4"/>
        <v>#DIV/0!</v>
      </c>
      <c r="M91" s="18">
        <v>0</v>
      </c>
      <c r="N91" s="66" t="e">
        <f t="shared" si="5"/>
        <v>#DIV/0!</v>
      </c>
      <c r="O91" s="66" t="e">
        <f t="shared" si="6"/>
        <v>#DIV/0!</v>
      </c>
      <c r="P91" s="18">
        <f>VLOOKUP(A91,'Gastos Proyecciones'!$A$22:$R$233,LOOKUP(Ingresos!$O$190,'Gastos Proyecciones'!$D$22:$R$22,'Gastos Proyecciones'!$D$240:$R$240),FALSE)</f>
        <v>0</v>
      </c>
    </row>
    <row r="92" spans="1:16" s="10" customFormat="1">
      <c r="A92" s="61" t="s">
        <v>257</v>
      </c>
      <c r="B92" s="1021" t="s">
        <v>258</v>
      </c>
      <c r="C92" s="507" t="s">
        <v>259</v>
      </c>
      <c r="D92" s="1020">
        <f>VLOOKUP(A92,'Gastos Proyecciones'!$A$22:$R$233,LOOKUP($D$22,'Gastos Proyecciones'!$D$22:$R$22,'Gastos Proyecciones'!$D$240:$R$240),FALSE)</f>
        <v>0</v>
      </c>
      <c r="E92" s="18">
        <v>0</v>
      </c>
      <c r="F92" s="980">
        <v>0</v>
      </c>
      <c r="G92" s="18">
        <v>0</v>
      </c>
      <c r="H92" s="58">
        <f t="shared" si="7"/>
        <v>0</v>
      </c>
      <c r="I92" s="18">
        <v>0</v>
      </c>
      <c r="J92" s="18">
        <v>0</v>
      </c>
      <c r="K92" s="18">
        <v>0</v>
      </c>
      <c r="L92" s="66" t="e">
        <f t="shared" si="4"/>
        <v>#DIV/0!</v>
      </c>
      <c r="M92" s="18">
        <v>0</v>
      </c>
      <c r="N92" s="66" t="e">
        <f t="shared" si="5"/>
        <v>#DIV/0!</v>
      </c>
      <c r="O92" s="66" t="e">
        <f t="shared" si="6"/>
        <v>#DIV/0!</v>
      </c>
      <c r="P92" s="18">
        <f>VLOOKUP(A92,'Gastos Proyecciones'!$A$22:$R$233,LOOKUP(Ingresos!$O$190,'Gastos Proyecciones'!$D$22:$R$22,'Gastos Proyecciones'!$D$240:$R$240),FALSE)</f>
        <v>0</v>
      </c>
    </row>
    <row r="93" spans="1:16" s="57" customFormat="1">
      <c r="A93" s="61" t="s">
        <v>260</v>
      </c>
      <c r="B93" s="1021" t="s">
        <v>261</v>
      </c>
      <c r="C93" s="507" t="s">
        <v>262</v>
      </c>
      <c r="D93" s="1020">
        <f>VLOOKUP(A93,'Gastos Proyecciones'!$A$22:$R$233,LOOKUP($D$22,'Gastos Proyecciones'!$D$22:$R$22,'Gastos Proyecciones'!$D$240:$R$240),FALSE)</f>
        <v>0</v>
      </c>
      <c r="E93" s="18">
        <v>0</v>
      </c>
      <c r="F93" s="980">
        <v>0</v>
      </c>
      <c r="G93" s="18">
        <v>0</v>
      </c>
      <c r="H93" s="58">
        <f t="shared" si="7"/>
        <v>0</v>
      </c>
      <c r="I93" s="18">
        <v>0</v>
      </c>
      <c r="J93" s="18">
        <v>0</v>
      </c>
      <c r="K93" s="18">
        <v>0</v>
      </c>
      <c r="L93" s="69" t="e">
        <f t="shared" si="4"/>
        <v>#DIV/0!</v>
      </c>
      <c r="M93" s="18">
        <v>0</v>
      </c>
      <c r="N93" s="69" t="e">
        <f t="shared" si="5"/>
        <v>#DIV/0!</v>
      </c>
      <c r="O93" s="69" t="e">
        <f t="shared" si="6"/>
        <v>#DIV/0!</v>
      </c>
      <c r="P93" s="18">
        <f>VLOOKUP(A93,'Gastos Proyecciones'!$A$22:$R$233,LOOKUP(Ingresos!$O$190,'Gastos Proyecciones'!$D$22:$R$22,'Gastos Proyecciones'!$D$240:$R$240),FALSE)</f>
        <v>0</v>
      </c>
    </row>
    <row r="94" spans="1:16">
      <c r="A94" s="61" t="s">
        <v>263</v>
      </c>
      <c r="B94" s="1021" t="s">
        <v>264</v>
      </c>
      <c r="C94" s="507" t="s">
        <v>265</v>
      </c>
      <c r="D94" s="1020">
        <f>VLOOKUP(A94,'Gastos Proyecciones'!$A$22:$R$233,LOOKUP($D$22,'Gastos Proyecciones'!$D$22:$R$22,'Gastos Proyecciones'!$D$240:$R$240),FALSE)</f>
        <v>0</v>
      </c>
      <c r="E94" s="18">
        <v>0</v>
      </c>
      <c r="F94" s="980">
        <v>0</v>
      </c>
      <c r="G94" s="18">
        <v>0</v>
      </c>
      <c r="H94" s="58">
        <f t="shared" si="7"/>
        <v>0</v>
      </c>
      <c r="I94" s="18">
        <v>0</v>
      </c>
      <c r="J94" s="18">
        <v>0</v>
      </c>
      <c r="K94" s="18">
        <v>0</v>
      </c>
      <c r="L94" s="66" t="e">
        <f t="shared" si="4"/>
        <v>#DIV/0!</v>
      </c>
      <c r="M94" s="18">
        <v>0</v>
      </c>
      <c r="N94" s="66" t="e">
        <f t="shared" si="5"/>
        <v>#DIV/0!</v>
      </c>
      <c r="O94" s="66" t="e">
        <f t="shared" si="6"/>
        <v>#DIV/0!</v>
      </c>
      <c r="P94" s="18">
        <f>VLOOKUP(A94,'Gastos Proyecciones'!$A$22:$R$233,LOOKUP(Ingresos!$O$190,'Gastos Proyecciones'!$D$22:$R$22,'Gastos Proyecciones'!$D$240:$R$240),FALSE)</f>
        <v>0</v>
      </c>
    </row>
    <row r="95" spans="1:16">
      <c r="A95" s="61" t="s">
        <v>266</v>
      </c>
      <c r="B95" s="1021" t="s">
        <v>267</v>
      </c>
      <c r="C95" s="507" t="s">
        <v>268</v>
      </c>
      <c r="D95" s="1020">
        <f>VLOOKUP(A95,'Gastos Proyecciones'!$A$22:$R$233,LOOKUP($D$22,'Gastos Proyecciones'!$D$22:$R$22,'Gastos Proyecciones'!$D$240:$R$240),FALSE)</f>
        <v>0</v>
      </c>
      <c r="E95" s="18">
        <v>0</v>
      </c>
      <c r="F95" s="980">
        <v>0</v>
      </c>
      <c r="G95" s="18">
        <v>0</v>
      </c>
      <c r="H95" s="58">
        <f t="shared" si="7"/>
        <v>0</v>
      </c>
      <c r="I95" s="18">
        <v>0</v>
      </c>
      <c r="J95" s="18">
        <v>0</v>
      </c>
      <c r="K95" s="18">
        <v>0</v>
      </c>
      <c r="L95" s="66" t="e">
        <f t="shared" si="4"/>
        <v>#DIV/0!</v>
      </c>
      <c r="M95" s="18">
        <v>0</v>
      </c>
      <c r="N95" s="66" t="e">
        <f t="shared" si="5"/>
        <v>#DIV/0!</v>
      </c>
      <c r="O95" s="66" t="e">
        <f t="shared" si="6"/>
        <v>#DIV/0!</v>
      </c>
      <c r="P95" s="18">
        <f>VLOOKUP(A95,'Gastos Proyecciones'!$A$22:$R$233,LOOKUP(Ingresos!$O$190,'Gastos Proyecciones'!$D$22:$R$22,'Gastos Proyecciones'!$D$240:$R$240),FALSE)</f>
        <v>0</v>
      </c>
    </row>
    <row r="96" spans="1:16">
      <c r="A96" s="61" t="s">
        <v>269</v>
      </c>
      <c r="B96" s="1021" t="s">
        <v>270</v>
      </c>
      <c r="C96" s="507" t="s">
        <v>271</v>
      </c>
      <c r="D96" s="1020">
        <f>VLOOKUP(A96,'Gastos Proyecciones'!$A$22:$R$233,LOOKUP($D$22,'Gastos Proyecciones'!$D$22:$R$22,'Gastos Proyecciones'!$D$240:$R$240),FALSE)</f>
        <v>0</v>
      </c>
      <c r="E96" s="18">
        <v>0</v>
      </c>
      <c r="F96" s="980">
        <v>0</v>
      </c>
      <c r="G96" s="18">
        <v>0</v>
      </c>
      <c r="H96" s="58">
        <f t="shared" si="7"/>
        <v>0</v>
      </c>
      <c r="I96" s="18">
        <v>0</v>
      </c>
      <c r="J96" s="18">
        <v>0</v>
      </c>
      <c r="K96" s="18">
        <v>0</v>
      </c>
      <c r="L96" s="66" t="e">
        <f t="shared" si="4"/>
        <v>#DIV/0!</v>
      </c>
      <c r="M96" s="18">
        <v>0</v>
      </c>
      <c r="N96" s="66" t="e">
        <f t="shared" si="5"/>
        <v>#DIV/0!</v>
      </c>
      <c r="O96" s="66" t="e">
        <f t="shared" si="6"/>
        <v>#DIV/0!</v>
      </c>
      <c r="P96" s="18">
        <f>VLOOKUP(A96,'Gastos Proyecciones'!$A$22:$R$233,LOOKUP(Ingresos!$O$190,'Gastos Proyecciones'!$D$22:$R$22,'Gastos Proyecciones'!$D$240:$R$240),FALSE)</f>
        <v>0</v>
      </c>
    </row>
    <row r="97" spans="1:16">
      <c r="A97" s="61" t="s">
        <v>272</v>
      </c>
      <c r="B97" s="1021" t="s">
        <v>273</v>
      </c>
      <c r="C97" s="507" t="s">
        <v>274</v>
      </c>
      <c r="D97" s="1020">
        <f>VLOOKUP(A97,'Gastos Proyecciones'!$A$22:$R$233,LOOKUP($D$22,'Gastos Proyecciones'!$D$22:$R$22,'Gastos Proyecciones'!$D$240:$R$240),FALSE)</f>
        <v>0</v>
      </c>
      <c r="E97" s="18">
        <v>0</v>
      </c>
      <c r="F97" s="980">
        <v>0</v>
      </c>
      <c r="G97" s="18">
        <v>0</v>
      </c>
      <c r="H97" s="58">
        <f t="shared" si="7"/>
        <v>0</v>
      </c>
      <c r="I97" s="18">
        <v>0</v>
      </c>
      <c r="J97" s="18">
        <v>0</v>
      </c>
      <c r="K97" s="18">
        <v>0</v>
      </c>
      <c r="L97" s="66" t="e">
        <f t="shared" si="4"/>
        <v>#DIV/0!</v>
      </c>
      <c r="M97" s="18">
        <v>0</v>
      </c>
      <c r="N97" s="66" t="e">
        <f t="shared" si="5"/>
        <v>#DIV/0!</v>
      </c>
      <c r="O97" s="66" t="e">
        <f t="shared" si="6"/>
        <v>#DIV/0!</v>
      </c>
      <c r="P97" s="18">
        <f>VLOOKUP(A97,'Gastos Proyecciones'!$A$22:$R$233,LOOKUP(Ingresos!$O$190,'Gastos Proyecciones'!$D$22:$R$22,'Gastos Proyecciones'!$D$240:$R$240),FALSE)</f>
        <v>0</v>
      </c>
    </row>
    <row r="98" spans="1:16">
      <c r="A98" s="61" t="s">
        <v>275</v>
      </c>
      <c r="B98" s="1021" t="s">
        <v>276</v>
      </c>
      <c r="C98" s="507" t="s">
        <v>277</v>
      </c>
      <c r="D98" s="1020">
        <f>VLOOKUP(A98,'Gastos Proyecciones'!$A$22:$R$233,LOOKUP($D$22,'Gastos Proyecciones'!$D$22:$R$22,'Gastos Proyecciones'!$D$240:$R$240),FALSE)</f>
        <v>0</v>
      </c>
      <c r="E98" s="18">
        <v>0</v>
      </c>
      <c r="F98" s="980">
        <v>0</v>
      </c>
      <c r="G98" s="18">
        <v>0</v>
      </c>
      <c r="H98" s="58">
        <f t="shared" si="7"/>
        <v>0</v>
      </c>
      <c r="I98" s="18">
        <v>0</v>
      </c>
      <c r="J98" s="18">
        <v>0</v>
      </c>
      <c r="K98" s="18">
        <v>0</v>
      </c>
      <c r="L98" s="66" t="e">
        <f t="shared" si="4"/>
        <v>#DIV/0!</v>
      </c>
      <c r="M98" s="18">
        <v>0</v>
      </c>
      <c r="N98" s="66" t="e">
        <f t="shared" si="5"/>
        <v>#DIV/0!</v>
      </c>
      <c r="O98" s="66" t="e">
        <f t="shared" si="6"/>
        <v>#DIV/0!</v>
      </c>
      <c r="P98" s="18">
        <f>VLOOKUP(A98,'Gastos Proyecciones'!$A$22:$R$233,LOOKUP(Ingresos!$O$190,'Gastos Proyecciones'!$D$22:$R$22,'Gastos Proyecciones'!$D$240:$R$240),FALSE)</f>
        <v>0</v>
      </c>
    </row>
    <row r="99" spans="1:16">
      <c r="A99" s="61" t="s">
        <v>278</v>
      </c>
      <c r="B99" s="1021" t="s">
        <v>279</v>
      </c>
      <c r="C99" s="507" t="s">
        <v>280</v>
      </c>
      <c r="D99" s="1020">
        <f>VLOOKUP(A99,'Gastos Proyecciones'!$A$22:$R$233,LOOKUP($D$22,'Gastos Proyecciones'!$D$22:$R$22,'Gastos Proyecciones'!$D$240:$R$240),FALSE)</f>
        <v>0</v>
      </c>
      <c r="E99" s="18">
        <v>0</v>
      </c>
      <c r="F99" s="980">
        <v>0</v>
      </c>
      <c r="G99" s="18">
        <v>0</v>
      </c>
      <c r="H99" s="58">
        <f t="shared" si="7"/>
        <v>0</v>
      </c>
      <c r="I99" s="18">
        <v>0</v>
      </c>
      <c r="J99" s="18">
        <v>0</v>
      </c>
      <c r="K99" s="18">
        <v>0</v>
      </c>
      <c r="L99" s="66" t="e">
        <f t="shared" si="4"/>
        <v>#DIV/0!</v>
      </c>
      <c r="M99" s="18">
        <v>0</v>
      </c>
      <c r="N99" s="66" t="e">
        <f t="shared" si="5"/>
        <v>#DIV/0!</v>
      </c>
      <c r="O99" s="66" t="e">
        <f t="shared" si="6"/>
        <v>#DIV/0!</v>
      </c>
      <c r="P99" s="18">
        <f>VLOOKUP(A99,'Gastos Proyecciones'!$A$22:$R$233,LOOKUP(Ingresos!$O$190,'Gastos Proyecciones'!$D$22:$R$22,'Gastos Proyecciones'!$D$240:$R$240),FALSE)</f>
        <v>0</v>
      </c>
    </row>
    <row r="100" spans="1:16" s="57" customFormat="1">
      <c r="A100" s="61" t="s">
        <v>281</v>
      </c>
      <c r="B100" s="1021" t="s">
        <v>282</v>
      </c>
      <c r="C100" s="507" t="s">
        <v>283</v>
      </c>
      <c r="D100" s="1020">
        <f>VLOOKUP(A100,'Gastos Proyecciones'!$A$22:$R$233,LOOKUP($D$22,'Gastos Proyecciones'!$D$22:$R$22,'Gastos Proyecciones'!$D$240:$R$240),FALSE)</f>
        <v>0</v>
      </c>
      <c r="E100" s="18">
        <v>0</v>
      </c>
      <c r="F100" s="980">
        <v>0</v>
      </c>
      <c r="G100" s="18">
        <v>0</v>
      </c>
      <c r="H100" s="58">
        <f t="shared" si="7"/>
        <v>0</v>
      </c>
      <c r="I100" s="18">
        <v>0</v>
      </c>
      <c r="J100" s="18">
        <v>0</v>
      </c>
      <c r="K100" s="18">
        <v>0</v>
      </c>
      <c r="L100" s="69" t="e">
        <f t="shared" si="4"/>
        <v>#DIV/0!</v>
      </c>
      <c r="M100" s="18">
        <v>0</v>
      </c>
      <c r="N100" s="69" t="e">
        <f t="shared" si="5"/>
        <v>#DIV/0!</v>
      </c>
      <c r="O100" s="69" t="e">
        <f t="shared" si="6"/>
        <v>#DIV/0!</v>
      </c>
      <c r="P100" s="18">
        <f>VLOOKUP(A100,'Gastos Proyecciones'!$A$22:$R$233,LOOKUP(Ingresos!$O$190,'Gastos Proyecciones'!$D$22:$R$22,'Gastos Proyecciones'!$D$240:$R$240),FALSE)</f>
        <v>0</v>
      </c>
    </row>
    <row r="101" spans="1:16" s="57" customFormat="1">
      <c r="A101" s="61" t="s">
        <v>284</v>
      </c>
      <c r="B101" s="1021" t="s">
        <v>285</v>
      </c>
      <c r="C101" s="507" t="s">
        <v>286</v>
      </c>
      <c r="D101" s="1020">
        <f>VLOOKUP(A101,'Gastos Proyecciones'!$A$22:$R$233,LOOKUP($D$22,'Gastos Proyecciones'!$D$22:$R$22,'Gastos Proyecciones'!$D$240:$R$240),FALSE)</f>
        <v>0</v>
      </c>
      <c r="E101" s="18">
        <v>0</v>
      </c>
      <c r="F101" s="980">
        <v>0</v>
      </c>
      <c r="G101" s="18">
        <v>0</v>
      </c>
      <c r="H101" s="58">
        <f t="shared" si="7"/>
        <v>0</v>
      </c>
      <c r="I101" s="18">
        <v>0</v>
      </c>
      <c r="J101" s="18">
        <v>0</v>
      </c>
      <c r="K101" s="18">
        <v>0</v>
      </c>
      <c r="L101" s="69" t="e">
        <f t="shared" si="4"/>
        <v>#DIV/0!</v>
      </c>
      <c r="M101" s="18">
        <v>0</v>
      </c>
      <c r="N101" s="69" t="e">
        <f t="shared" si="5"/>
        <v>#DIV/0!</v>
      </c>
      <c r="O101" s="69" t="e">
        <f t="shared" si="6"/>
        <v>#DIV/0!</v>
      </c>
      <c r="P101" s="18">
        <f>VLOOKUP(A101,'Gastos Proyecciones'!$A$22:$R$233,LOOKUP(Ingresos!$O$190,'Gastos Proyecciones'!$D$22:$R$22,'Gastos Proyecciones'!$D$240:$R$240),FALSE)</f>
        <v>0</v>
      </c>
    </row>
    <row r="102" spans="1:16">
      <c r="A102" s="61" t="s">
        <v>287</v>
      </c>
      <c r="B102" s="1022" t="s">
        <v>288</v>
      </c>
      <c r="C102" s="507" t="s">
        <v>289</v>
      </c>
      <c r="D102" s="1020">
        <f>VLOOKUP(A102,'Gastos Proyecciones'!$A$22:$R$233,LOOKUP($D$22,'Gastos Proyecciones'!$D$22:$R$22,'Gastos Proyecciones'!$D$240:$R$240),FALSE)</f>
        <v>0</v>
      </c>
      <c r="E102" s="18">
        <v>0</v>
      </c>
      <c r="F102" s="980">
        <v>0</v>
      </c>
      <c r="G102" s="18">
        <v>0</v>
      </c>
      <c r="H102" s="58">
        <f t="shared" si="7"/>
        <v>0</v>
      </c>
      <c r="I102" s="18">
        <v>0</v>
      </c>
      <c r="J102" s="18">
        <v>0</v>
      </c>
      <c r="K102" s="18">
        <v>0</v>
      </c>
      <c r="L102" s="66" t="e">
        <f t="shared" si="4"/>
        <v>#DIV/0!</v>
      </c>
      <c r="M102" s="18">
        <v>0</v>
      </c>
      <c r="N102" s="66" t="e">
        <f t="shared" si="5"/>
        <v>#DIV/0!</v>
      </c>
      <c r="O102" s="66" t="e">
        <f t="shared" si="6"/>
        <v>#DIV/0!</v>
      </c>
      <c r="P102" s="18">
        <f>VLOOKUP(A102,'Gastos Proyecciones'!$A$22:$R$233,LOOKUP(Ingresos!$O$190,'Gastos Proyecciones'!$D$22:$R$22,'Gastos Proyecciones'!$D$240:$R$240),FALSE)</f>
        <v>0</v>
      </c>
    </row>
    <row r="103" spans="1:16" s="14" customFormat="1">
      <c r="A103" s="61" t="s">
        <v>290</v>
      </c>
      <c r="B103" s="93"/>
      <c r="C103" s="506" t="s">
        <v>291</v>
      </c>
      <c r="D103" s="42">
        <f>SUM(D104:D109)</f>
        <v>88192</v>
      </c>
      <c r="E103" s="42">
        <f>SUM(E104:E109)</f>
        <v>0</v>
      </c>
      <c r="F103" s="42" t="e">
        <f>SUM(F104:F118)</f>
        <v>#REF!</v>
      </c>
      <c r="G103" s="42">
        <f>SUM(G104:G109)</f>
        <v>0</v>
      </c>
      <c r="H103" s="42">
        <f t="shared" si="7"/>
        <v>0</v>
      </c>
      <c r="I103" s="42">
        <f>SUM(I104:I109)</f>
        <v>0</v>
      </c>
      <c r="J103" s="42">
        <f>SUM(J104:J109)</f>
        <v>0</v>
      </c>
      <c r="K103" s="42">
        <f>SUM(K104:K109)</f>
        <v>0</v>
      </c>
      <c r="L103" s="64" t="e">
        <f t="shared" si="4"/>
        <v>#DIV/0!</v>
      </c>
      <c r="M103" s="42">
        <f>SUM(M104:M109)</f>
        <v>0</v>
      </c>
      <c r="N103" s="64" t="e">
        <f t="shared" si="5"/>
        <v>#DIV/0!</v>
      </c>
      <c r="O103" s="64">
        <f t="shared" si="6"/>
        <v>0</v>
      </c>
      <c r="P103" s="42">
        <f>SUM(P104:P109)</f>
        <v>0</v>
      </c>
    </row>
    <row r="104" spans="1:16">
      <c r="A104" s="465" t="s">
        <v>292</v>
      </c>
      <c r="B104" s="1023"/>
      <c r="C104" s="507" t="s">
        <v>253</v>
      </c>
      <c r="D104" s="1020">
        <f>VLOOKUP(A104,'Gastos Proyecciones'!$A$22:$R$233,LOOKUP($D$22,'Gastos Proyecciones'!$D$22:$R$22,'Gastos Proyecciones'!$D$240:$R$240),FALSE)</f>
        <v>88192</v>
      </c>
      <c r="E104" s="18">
        <v>0</v>
      </c>
      <c r="F104" s="980">
        <v>0</v>
      </c>
      <c r="G104" s="18">
        <v>0</v>
      </c>
      <c r="H104" s="58">
        <f t="shared" si="7"/>
        <v>0</v>
      </c>
      <c r="I104" s="18">
        <v>0</v>
      </c>
      <c r="J104" s="18">
        <v>0</v>
      </c>
      <c r="K104" s="18">
        <v>0</v>
      </c>
      <c r="L104" s="66" t="e">
        <f t="shared" si="4"/>
        <v>#DIV/0!</v>
      </c>
      <c r="M104" s="18">
        <v>0</v>
      </c>
      <c r="N104" s="66" t="e">
        <f t="shared" si="5"/>
        <v>#DIV/0!</v>
      </c>
      <c r="O104" s="66">
        <f t="shared" si="6"/>
        <v>0</v>
      </c>
      <c r="P104" s="18">
        <f>VLOOKUP(A104,'Gastos Proyecciones'!$A$22:$R$233,LOOKUP(Ingresos!$O$190,'Gastos Proyecciones'!$D$22:$R$22,'Gastos Proyecciones'!$D$240:$R$240),FALSE)</f>
        <v>0</v>
      </c>
    </row>
    <row r="105" spans="1:16">
      <c r="A105" s="72" t="s">
        <v>293</v>
      </c>
      <c r="B105" s="1023" t="s">
        <v>294</v>
      </c>
      <c r="C105" s="507" t="s">
        <v>259</v>
      </c>
      <c r="D105" s="1020">
        <f>VLOOKUP(A105,'Gastos Proyecciones'!$A$22:$R$233,LOOKUP($D$22,'Gastos Proyecciones'!$D$22:$R$22,'Gastos Proyecciones'!$D$240:$R$240),FALSE)</f>
        <v>0</v>
      </c>
      <c r="E105" s="18">
        <v>0</v>
      </c>
      <c r="F105" s="980">
        <v>0</v>
      </c>
      <c r="G105" s="18">
        <v>0</v>
      </c>
      <c r="H105" s="58">
        <f t="shared" si="7"/>
        <v>0</v>
      </c>
      <c r="I105" s="18">
        <v>0</v>
      </c>
      <c r="J105" s="18">
        <v>0</v>
      </c>
      <c r="K105" s="18">
        <v>0</v>
      </c>
      <c r="L105" s="66" t="e">
        <f t="shared" si="4"/>
        <v>#DIV/0!</v>
      </c>
      <c r="M105" s="18">
        <v>0</v>
      </c>
      <c r="N105" s="66" t="e">
        <f t="shared" si="5"/>
        <v>#DIV/0!</v>
      </c>
      <c r="O105" s="66" t="e">
        <f t="shared" si="6"/>
        <v>#DIV/0!</v>
      </c>
      <c r="P105" s="18">
        <f>VLOOKUP(A105,'Gastos Proyecciones'!$A$22:$R$233,LOOKUP(Ingresos!$O$190,'Gastos Proyecciones'!$D$22:$R$22,'Gastos Proyecciones'!$D$240:$R$240),FALSE)</f>
        <v>0</v>
      </c>
    </row>
    <row r="106" spans="1:16">
      <c r="A106" s="466" t="s">
        <v>295</v>
      </c>
      <c r="B106" s="1023"/>
      <c r="C106" s="507" t="s">
        <v>262</v>
      </c>
      <c r="D106" s="1020">
        <f>VLOOKUP(A106,'Gastos Proyecciones'!$A$22:$R$233,LOOKUP($D$22,'Gastos Proyecciones'!$D$22:$R$22,'Gastos Proyecciones'!$D$240:$R$240),FALSE)</f>
        <v>0</v>
      </c>
      <c r="E106" s="18">
        <v>0</v>
      </c>
      <c r="F106" s="980">
        <v>0</v>
      </c>
      <c r="G106" s="18">
        <v>0</v>
      </c>
      <c r="H106" s="58">
        <f t="shared" si="7"/>
        <v>0</v>
      </c>
      <c r="I106" s="18">
        <v>0</v>
      </c>
      <c r="J106" s="18">
        <v>0</v>
      </c>
      <c r="K106" s="18">
        <v>0</v>
      </c>
      <c r="L106" s="66" t="e">
        <f t="shared" si="4"/>
        <v>#DIV/0!</v>
      </c>
      <c r="M106" s="18">
        <v>0</v>
      </c>
      <c r="N106" s="66" t="e">
        <f t="shared" si="5"/>
        <v>#DIV/0!</v>
      </c>
      <c r="O106" s="66" t="e">
        <f t="shared" si="6"/>
        <v>#DIV/0!</v>
      </c>
      <c r="P106" s="18">
        <f>VLOOKUP(A106,'Gastos Proyecciones'!$A$22:$R$233,LOOKUP(Ingresos!$O$190,'Gastos Proyecciones'!$D$22:$R$22,'Gastos Proyecciones'!$D$240:$R$240),FALSE)</f>
        <v>0</v>
      </c>
    </row>
    <row r="107" spans="1:16">
      <c r="A107" s="465" t="s">
        <v>296</v>
      </c>
      <c r="B107" s="1023"/>
      <c r="C107" s="507" t="s">
        <v>268</v>
      </c>
      <c r="D107" s="1020">
        <f>VLOOKUP(A107,'Gastos Proyecciones'!$A$22:$R$233,LOOKUP($D$22,'Gastos Proyecciones'!$D$22:$R$22,'Gastos Proyecciones'!$D$240:$R$240),FALSE)</f>
        <v>0</v>
      </c>
      <c r="E107" s="18">
        <v>0</v>
      </c>
      <c r="F107" s="980">
        <v>0</v>
      </c>
      <c r="G107" s="18">
        <v>0</v>
      </c>
      <c r="H107" s="58">
        <f t="shared" si="7"/>
        <v>0</v>
      </c>
      <c r="I107" s="18">
        <v>0</v>
      </c>
      <c r="J107" s="18">
        <v>0</v>
      </c>
      <c r="K107" s="18">
        <v>0</v>
      </c>
      <c r="L107" s="66" t="e">
        <f t="shared" si="4"/>
        <v>#DIV/0!</v>
      </c>
      <c r="M107" s="18">
        <v>0</v>
      </c>
      <c r="N107" s="66" t="e">
        <f t="shared" si="5"/>
        <v>#DIV/0!</v>
      </c>
      <c r="O107" s="66" t="e">
        <f t="shared" si="6"/>
        <v>#DIV/0!</v>
      </c>
      <c r="P107" s="18">
        <f>VLOOKUP(A107,'Gastos Proyecciones'!$A$22:$R$233,LOOKUP(Ingresos!$O$190,'Gastos Proyecciones'!$D$22:$R$22,'Gastos Proyecciones'!$D$240:$R$240),FALSE)</f>
        <v>0</v>
      </c>
    </row>
    <row r="108" spans="1:16">
      <c r="A108" s="61" t="s">
        <v>297</v>
      </c>
      <c r="B108" s="1023"/>
      <c r="C108" s="507" t="s">
        <v>298</v>
      </c>
      <c r="D108" s="1020">
        <f>VLOOKUP(A108,'Gastos Proyecciones'!$A$22:$R$233,LOOKUP($D$22,'Gastos Proyecciones'!$D$22:$R$22,'Gastos Proyecciones'!$D$240:$R$240),FALSE)</f>
        <v>0</v>
      </c>
      <c r="E108" s="18">
        <v>0</v>
      </c>
      <c r="F108" s="980">
        <v>0</v>
      </c>
      <c r="G108" s="18">
        <v>0</v>
      </c>
      <c r="H108" s="58">
        <f t="shared" si="7"/>
        <v>0</v>
      </c>
      <c r="I108" s="18">
        <v>0</v>
      </c>
      <c r="J108" s="18">
        <v>0</v>
      </c>
      <c r="K108" s="18">
        <v>0</v>
      </c>
      <c r="L108" s="66" t="e">
        <f t="shared" si="4"/>
        <v>#DIV/0!</v>
      </c>
      <c r="M108" s="18">
        <v>0</v>
      </c>
      <c r="N108" s="66" t="e">
        <f t="shared" si="5"/>
        <v>#DIV/0!</v>
      </c>
      <c r="O108" s="66" t="e">
        <f t="shared" si="6"/>
        <v>#DIV/0!</v>
      </c>
      <c r="P108" s="18">
        <f>VLOOKUP(A108,'Gastos Proyecciones'!$A$22:$R$233,LOOKUP(Ingresos!$O$190,'Gastos Proyecciones'!$D$22:$R$22,'Gastos Proyecciones'!$D$240:$R$240),FALSE)</f>
        <v>0</v>
      </c>
    </row>
    <row r="109" spans="1:16">
      <c r="A109" s="465" t="s">
        <v>299</v>
      </c>
      <c r="B109" s="1023"/>
      <c r="C109" s="507" t="s">
        <v>277</v>
      </c>
      <c r="D109" s="1020">
        <f>VLOOKUP(A109,'Gastos Proyecciones'!$A$22:$R$233,LOOKUP($D$22,'Gastos Proyecciones'!$D$22:$R$22,'Gastos Proyecciones'!$D$240:$R$240),FALSE)</f>
        <v>0</v>
      </c>
      <c r="E109" s="18">
        <v>0</v>
      </c>
      <c r="F109" s="980">
        <v>0</v>
      </c>
      <c r="G109" s="18">
        <v>0</v>
      </c>
      <c r="H109" s="58">
        <f t="shared" si="7"/>
        <v>0</v>
      </c>
      <c r="I109" s="18">
        <v>0</v>
      </c>
      <c r="J109" s="18">
        <v>0</v>
      </c>
      <c r="K109" s="18">
        <v>0</v>
      </c>
      <c r="L109" s="66" t="e">
        <f t="shared" si="4"/>
        <v>#DIV/0!</v>
      </c>
      <c r="M109" s="18">
        <v>0</v>
      </c>
      <c r="N109" s="66" t="e">
        <f t="shared" si="5"/>
        <v>#DIV/0!</v>
      </c>
      <c r="O109" s="66" t="e">
        <f t="shared" si="6"/>
        <v>#DIV/0!</v>
      </c>
      <c r="P109" s="18">
        <f>VLOOKUP(A109,'Gastos Proyecciones'!$A$22:$R$233,LOOKUP(Ingresos!$O$190,'Gastos Proyecciones'!$D$22:$R$22,'Gastos Proyecciones'!$D$240:$R$240),FALSE)</f>
        <v>0</v>
      </c>
    </row>
    <row r="110" spans="1:16" s="14" customFormat="1">
      <c r="A110" s="61" t="s">
        <v>300</v>
      </c>
      <c r="B110" s="93"/>
      <c r="C110" s="506" t="s">
        <v>301</v>
      </c>
      <c r="D110" s="42">
        <f>SUM(D111:D124)</f>
        <v>1506445.65</v>
      </c>
      <c r="E110" s="42">
        <f>SUM(E111:E124)</f>
        <v>1006359</v>
      </c>
      <c r="F110" s="1019" t="e">
        <f>+E109+#REF!+#REF!-#REF!-#REF!</f>
        <v>#REF!</v>
      </c>
      <c r="G110" s="42">
        <f>SUM(G111:G124)</f>
        <v>1335903.6499999999</v>
      </c>
      <c r="H110" s="42">
        <f t="shared" si="7"/>
        <v>329544.64999999991</v>
      </c>
      <c r="I110" s="42">
        <f>SUM(I111:I124)</f>
        <v>1335903.6499999999</v>
      </c>
      <c r="J110" s="42">
        <f>SUM(J111:J124)</f>
        <v>1335903.6499999999</v>
      </c>
      <c r="K110" s="42">
        <f>SUM(K111:K124)</f>
        <v>1335903.6499999999</v>
      </c>
      <c r="L110" s="64">
        <f t="shared" si="4"/>
        <v>1</v>
      </c>
      <c r="M110" s="42">
        <f>SUM(M111:M124)</f>
        <v>1712996.2999999998</v>
      </c>
      <c r="N110" s="64">
        <f t="shared" si="5"/>
        <v>-0.22013628984487588</v>
      </c>
      <c r="O110" s="64">
        <f t="shared" si="6"/>
        <v>0.88679180028831439</v>
      </c>
      <c r="P110" s="42">
        <f>SUM(P111:P124)</f>
        <v>1712996.2999999998</v>
      </c>
    </row>
    <row r="111" spans="1:16">
      <c r="A111" s="61" t="s">
        <v>302</v>
      </c>
      <c r="B111" s="1024" t="s">
        <v>303</v>
      </c>
      <c r="C111" s="507" t="s">
        <v>253</v>
      </c>
      <c r="D111" s="1020">
        <f>VLOOKUP(A111,'Gastos Proyecciones'!$A$22:$R$233,LOOKUP($D$22,'Gastos Proyecciones'!$D$22:$R$22,'Gastos Proyecciones'!$D$240:$R$240),FALSE)</f>
        <v>451711</v>
      </c>
      <c r="E111" s="18">
        <v>350000</v>
      </c>
      <c r="F111" s="980">
        <v>0</v>
      </c>
      <c r="G111" s="18">
        <v>451711</v>
      </c>
      <c r="H111" s="58">
        <f t="shared" si="7"/>
        <v>101711</v>
      </c>
      <c r="I111" s="18">
        <v>451711</v>
      </c>
      <c r="J111" s="18">
        <v>451711</v>
      </c>
      <c r="K111" s="18">
        <v>451711</v>
      </c>
      <c r="L111" s="66">
        <f t="shared" si="4"/>
        <v>1</v>
      </c>
      <c r="M111" s="18">
        <v>450889</v>
      </c>
      <c r="N111" s="66">
        <f t="shared" si="5"/>
        <v>1.8230651002797416E-3</v>
      </c>
      <c r="O111" s="66">
        <f t="shared" si="6"/>
        <v>1</v>
      </c>
      <c r="P111" s="18">
        <f>VLOOKUP(A111,'Gastos Proyecciones'!$A$22:$R$233,LOOKUP(Ingresos!$O$190,'Gastos Proyecciones'!$D$22:$R$22,'Gastos Proyecciones'!$D$240:$R$240),FALSE)</f>
        <v>450889</v>
      </c>
    </row>
    <row r="112" spans="1:16">
      <c r="A112" s="61" t="s">
        <v>304</v>
      </c>
      <c r="B112" s="1024" t="s">
        <v>305</v>
      </c>
      <c r="C112" s="507" t="s">
        <v>256</v>
      </c>
      <c r="D112" s="1020">
        <f>VLOOKUP(A112,'Gastos Proyecciones'!$A$22:$R$233,LOOKUP($D$22,'Gastos Proyecciones'!$D$22:$R$22,'Gastos Proyecciones'!$D$240:$R$240),FALSE)</f>
        <v>379530</v>
      </c>
      <c r="E112" s="18">
        <v>194433</v>
      </c>
      <c r="F112" s="980">
        <v>0</v>
      </c>
      <c r="G112" s="18">
        <v>379530</v>
      </c>
      <c r="H112" s="58">
        <f t="shared" si="7"/>
        <v>185097</v>
      </c>
      <c r="I112" s="18">
        <v>379530</v>
      </c>
      <c r="J112" s="18">
        <v>379530</v>
      </c>
      <c r="K112" s="18">
        <v>379530</v>
      </c>
      <c r="L112" s="66">
        <f t="shared" si="4"/>
        <v>1</v>
      </c>
      <c r="M112" s="18">
        <v>237247.5</v>
      </c>
      <c r="N112" s="66">
        <f t="shared" si="5"/>
        <v>0.59972180950273457</v>
      </c>
      <c r="O112" s="66">
        <f t="shared" si="6"/>
        <v>1</v>
      </c>
      <c r="P112" s="18">
        <f>VLOOKUP(A112,'Gastos Proyecciones'!$A$22:$R$233,LOOKUP(Ingresos!$O$190,'Gastos Proyecciones'!$D$22:$R$22,'Gastos Proyecciones'!$D$240:$R$240),FALSE)</f>
        <v>237247.5</v>
      </c>
    </row>
    <row r="113" spans="1:16">
      <c r="A113" s="61" t="s">
        <v>306</v>
      </c>
      <c r="B113" s="1024" t="s">
        <v>307</v>
      </c>
      <c r="C113" s="507" t="s">
        <v>259</v>
      </c>
      <c r="D113" s="1020">
        <f>VLOOKUP(A113,'Gastos Proyecciones'!$A$22:$R$233,LOOKUP($D$22,'Gastos Proyecciones'!$D$22:$R$22,'Gastos Proyecciones'!$D$240:$R$240),FALSE)</f>
        <v>29753</v>
      </c>
      <c r="E113" s="18">
        <v>20000</v>
      </c>
      <c r="F113" s="980">
        <v>0</v>
      </c>
      <c r="G113" s="18">
        <v>29753</v>
      </c>
      <c r="H113" s="58">
        <f t="shared" si="7"/>
        <v>9753</v>
      </c>
      <c r="I113" s="18">
        <v>29753</v>
      </c>
      <c r="J113" s="18">
        <v>29753</v>
      </c>
      <c r="K113" s="18">
        <v>29753</v>
      </c>
      <c r="L113" s="66">
        <f t="shared" si="4"/>
        <v>1</v>
      </c>
      <c r="M113" s="18">
        <v>8000</v>
      </c>
      <c r="N113" s="66">
        <f t="shared" si="5"/>
        <v>2.719125</v>
      </c>
      <c r="O113" s="66">
        <f t="shared" si="6"/>
        <v>1</v>
      </c>
      <c r="P113" s="18">
        <f>VLOOKUP(A113,'Gastos Proyecciones'!$A$22:$R$233,LOOKUP(Ingresos!$O$190,'Gastos Proyecciones'!$D$22:$R$22,'Gastos Proyecciones'!$D$240:$R$240),FALSE)</f>
        <v>8000</v>
      </c>
    </row>
    <row r="114" spans="1:16">
      <c r="A114" s="61" t="s">
        <v>308</v>
      </c>
      <c r="B114" s="1024" t="s">
        <v>309</v>
      </c>
      <c r="C114" s="507" t="s">
        <v>262</v>
      </c>
      <c r="D114" s="1020">
        <f>VLOOKUP(A114,'Gastos Proyecciones'!$A$22:$R$233,LOOKUP($D$22,'Gastos Proyecciones'!$D$22:$R$22,'Gastos Proyecciones'!$D$240:$R$240),FALSE)</f>
        <v>54830</v>
      </c>
      <c r="E114" s="18">
        <v>0</v>
      </c>
      <c r="F114" s="980">
        <v>0</v>
      </c>
      <c r="G114" s="18">
        <v>0</v>
      </c>
      <c r="H114" s="58">
        <f t="shared" si="7"/>
        <v>0</v>
      </c>
      <c r="I114" s="18">
        <v>0</v>
      </c>
      <c r="J114" s="18">
        <v>0</v>
      </c>
      <c r="K114" s="18">
        <v>0</v>
      </c>
      <c r="L114" s="66" t="e">
        <f t="shared" si="4"/>
        <v>#DIV/0!</v>
      </c>
      <c r="M114" s="18">
        <v>0</v>
      </c>
      <c r="N114" s="66" t="e">
        <f t="shared" si="5"/>
        <v>#DIV/0!</v>
      </c>
      <c r="O114" s="66">
        <f t="shared" si="6"/>
        <v>0</v>
      </c>
      <c r="P114" s="18">
        <f>VLOOKUP(A114,'Gastos Proyecciones'!$A$22:$R$233,LOOKUP(Ingresos!$O$190,'Gastos Proyecciones'!$D$22:$R$22,'Gastos Proyecciones'!$D$240:$R$240),FALSE)</f>
        <v>0</v>
      </c>
    </row>
    <row r="115" spans="1:16">
      <c r="A115" s="61" t="s">
        <v>310</v>
      </c>
      <c r="B115" s="1024" t="s">
        <v>311</v>
      </c>
      <c r="C115" s="507" t="s">
        <v>265</v>
      </c>
      <c r="D115" s="1020">
        <f>VLOOKUP(A115,'Gastos Proyecciones'!$A$22:$R$233,LOOKUP($D$22,'Gastos Proyecciones'!$D$22:$R$22,'Gastos Proyecciones'!$D$240:$R$240),FALSE)</f>
        <v>43595</v>
      </c>
      <c r="E115" s="18">
        <v>46000</v>
      </c>
      <c r="F115" s="980">
        <v>0</v>
      </c>
      <c r="G115" s="18">
        <v>43595</v>
      </c>
      <c r="H115" s="58">
        <f t="shared" si="7"/>
        <v>-2405</v>
      </c>
      <c r="I115" s="18">
        <v>43595</v>
      </c>
      <c r="J115" s="18">
        <v>43595</v>
      </c>
      <c r="K115" s="18">
        <v>43595</v>
      </c>
      <c r="L115" s="66">
        <f t="shared" si="4"/>
        <v>1</v>
      </c>
      <c r="M115" s="18">
        <v>46097</v>
      </c>
      <c r="N115" s="66">
        <f t="shared" si="5"/>
        <v>-5.4276850988133729E-2</v>
      </c>
      <c r="O115" s="66">
        <f t="shared" si="6"/>
        <v>1</v>
      </c>
      <c r="P115" s="18">
        <f>VLOOKUP(A115,'Gastos Proyecciones'!$A$22:$R$233,LOOKUP(Ingresos!$O$190,'Gastos Proyecciones'!$D$22:$R$22,'Gastos Proyecciones'!$D$240:$R$240),FALSE)</f>
        <v>46097</v>
      </c>
    </row>
    <row r="116" spans="1:16">
      <c r="A116" s="61" t="s">
        <v>312</v>
      </c>
      <c r="B116" s="1024" t="s">
        <v>313</v>
      </c>
      <c r="C116" s="507" t="s">
        <v>268</v>
      </c>
      <c r="D116" s="1020">
        <f>VLOOKUP(A116,'Gastos Proyecciones'!$A$22:$R$233,LOOKUP($D$22,'Gastos Proyecciones'!$D$22:$R$22,'Gastos Proyecciones'!$D$240:$R$240),FALSE)</f>
        <v>115712</v>
      </c>
      <c r="E116" s="18">
        <v>0</v>
      </c>
      <c r="F116" s="980">
        <v>0</v>
      </c>
      <c r="G116" s="18">
        <v>0</v>
      </c>
      <c r="H116" s="58">
        <f t="shared" si="7"/>
        <v>0</v>
      </c>
      <c r="I116" s="18">
        <v>0</v>
      </c>
      <c r="J116" s="18">
        <v>0</v>
      </c>
      <c r="K116" s="18">
        <v>0</v>
      </c>
      <c r="L116" s="66" t="e">
        <f t="shared" si="4"/>
        <v>#DIV/0!</v>
      </c>
      <c r="M116" s="18">
        <v>0</v>
      </c>
      <c r="N116" s="66" t="e">
        <f t="shared" si="5"/>
        <v>#DIV/0!</v>
      </c>
      <c r="O116" s="66">
        <f t="shared" si="6"/>
        <v>0</v>
      </c>
      <c r="P116" s="18">
        <f>VLOOKUP(A116,'Gastos Proyecciones'!$A$22:$R$233,LOOKUP(Ingresos!$O$190,'Gastos Proyecciones'!$D$22:$R$22,'Gastos Proyecciones'!$D$240:$R$240),FALSE)</f>
        <v>0</v>
      </c>
    </row>
    <row r="117" spans="1:16" s="57" customFormat="1">
      <c r="A117" s="61" t="s">
        <v>314</v>
      </c>
      <c r="B117" s="1024" t="s">
        <v>315</v>
      </c>
      <c r="C117" s="507" t="s">
        <v>271</v>
      </c>
      <c r="D117" s="1020">
        <f>VLOOKUP(A117,'Gastos Proyecciones'!$A$22:$R$233,LOOKUP($D$22,'Gastos Proyecciones'!$D$22:$R$22,'Gastos Proyecciones'!$D$240:$R$240),FALSE)</f>
        <v>32696</v>
      </c>
      <c r="E117" s="18">
        <v>39000</v>
      </c>
      <c r="F117" s="980">
        <v>0</v>
      </c>
      <c r="G117" s="18">
        <v>32696</v>
      </c>
      <c r="H117" s="58">
        <f t="shared" si="7"/>
        <v>-6304</v>
      </c>
      <c r="I117" s="18">
        <v>32696</v>
      </c>
      <c r="J117" s="18">
        <v>32696</v>
      </c>
      <c r="K117" s="18">
        <v>32696</v>
      </c>
      <c r="L117" s="69">
        <f t="shared" si="4"/>
        <v>1</v>
      </c>
      <c r="M117" s="18">
        <v>47467</v>
      </c>
      <c r="N117" s="69">
        <f t="shared" si="5"/>
        <v>-0.31118461246760909</v>
      </c>
      <c r="O117" s="69">
        <f t="shared" si="6"/>
        <v>1</v>
      </c>
      <c r="P117" s="18">
        <f>VLOOKUP(A117,'Gastos Proyecciones'!$A$22:$R$233,LOOKUP(Ingresos!$O$190,'Gastos Proyecciones'!$D$22:$R$22,'Gastos Proyecciones'!$D$240:$R$240),FALSE)</f>
        <v>47467</v>
      </c>
    </row>
    <row r="118" spans="1:16">
      <c r="A118" s="61" t="s">
        <v>316</v>
      </c>
      <c r="B118" s="1024" t="s">
        <v>317</v>
      </c>
      <c r="C118" s="507" t="s">
        <v>274</v>
      </c>
      <c r="D118" s="1020">
        <f>VLOOKUP(A118,'Gastos Proyecciones'!$A$22:$R$233,LOOKUP($D$22,'Gastos Proyecciones'!$D$22:$R$22,'Gastos Proyecciones'!$D$240:$R$240),FALSE)</f>
        <v>18056</v>
      </c>
      <c r="E118" s="18">
        <v>42426</v>
      </c>
      <c r="F118" s="980">
        <v>0</v>
      </c>
      <c r="G118" s="18">
        <v>18056</v>
      </c>
      <c r="H118" s="58">
        <f t="shared" si="7"/>
        <v>-24370</v>
      </c>
      <c r="I118" s="18">
        <v>18056</v>
      </c>
      <c r="J118" s="18">
        <v>18056</v>
      </c>
      <c r="K118" s="18">
        <v>18056</v>
      </c>
      <c r="L118" s="66">
        <f t="shared" si="4"/>
        <v>1</v>
      </c>
      <c r="M118" s="18">
        <v>28112.7</v>
      </c>
      <c r="N118" s="66">
        <f t="shared" si="5"/>
        <v>-0.35772800193506848</v>
      </c>
      <c r="O118" s="66">
        <f t="shared" si="6"/>
        <v>1</v>
      </c>
      <c r="P118" s="18">
        <f>VLOOKUP(A118,'Gastos Proyecciones'!$A$22:$R$233,LOOKUP(Ingresos!$O$190,'Gastos Proyecciones'!$D$22:$R$22,'Gastos Proyecciones'!$D$240:$R$240),FALSE)</f>
        <v>28112.7</v>
      </c>
    </row>
    <row r="119" spans="1:16" s="57" customFormat="1">
      <c r="A119" s="61" t="s">
        <v>318</v>
      </c>
      <c r="B119" s="1024" t="s">
        <v>319</v>
      </c>
      <c r="C119" s="507" t="s">
        <v>277</v>
      </c>
      <c r="D119" s="1020">
        <f>VLOOKUP(A119,'Gastos Proyecciones'!$A$22:$R$233,LOOKUP($D$22,'Gastos Proyecciones'!$D$22:$R$22,'Gastos Proyecciones'!$D$240:$R$240),FALSE)</f>
        <v>66919</v>
      </c>
      <c r="E119" s="18">
        <v>42300</v>
      </c>
      <c r="F119" s="980">
        <v>0</v>
      </c>
      <c r="G119" s="18">
        <v>66919</v>
      </c>
      <c r="H119" s="58">
        <f t="shared" si="7"/>
        <v>24619</v>
      </c>
      <c r="I119" s="18">
        <v>66919</v>
      </c>
      <c r="J119" s="18">
        <v>66919</v>
      </c>
      <c r="K119" s="18">
        <v>66919</v>
      </c>
      <c r="L119" s="69">
        <f t="shared" si="4"/>
        <v>1</v>
      </c>
      <c r="M119" s="18">
        <v>83708.100000000006</v>
      </c>
      <c r="N119" s="69">
        <f t="shared" si="5"/>
        <v>-0.20056720914702408</v>
      </c>
      <c r="O119" s="69">
        <f t="shared" si="6"/>
        <v>1</v>
      </c>
      <c r="P119" s="18">
        <f>VLOOKUP(A119,'Gastos Proyecciones'!$A$22:$R$233,LOOKUP(Ingresos!$O$190,'Gastos Proyecciones'!$D$22:$R$22,'Gastos Proyecciones'!$D$240:$R$240),FALSE)</f>
        <v>83708.100000000006</v>
      </c>
    </row>
    <row r="120" spans="1:16">
      <c r="A120" s="61" t="s">
        <v>320</v>
      </c>
      <c r="B120" s="1024" t="s">
        <v>321</v>
      </c>
      <c r="C120" s="507" t="s">
        <v>280</v>
      </c>
      <c r="D120" s="1020">
        <f>VLOOKUP(A120,'Gastos Proyecciones'!$A$22:$R$233,LOOKUP($D$22,'Gastos Proyecciones'!$D$22:$R$22,'Gastos Proyecciones'!$D$240:$R$240),FALSE)</f>
        <v>27246</v>
      </c>
      <c r="E120" s="18">
        <v>20000</v>
      </c>
      <c r="F120" s="980">
        <v>0</v>
      </c>
      <c r="G120" s="18">
        <v>27246</v>
      </c>
      <c r="H120" s="58">
        <f t="shared" si="7"/>
        <v>7246</v>
      </c>
      <c r="I120" s="18">
        <v>27246</v>
      </c>
      <c r="J120" s="18">
        <v>27246</v>
      </c>
      <c r="K120" s="18">
        <v>27246</v>
      </c>
      <c r="L120" s="66">
        <f t="shared" si="4"/>
        <v>1</v>
      </c>
      <c r="M120" s="18">
        <v>121187</v>
      </c>
      <c r="N120" s="66">
        <f t="shared" si="5"/>
        <v>-0.77517390479176806</v>
      </c>
      <c r="O120" s="66">
        <f t="shared" si="6"/>
        <v>1</v>
      </c>
      <c r="P120" s="18">
        <f>VLOOKUP(A120,'Gastos Proyecciones'!$A$22:$R$233,LOOKUP(Ingresos!$O$190,'Gastos Proyecciones'!$D$22:$R$22,'Gastos Proyecciones'!$D$240:$R$240),FALSE)</f>
        <v>121187</v>
      </c>
    </row>
    <row r="121" spans="1:16">
      <c r="A121" s="61" t="s">
        <v>322</v>
      </c>
      <c r="B121" s="1024" t="s">
        <v>323</v>
      </c>
      <c r="C121" s="507" t="s">
        <v>283</v>
      </c>
      <c r="D121" s="1020">
        <f>VLOOKUP(A121,'Gastos Proyecciones'!$A$22:$R$233,LOOKUP($D$22,'Gastos Proyecciones'!$D$22:$R$22,'Gastos Proyecciones'!$D$240:$R$240),FALSE)</f>
        <v>112998</v>
      </c>
      <c r="E121" s="18">
        <v>74000</v>
      </c>
      <c r="F121" s="980">
        <v>0</v>
      </c>
      <c r="G121" s="18">
        <v>112998</v>
      </c>
      <c r="H121" s="58">
        <f t="shared" si="7"/>
        <v>38998</v>
      </c>
      <c r="I121" s="18">
        <v>112998</v>
      </c>
      <c r="J121" s="18">
        <v>112998</v>
      </c>
      <c r="K121" s="18">
        <v>112998</v>
      </c>
      <c r="L121" s="66">
        <f t="shared" si="4"/>
        <v>1</v>
      </c>
      <c r="M121" s="18">
        <v>334669</v>
      </c>
      <c r="N121" s="66">
        <f t="shared" si="5"/>
        <v>-0.66235892777639993</v>
      </c>
      <c r="O121" s="66">
        <f t="shared" si="6"/>
        <v>1</v>
      </c>
      <c r="P121" s="18">
        <f>VLOOKUP(A121,'Gastos Proyecciones'!$A$22:$R$233,LOOKUP(Ingresos!$O$190,'Gastos Proyecciones'!$D$22:$R$22,'Gastos Proyecciones'!$D$240:$R$240),FALSE)</f>
        <v>334669</v>
      </c>
    </row>
    <row r="122" spans="1:16">
      <c r="A122" s="61" t="s">
        <v>324</v>
      </c>
      <c r="B122" s="1024" t="s">
        <v>325</v>
      </c>
      <c r="C122" s="507" t="s">
        <v>286</v>
      </c>
      <c r="D122" s="1020">
        <f>VLOOKUP(A122,'Gastos Proyecciones'!$A$22:$R$233,LOOKUP($D$22,'Gastos Proyecciones'!$D$22:$R$22,'Gastos Proyecciones'!$D$240:$R$240),FALSE)</f>
        <v>40543.65</v>
      </c>
      <c r="E122" s="18">
        <v>50200</v>
      </c>
      <c r="F122" s="980">
        <v>0</v>
      </c>
      <c r="G122" s="18">
        <v>40543.65</v>
      </c>
      <c r="H122" s="58">
        <f t="shared" si="7"/>
        <v>-9656.3499999999985</v>
      </c>
      <c r="I122" s="18">
        <v>40543.65</v>
      </c>
      <c r="J122" s="18">
        <v>40543.65</v>
      </c>
      <c r="K122" s="18">
        <v>40543.65</v>
      </c>
      <c r="L122" s="66">
        <f t="shared" si="4"/>
        <v>1</v>
      </c>
      <c r="M122" s="18">
        <v>38613</v>
      </c>
      <c r="N122" s="66">
        <f t="shared" si="5"/>
        <v>5.0000000000000044E-2</v>
      </c>
      <c r="O122" s="66">
        <f t="shared" si="6"/>
        <v>1</v>
      </c>
      <c r="P122" s="18">
        <f>VLOOKUP(A122,'Gastos Proyecciones'!$A$22:$R$233,LOOKUP(Ingresos!$O$190,'Gastos Proyecciones'!$D$22:$R$22,'Gastos Proyecciones'!$D$240:$R$240),FALSE)</f>
        <v>38613</v>
      </c>
    </row>
    <row r="123" spans="1:16">
      <c r="A123" s="72" t="s">
        <v>326</v>
      </c>
      <c r="B123" s="1024" t="s">
        <v>327</v>
      </c>
      <c r="C123" s="507" t="s">
        <v>328</v>
      </c>
      <c r="D123" s="1020">
        <f>VLOOKUP(A123,'Gastos Proyecciones'!$A$22:$R$233,LOOKUP($D$22,'Gastos Proyecciones'!$D$22:$R$22,'Gastos Proyecciones'!$D$240:$R$240),FALSE)</f>
        <v>132856</v>
      </c>
      <c r="E123" s="18">
        <v>128000</v>
      </c>
      <c r="F123" s="980">
        <v>0</v>
      </c>
      <c r="G123" s="18">
        <v>132856</v>
      </c>
      <c r="H123" s="58">
        <f t="shared" si="7"/>
        <v>4856</v>
      </c>
      <c r="I123" s="18">
        <v>132856</v>
      </c>
      <c r="J123" s="18">
        <v>132856</v>
      </c>
      <c r="K123" s="18">
        <v>132856</v>
      </c>
      <c r="L123" s="66">
        <f t="shared" si="4"/>
        <v>1</v>
      </c>
      <c r="M123" s="18">
        <v>317006</v>
      </c>
      <c r="N123" s="66">
        <f t="shared" si="5"/>
        <v>-0.58090383147322133</v>
      </c>
      <c r="O123" s="66">
        <f t="shared" si="6"/>
        <v>1</v>
      </c>
      <c r="P123" s="18">
        <f>VLOOKUP(A123,'Gastos Proyecciones'!$A$22:$R$233,LOOKUP(Ingresos!$O$190,'Gastos Proyecciones'!$D$22:$R$22,'Gastos Proyecciones'!$D$240:$R$240),FALSE)</f>
        <v>317006</v>
      </c>
    </row>
    <row r="124" spans="1:16">
      <c r="A124" s="61" t="s">
        <v>329</v>
      </c>
      <c r="B124" s="1025" t="s">
        <v>330</v>
      </c>
      <c r="C124" s="507" t="s">
        <v>289</v>
      </c>
      <c r="D124" s="1020">
        <f>VLOOKUP(A124,'Gastos Proyecciones'!$A$22:$R$233,LOOKUP($D$22,'Gastos Proyecciones'!$D$22:$R$22,'Gastos Proyecciones'!$D$240:$R$240),FALSE)</f>
        <v>0</v>
      </c>
      <c r="E124" s="18">
        <v>0</v>
      </c>
      <c r="F124" s="980">
        <v>0</v>
      </c>
      <c r="G124" s="18">
        <v>0</v>
      </c>
      <c r="H124" s="58">
        <f t="shared" si="7"/>
        <v>0</v>
      </c>
      <c r="I124" s="18">
        <v>0</v>
      </c>
      <c r="J124" s="18">
        <v>0</v>
      </c>
      <c r="K124" s="18">
        <v>0</v>
      </c>
      <c r="L124" s="66" t="e">
        <f t="shared" si="4"/>
        <v>#DIV/0!</v>
      </c>
      <c r="M124" s="18">
        <v>0</v>
      </c>
      <c r="N124" s="66" t="e">
        <f t="shared" si="5"/>
        <v>#DIV/0!</v>
      </c>
      <c r="O124" s="66" t="e">
        <f t="shared" si="6"/>
        <v>#DIV/0!</v>
      </c>
      <c r="P124" s="18">
        <f>VLOOKUP(A124,'Gastos Proyecciones'!$A$22:$R$233,LOOKUP(Ingresos!$O$190,'Gastos Proyecciones'!$D$22:$R$22,'Gastos Proyecciones'!$D$240:$R$240),FALSE)</f>
        <v>0</v>
      </c>
    </row>
    <row r="125" spans="1:16" s="14" customFormat="1">
      <c r="A125" s="61" t="s">
        <v>331</v>
      </c>
      <c r="B125" s="93"/>
      <c r="C125" s="506" t="s">
        <v>332</v>
      </c>
      <c r="D125" s="42">
        <f>+D126+D140+D147</f>
        <v>1496248</v>
      </c>
      <c r="E125" s="42">
        <f>+E126+E140+E147</f>
        <v>0</v>
      </c>
      <c r="F125" s="1019" t="e">
        <f>+#REF!+#REF!+#REF!-#REF!-#REF!</f>
        <v>#REF!</v>
      </c>
      <c r="G125" s="42">
        <f>+G126+G140+G147</f>
        <v>1496248</v>
      </c>
      <c r="H125" s="42">
        <f t="shared" si="7"/>
        <v>1496248</v>
      </c>
      <c r="I125" s="42">
        <f>+I126+I140+I147</f>
        <v>0</v>
      </c>
      <c r="J125" s="42">
        <f>+J126+J140+J147</f>
        <v>0</v>
      </c>
      <c r="K125" s="42">
        <f>+K126+K140+K147</f>
        <v>0</v>
      </c>
      <c r="L125" s="64">
        <f t="shared" si="4"/>
        <v>0</v>
      </c>
      <c r="M125" s="42">
        <f>+M126+M140+M147</f>
        <v>264174</v>
      </c>
      <c r="N125" s="64">
        <f t="shared" si="5"/>
        <v>-1</v>
      </c>
      <c r="O125" s="64">
        <f t="shared" si="6"/>
        <v>0</v>
      </c>
      <c r="P125" s="42">
        <f>+P126+P140+P147</f>
        <v>264174</v>
      </c>
    </row>
    <row r="126" spans="1:16" s="14" customFormat="1">
      <c r="A126" s="73" t="s">
        <v>333</v>
      </c>
      <c r="B126" s="93"/>
      <c r="C126" s="506" t="s">
        <v>250</v>
      </c>
      <c r="D126" s="42">
        <f>SUM(D127:D139)</f>
        <v>0</v>
      </c>
      <c r="E126" s="42">
        <f>SUM(E127:E139)</f>
        <v>0</v>
      </c>
      <c r="F126" s="1019" t="e">
        <f>+E124+#REF!+#REF!-#REF!-#REF!</f>
        <v>#REF!</v>
      </c>
      <c r="G126" s="42">
        <f>SUM(G127:G139)</f>
        <v>1496248</v>
      </c>
      <c r="H126" s="42">
        <f t="shared" si="7"/>
        <v>1496248</v>
      </c>
      <c r="I126" s="42">
        <f>SUM(I127:I139)</f>
        <v>0</v>
      </c>
      <c r="J126" s="42">
        <f>SUM(J127:J139)</f>
        <v>0</v>
      </c>
      <c r="K126" s="42">
        <f>SUM(K127:K139)</f>
        <v>0</v>
      </c>
      <c r="L126" s="64">
        <f t="shared" si="4"/>
        <v>0</v>
      </c>
      <c r="M126" s="42">
        <f>SUM(M127:M139)</f>
        <v>0</v>
      </c>
      <c r="N126" s="64" t="e">
        <f t="shared" si="5"/>
        <v>#DIV/0!</v>
      </c>
      <c r="O126" s="64" t="e">
        <f t="shared" si="6"/>
        <v>#DIV/0!</v>
      </c>
      <c r="P126" s="42">
        <f>SUM(P127:P139)</f>
        <v>0</v>
      </c>
    </row>
    <row r="127" spans="1:16" s="57" customFormat="1">
      <c r="A127" s="72" t="s">
        <v>334</v>
      </c>
      <c r="B127" s="1026" t="s">
        <v>335</v>
      </c>
      <c r="C127" s="507" t="s">
        <v>253</v>
      </c>
      <c r="D127" s="1020">
        <f>VLOOKUP(A127,'Gastos Proyecciones'!$A$22:$R$233,LOOKUP($D$22,'Gastos Proyecciones'!$D$22:$R$22,'Gastos Proyecciones'!$D$240:$R$240),FALSE)</f>
        <v>0</v>
      </c>
      <c r="E127" s="18">
        <v>0</v>
      </c>
      <c r="F127" s="980">
        <v>0</v>
      </c>
      <c r="G127" s="18">
        <v>0</v>
      </c>
      <c r="H127" s="58">
        <f t="shared" si="7"/>
        <v>0</v>
      </c>
      <c r="I127" s="18">
        <v>0</v>
      </c>
      <c r="J127" s="18">
        <v>0</v>
      </c>
      <c r="K127" s="18">
        <v>0</v>
      </c>
      <c r="L127" s="69" t="e">
        <f t="shared" si="4"/>
        <v>#DIV/0!</v>
      </c>
      <c r="M127" s="18">
        <v>0</v>
      </c>
      <c r="N127" s="69" t="e">
        <f t="shared" si="5"/>
        <v>#DIV/0!</v>
      </c>
      <c r="O127" s="69" t="e">
        <f t="shared" si="6"/>
        <v>#DIV/0!</v>
      </c>
      <c r="P127" s="18">
        <f>VLOOKUP(A127,'Gastos Proyecciones'!$A$22:$R$233,LOOKUP(Ingresos!$O$190,'Gastos Proyecciones'!$D$22:$R$22,'Gastos Proyecciones'!$D$240:$R$240),FALSE)</f>
        <v>0</v>
      </c>
    </row>
    <row r="128" spans="1:16">
      <c r="A128" s="72" t="s">
        <v>336</v>
      </c>
      <c r="B128" s="1026" t="s">
        <v>337</v>
      </c>
      <c r="C128" s="507" t="s">
        <v>256</v>
      </c>
      <c r="D128" s="1020">
        <f>VLOOKUP(A128,'Gastos Proyecciones'!$A$22:$R$233,LOOKUP($D$22,'Gastos Proyecciones'!$D$22:$R$22,'Gastos Proyecciones'!$D$240:$R$240),FALSE)</f>
        <v>0</v>
      </c>
      <c r="E128" s="18">
        <v>0</v>
      </c>
      <c r="F128" s="980">
        <v>0</v>
      </c>
      <c r="G128" s="18">
        <v>0</v>
      </c>
      <c r="H128" s="58">
        <f t="shared" si="7"/>
        <v>0</v>
      </c>
      <c r="I128" s="18">
        <v>0</v>
      </c>
      <c r="J128" s="18">
        <v>0</v>
      </c>
      <c r="K128" s="18">
        <v>0</v>
      </c>
      <c r="L128" s="66" t="e">
        <f t="shared" si="4"/>
        <v>#DIV/0!</v>
      </c>
      <c r="M128" s="18">
        <v>0</v>
      </c>
      <c r="N128" s="66" t="e">
        <f t="shared" si="5"/>
        <v>#DIV/0!</v>
      </c>
      <c r="O128" s="66" t="e">
        <f t="shared" si="6"/>
        <v>#DIV/0!</v>
      </c>
      <c r="P128" s="18">
        <f>VLOOKUP(A128,'Gastos Proyecciones'!$A$22:$R$233,LOOKUP(Ingresos!$O$190,'Gastos Proyecciones'!$D$22:$R$22,'Gastos Proyecciones'!$D$240:$R$240),FALSE)</f>
        <v>0</v>
      </c>
    </row>
    <row r="129" spans="1:16">
      <c r="A129" s="72" t="s">
        <v>338</v>
      </c>
      <c r="B129" s="1026" t="s">
        <v>339</v>
      </c>
      <c r="C129" s="507" t="s">
        <v>259</v>
      </c>
      <c r="D129" s="1020">
        <f>VLOOKUP(A129,'Gastos Proyecciones'!$A$22:$R$233,LOOKUP($D$22,'Gastos Proyecciones'!$D$22:$R$22,'Gastos Proyecciones'!$D$240:$R$240),FALSE)</f>
        <v>0</v>
      </c>
      <c r="E129" s="18">
        <v>0</v>
      </c>
      <c r="F129" s="980">
        <v>0</v>
      </c>
      <c r="G129" s="18">
        <v>0</v>
      </c>
      <c r="H129" s="58">
        <f t="shared" si="7"/>
        <v>0</v>
      </c>
      <c r="I129" s="18">
        <v>0</v>
      </c>
      <c r="J129" s="18">
        <v>0</v>
      </c>
      <c r="K129" s="18">
        <v>0</v>
      </c>
      <c r="L129" s="66" t="e">
        <f t="shared" si="4"/>
        <v>#DIV/0!</v>
      </c>
      <c r="M129" s="18">
        <v>0</v>
      </c>
      <c r="N129" s="66" t="e">
        <f t="shared" si="5"/>
        <v>#DIV/0!</v>
      </c>
      <c r="O129" s="66" t="e">
        <f t="shared" si="6"/>
        <v>#DIV/0!</v>
      </c>
      <c r="P129" s="18">
        <f>VLOOKUP(A129,'Gastos Proyecciones'!$A$22:$R$233,LOOKUP(Ingresos!$O$190,'Gastos Proyecciones'!$D$22:$R$22,'Gastos Proyecciones'!$D$240:$R$240),FALSE)</f>
        <v>0</v>
      </c>
    </row>
    <row r="130" spans="1:16">
      <c r="A130" s="72" t="s">
        <v>340</v>
      </c>
      <c r="B130" s="1026" t="s">
        <v>341</v>
      </c>
      <c r="C130" s="507" t="s">
        <v>262</v>
      </c>
      <c r="D130" s="1020">
        <f>VLOOKUP(A130,'Gastos Proyecciones'!$A$22:$R$233,LOOKUP($D$22,'Gastos Proyecciones'!$D$22:$R$22,'Gastos Proyecciones'!$D$240:$R$240),FALSE)</f>
        <v>0</v>
      </c>
      <c r="E130" s="18">
        <v>0</v>
      </c>
      <c r="F130" s="980">
        <v>0</v>
      </c>
      <c r="G130" s="18">
        <v>1496248</v>
      </c>
      <c r="H130" s="58">
        <f t="shared" si="7"/>
        <v>1496248</v>
      </c>
      <c r="I130" s="18">
        <v>0</v>
      </c>
      <c r="J130" s="18">
        <v>0</v>
      </c>
      <c r="K130" s="18">
        <v>0</v>
      </c>
      <c r="L130" s="66">
        <f t="shared" si="4"/>
        <v>0</v>
      </c>
      <c r="M130" s="18">
        <v>0</v>
      </c>
      <c r="N130" s="66" t="e">
        <f t="shared" si="5"/>
        <v>#DIV/0!</v>
      </c>
      <c r="O130" s="66" t="e">
        <f t="shared" si="6"/>
        <v>#DIV/0!</v>
      </c>
      <c r="P130" s="18">
        <f>VLOOKUP(A130,'Gastos Proyecciones'!$A$22:$R$233,LOOKUP(Ingresos!$O$190,'Gastos Proyecciones'!$D$22:$R$22,'Gastos Proyecciones'!$D$240:$R$240),FALSE)</f>
        <v>0</v>
      </c>
    </row>
    <row r="131" spans="1:16">
      <c r="A131" s="72" t="s">
        <v>342</v>
      </c>
      <c r="B131" s="1026" t="s">
        <v>343</v>
      </c>
      <c r="C131" s="507" t="s">
        <v>265</v>
      </c>
      <c r="D131" s="1020">
        <f>VLOOKUP(A131,'Gastos Proyecciones'!$A$22:$R$233,LOOKUP($D$22,'Gastos Proyecciones'!$D$22:$R$22,'Gastos Proyecciones'!$D$240:$R$240),FALSE)</f>
        <v>0</v>
      </c>
      <c r="E131" s="18">
        <v>0</v>
      </c>
      <c r="F131" s="980">
        <v>0</v>
      </c>
      <c r="G131" s="18">
        <v>0</v>
      </c>
      <c r="H131" s="58">
        <f t="shared" si="7"/>
        <v>0</v>
      </c>
      <c r="I131" s="18">
        <v>0</v>
      </c>
      <c r="J131" s="18">
        <v>0</v>
      </c>
      <c r="K131" s="18">
        <v>0</v>
      </c>
      <c r="L131" s="66" t="e">
        <f t="shared" si="4"/>
        <v>#DIV/0!</v>
      </c>
      <c r="M131" s="18">
        <v>0</v>
      </c>
      <c r="N131" s="66" t="e">
        <f t="shared" si="5"/>
        <v>#DIV/0!</v>
      </c>
      <c r="O131" s="66" t="e">
        <f t="shared" si="6"/>
        <v>#DIV/0!</v>
      </c>
      <c r="P131" s="18">
        <f>VLOOKUP(A131,'Gastos Proyecciones'!$A$22:$R$233,LOOKUP(Ingresos!$O$190,'Gastos Proyecciones'!$D$22:$R$22,'Gastos Proyecciones'!$D$240:$R$240),FALSE)</f>
        <v>0</v>
      </c>
    </row>
    <row r="132" spans="1:16">
      <c r="A132" s="61" t="s">
        <v>344</v>
      </c>
      <c r="B132" s="1026" t="s">
        <v>345</v>
      </c>
      <c r="C132" s="507" t="s">
        <v>268</v>
      </c>
      <c r="D132" s="1020">
        <f>VLOOKUP(A132,'Gastos Proyecciones'!$A$22:$R$233,LOOKUP($D$22,'Gastos Proyecciones'!$D$22:$R$22,'Gastos Proyecciones'!$D$240:$R$240),FALSE)</f>
        <v>0</v>
      </c>
      <c r="E132" s="18">
        <v>0</v>
      </c>
      <c r="F132" s="980">
        <v>0</v>
      </c>
      <c r="G132" s="18">
        <v>0</v>
      </c>
      <c r="H132" s="58">
        <f t="shared" si="7"/>
        <v>0</v>
      </c>
      <c r="I132" s="18">
        <v>0</v>
      </c>
      <c r="J132" s="18">
        <v>0</v>
      </c>
      <c r="K132" s="18">
        <v>0</v>
      </c>
      <c r="L132" s="66" t="e">
        <f t="shared" si="4"/>
        <v>#DIV/0!</v>
      </c>
      <c r="M132" s="18">
        <v>0</v>
      </c>
      <c r="N132" s="66" t="e">
        <f t="shared" si="5"/>
        <v>#DIV/0!</v>
      </c>
      <c r="O132" s="66" t="e">
        <f t="shared" si="6"/>
        <v>#DIV/0!</v>
      </c>
      <c r="P132" s="18">
        <f>VLOOKUP(A132,'Gastos Proyecciones'!$A$22:$R$233,LOOKUP(Ingresos!$O$190,'Gastos Proyecciones'!$D$22:$R$22,'Gastos Proyecciones'!$D$240:$R$240),FALSE)</f>
        <v>0</v>
      </c>
    </row>
    <row r="133" spans="1:16">
      <c r="A133" s="61" t="s">
        <v>346</v>
      </c>
      <c r="B133" s="1026" t="s">
        <v>347</v>
      </c>
      <c r="C133" s="507" t="s">
        <v>271</v>
      </c>
      <c r="D133" s="1020">
        <f>VLOOKUP(A133,'Gastos Proyecciones'!$A$22:$R$233,LOOKUP($D$22,'Gastos Proyecciones'!$D$22:$R$22,'Gastos Proyecciones'!$D$240:$R$240),FALSE)</f>
        <v>0</v>
      </c>
      <c r="E133" s="18">
        <v>0</v>
      </c>
      <c r="F133" s="980">
        <v>0</v>
      </c>
      <c r="G133" s="18">
        <v>0</v>
      </c>
      <c r="H133" s="58">
        <f t="shared" si="7"/>
        <v>0</v>
      </c>
      <c r="I133" s="18">
        <v>0</v>
      </c>
      <c r="J133" s="18">
        <v>0</v>
      </c>
      <c r="K133" s="18">
        <v>0</v>
      </c>
      <c r="L133" s="66" t="e">
        <f t="shared" si="4"/>
        <v>#DIV/0!</v>
      </c>
      <c r="M133" s="18">
        <v>0</v>
      </c>
      <c r="N133" s="66" t="e">
        <f t="shared" si="5"/>
        <v>#DIV/0!</v>
      </c>
      <c r="O133" s="66" t="e">
        <f t="shared" si="6"/>
        <v>#DIV/0!</v>
      </c>
      <c r="P133" s="18">
        <f>VLOOKUP(A133,'Gastos Proyecciones'!$A$22:$R$233,LOOKUP(Ingresos!$O$190,'Gastos Proyecciones'!$D$22:$R$22,'Gastos Proyecciones'!$D$240:$R$240),FALSE)</f>
        <v>0</v>
      </c>
    </row>
    <row r="134" spans="1:16">
      <c r="A134" s="61" t="s">
        <v>348</v>
      </c>
      <c r="B134" s="1026" t="s">
        <v>349</v>
      </c>
      <c r="C134" s="507" t="s">
        <v>274</v>
      </c>
      <c r="D134" s="1020">
        <f>VLOOKUP(A134,'Gastos Proyecciones'!$A$22:$R$233,LOOKUP($D$22,'Gastos Proyecciones'!$D$22:$R$22,'Gastos Proyecciones'!$D$240:$R$240),FALSE)</f>
        <v>0</v>
      </c>
      <c r="E134" s="18">
        <v>0</v>
      </c>
      <c r="F134" s="980">
        <v>0</v>
      </c>
      <c r="G134" s="18">
        <v>0</v>
      </c>
      <c r="H134" s="58">
        <f t="shared" si="7"/>
        <v>0</v>
      </c>
      <c r="I134" s="18">
        <v>0</v>
      </c>
      <c r="J134" s="18">
        <v>0</v>
      </c>
      <c r="K134" s="18">
        <v>0</v>
      </c>
      <c r="L134" s="66" t="e">
        <f t="shared" si="4"/>
        <v>#DIV/0!</v>
      </c>
      <c r="M134" s="18">
        <v>0</v>
      </c>
      <c r="N134" s="66" t="e">
        <f t="shared" si="5"/>
        <v>#DIV/0!</v>
      </c>
      <c r="O134" s="66" t="e">
        <f t="shared" si="6"/>
        <v>#DIV/0!</v>
      </c>
      <c r="P134" s="18">
        <f>VLOOKUP(A134,'Gastos Proyecciones'!$A$22:$R$233,LOOKUP(Ingresos!$O$190,'Gastos Proyecciones'!$D$22:$R$22,'Gastos Proyecciones'!$D$240:$R$240),FALSE)</f>
        <v>0</v>
      </c>
    </row>
    <row r="135" spans="1:16" ht="12.75" customHeight="1">
      <c r="A135" s="61" t="s">
        <v>350</v>
      </c>
      <c r="B135" s="1026" t="s">
        <v>351</v>
      </c>
      <c r="C135" s="507" t="s">
        <v>277</v>
      </c>
      <c r="D135" s="1020">
        <f>VLOOKUP(A135,'Gastos Proyecciones'!$A$22:$R$233,LOOKUP($D$22,'Gastos Proyecciones'!$D$22:$R$22,'Gastos Proyecciones'!$D$240:$R$240),FALSE)</f>
        <v>0</v>
      </c>
      <c r="E135" s="18">
        <v>0</v>
      </c>
      <c r="F135" s="980">
        <v>0</v>
      </c>
      <c r="G135" s="18">
        <v>0</v>
      </c>
      <c r="H135" s="58">
        <f t="shared" si="7"/>
        <v>0</v>
      </c>
      <c r="I135" s="18">
        <v>0</v>
      </c>
      <c r="J135" s="18">
        <v>0</v>
      </c>
      <c r="K135" s="18">
        <v>0</v>
      </c>
      <c r="L135" s="66" t="e">
        <f t="shared" si="4"/>
        <v>#DIV/0!</v>
      </c>
      <c r="M135" s="18">
        <v>0</v>
      </c>
      <c r="N135" s="66" t="e">
        <f t="shared" si="5"/>
        <v>#DIV/0!</v>
      </c>
      <c r="O135" s="66" t="e">
        <f t="shared" si="6"/>
        <v>#DIV/0!</v>
      </c>
      <c r="P135" s="18">
        <f>VLOOKUP(A135,'Gastos Proyecciones'!$A$22:$R$233,LOOKUP(Ingresos!$O$190,'Gastos Proyecciones'!$D$22:$R$22,'Gastos Proyecciones'!$D$240:$R$240),FALSE)</f>
        <v>0</v>
      </c>
    </row>
    <row r="136" spans="1:16">
      <c r="A136" s="61" t="s">
        <v>352</v>
      </c>
      <c r="B136" s="1026" t="s">
        <v>353</v>
      </c>
      <c r="C136" s="507" t="s">
        <v>280</v>
      </c>
      <c r="D136" s="1020">
        <f>VLOOKUP(A136,'Gastos Proyecciones'!$A$22:$R$233,LOOKUP($D$22,'Gastos Proyecciones'!$D$22:$R$22,'Gastos Proyecciones'!$D$240:$R$240),FALSE)</f>
        <v>0</v>
      </c>
      <c r="E136" s="18">
        <v>0</v>
      </c>
      <c r="F136" s="980">
        <v>0</v>
      </c>
      <c r="G136" s="18">
        <v>0</v>
      </c>
      <c r="H136" s="58">
        <f t="shared" si="7"/>
        <v>0</v>
      </c>
      <c r="I136" s="18">
        <v>0</v>
      </c>
      <c r="J136" s="18">
        <v>0</v>
      </c>
      <c r="K136" s="18">
        <v>0</v>
      </c>
      <c r="L136" s="66" t="e">
        <f t="shared" si="4"/>
        <v>#DIV/0!</v>
      </c>
      <c r="M136" s="18">
        <v>0</v>
      </c>
      <c r="N136" s="66" t="e">
        <f t="shared" si="5"/>
        <v>#DIV/0!</v>
      </c>
      <c r="O136" s="66" t="e">
        <f t="shared" si="6"/>
        <v>#DIV/0!</v>
      </c>
      <c r="P136" s="18">
        <f>VLOOKUP(A136,'Gastos Proyecciones'!$A$22:$R$233,LOOKUP(Ingresos!$O$190,'Gastos Proyecciones'!$D$22:$R$22,'Gastos Proyecciones'!$D$240:$R$240),FALSE)</f>
        <v>0</v>
      </c>
    </row>
    <row r="137" spans="1:16">
      <c r="A137" s="72" t="s">
        <v>354</v>
      </c>
      <c r="B137" s="1026" t="s">
        <v>355</v>
      </c>
      <c r="C137" s="507" t="s">
        <v>283</v>
      </c>
      <c r="D137" s="1020">
        <f>VLOOKUP(A137,'Gastos Proyecciones'!$A$22:$R$233,LOOKUP($D$22,'Gastos Proyecciones'!$D$22:$R$22,'Gastos Proyecciones'!$D$240:$R$240),FALSE)</f>
        <v>0</v>
      </c>
      <c r="E137" s="18">
        <v>0</v>
      </c>
      <c r="F137" s="980">
        <v>0</v>
      </c>
      <c r="G137" s="18">
        <v>0</v>
      </c>
      <c r="H137" s="58">
        <f t="shared" si="7"/>
        <v>0</v>
      </c>
      <c r="I137" s="18">
        <v>0</v>
      </c>
      <c r="J137" s="18">
        <v>0</v>
      </c>
      <c r="K137" s="18">
        <v>0</v>
      </c>
      <c r="L137" s="66" t="e">
        <f t="shared" si="4"/>
        <v>#DIV/0!</v>
      </c>
      <c r="M137" s="18">
        <v>0</v>
      </c>
      <c r="N137" s="66" t="e">
        <f t="shared" si="5"/>
        <v>#DIV/0!</v>
      </c>
      <c r="O137" s="66" t="e">
        <f t="shared" si="6"/>
        <v>#DIV/0!</v>
      </c>
      <c r="P137" s="18">
        <f>VLOOKUP(A137,'Gastos Proyecciones'!$A$22:$R$233,LOOKUP(Ingresos!$O$190,'Gastos Proyecciones'!$D$22:$R$22,'Gastos Proyecciones'!$D$240:$R$240),FALSE)</f>
        <v>0</v>
      </c>
    </row>
    <row r="138" spans="1:16">
      <c r="A138" s="72" t="s">
        <v>356</v>
      </c>
      <c r="B138" s="1026" t="s">
        <v>357</v>
      </c>
      <c r="C138" s="507" t="s">
        <v>286</v>
      </c>
      <c r="D138" s="1020">
        <f>VLOOKUP(A138,'Gastos Proyecciones'!$A$22:$R$233,LOOKUP($D$22,'Gastos Proyecciones'!$D$22:$R$22,'Gastos Proyecciones'!$D$240:$R$240),FALSE)</f>
        <v>0</v>
      </c>
      <c r="E138" s="18">
        <v>0</v>
      </c>
      <c r="F138" s="980">
        <v>0</v>
      </c>
      <c r="G138" s="18">
        <v>0</v>
      </c>
      <c r="H138" s="58">
        <f t="shared" si="7"/>
        <v>0</v>
      </c>
      <c r="I138" s="18">
        <v>0</v>
      </c>
      <c r="J138" s="18">
        <v>0</v>
      </c>
      <c r="K138" s="18">
        <v>0</v>
      </c>
      <c r="L138" s="66" t="e">
        <f t="shared" si="4"/>
        <v>#DIV/0!</v>
      </c>
      <c r="M138" s="18">
        <v>0</v>
      </c>
      <c r="N138" s="66" t="e">
        <f t="shared" si="5"/>
        <v>#DIV/0!</v>
      </c>
      <c r="O138" s="66" t="e">
        <f t="shared" si="6"/>
        <v>#DIV/0!</v>
      </c>
      <c r="P138" s="18">
        <f>VLOOKUP(A138,'Gastos Proyecciones'!$A$22:$R$233,LOOKUP(Ingresos!$O$190,'Gastos Proyecciones'!$D$22:$R$22,'Gastos Proyecciones'!$D$240:$R$240),FALSE)</f>
        <v>0</v>
      </c>
    </row>
    <row r="139" spans="1:16">
      <c r="A139" s="61" t="s">
        <v>358</v>
      </c>
      <c r="B139" s="1027" t="s">
        <v>359</v>
      </c>
      <c r="C139" s="507" t="s">
        <v>360</v>
      </c>
      <c r="D139" s="1020">
        <f>VLOOKUP(A139,'Gastos Proyecciones'!$A$22:$R$233,LOOKUP($D$22,'Gastos Proyecciones'!$D$22:$R$22,'Gastos Proyecciones'!$D$240:$R$240),FALSE)</f>
        <v>0</v>
      </c>
      <c r="E139" s="18">
        <v>0</v>
      </c>
      <c r="F139" s="980">
        <v>0</v>
      </c>
      <c r="G139" s="18">
        <v>0</v>
      </c>
      <c r="H139" s="58">
        <f t="shared" si="7"/>
        <v>0</v>
      </c>
      <c r="I139" s="18">
        <v>0</v>
      </c>
      <c r="J139" s="18">
        <v>0</v>
      </c>
      <c r="K139" s="18">
        <v>0</v>
      </c>
      <c r="L139" s="66" t="e">
        <f t="shared" si="4"/>
        <v>#DIV/0!</v>
      </c>
      <c r="M139" s="18">
        <v>0</v>
      </c>
      <c r="N139" s="66" t="e">
        <f t="shared" si="5"/>
        <v>#DIV/0!</v>
      </c>
      <c r="O139" s="66" t="e">
        <f t="shared" si="6"/>
        <v>#DIV/0!</v>
      </c>
      <c r="P139" s="18">
        <f>VLOOKUP(A139,'Gastos Proyecciones'!$A$22:$R$233,LOOKUP(Ingresos!$O$190,'Gastos Proyecciones'!$D$22:$R$22,'Gastos Proyecciones'!$D$240:$R$240),FALSE)</f>
        <v>0</v>
      </c>
    </row>
    <row r="140" spans="1:16" s="14" customFormat="1">
      <c r="A140" s="61" t="s">
        <v>361</v>
      </c>
      <c r="B140" s="93"/>
      <c r="C140" s="506" t="s">
        <v>291</v>
      </c>
      <c r="D140" s="42">
        <f>SUM(D141:D146)</f>
        <v>0</v>
      </c>
      <c r="E140" s="42">
        <f>SUM(E141:E146)</f>
        <v>0</v>
      </c>
      <c r="F140" s="1019" t="e">
        <f>+E138+#REF!+#REF!-#REF!-#REF!</f>
        <v>#REF!</v>
      </c>
      <c r="G140" s="42">
        <f>SUM(G141:G146)</f>
        <v>0</v>
      </c>
      <c r="H140" s="42">
        <f t="shared" si="7"/>
        <v>0</v>
      </c>
      <c r="I140" s="42">
        <f>SUM(I141:I146)</f>
        <v>0</v>
      </c>
      <c r="J140" s="42">
        <f>SUM(J141:J146)</f>
        <v>0</v>
      </c>
      <c r="K140" s="42">
        <f>SUM(K141:K146)</f>
        <v>0</v>
      </c>
      <c r="L140" s="64" t="e">
        <f t="shared" si="4"/>
        <v>#DIV/0!</v>
      </c>
      <c r="M140" s="42">
        <f>SUM(M141:M146)</f>
        <v>0</v>
      </c>
      <c r="N140" s="64" t="e">
        <f t="shared" si="5"/>
        <v>#DIV/0!</v>
      </c>
      <c r="O140" s="64" t="e">
        <f t="shared" si="6"/>
        <v>#DIV/0!</v>
      </c>
      <c r="P140" s="42">
        <f>SUM(P141:P146)</f>
        <v>0</v>
      </c>
    </row>
    <row r="141" spans="1:16">
      <c r="A141" s="465" t="s">
        <v>362</v>
      </c>
      <c r="B141" s="93"/>
      <c r="C141" s="507" t="s">
        <v>253</v>
      </c>
      <c r="D141" s="1020">
        <f>VLOOKUP(A141,'Gastos Proyecciones'!$A$22:$R$233,LOOKUP($D$22,'Gastos Proyecciones'!$D$22:$R$22,'Gastos Proyecciones'!$D$240:$R$240),FALSE)</f>
        <v>0</v>
      </c>
      <c r="E141" s="18">
        <v>0</v>
      </c>
      <c r="F141" s="980">
        <v>0</v>
      </c>
      <c r="G141" s="18">
        <v>0</v>
      </c>
      <c r="H141" s="58">
        <f t="shared" si="7"/>
        <v>0</v>
      </c>
      <c r="I141" s="18">
        <v>0</v>
      </c>
      <c r="J141" s="18">
        <v>0</v>
      </c>
      <c r="K141" s="18">
        <v>0</v>
      </c>
      <c r="L141" s="66" t="e">
        <f t="shared" si="4"/>
        <v>#DIV/0!</v>
      </c>
      <c r="M141" s="18">
        <v>0</v>
      </c>
      <c r="N141" s="66" t="e">
        <f t="shared" si="5"/>
        <v>#DIV/0!</v>
      </c>
      <c r="O141" s="66" t="e">
        <f t="shared" si="6"/>
        <v>#DIV/0!</v>
      </c>
      <c r="P141" s="18">
        <f>VLOOKUP(A141,'Gastos Proyecciones'!$A$22:$R$233,LOOKUP(Ingresos!$O$190,'Gastos Proyecciones'!$D$22:$R$22,'Gastos Proyecciones'!$D$240:$R$240),FALSE)</f>
        <v>0</v>
      </c>
    </row>
    <row r="142" spans="1:16" s="57" customFormat="1">
      <c r="A142" s="61" t="s">
        <v>363</v>
      </c>
      <c r="B142" s="1028" t="s">
        <v>364</v>
      </c>
      <c r="C142" s="507" t="s">
        <v>259</v>
      </c>
      <c r="D142" s="1020">
        <f>VLOOKUP(A142,'Gastos Proyecciones'!$A$22:$R$233,LOOKUP($D$22,'Gastos Proyecciones'!$D$22:$R$22,'Gastos Proyecciones'!$D$240:$R$240),FALSE)</f>
        <v>0</v>
      </c>
      <c r="E142" s="18">
        <v>0</v>
      </c>
      <c r="F142" s="980">
        <v>0</v>
      </c>
      <c r="G142" s="18">
        <v>0</v>
      </c>
      <c r="H142" s="58">
        <f t="shared" si="7"/>
        <v>0</v>
      </c>
      <c r="I142" s="18">
        <v>0</v>
      </c>
      <c r="J142" s="18">
        <v>0</v>
      </c>
      <c r="K142" s="18">
        <v>0</v>
      </c>
      <c r="L142" s="69" t="e">
        <f t="shared" si="4"/>
        <v>#DIV/0!</v>
      </c>
      <c r="M142" s="18">
        <v>0</v>
      </c>
      <c r="N142" s="69" t="e">
        <f t="shared" si="5"/>
        <v>#DIV/0!</v>
      </c>
      <c r="O142" s="69" t="e">
        <f t="shared" si="6"/>
        <v>#DIV/0!</v>
      </c>
      <c r="P142" s="18">
        <f>VLOOKUP(A142,'Gastos Proyecciones'!$A$22:$R$233,LOOKUP(Ingresos!$O$190,'Gastos Proyecciones'!$D$22:$R$22,'Gastos Proyecciones'!$D$240:$R$240),FALSE)</f>
        <v>0</v>
      </c>
    </row>
    <row r="143" spans="1:16" s="57" customFormat="1">
      <c r="A143" s="465" t="s">
        <v>365</v>
      </c>
      <c r="B143" s="93"/>
      <c r="C143" s="507" t="s">
        <v>262</v>
      </c>
      <c r="D143" s="1020">
        <f>VLOOKUP(A143,'Gastos Proyecciones'!$A$22:$R$233,LOOKUP($D$22,'Gastos Proyecciones'!$D$22:$R$22,'Gastos Proyecciones'!$D$240:$R$240),FALSE)</f>
        <v>0</v>
      </c>
      <c r="E143" s="18">
        <v>0</v>
      </c>
      <c r="F143" s="980">
        <v>0</v>
      </c>
      <c r="G143" s="18">
        <v>0</v>
      </c>
      <c r="H143" s="58">
        <f t="shared" si="7"/>
        <v>0</v>
      </c>
      <c r="I143" s="18">
        <v>0</v>
      </c>
      <c r="J143" s="18">
        <v>0</v>
      </c>
      <c r="K143" s="18">
        <v>0</v>
      </c>
      <c r="L143" s="69" t="e">
        <f t="shared" si="4"/>
        <v>#DIV/0!</v>
      </c>
      <c r="M143" s="18">
        <v>0</v>
      </c>
      <c r="N143" s="69" t="e">
        <f t="shared" si="5"/>
        <v>#DIV/0!</v>
      </c>
      <c r="O143" s="69" t="e">
        <f t="shared" si="6"/>
        <v>#DIV/0!</v>
      </c>
      <c r="P143" s="18">
        <v>0</v>
      </c>
    </row>
    <row r="144" spans="1:16">
      <c r="A144" s="465" t="s">
        <v>366</v>
      </c>
      <c r="B144" s="93"/>
      <c r="C144" s="507" t="s">
        <v>268</v>
      </c>
      <c r="D144" s="1020">
        <f>VLOOKUP(A144,'Gastos Proyecciones'!$A$22:$R$233,LOOKUP($D$22,'Gastos Proyecciones'!$D$22:$R$22,'Gastos Proyecciones'!$D$240:$R$240),FALSE)</f>
        <v>0</v>
      </c>
      <c r="E144" s="18">
        <v>0</v>
      </c>
      <c r="F144" s="980">
        <v>0</v>
      </c>
      <c r="G144" s="18">
        <v>0</v>
      </c>
      <c r="H144" s="58">
        <f t="shared" si="7"/>
        <v>0</v>
      </c>
      <c r="I144" s="18">
        <v>0</v>
      </c>
      <c r="J144" s="18">
        <v>0</v>
      </c>
      <c r="K144" s="18">
        <v>0</v>
      </c>
      <c r="L144" s="66" t="e">
        <f t="shared" si="4"/>
        <v>#DIV/0!</v>
      </c>
      <c r="M144" s="18">
        <v>0</v>
      </c>
      <c r="N144" s="66" t="e">
        <f t="shared" si="5"/>
        <v>#DIV/0!</v>
      </c>
      <c r="O144" s="66" t="e">
        <f t="shared" si="6"/>
        <v>#DIV/0!</v>
      </c>
      <c r="P144" s="18">
        <f>VLOOKUP(A144,'Gastos Proyecciones'!$A$22:$R$233,LOOKUP(Ingresos!$O$190,'Gastos Proyecciones'!$D$22:$R$22,'Gastos Proyecciones'!$D$240:$R$240),FALSE)</f>
        <v>0</v>
      </c>
    </row>
    <row r="145" spans="1:16">
      <c r="A145" s="61" t="s">
        <v>367</v>
      </c>
      <c r="B145" s="93"/>
      <c r="C145" s="507" t="s">
        <v>274</v>
      </c>
      <c r="D145" s="1020">
        <f>VLOOKUP(A145,'Gastos Proyecciones'!$A$22:$R$233,LOOKUP($D$22,'Gastos Proyecciones'!$D$22:$R$22,'Gastos Proyecciones'!$D$240:$R$240),FALSE)</f>
        <v>0</v>
      </c>
      <c r="E145" s="18">
        <v>0</v>
      </c>
      <c r="F145" s="980">
        <v>0</v>
      </c>
      <c r="G145" s="18">
        <v>0</v>
      </c>
      <c r="H145" s="58">
        <f t="shared" si="7"/>
        <v>0</v>
      </c>
      <c r="I145" s="18">
        <v>0</v>
      </c>
      <c r="J145" s="18">
        <v>0</v>
      </c>
      <c r="K145" s="18">
        <v>0</v>
      </c>
      <c r="L145" s="66" t="e">
        <f t="shared" si="4"/>
        <v>#DIV/0!</v>
      </c>
      <c r="M145" s="18">
        <v>0</v>
      </c>
      <c r="N145" s="66" t="e">
        <f t="shared" si="5"/>
        <v>#DIV/0!</v>
      </c>
      <c r="O145" s="66" t="e">
        <f t="shared" si="6"/>
        <v>#DIV/0!</v>
      </c>
      <c r="P145" s="18">
        <v>0</v>
      </c>
    </row>
    <row r="146" spans="1:16">
      <c r="A146" s="465" t="s">
        <v>368</v>
      </c>
      <c r="B146" s="93"/>
      <c r="C146" s="507" t="s">
        <v>277</v>
      </c>
      <c r="D146" s="1020">
        <f>VLOOKUP(A146,'Gastos Proyecciones'!$A$22:$R$233,LOOKUP($D$22,'Gastos Proyecciones'!$D$22:$R$22,'Gastos Proyecciones'!$D$240:$R$240),FALSE)</f>
        <v>0</v>
      </c>
      <c r="E146" s="18">
        <v>0</v>
      </c>
      <c r="F146" s="980">
        <v>0</v>
      </c>
      <c r="G146" s="18">
        <v>0</v>
      </c>
      <c r="H146" s="58">
        <f t="shared" si="7"/>
        <v>0</v>
      </c>
      <c r="I146" s="18">
        <v>0</v>
      </c>
      <c r="J146" s="18">
        <v>0</v>
      </c>
      <c r="K146" s="18">
        <v>0</v>
      </c>
      <c r="L146" s="66" t="e">
        <f t="shared" si="4"/>
        <v>#DIV/0!</v>
      </c>
      <c r="M146" s="18">
        <v>0</v>
      </c>
      <c r="N146" s="66" t="e">
        <f t="shared" si="5"/>
        <v>#DIV/0!</v>
      </c>
      <c r="O146" s="66" t="e">
        <f t="shared" si="6"/>
        <v>#DIV/0!</v>
      </c>
      <c r="P146" s="18">
        <f>VLOOKUP(A146,'Gastos Proyecciones'!$A$22:$R$233,LOOKUP(Ingresos!$O$190,'Gastos Proyecciones'!$D$22:$R$22,'Gastos Proyecciones'!$D$240:$R$240),FALSE)</f>
        <v>0</v>
      </c>
    </row>
    <row r="147" spans="1:16" s="14" customFormat="1">
      <c r="A147" s="61" t="s">
        <v>369</v>
      </c>
      <c r="B147" s="93"/>
      <c r="C147" s="506" t="s">
        <v>301</v>
      </c>
      <c r="D147" s="42">
        <f>SUM(D148:D161)</f>
        <v>1496248</v>
      </c>
      <c r="E147" s="42">
        <f>SUM(E148:E161)</f>
        <v>0</v>
      </c>
      <c r="F147" s="1019" t="e">
        <f>+E145+#REF!+#REF!-#REF!-#REF!</f>
        <v>#REF!</v>
      </c>
      <c r="G147" s="42">
        <f>SUM(G148:G161)</f>
        <v>0</v>
      </c>
      <c r="H147" s="42">
        <f t="shared" si="7"/>
        <v>0</v>
      </c>
      <c r="I147" s="42">
        <f>SUM(I148:I161)</f>
        <v>0</v>
      </c>
      <c r="J147" s="42">
        <f>SUM(J148:J161)</f>
        <v>0</v>
      </c>
      <c r="K147" s="42">
        <f>SUM(K148:K161)</f>
        <v>0</v>
      </c>
      <c r="L147" s="64" t="e">
        <f t="shared" si="4"/>
        <v>#DIV/0!</v>
      </c>
      <c r="M147" s="42">
        <f>SUM(M148:M161)</f>
        <v>264174</v>
      </c>
      <c r="N147" s="64">
        <f t="shared" si="5"/>
        <v>-1</v>
      </c>
      <c r="O147" s="64">
        <f t="shared" si="6"/>
        <v>0</v>
      </c>
      <c r="P147" s="42">
        <f>SUM(P148:P161)</f>
        <v>264174</v>
      </c>
    </row>
    <row r="148" spans="1:16">
      <c r="A148" s="61" t="s">
        <v>370</v>
      </c>
      <c r="B148" s="1029" t="s">
        <v>371</v>
      </c>
      <c r="C148" s="507" t="s">
        <v>253</v>
      </c>
      <c r="D148" s="1020">
        <f>VLOOKUP(A148,'Gastos Proyecciones'!$A$22:$R$233,LOOKUP($D$22,'Gastos Proyecciones'!$D$22:$R$22,'Gastos Proyecciones'!$D$240:$R$240),FALSE)</f>
        <v>0</v>
      </c>
      <c r="E148" s="18">
        <v>0</v>
      </c>
      <c r="F148" s="980">
        <v>0</v>
      </c>
      <c r="G148" s="18">
        <v>0</v>
      </c>
      <c r="H148" s="58">
        <f t="shared" si="7"/>
        <v>0</v>
      </c>
      <c r="I148" s="18">
        <v>0</v>
      </c>
      <c r="J148" s="18">
        <v>0</v>
      </c>
      <c r="K148" s="18">
        <v>0</v>
      </c>
      <c r="L148" s="66" t="e">
        <f t="shared" si="4"/>
        <v>#DIV/0!</v>
      </c>
      <c r="M148" s="18">
        <v>250724</v>
      </c>
      <c r="N148" s="66">
        <f t="shared" si="5"/>
        <v>-1</v>
      </c>
      <c r="O148" s="66" t="e">
        <f t="shared" si="6"/>
        <v>#DIV/0!</v>
      </c>
      <c r="P148" s="18">
        <v>250724</v>
      </c>
    </row>
    <row r="149" spans="1:16">
      <c r="A149" s="61" t="s">
        <v>372</v>
      </c>
      <c r="B149" s="1029" t="s">
        <v>373</v>
      </c>
      <c r="C149" s="507" t="s">
        <v>256</v>
      </c>
      <c r="D149" s="1020">
        <f>VLOOKUP(A149,'Gastos Proyecciones'!$A$22:$R$233,LOOKUP($D$22,'Gastos Proyecciones'!$D$22:$R$22,'Gastos Proyecciones'!$D$240:$R$240),FALSE)</f>
        <v>0</v>
      </c>
      <c r="E149" s="18">
        <v>0</v>
      </c>
      <c r="F149" s="980">
        <v>0</v>
      </c>
      <c r="G149" s="18">
        <v>0</v>
      </c>
      <c r="H149" s="58">
        <f t="shared" si="7"/>
        <v>0</v>
      </c>
      <c r="I149" s="18">
        <v>0</v>
      </c>
      <c r="J149" s="18">
        <v>0</v>
      </c>
      <c r="K149" s="18">
        <v>0</v>
      </c>
      <c r="L149" s="66" t="e">
        <f t="shared" si="4"/>
        <v>#DIV/0!</v>
      </c>
      <c r="M149" s="18">
        <v>0</v>
      </c>
      <c r="N149" s="66" t="e">
        <f t="shared" si="5"/>
        <v>#DIV/0!</v>
      </c>
      <c r="O149" s="66" t="e">
        <f t="shared" si="6"/>
        <v>#DIV/0!</v>
      </c>
      <c r="P149" s="18">
        <f>VLOOKUP(A149,'Gastos Proyecciones'!$A$22:$R$233,LOOKUP(Ingresos!$O$190,'Gastos Proyecciones'!$D$22:$R$22,'Gastos Proyecciones'!$D$240:$R$240),FALSE)</f>
        <v>0</v>
      </c>
    </row>
    <row r="150" spans="1:16">
      <c r="A150" s="61" t="s">
        <v>374</v>
      </c>
      <c r="B150" s="1029" t="s">
        <v>375</v>
      </c>
      <c r="C150" s="507" t="s">
        <v>259</v>
      </c>
      <c r="D150" s="1020">
        <f>VLOOKUP(A150,'Gastos Proyecciones'!$A$22:$R$233,LOOKUP($D$22,'Gastos Proyecciones'!$D$22:$R$22,'Gastos Proyecciones'!$D$240:$R$240),FALSE)</f>
        <v>0</v>
      </c>
      <c r="E150" s="18">
        <v>0</v>
      </c>
      <c r="F150" s="980">
        <v>0</v>
      </c>
      <c r="G150" s="18">
        <v>0</v>
      </c>
      <c r="H150" s="58">
        <f t="shared" si="7"/>
        <v>0</v>
      </c>
      <c r="I150" s="18">
        <v>0</v>
      </c>
      <c r="J150" s="18">
        <v>0</v>
      </c>
      <c r="K150" s="18">
        <v>0</v>
      </c>
      <c r="L150" s="66" t="e">
        <f t="shared" si="4"/>
        <v>#DIV/0!</v>
      </c>
      <c r="M150" s="18">
        <v>13450</v>
      </c>
      <c r="N150" s="66">
        <f t="shared" si="5"/>
        <v>-1</v>
      </c>
      <c r="O150" s="66" t="e">
        <f t="shared" si="6"/>
        <v>#DIV/0!</v>
      </c>
      <c r="P150" s="18">
        <v>13450</v>
      </c>
    </row>
    <row r="151" spans="1:16">
      <c r="A151" s="61" t="s">
        <v>376</v>
      </c>
      <c r="B151" s="1029" t="s">
        <v>377</v>
      </c>
      <c r="C151" s="507" t="s">
        <v>262</v>
      </c>
      <c r="D151" s="1020">
        <f>VLOOKUP(A151,'Gastos Proyecciones'!$A$22:$R$233,LOOKUP($D$22,'Gastos Proyecciones'!$D$22:$R$22,'Gastos Proyecciones'!$D$240:$R$240),FALSE)</f>
        <v>1496248</v>
      </c>
      <c r="E151" s="18">
        <v>0</v>
      </c>
      <c r="F151" s="980">
        <v>0</v>
      </c>
      <c r="G151" s="18">
        <v>0</v>
      </c>
      <c r="H151" s="58">
        <f t="shared" si="7"/>
        <v>0</v>
      </c>
      <c r="I151" s="18">
        <v>0</v>
      </c>
      <c r="J151" s="18">
        <v>0</v>
      </c>
      <c r="K151" s="18">
        <v>0</v>
      </c>
      <c r="L151" s="66" t="e">
        <f t="shared" si="4"/>
        <v>#DIV/0!</v>
      </c>
      <c r="M151" s="18">
        <v>0</v>
      </c>
      <c r="N151" s="66" t="e">
        <f t="shared" si="5"/>
        <v>#DIV/0!</v>
      </c>
      <c r="O151" s="66">
        <f t="shared" si="6"/>
        <v>0</v>
      </c>
      <c r="P151" s="18">
        <f>VLOOKUP(A151,'Gastos Proyecciones'!$A$22:$R$233,LOOKUP(Ingresos!$O$190,'Gastos Proyecciones'!$D$22:$R$22,'Gastos Proyecciones'!$D$240:$R$240),FALSE)</f>
        <v>0</v>
      </c>
    </row>
    <row r="152" spans="1:16">
      <c r="A152" s="61" t="s">
        <v>378</v>
      </c>
      <c r="B152" s="1029" t="s">
        <v>379</v>
      </c>
      <c r="C152" s="507" t="s">
        <v>265</v>
      </c>
      <c r="D152" s="1020">
        <f>VLOOKUP(A152,'Gastos Proyecciones'!$A$22:$R$233,LOOKUP($D$22,'Gastos Proyecciones'!$D$22:$R$22,'Gastos Proyecciones'!$D$240:$R$240),FALSE)</f>
        <v>0</v>
      </c>
      <c r="E152" s="18">
        <v>0</v>
      </c>
      <c r="F152" s="980">
        <v>0</v>
      </c>
      <c r="G152" s="18">
        <v>0</v>
      </c>
      <c r="H152" s="58">
        <f t="shared" si="7"/>
        <v>0</v>
      </c>
      <c r="I152" s="18">
        <v>0</v>
      </c>
      <c r="J152" s="18">
        <v>0</v>
      </c>
      <c r="K152" s="18">
        <v>0</v>
      </c>
      <c r="L152" s="66" t="e">
        <f t="shared" ref="L152:L222" si="8">+J152/G152</f>
        <v>#DIV/0!</v>
      </c>
      <c r="M152" s="18">
        <v>0</v>
      </c>
      <c r="N152" s="66" t="e">
        <f t="shared" ref="N152:N208" si="9">+(J152/M152)-1</f>
        <v>#DIV/0!</v>
      </c>
      <c r="O152" s="66" t="e">
        <f t="shared" ref="O152:O208" si="10">+J152/D152</f>
        <v>#DIV/0!</v>
      </c>
      <c r="P152" s="18">
        <f>VLOOKUP(A152,'Gastos Proyecciones'!$A$22:$R$233,LOOKUP(Ingresos!$O$190,'Gastos Proyecciones'!$D$22:$R$22,'Gastos Proyecciones'!$D$240:$R$240),FALSE)</f>
        <v>0</v>
      </c>
    </row>
    <row r="153" spans="1:16">
      <c r="A153" s="61" t="s">
        <v>380</v>
      </c>
      <c r="B153" s="1029" t="s">
        <v>381</v>
      </c>
      <c r="C153" s="507" t="s">
        <v>268</v>
      </c>
      <c r="D153" s="1020">
        <f>VLOOKUP(A153,'Gastos Proyecciones'!$A$22:$R$233,LOOKUP($D$22,'Gastos Proyecciones'!$D$22:$R$22,'Gastos Proyecciones'!$D$240:$R$240),FALSE)</f>
        <v>0</v>
      </c>
      <c r="E153" s="18">
        <v>0</v>
      </c>
      <c r="F153" s="980">
        <v>0</v>
      </c>
      <c r="G153" s="18">
        <v>0</v>
      </c>
      <c r="H153" s="58">
        <f t="shared" ref="H153:H208" si="11">+G153-E153</f>
        <v>0</v>
      </c>
      <c r="I153" s="18">
        <v>0</v>
      </c>
      <c r="J153" s="18">
        <v>0</v>
      </c>
      <c r="K153" s="18">
        <v>0</v>
      </c>
      <c r="L153" s="66" t="e">
        <f t="shared" si="8"/>
        <v>#DIV/0!</v>
      </c>
      <c r="M153" s="18">
        <v>0</v>
      </c>
      <c r="N153" s="66" t="e">
        <f t="shared" si="9"/>
        <v>#DIV/0!</v>
      </c>
      <c r="O153" s="66" t="e">
        <f t="shared" si="10"/>
        <v>#DIV/0!</v>
      </c>
      <c r="P153" s="18">
        <f>VLOOKUP(A153,'Gastos Proyecciones'!$A$22:$R$233,LOOKUP(Ingresos!$O$190,'Gastos Proyecciones'!$D$22:$R$22,'Gastos Proyecciones'!$D$240:$R$240),FALSE)</f>
        <v>0</v>
      </c>
    </row>
    <row r="154" spans="1:16">
      <c r="A154" s="72" t="s">
        <v>382</v>
      </c>
      <c r="B154" s="1029" t="s">
        <v>383</v>
      </c>
      <c r="C154" s="507" t="s">
        <v>271</v>
      </c>
      <c r="D154" s="1020">
        <f>VLOOKUP(A154,'Gastos Proyecciones'!$A$22:$R$233,LOOKUP($D$22,'Gastos Proyecciones'!$D$22:$R$22,'Gastos Proyecciones'!$D$240:$R$240),FALSE)</f>
        <v>0</v>
      </c>
      <c r="E154" s="18">
        <v>0</v>
      </c>
      <c r="F154" s="980">
        <v>0</v>
      </c>
      <c r="G154" s="18">
        <v>0</v>
      </c>
      <c r="H154" s="58">
        <f t="shared" si="11"/>
        <v>0</v>
      </c>
      <c r="I154" s="18">
        <v>0</v>
      </c>
      <c r="J154" s="18">
        <v>0</v>
      </c>
      <c r="K154" s="18">
        <v>0</v>
      </c>
      <c r="L154" s="66" t="e">
        <f t="shared" si="8"/>
        <v>#DIV/0!</v>
      </c>
      <c r="M154" s="18">
        <v>0</v>
      </c>
      <c r="N154" s="66" t="e">
        <f t="shared" si="9"/>
        <v>#DIV/0!</v>
      </c>
      <c r="O154" s="66" t="e">
        <f t="shared" si="10"/>
        <v>#DIV/0!</v>
      </c>
      <c r="P154" s="18">
        <f>VLOOKUP(A154,'Gastos Proyecciones'!$A$22:$R$233,LOOKUP(Ingresos!$O$190,'Gastos Proyecciones'!$D$22:$R$22,'Gastos Proyecciones'!$D$240:$R$240),FALSE)</f>
        <v>0</v>
      </c>
    </row>
    <row r="155" spans="1:16">
      <c r="A155" s="61" t="s">
        <v>384</v>
      </c>
      <c r="B155" s="1029" t="s">
        <v>385</v>
      </c>
      <c r="C155" s="507" t="s">
        <v>274</v>
      </c>
      <c r="D155" s="1020">
        <f>VLOOKUP(A155,'Gastos Proyecciones'!$A$22:$R$233,LOOKUP($D$22,'Gastos Proyecciones'!$D$22:$R$22,'Gastos Proyecciones'!$D$240:$R$240),FALSE)</f>
        <v>0</v>
      </c>
      <c r="E155" s="18">
        <v>0</v>
      </c>
      <c r="F155" s="980">
        <v>0</v>
      </c>
      <c r="G155" s="18">
        <v>0</v>
      </c>
      <c r="H155" s="58">
        <f t="shared" si="11"/>
        <v>0</v>
      </c>
      <c r="I155" s="18">
        <v>0</v>
      </c>
      <c r="J155" s="18">
        <v>0</v>
      </c>
      <c r="K155" s="18">
        <v>0</v>
      </c>
      <c r="L155" s="66" t="e">
        <f t="shared" si="8"/>
        <v>#DIV/0!</v>
      </c>
      <c r="M155" s="18">
        <v>0</v>
      </c>
      <c r="N155" s="66" t="e">
        <f t="shared" si="9"/>
        <v>#DIV/0!</v>
      </c>
      <c r="O155" s="66" t="e">
        <f t="shared" si="10"/>
        <v>#DIV/0!</v>
      </c>
      <c r="P155" s="18">
        <f>VLOOKUP(A155,'Gastos Proyecciones'!$A$22:$R$233,LOOKUP(Ingresos!$O$190,'Gastos Proyecciones'!$D$22:$R$22,'Gastos Proyecciones'!$D$240:$R$240),FALSE)</f>
        <v>0</v>
      </c>
    </row>
    <row r="156" spans="1:16">
      <c r="A156" s="61" t="s">
        <v>386</v>
      </c>
      <c r="B156" s="1029" t="s">
        <v>387</v>
      </c>
      <c r="C156" s="507" t="s">
        <v>277</v>
      </c>
      <c r="D156" s="1020">
        <f>VLOOKUP(A156,'Gastos Proyecciones'!$A$22:$R$233,LOOKUP($D$22,'Gastos Proyecciones'!$D$22:$R$22,'Gastos Proyecciones'!$D$240:$R$240),FALSE)</f>
        <v>0</v>
      </c>
      <c r="E156" s="18">
        <v>0</v>
      </c>
      <c r="F156" s="980">
        <v>0</v>
      </c>
      <c r="G156" s="18">
        <v>0</v>
      </c>
      <c r="H156" s="58">
        <f t="shared" si="11"/>
        <v>0</v>
      </c>
      <c r="I156" s="18">
        <v>0</v>
      </c>
      <c r="J156" s="18">
        <v>0</v>
      </c>
      <c r="K156" s="18">
        <v>0</v>
      </c>
      <c r="L156" s="66" t="e">
        <f t="shared" si="8"/>
        <v>#DIV/0!</v>
      </c>
      <c r="M156" s="18">
        <v>0</v>
      </c>
      <c r="N156" s="66" t="e">
        <f t="shared" si="9"/>
        <v>#DIV/0!</v>
      </c>
      <c r="O156" s="66" t="e">
        <f t="shared" si="10"/>
        <v>#DIV/0!</v>
      </c>
      <c r="P156" s="18">
        <f>VLOOKUP(A156,'Gastos Proyecciones'!$A$22:$R$233,LOOKUP(Ingresos!$O$190,'Gastos Proyecciones'!$D$22:$R$22,'Gastos Proyecciones'!$D$240:$R$240),FALSE)</f>
        <v>0</v>
      </c>
    </row>
    <row r="157" spans="1:16">
      <c r="A157" s="61" t="s">
        <v>388</v>
      </c>
      <c r="B157" s="1029" t="s">
        <v>389</v>
      </c>
      <c r="C157" s="507" t="s">
        <v>280</v>
      </c>
      <c r="D157" s="1020">
        <f>VLOOKUP(A157,'Gastos Proyecciones'!$A$22:$R$233,LOOKUP($D$22,'Gastos Proyecciones'!$D$22:$R$22,'Gastos Proyecciones'!$D$240:$R$240),FALSE)</f>
        <v>0</v>
      </c>
      <c r="E157" s="18">
        <v>0</v>
      </c>
      <c r="F157" s="980">
        <v>0</v>
      </c>
      <c r="G157" s="18">
        <v>0</v>
      </c>
      <c r="H157" s="58">
        <f t="shared" si="11"/>
        <v>0</v>
      </c>
      <c r="I157" s="18">
        <v>0</v>
      </c>
      <c r="J157" s="18">
        <v>0</v>
      </c>
      <c r="K157" s="18">
        <v>0</v>
      </c>
      <c r="L157" s="66" t="e">
        <f t="shared" si="8"/>
        <v>#DIV/0!</v>
      </c>
      <c r="M157" s="18">
        <v>0</v>
      </c>
      <c r="N157" s="66" t="e">
        <f t="shared" si="9"/>
        <v>#DIV/0!</v>
      </c>
      <c r="O157" s="66" t="e">
        <f t="shared" si="10"/>
        <v>#DIV/0!</v>
      </c>
      <c r="P157" s="18">
        <f>VLOOKUP(A157,'Gastos Proyecciones'!$A$22:$R$233,LOOKUP(Ingresos!$O$190,'Gastos Proyecciones'!$D$22:$R$22,'Gastos Proyecciones'!$D$240:$R$240),FALSE)</f>
        <v>0</v>
      </c>
    </row>
    <row r="158" spans="1:16">
      <c r="A158" s="61" t="s">
        <v>390</v>
      </c>
      <c r="B158" s="1029" t="s">
        <v>391</v>
      </c>
      <c r="C158" s="507" t="s">
        <v>283</v>
      </c>
      <c r="D158" s="1020">
        <f>VLOOKUP(A158,'Gastos Proyecciones'!$A$22:$R$233,LOOKUP($D$22,'Gastos Proyecciones'!$D$22:$R$22,'Gastos Proyecciones'!$D$240:$R$240),FALSE)</f>
        <v>0</v>
      </c>
      <c r="E158" s="18">
        <v>0</v>
      </c>
      <c r="F158" s="980">
        <v>0</v>
      </c>
      <c r="G158" s="18">
        <v>0</v>
      </c>
      <c r="H158" s="58">
        <f t="shared" si="11"/>
        <v>0</v>
      </c>
      <c r="I158" s="18">
        <v>0</v>
      </c>
      <c r="J158" s="18">
        <v>0</v>
      </c>
      <c r="K158" s="18">
        <v>0</v>
      </c>
      <c r="L158" s="66" t="e">
        <f t="shared" si="8"/>
        <v>#DIV/0!</v>
      </c>
      <c r="M158" s="18">
        <v>0</v>
      </c>
      <c r="N158" s="66" t="e">
        <f t="shared" si="9"/>
        <v>#DIV/0!</v>
      </c>
      <c r="O158" s="66" t="e">
        <f t="shared" si="10"/>
        <v>#DIV/0!</v>
      </c>
      <c r="P158" s="18">
        <f>VLOOKUP(A158,'Gastos Proyecciones'!$A$22:$R$233,LOOKUP(Ingresos!$O$190,'Gastos Proyecciones'!$D$22:$R$22,'Gastos Proyecciones'!$D$240:$R$240),FALSE)</f>
        <v>0</v>
      </c>
    </row>
    <row r="159" spans="1:16">
      <c r="A159" s="61" t="s">
        <v>392</v>
      </c>
      <c r="B159" s="1029" t="s">
        <v>393</v>
      </c>
      <c r="C159" s="507" t="s">
        <v>286</v>
      </c>
      <c r="D159" s="1020">
        <f>VLOOKUP(A159,'Gastos Proyecciones'!$A$22:$R$233,LOOKUP($D$22,'Gastos Proyecciones'!$D$22:$R$22,'Gastos Proyecciones'!$D$240:$R$240),FALSE)</f>
        <v>0</v>
      </c>
      <c r="E159" s="18">
        <v>0</v>
      </c>
      <c r="F159" s="980">
        <v>0</v>
      </c>
      <c r="G159" s="18">
        <v>0</v>
      </c>
      <c r="H159" s="58">
        <f t="shared" si="11"/>
        <v>0</v>
      </c>
      <c r="I159" s="18">
        <v>0</v>
      </c>
      <c r="J159" s="18">
        <v>0</v>
      </c>
      <c r="K159" s="18">
        <v>0</v>
      </c>
      <c r="L159" s="66" t="e">
        <f t="shared" si="8"/>
        <v>#DIV/0!</v>
      </c>
      <c r="M159" s="18">
        <v>0</v>
      </c>
      <c r="N159" s="66" t="e">
        <f t="shared" si="9"/>
        <v>#DIV/0!</v>
      </c>
      <c r="O159" s="66" t="e">
        <f t="shared" si="10"/>
        <v>#DIV/0!</v>
      </c>
      <c r="P159" s="18">
        <f>VLOOKUP(A159,'Gastos Proyecciones'!$A$22:$R$233,LOOKUP(Ingresos!$O$190,'Gastos Proyecciones'!$D$22:$R$22,'Gastos Proyecciones'!$D$240:$R$240),FALSE)</f>
        <v>0</v>
      </c>
    </row>
    <row r="160" spans="1:16" s="57" customFormat="1">
      <c r="A160" s="61" t="s">
        <v>394</v>
      </c>
      <c r="B160" s="1029" t="s">
        <v>395</v>
      </c>
      <c r="C160" s="507" t="s">
        <v>328</v>
      </c>
      <c r="D160" s="1020">
        <f>VLOOKUP(A160,'Gastos Proyecciones'!$A$22:$R$233,LOOKUP($D$22,'Gastos Proyecciones'!$D$22:$R$22,'Gastos Proyecciones'!$D$240:$R$240),FALSE)</f>
        <v>0</v>
      </c>
      <c r="E160" s="18">
        <v>0</v>
      </c>
      <c r="F160" s="980">
        <v>0</v>
      </c>
      <c r="G160" s="18">
        <v>0</v>
      </c>
      <c r="H160" s="58">
        <f t="shared" si="11"/>
        <v>0</v>
      </c>
      <c r="I160" s="18">
        <v>0</v>
      </c>
      <c r="J160" s="18">
        <v>0</v>
      </c>
      <c r="K160" s="18">
        <v>0</v>
      </c>
      <c r="L160" s="69" t="e">
        <f t="shared" si="8"/>
        <v>#DIV/0!</v>
      </c>
      <c r="M160" s="18">
        <v>0</v>
      </c>
      <c r="N160" s="69" t="e">
        <f t="shared" si="9"/>
        <v>#DIV/0!</v>
      </c>
      <c r="O160" s="69" t="e">
        <f t="shared" si="10"/>
        <v>#DIV/0!</v>
      </c>
      <c r="P160" s="18">
        <f>VLOOKUP(A160,'Gastos Proyecciones'!$A$22:$R$233,LOOKUP(Ingresos!$O$190,'Gastos Proyecciones'!$D$22:$R$22,'Gastos Proyecciones'!$D$240:$R$240),FALSE)</f>
        <v>0</v>
      </c>
    </row>
    <row r="161" spans="1:16">
      <c r="A161" s="61" t="s">
        <v>396</v>
      </c>
      <c r="B161" s="1030" t="s">
        <v>397</v>
      </c>
      <c r="C161" s="507" t="s">
        <v>360</v>
      </c>
      <c r="D161" s="1020">
        <f>VLOOKUP(A161,'Gastos Proyecciones'!$A$22:$R$233,LOOKUP($D$22,'Gastos Proyecciones'!$D$22:$R$22,'Gastos Proyecciones'!$D$240:$R$240),FALSE)</f>
        <v>0</v>
      </c>
      <c r="E161" s="18">
        <v>0</v>
      </c>
      <c r="F161" s="980">
        <v>0</v>
      </c>
      <c r="G161" s="18">
        <v>0</v>
      </c>
      <c r="H161" s="58">
        <f t="shared" si="11"/>
        <v>0</v>
      </c>
      <c r="I161" s="18">
        <v>0</v>
      </c>
      <c r="J161" s="18">
        <v>0</v>
      </c>
      <c r="K161" s="18">
        <v>0</v>
      </c>
      <c r="L161" s="66" t="e">
        <f t="shared" si="8"/>
        <v>#DIV/0!</v>
      </c>
      <c r="M161" s="18">
        <v>0</v>
      </c>
      <c r="N161" s="66" t="e">
        <f t="shared" si="9"/>
        <v>#DIV/0!</v>
      </c>
      <c r="O161" s="66" t="e">
        <f t="shared" si="10"/>
        <v>#DIV/0!</v>
      </c>
      <c r="P161" s="18">
        <f>VLOOKUP(A161,'Gastos Proyecciones'!$A$22:$R$233,LOOKUP(Ingresos!$O$190,'Gastos Proyecciones'!$D$22:$R$22,'Gastos Proyecciones'!$D$240:$R$240),FALSE)</f>
        <v>0</v>
      </c>
    </row>
    <row r="162" spans="1:16" s="14" customFormat="1">
      <c r="A162" s="61" t="s">
        <v>398</v>
      </c>
      <c r="B162" s="93"/>
      <c r="C162" s="506" t="s">
        <v>399</v>
      </c>
      <c r="D162" s="42">
        <f>+D163+D177+D183</f>
        <v>378230.79500000004</v>
      </c>
      <c r="E162" s="42">
        <f>+E163+E177+E183</f>
        <v>55000</v>
      </c>
      <c r="F162" s="42" t="e">
        <f>SUM(F163:F169)</f>
        <v>#REF!</v>
      </c>
      <c r="G162" s="42">
        <f>+G163+G177+G183</f>
        <v>438782.79500000004</v>
      </c>
      <c r="H162" s="42">
        <f t="shared" si="11"/>
        <v>383782.79500000004</v>
      </c>
      <c r="I162" s="42">
        <f>+I163+I177+I183</f>
        <v>438782.79500000004</v>
      </c>
      <c r="J162" s="42">
        <f>+J163+J177+J183</f>
        <v>438782.79500000004</v>
      </c>
      <c r="K162" s="42">
        <f>+K163+K177+K183</f>
        <v>438782.79500000004</v>
      </c>
      <c r="L162" s="64">
        <f t="shared" si="8"/>
        <v>1</v>
      </c>
      <c r="M162" s="42">
        <f>+M163+M177+M183</f>
        <v>593727.4</v>
      </c>
      <c r="N162" s="64">
        <f t="shared" si="9"/>
        <v>-0.26096926805129761</v>
      </c>
      <c r="O162" s="64">
        <f t="shared" si="10"/>
        <v>1.1600927285680163</v>
      </c>
      <c r="P162" s="42">
        <f>+P163+P177+P183</f>
        <v>605149.05000000005</v>
      </c>
    </row>
    <row r="163" spans="1:16" s="14" customFormat="1">
      <c r="A163" s="61" t="s">
        <v>400</v>
      </c>
      <c r="B163" s="93"/>
      <c r="C163" s="506" t="s">
        <v>250</v>
      </c>
      <c r="D163" s="42">
        <f>SUM(D164:D176)</f>
        <v>0</v>
      </c>
      <c r="E163" s="42">
        <f>SUM(E164:E176)</f>
        <v>55000</v>
      </c>
      <c r="F163" s="1019" t="e">
        <f>+E161+#REF!+#REF!-#REF!-#REF!</f>
        <v>#REF!</v>
      </c>
      <c r="G163" s="42">
        <f>SUM(G164:G176)</f>
        <v>438782.79500000004</v>
      </c>
      <c r="H163" s="42">
        <f t="shared" si="11"/>
        <v>383782.79500000004</v>
      </c>
      <c r="I163" s="42">
        <f>SUM(I164:I176)</f>
        <v>438782.79500000004</v>
      </c>
      <c r="J163" s="42">
        <f>SUM(J164:J176)</f>
        <v>0</v>
      </c>
      <c r="K163" s="42">
        <f>SUM(K164:K176)</f>
        <v>0</v>
      </c>
      <c r="L163" s="64">
        <f t="shared" si="8"/>
        <v>0</v>
      </c>
      <c r="M163" s="42">
        <f>SUM(M164:M176)</f>
        <v>0</v>
      </c>
      <c r="N163" s="64" t="e">
        <f t="shared" si="9"/>
        <v>#DIV/0!</v>
      </c>
      <c r="O163" s="64" t="e">
        <f t="shared" si="10"/>
        <v>#DIV/0!</v>
      </c>
      <c r="P163" s="42">
        <f>SUM(P164:P176)</f>
        <v>0</v>
      </c>
    </row>
    <row r="164" spans="1:16">
      <c r="A164" s="61" t="s">
        <v>401</v>
      </c>
      <c r="B164" s="1031" t="s">
        <v>402</v>
      </c>
      <c r="C164" s="507" t="s">
        <v>253</v>
      </c>
      <c r="D164" s="1020">
        <f>VLOOKUP(A164,'Gastos Proyecciones'!$A$22:$R$233,LOOKUP($D$22,'Gastos Proyecciones'!$D$22:$R$22,'Gastos Proyecciones'!$D$240:$R$240),FALSE)</f>
        <v>0</v>
      </c>
      <c r="E164" s="18">
        <v>0</v>
      </c>
      <c r="F164" s="980">
        <v>0</v>
      </c>
      <c r="G164" s="18">
        <v>0</v>
      </c>
      <c r="H164" s="58">
        <f t="shared" si="11"/>
        <v>0</v>
      </c>
      <c r="I164" s="18">
        <v>0</v>
      </c>
      <c r="J164" s="18">
        <v>0</v>
      </c>
      <c r="K164" s="18">
        <v>0</v>
      </c>
      <c r="L164" s="66" t="e">
        <f t="shared" si="8"/>
        <v>#DIV/0!</v>
      </c>
      <c r="M164" s="18">
        <v>0</v>
      </c>
      <c r="N164" s="66" t="e">
        <f t="shared" si="9"/>
        <v>#DIV/0!</v>
      </c>
      <c r="O164" s="66" t="e">
        <f t="shared" si="10"/>
        <v>#DIV/0!</v>
      </c>
      <c r="P164" s="18">
        <f>VLOOKUP(A164,'Gastos Proyecciones'!$A$22:$R$233,LOOKUP(Ingresos!$O$190,'Gastos Proyecciones'!$D$22:$R$22,'Gastos Proyecciones'!$D$240:$R$240),FALSE)</f>
        <v>0</v>
      </c>
    </row>
    <row r="165" spans="1:16">
      <c r="A165" s="61" t="s">
        <v>403</v>
      </c>
      <c r="B165" s="1031" t="s">
        <v>404</v>
      </c>
      <c r="C165" s="507" t="s">
        <v>256</v>
      </c>
      <c r="D165" s="1020">
        <f>VLOOKUP(A165,'Gastos Proyecciones'!$A$22:$R$233,LOOKUP($D$22,'Gastos Proyecciones'!$D$22:$R$22,'Gastos Proyecciones'!$D$240:$R$240),FALSE)</f>
        <v>0</v>
      </c>
      <c r="E165" s="18">
        <v>0</v>
      </c>
      <c r="F165" s="980">
        <v>0</v>
      </c>
      <c r="G165" s="18">
        <v>54830</v>
      </c>
      <c r="H165" s="58">
        <f t="shared" si="11"/>
        <v>54830</v>
      </c>
      <c r="I165" s="18">
        <v>54830</v>
      </c>
      <c r="J165" s="18">
        <v>0</v>
      </c>
      <c r="K165" s="18">
        <v>0</v>
      </c>
      <c r="L165" s="66">
        <f t="shared" si="8"/>
        <v>0</v>
      </c>
      <c r="M165" s="18">
        <v>0</v>
      </c>
      <c r="N165" s="66" t="e">
        <f t="shared" si="9"/>
        <v>#DIV/0!</v>
      </c>
      <c r="O165" s="66" t="e">
        <f t="shared" si="10"/>
        <v>#DIV/0!</v>
      </c>
      <c r="P165" s="18">
        <f>VLOOKUP(A165,'Gastos Proyecciones'!$A$22:$R$233,LOOKUP(Ingresos!$O$190,'Gastos Proyecciones'!$D$22:$R$22,'Gastos Proyecciones'!$D$240:$R$240),FALSE)</f>
        <v>0</v>
      </c>
    </row>
    <row r="166" spans="1:16">
      <c r="A166" s="61" t="s">
        <v>405</v>
      </c>
      <c r="B166" s="1031" t="s">
        <v>406</v>
      </c>
      <c r="C166" s="507" t="s">
        <v>259</v>
      </c>
      <c r="D166" s="1020">
        <f>VLOOKUP(A166,'Gastos Proyecciones'!$A$22:$R$233,LOOKUP($D$22,'Gastos Proyecciones'!$D$22:$R$22,'Gastos Proyecciones'!$D$240:$R$240),FALSE)</f>
        <v>0</v>
      </c>
      <c r="E166" s="18">
        <v>0</v>
      </c>
      <c r="F166" s="980">
        <v>0</v>
      </c>
      <c r="G166" s="18">
        <v>334</v>
      </c>
      <c r="H166" s="58">
        <f t="shared" si="11"/>
        <v>334</v>
      </c>
      <c r="I166" s="18">
        <v>334</v>
      </c>
      <c r="J166" s="18">
        <v>0</v>
      </c>
      <c r="K166" s="18">
        <v>0</v>
      </c>
      <c r="L166" s="66">
        <f t="shared" si="8"/>
        <v>0</v>
      </c>
      <c r="M166" s="18">
        <v>0</v>
      </c>
      <c r="N166" s="66" t="e">
        <f t="shared" si="9"/>
        <v>#DIV/0!</v>
      </c>
      <c r="O166" s="66" t="e">
        <f t="shared" si="10"/>
        <v>#DIV/0!</v>
      </c>
      <c r="P166" s="18">
        <v>0</v>
      </c>
    </row>
    <row r="167" spans="1:16">
      <c r="A167" s="61" t="s">
        <v>407</v>
      </c>
      <c r="B167" s="1031" t="s">
        <v>408</v>
      </c>
      <c r="C167" s="507" t="s">
        <v>262</v>
      </c>
      <c r="D167" s="1020">
        <f>VLOOKUP(A167,'Gastos Proyecciones'!$A$22:$R$233,LOOKUP($D$22,'Gastos Proyecciones'!$D$22:$R$22,'Gastos Proyecciones'!$D$240:$R$240),FALSE)</f>
        <v>0</v>
      </c>
      <c r="E167" s="18">
        <v>0</v>
      </c>
      <c r="F167" s="980">
        <v>0</v>
      </c>
      <c r="G167" s="18">
        <v>0</v>
      </c>
      <c r="H167" s="58">
        <f t="shared" si="11"/>
        <v>0</v>
      </c>
      <c r="I167" s="18">
        <v>0</v>
      </c>
      <c r="J167" s="18">
        <v>0</v>
      </c>
      <c r="K167" s="18">
        <v>0</v>
      </c>
      <c r="L167" s="66" t="e">
        <f t="shared" si="8"/>
        <v>#DIV/0!</v>
      </c>
      <c r="M167" s="18">
        <v>0</v>
      </c>
      <c r="N167" s="66" t="e">
        <f t="shared" si="9"/>
        <v>#DIV/0!</v>
      </c>
      <c r="O167" s="66" t="e">
        <f t="shared" si="10"/>
        <v>#DIV/0!</v>
      </c>
      <c r="P167" s="18">
        <f>VLOOKUP(A167,'Gastos Proyecciones'!$A$22:$R$233,LOOKUP(Ingresos!$O$190,'Gastos Proyecciones'!$D$22:$R$22,'Gastos Proyecciones'!$D$240:$R$240),FALSE)</f>
        <v>0</v>
      </c>
    </row>
    <row r="168" spans="1:16" s="57" customFormat="1">
      <c r="A168" s="72" t="s">
        <v>409</v>
      </c>
      <c r="B168" s="1031" t="s">
        <v>410</v>
      </c>
      <c r="C168" s="507" t="s">
        <v>265</v>
      </c>
      <c r="D168" s="1020">
        <f>VLOOKUP(A168,'Gastos Proyecciones'!$A$22:$R$233,LOOKUP($D$22,'Gastos Proyecciones'!$D$22:$R$22,'Gastos Proyecciones'!$D$240:$R$240),FALSE)</f>
        <v>0</v>
      </c>
      <c r="E168" s="18">
        <v>0</v>
      </c>
      <c r="F168" s="980">
        <v>0</v>
      </c>
      <c r="G168" s="18">
        <v>31622</v>
      </c>
      <c r="H168" s="58">
        <f t="shared" si="11"/>
        <v>31622</v>
      </c>
      <c r="I168" s="18">
        <v>31622</v>
      </c>
      <c r="J168" s="18">
        <v>0</v>
      </c>
      <c r="K168" s="18">
        <v>0</v>
      </c>
      <c r="L168" s="69">
        <f t="shared" si="8"/>
        <v>0</v>
      </c>
      <c r="M168" s="18">
        <v>0</v>
      </c>
      <c r="N168" s="69" t="e">
        <f t="shared" si="9"/>
        <v>#DIV/0!</v>
      </c>
      <c r="O168" s="69" t="e">
        <f t="shared" si="10"/>
        <v>#DIV/0!</v>
      </c>
      <c r="P168" s="18">
        <f>VLOOKUP(A168,'Gastos Proyecciones'!$A$22:$R$233,LOOKUP(Ingresos!$O$190,'Gastos Proyecciones'!$D$22:$R$22,'Gastos Proyecciones'!$D$240:$R$240),FALSE)</f>
        <v>0</v>
      </c>
    </row>
    <row r="169" spans="1:16">
      <c r="A169" s="61" t="s">
        <v>411</v>
      </c>
      <c r="B169" s="1031" t="s">
        <v>412</v>
      </c>
      <c r="C169" s="507" t="s">
        <v>268</v>
      </c>
      <c r="D169" s="1020">
        <f>VLOOKUP(A169,'Gastos Proyecciones'!$A$22:$R$233,LOOKUP($D$22,'Gastos Proyecciones'!$D$22:$R$22,'Gastos Proyecciones'!$D$240:$R$240),FALSE)</f>
        <v>0</v>
      </c>
      <c r="E169" s="18">
        <v>45000</v>
      </c>
      <c r="F169" s="980">
        <v>0</v>
      </c>
      <c r="G169" s="18">
        <v>47661.075000000004</v>
      </c>
      <c r="H169" s="58">
        <f t="shared" si="11"/>
        <v>2661.0750000000044</v>
      </c>
      <c r="I169" s="18">
        <v>47661.075000000004</v>
      </c>
      <c r="J169" s="18">
        <v>0</v>
      </c>
      <c r="K169" s="18">
        <v>0</v>
      </c>
      <c r="L169" s="66">
        <f t="shared" si="8"/>
        <v>0</v>
      </c>
      <c r="M169" s="18">
        <v>0</v>
      </c>
      <c r="N169" s="66" t="e">
        <f t="shared" si="9"/>
        <v>#DIV/0!</v>
      </c>
      <c r="O169" s="66" t="e">
        <f t="shared" si="10"/>
        <v>#DIV/0!</v>
      </c>
      <c r="P169" s="18">
        <f>VLOOKUP(A169,'Gastos Proyecciones'!$A$22:$R$233,LOOKUP(Ingresos!$O$190,'Gastos Proyecciones'!$D$22:$R$22,'Gastos Proyecciones'!$D$240:$R$240),FALSE)</f>
        <v>0</v>
      </c>
    </row>
    <row r="170" spans="1:16" s="57" customFormat="1">
      <c r="A170" s="61" t="s">
        <v>413</v>
      </c>
      <c r="B170" s="1031" t="s">
        <v>414</v>
      </c>
      <c r="C170" s="507" t="s">
        <v>271</v>
      </c>
      <c r="D170" s="1020">
        <f>VLOOKUP(A170,'Gastos Proyecciones'!$A$22:$R$233,LOOKUP($D$22,'Gastos Proyecciones'!$D$22:$R$22,'Gastos Proyecciones'!$D$240:$R$240),FALSE)</f>
        <v>0</v>
      </c>
      <c r="E170" s="18">
        <v>5000</v>
      </c>
      <c r="F170" s="980">
        <v>0</v>
      </c>
      <c r="G170" s="18">
        <v>12065</v>
      </c>
      <c r="H170" s="58">
        <f t="shared" si="11"/>
        <v>7065</v>
      </c>
      <c r="I170" s="18">
        <v>12065</v>
      </c>
      <c r="J170" s="18">
        <v>0</v>
      </c>
      <c r="K170" s="18">
        <v>0</v>
      </c>
      <c r="L170" s="69">
        <f t="shared" si="8"/>
        <v>0</v>
      </c>
      <c r="M170" s="18">
        <v>0</v>
      </c>
      <c r="N170" s="69" t="e">
        <f t="shared" si="9"/>
        <v>#DIV/0!</v>
      </c>
      <c r="O170" s="69" t="e">
        <f t="shared" si="10"/>
        <v>#DIV/0!</v>
      </c>
      <c r="P170" s="18">
        <f>VLOOKUP(A170,'Gastos Proyecciones'!$A$22:$R$233,LOOKUP(Ingresos!$O$190,'Gastos Proyecciones'!$D$22:$R$22,'Gastos Proyecciones'!$D$240:$R$240),FALSE)</f>
        <v>0</v>
      </c>
    </row>
    <row r="171" spans="1:16">
      <c r="A171" s="61" t="s">
        <v>415</v>
      </c>
      <c r="B171" s="1031" t="s">
        <v>416</v>
      </c>
      <c r="C171" s="507" t="s">
        <v>274</v>
      </c>
      <c r="D171" s="1020">
        <f>VLOOKUP(A171,'Gastos Proyecciones'!$A$22:$R$233,LOOKUP($D$22,'Gastos Proyecciones'!$D$22:$R$22,'Gastos Proyecciones'!$D$240:$R$240),FALSE)</f>
        <v>0</v>
      </c>
      <c r="E171" s="18">
        <v>5000</v>
      </c>
      <c r="F171" s="980">
        <v>0</v>
      </c>
      <c r="G171" s="18">
        <v>115732</v>
      </c>
      <c r="H171" s="58">
        <f t="shared" si="11"/>
        <v>110732</v>
      </c>
      <c r="I171" s="18">
        <v>115732</v>
      </c>
      <c r="J171" s="18">
        <v>0</v>
      </c>
      <c r="K171" s="18">
        <v>0</v>
      </c>
      <c r="L171" s="66">
        <f t="shared" si="8"/>
        <v>0</v>
      </c>
      <c r="M171" s="18">
        <v>0</v>
      </c>
      <c r="N171" s="66" t="e">
        <f t="shared" si="9"/>
        <v>#DIV/0!</v>
      </c>
      <c r="O171" s="66" t="e">
        <f t="shared" si="10"/>
        <v>#DIV/0!</v>
      </c>
      <c r="P171" s="18">
        <f>VLOOKUP(A171,'Gastos Proyecciones'!$A$22:$R$233,LOOKUP(Ingresos!$O$190,'Gastos Proyecciones'!$D$22:$R$22,'Gastos Proyecciones'!$D$240:$R$240),FALSE)</f>
        <v>0</v>
      </c>
    </row>
    <row r="172" spans="1:16">
      <c r="A172" s="61" t="s">
        <v>417</v>
      </c>
      <c r="B172" s="1031" t="s">
        <v>418</v>
      </c>
      <c r="C172" s="507" t="s">
        <v>277</v>
      </c>
      <c r="D172" s="1020">
        <f>VLOOKUP(A172,'Gastos Proyecciones'!$A$22:$R$233,LOOKUP($D$22,'Gastos Proyecciones'!$D$22:$R$22,'Gastos Proyecciones'!$D$240:$R$240),FALSE)</f>
        <v>0</v>
      </c>
      <c r="E172" s="18">
        <v>0</v>
      </c>
      <c r="F172" s="980">
        <v>0</v>
      </c>
      <c r="G172" s="18">
        <v>10317</v>
      </c>
      <c r="H172" s="58">
        <f t="shared" si="11"/>
        <v>10317</v>
      </c>
      <c r="I172" s="18">
        <v>10317</v>
      </c>
      <c r="J172" s="18">
        <v>0</v>
      </c>
      <c r="K172" s="18">
        <v>0</v>
      </c>
      <c r="L172" s="66">
        <f t="shared" si="8"/>
        <v>0</v>
      </c>
      <c r="M172" s="18">
        <v>0</v>
      </c>
      <c r="N172" s="66" t="e">
        <f t="shared" si="9"/>
        <v>#DIV/0!</v>
      </c>
      <c r="O172" s="66" t="e">
        <f t="shared" si="10"/>
        <v>#DIV/0!</v>
      </c>
      <c r="P172" s="18">
        <f>VLOOKUP(A172,'Gastos Proyecciones'!$A$22:$R$233,LOOKUP(Ingresos!$O$190,'Gastos Proyecciones'!$D$22:$R$22,'Gastos Proyecciones'!$D$240:$R$240),FALSE)</f>
        <v>0</v>
      </c>
    </row>
    <row r="173" spans="1:16">
      <c r="A173" s="61" t="s">
        <v>419</v>
      </c>
      <c r="B173" s="1031" t="s">
        <v>420</v>
      </c>
      <c r="C173" s="507" t="s">
        <v>280</v>
      </c>
      <c r="D173" s="1020">
        <f>VLOOKUP(A173,'Gastos Proyecciones'!$A$22:$R$233,LOOKUP($D$22,'Gastos Proyecciones'!$D$22:$R$22,'Gastos Proyecciones'!$D$240:$R$240),FALSE)</f>
        <v>0</v>
      </c>
      <c r="E173" s="18">
        <v>0</v>
      </c>
      <c r="F173" s="980">
        <v>0</v>
      </c>
      <c r="G173" s="18">
        <v>77175</v>
      </c>
      <c r="H173" s="58">
        <f t="shared" si="11"/>
        <v>77175</v>
      </c>
      <c r="I173" s="18">
        <v>77175</v>
      </c>
      <c r="J173" s="18">
        <v>0</v>
      </c>
      <c r="K173" s="18">
        <v>0</v>
      </c>
      <c r="L173" s="66">
        <f t="shared" si="8"/>
        <v>0</v>
      </c>
      <c r="M173" s="18">
        <v>0</v>
      </c>
      <c r="N173" s="66" t="e">
        <f t="shared" si="9"/>
        <v>#DIV/0!</v>
      </c>
      <c r="O173" s="66" t="e">
        <f t="shared" si="10"/>
        <v>#DIV/0!</v>
      </c>
      <c r="P173" s="18">
        <f>VLOOKUP(A173,'Gastos Proyecciones'!$A$22:$R$233,LOOKUP(Ingresos!$O$190,'Gastos Proyecciones'!$D$22:$R$22,'Gastos Proyecciones'!$D$240:$R$240),FALSE)</f>
        <v>0</v>
      </c>
    </row>
    <row r="174" spans="1:16">
      <c r="A174" s="61" t="s">
        <v>421</v>
      </c>
      <c r="B174" s="1031" t="s">
        <v>422</v>
      </c>
      <c r="C174" s="507" t="s">
        <v>283</v>
      </c>
      <c r="D174" s="1020">
        <f>VLOOKUP(A174,'Gastos Proyecciones'!$A$22:$R$233,LOOKUP($D$22,'Gastos Proyecciones'!$D$22:$R$22,'Gastos Proyecciones'!$D$240:$R$240),FALSE)</f>
        <v>0</v>
      </c>
      <c r="E174" s="18">
        <v>0</v>
      </c>
      <c r="F174" s="980">
        <v>0</v>
      </c>
      <c r="G174" s="18">
        <v>35762.895000000004</v>
      </c>
      <c r="H174" s="58">
        <f t="shared" si="11"/>
        <v>35762.895000000004</v>
      </c>
      <c r="I174" s="18">
        <v>35762.895000000004</v>
      </c>
      <c r="J174" s="18">
        <v>0</v>
      </c>
      <c r="K174" s="18">
        <v>0</v>
      </c>
      <c r="L174" s="66">
        <f t="shared" si="8"/>
        <v>0</v>
      </c>
      <c r="M174" s="18">
        <v>0</v>
      </c>
      <c r="N174" s="66" t="e">
        <f t="shared" si="9"/>
        <v>#DIV/0!</v>
      </c>
      <c r="O174" s="66" t="e">
        <f t="shared" si="10"/>
        <v>#DIV/0!</v>
      </c>
      <c r="P174" s="18">
        <f>VLOOKUP(A174,'Gastos Proyecciones'!$A$22:$R$233,LOOKUP(Ingresos!$O$190,'Gastos Proyecciones'!$D$22:$R$22,'Gastos Proyecciones'!$D$240:$R$240),FALSE)</f>
        <v>0</v>
      </c>
    </row>
    <row r="175" spans="1:16">
      <c r="A175" s="61" t="s">
        <v>423</v>
      </c>
      <c r="B175" s="1031" t="s">
        <v>424</v>
      </c>
      <c r="C175" s="507" t="s">
        <v>286</v>
      </c>
      <c r="D175" s="1020">
        <f>VLOOKUP(A175,'Gastos Proyecciones'!$A$22:$R$233,LOOKUP($D$22,'Gastos Proyecciones'!$D$22:$R$22,'Gastos Proyecciones'!$D$240:$R$240),FALSE)</f>
        <v>0</v>
      </c>
      <c r="E175" s="18">
        <v>0</v>
      </c>
      <c r="F175" s="980">
        <v>0</v>
      </c>
      <c r="G175" s="18">
        <v>9183.8250000000007</v>
      </c>
      <c r="H175" s="58">
        <f t="shared" si="11"/>
        <v>9183.8250000000007</v>
      </c>
      <c r="I175" s="18">
        <v>9183.8250000000007</v>
      </c>
      <c r="J175" s="18">
        <v>0</v>
      </c>
      <c r="K175" s="18">
        <v>0</v>
      </c>
      <c r="L175" s="66">
        <f t="shared" si="8"/>
        <v>0</v>
      </c>
      <c r="M175" s="18">
        <v>0</v>
      </c>
      <c r="N175" s="66" t="e">
        <f t="shared" si="9"/>
        <v>#DIV/0!</v>
      </c>
      <c r="O175" s="66" t="e">
        <f t="shared" si="10"/>
        <v>#DIV/0!</v>
      </c>
      <c r="P175" s="18">
        <f>VLOOKUP(A175,'Gastos Proyecciones'!$A$22:$R$233,LOOKUP(Ingresos!$O$190,'Gastos Proyecciones'!$D$22:$R$22,'Gastos Proyecciones'!$D$240:$R$240),FALSE)</f>
        <v>0</v>
      </c>
    </row>
    <row r="176" spans="1:16">
      <c r="A176" s="61" t="s">
        <v>425</v>
      </c>
      <c r="B176" s="1032" t="s">
        <v>426</v>
      </c>
      <c r="C176" s="507" t="s">
        <v>360</v>
      </c>
      <c r="D176" s="1020">
        <f>VLOOKUP(A176,'Gastos Proyecciones'!$A$22:$R$233,LOOKUP($D$22,'Gastos Proyecciones'!$D$22:$R$22,'Gastos Proyecciones'!$D$240:$R$240),FALSE)</f>
        <v>0</v>
      </c>
      <c r="E176" s="18">
        <v>0</v>
      </c>
      <c r="F176" s="980">
        <v>0</v>
      </c>
      <c r="G176" s="18">
        <v>44100</v>
      </c>
      <c r="H176" s="58">
        <f t="shared" si="11"/>
        <v>44100</v>
      </c>
      <c r="I176" s="18">
        <v>44100</v>
      </c>
      <c r="J176" s="18">
        <v>0</v>
      </c>
      <c r="K176" s="18">
        <v>0</v>
      </c>
      <c r="L176" s="66">
        <f t="shared" si="8"/>
        <v>0</v>
      </c>
      <c r="M176" s="18">
        <v>0</v>
      </c>
      <c r="N176" s="66" t="e">
        <f t="shared" si="9"/>
        <v>#DIV/0!</v>
      </c>
      <c r="O176" s="66" t="e">
        <f t="shared" si="10"/>
        <v>#DIV/0!</v>
      </c>
      <c r="P176" s="18">
        <f>VLOOKUP(A176,'Gastos Proyecciones'!$A$22:$R$233,LOOKUP(Ingresos!$O$190,'Gastos Proyecciones'!$D$22:$R$22,'Gastos Proyecciones'!$D$240:$R$240),FALSE)</f>
        <v>0</v>
      </c>
    </row>
    <row r="177" spans="1:16" s="14" customFormat="1">
      <c r="A177" s="61" t="s">
        <v>427</v>
      </c>
      <c r="B177" s="93"/>
      <c r="C177" s="506" t="s">
        <v>291</v>
      </c>
      <c r="D177" s="42">
        <f>SUM(D178:D182)</f>
        <v>0</v>
      </c>
      <c r="E177" s="42">
        <f>SUM(E178:E182)</f>
        <v>0</v>
      </c>
      <c r="F177" s="1019" t="e">
        <f>+E175+#REF!+#REF!-#REF!-#REF!</f>
        <v>#REF!</v>
      </c>
      <c r="G177" s="42">
        <f>SUM(G178:G182)</f>
        <v>0</v>
      </c>
      <c r="H177" s="42">
        <f t="shared" si="11"/>
        <v>0</v>
      </c>
      <c r="I177" s="42">
        <f>SUM(I178:I182)</f>
        <v>0</v>
      </c>
      <c r="J177" s="42">
        <f>SUM(J178:J182)</f>
        <v>0</v>
      </c>
      <c r="K177" s="42">
        <f>SUM(K178:K182)</f>
        <v>0</v>
      </c>
      <c r="L177" s="64" t="e">
        <f t="shared" si="8"/>
        <v>#DIV/0!</v>
      </c>
      <c r="M177" s="42">
        <f>SUM(M178:M182)</f>
        <v>0</v>
      </c>
      <c r="N177" s="64" t="e">
        <f t="shared" si="9"/>
        <v>#DIV/0!</v>
      </c>
      <c r="O177" s="64" t="e">
        <f t="shared" si="10"/>
        <v>#DIV/0!</v>
      </c>
      <c r="P177" s="42">
        <f>SUM(P178:P182)</f>
        <v>0</v>
      </c>
    </row>
    <row r="178" spans="1:16">
      <c r="A178" s="61" t="s">
        <v>428</v>
      </c>
      <c r="B178" s="1033" t="s">
        <v>429</v>
      </c>
      <c r="C178" s="507" t="s">
        <v>253</v>
      </c>
      <c r="D178" s="1020">
        <f>VLOOKUP(A178,'Gastos Proyecciones'!$A$22:$R$233,LOOKUP($D$22,'Gastos Proyecciones'!$D$22:$R$22,'Gastos Proyecciones'!$D$240:$R$240),FALSE)</f>
        <v>0</v>
      </c>
      <c r="E178" s="18">
        <v>0</v>
      </c>
      <c r="F178" s="980">
        <v>0</v>
      </c>
      <c r="G178" s="18">
        <v>0</v>
      </c>
      <c r="H178" s="58">
        <f t="shared" si="11"/>
        <v>0</v>
      </c>
      <c r="I178" s="18">
        <v>0</v>
      </c>
      <c r="J178" s="18">
        <v>0</v>
      </c>
      <c r="K178" s="18">
        <v>0</v>
      </c>
      <c r="L178" s="66" t="e">
        <f t="shared" si="8"/>
        <v>#DIV/0!</v>
      </c>
      <c r="M178" s="18">
        <v>0</v>
      </c>
      <c r="N178" s="66" t="e">
        <f t="shared" si="9"/>
        <v>#DIV/0!</v>
      </c>
      <c r="O178" s="66" t="e">
        <f t="shared" si="10"/>
        <v>#DIV/0!</v>
      </c>
      <c r="P178" s="18">
        <f>VLOOKUP(A178,'Gastos Proyecciones'!$A$22:$R$233,LOOKUP(Ingresos!$O$190,'Gastos Proyecciones'!$D$22:$R$22,'Gastos Proyecciones'!$D$240:$R$240),FALSE)</f>
        <v>0</v>
      </c>
    </row>
    <row r="179" spans="1:16">
      <c r="A179" s="61" t="s">
        <v>430</v>
      </c>
      <c r="B179" s="1033" t="s">
        <v>431</v>
      </c>
      <c r="C179" s="507" t="s">
        <v>259</v>
      </c>
      <c r="D179" s="1020">
        <f>VLOOKUP(A179,'Gastos Proyecciones'!$A$22:$R$233,LOOKUP($D$22,'Gastos Proyecciones'!$D$22:$R$22,'Gastos Proyecciones'!$D$240:$R$240),FALSE)</f>
        <v>0</v>
      </c>
      <c r="E179" s="18">
        <v>0</v>
      </c>
      <c r="F179" s="980">
        <v>0</v>
      </c>
      <c r="G179" s="18">
        <v>0</v>
      </c>
      <c r="H179" s="58">
        <f t="shared" si="11"/>
        <v>0</v>
      </c>
      <c r="I179" s="18">
        <v>0</v>
      </c>
      <c r="J179" s="18">
        <v>0</v>
      </c>
      <c r="K179" s="18">
        <v>0</v>
      </c>
      <c r="L179" s="66" t="e">
        <f t="shared" si="8"/>
        <v>#DIV/0!</v>
      </c>
      <c r="M179" s="18">
        <v>0</v>
      </c>
      <c r="N179" s="66" t="e">
        <f t="shared" si="9"/>
        <v>#DIV/0!</v>
      </c>
      <c r="O179" s="66" t="e">
        <f t="shared" si="10"/>
        <v>#DIV/0!</v>
      </c>
      <c r="P179" s="18">
        <v>0</v>
      </c>
    </row>
    <row r="180" spans="1:16">
      <c r="A180" s="61" t="s">
        <v>432</v>
      </c>
      <c r="B180" s="1033" t="s">
        <v>433</v>
      </c>
      <c r="C180" s="507" t="s">
        <v>262</v>
      </c>
      <c r="D180" s="1020">
        <f>VLOOKUP(A180,'Gastos Proyecciones'!$A$22:$R$233,LOOKUP($D$22,'Gastos Proyecciones'!$D$22:$R$22,'Gastos Proyecciones'!$D$240:$R$240),FALSE)</f>
        <v>0</v>
      </c>
      <c r="E180" s="18">
        <v>0</v>
      </c>
      <c r="F180" s="980">
        <v>0</v>
      </c>
      <c r="G180" s="18">
        <v>0</v>
      </c>
      <c r="H180" s="58">
        <f t="shared" si="11"/>
        <v>0</v>
      </c>
      <c r="I180" s="18">
        <v>0</v>
      </c>
      <c r="J180" s="18">
        <v>0</v>
      </c>
      <c r="K180" s="18">
        <v>0</v>
      </c>
      <c r="L180" s="66" t="e">
        <f t="shared" si="8"/>
        <v>#DIV/0!</v>
      </c>
      <c r="M180" s="18">
        <v>0</v>
      </c>
      <c r="N180" s="66" t="e">
        <f t="shared" si="9"/>
        <v>#DIV/0!</v>
      </c>
      <c r="O180" s="66" t="e">
        <f t="shared" si="10"/>
        <v>#DIV/0!</v>
      </c>
      <c r="P180" s="18">
        <f>VLOOKUP(A180,'Gastos Proyecciones'!$A$22:$R$233,LOOKUP(Ingresos!$O$190,'Gastos Proyecciones'!$D$22:$R$22,'Gastos Proyecciones'!$D$240:$R$240),FALSE)</f>
        <v>0</v>
      </c>
    </row>
    <row r="181" spans="1:16">
      <c r="A181" s="61" t="s">
        <v>434</v>
      </c>
      <c r="B181" s="1033" t="s">
        <v>435</v>
      </c>
      <c r="C181" s="507" t="s">
        <v>268</v>
      </c>
      <c r="D181" s="1020">
        <f>VLOOKUP(A181,'Gastos Proyecciones'!$A$22:$R$233,LOOKUP($D$22,'Gastos Proyecciones'!$D$22:$R$22,'Gastos Proyecciones'!$D$240:$R$240),FALSE)</f>
        <v>0</v>
      </c>
      <c r="E181" s="18">
        <v>0</v>
      </c>
      <c r="F181" s="980">
        <v>0</v>
      </c>
      <c r="G181" s="18">
        <v>0</v>
      </c>
      <c r="H181" s="58">
        <f t="shared" si="11"/>
        <v>0</v>
      </c>
      <c r="I181" s="18">
        <v>0</v>
      </c>
      <c r="J181" s="18">
        <v>0</v>
      </c>
      <c r="K181" s="18">
        <v>0</v>
      </c>
      <c r="L181" s="66" t="e">
        <f t="shared" si="8"/>
        <v>#DIV/0!</v>
      </c>
      <c r="M181" s="18">
        <v>0</v>
      </c>
      <c r="N181" s="66" t="e">
        <f t="shared" si="9"/>
        <v>#DIV/0!</v>
      </c>
      <c r="O181" s="66" t="e">
        <f t="shared" si="10"/>
        <v>#DIV/0!</v>
      </c>
      <c r="P181" s="18">
        <f>VLOOKUP(A181,'Gastos Proyecciones'!$A$22:$R$233,LOOKUP(Ingresos!$O$190,'Gastos Proyecciones'!$D$22:$R$22,'Gastos Proyecciones'!$D$240:$R$240),FALSE)</f>
        <v>0</v>
      </c>
    </row>
    <row r="182" spans="1:16">
      <c r="A182" s="61" t="s">
        <v>436</v>
      </c>
      <c r="B182" s="1033" t="s">
        <v>437</v>
      </c>
      <c r="C182" s="507" t="s">
        <v>277</v>
      </c>
      <c r="D182" s="1020">
        <f>VLOOKUP(A182,'Gastos Proyecciones'!$A$22:$R$233,LOOKUP($D$22,'Gastos Proyecciones'!$D$22:$R$22,'Gastos Proyecciones'!$D$240:$R$240),FALSE)</f>
        <v>0</v>
      </c>
      <c r="E182" s="18">
        <v>0</v>
      </c>
      <c r="F182" s="980">
        <v>0</v>
      </c>
      <c r="G182" s="18">
        <v>0</v>
      </c>
      <c r="H182" s="58">
        <f t="shared" si="11"/>
        <v>0</v>
      </c>
      <c r="I182" s="18">
        <v>0</v>
      </c>
      <c r="J182" s="18">
        <v>0</v>
      </c>
      <c r="K182" s="18">
        <v>0</v>
      </c>
      <c r="L182" s="66" t="e">
        <f t="shared" si="8"/>
        <v>#DIV/0!</v>
      </c>
      <c r="M182" s="18">
        <v>0</v>
      </c>
      <c r="N182" s="66" t="e">
        <f t="shared" si="9"/>
        <v>#DIV/0!</v>
      </c>
      <c r="O182" s="66" t="e">
        <f t="shared" si="10"/>
        <v>#DIV/0!</v>
      </c>
      <c r="P182" s="18">
        <v>0</v>
      </c>
    </row>
    <row r="183" spans="1:16" s="14" customFormat="1">
      <c r="A183" s="61" t="s">
        <v>438</v>
      </c>
      <c r="B183" s="93"/>
      <c r="C183" s="506" t="s">
        <v>301</v>
      </c>
      <c r="D183" s="42">
        <f>SUM(D184:D197)</f>
        <v>378230.79500000004</v>
      </c>
      <c r="E183" s="42">
        <f>SUM(E184:E197)</f>
        <v>0</v>
      </c>
      <c r="F183" s="1019" t="e">
        <f>+E181+#REF!+#REF!-#REF!-#REF!</f>
        <v>#REF!</v>
      </c>
      <c r="G183" s="42">
        <f>SUM(G184:G197)</f>
        <v>0</v>
      </c>
      <c r="H183" s="42">
        <f t="shared" si="11"/>
        <v>0</v>
      </c>
      <c r="I183" s="42">
        <f>SUM(I184:I197)</f>
        <v>0</v>
      </c>
      <c r="J183" s="42">
        <f>SUM(J184:J197)</f>
        <v>438782.79500000004</v>
      </c>
      <c r="K183" s="42">
        <f>SUM(K184:K197)</f>
        <v>438782.79500000004</v>
      </c>
      <c r="L183" s="64" t="e">
        <f t="shared" si="8"/>
        <v>#DIV/0!</v>
      </c>
      <c r="M183" s="42">
        <f>SUM(M184:M197)</f>
        <v>593727.4</v>
      </c>
      <c r="N183" s="64">
        <f t="shared" si="9"/>
        <v>-0.26096926805129761</v>
      </c>
      <c r="O183" s="64">
        <f t="shared" si="10"/>
        <v>1.1600927285680163</v>
      </c>
      <c r="P183" s="42">
        <f>SUM(P184:P197)</f>
        <v>605149.05000000005</v>
      </c>
    </row>
    <row r="184" spans="1:16">
      <c r="A184" s="61" t="s">
        <v>439</v>
      </c>
      <c r="B184" s="1034" t="s">
        <v>440</v>
      </c>
      <c r="C184" s="507" t="s">
        <v>253</v>
      </c>
      <c r="D184" s="1020">
        <f>VLOOKUP(A184,'Gastos Proyecciones'!$A$22:$R$233,LOOKUP($D$22,'Gastos Proyecciones'!$D$22:$R$22,'Gastos Proyecciones'!$D$240:$R$240),FALSE)</f>
        <v>0</v>
      </c>
      <c r="E184" s="18">
        <v>0</v>
      </c>
      <c r="F184" s="980">
        <v>0</v>
      </c>
      <c r="G184" s="18">
        <v>0</v>
      </c>
      <c r="H184" s="58">
        <f t="shared" si="11"/>
        <v>0</v>
      </c>
      <c r="I184" s="18">
        <v>0</v>
      </c>
      <c r="J184" s="18">
        <v>0</v>
      </c>
      <c r="K184" s="18">
        <v>0</v>
      </c>
      <c r="L184" s="66" t="e">
        <f t="shared" si="8"/>
        <v>#DIV/0!</v>
      </c>
      <c r="M184" s="18">
        <v>0</v>
      </c>
      <c r="N184" s="66" t="e">
        <f t="shared" si="9"/>
        <v>#DIV/0!</v>
      </c>
      <c r="O184" s="66" t="e">
        <f t="shared" si="10"/>
        <v>#DIV/0!</v>
      </c>
      <c r="P184" s="18">
        <f>VLOOKUP(A184,'Gastos Proyecciones'!$A$22:$R$233,LOOKUP(Ingresos!$O$190,'Gastos Proyecciones'!$D$22:$R$22,'Gastos Proyecciones'!$D$240:$R$240),FALSE)</f>
        <v>0</v>
      </c>
    </row>
    <row r="185" spans="1:16" s="57" customFormat="1">
      <c r="A185" s="72" t="s">
        <v>441</v>
      </c>
      <c r="B185" s="1034" t="s">
        <v>442</v>
      </c>
      <c r="C185" s="507" t="s">
        <v>256</v>
      </c>
      <c r="D185" s="1020">
        <f>VLOOKUP(A185,'Gastos Proyecciones'!$A$22:$R$233,LOOKUP($D$22,'Gastos Proyecciones'!$D$22:$R$22,'Gastos Proyecciones'!$D$240:$R$240),FALSE)</f>
        <v>0</v>
      </c>
      <c r="E185" s="18">
        <v>0</v>
      </c>
      <c r="F185" s="980">
        <v>0</v>
      </c>
      <c r="G185" s="18">
        <v>0</v>
      </c>
      <c r="H185" s="58">
        <f t="shared" si="11"/>
        <v>0</v>
      </c>
      <c r="I185" s="18">
        <v>0</v>
      </c>
      <c r="J185" s="18">
        <v>54830</v>
      </c>
      <c r="K185" s="18">
        <v>54830</v>
      </c>
      <c r="L185" s="69" t="e">
        <f t="shared" si="8"/>
        <v>#DIV/0!</v>
      </c>
      <c r="M185" s="18">
        <v>131071</v>
      </c>
      <c r="N185" s="69">
        <f t="shared" si="9"/>
        <v>-0.58167710630116498</v>
      </c>
      <c r="O185" s="69" t="e">
        <f t="shared" si="10"/>
        <v>#DIV/0!</v>
      </c>
      <c r="P185" s="18">
        <f>VLOOKUP(A185,'Gastos Proyecciones'!$A$22:$R$233,LOOKUP(Ingresos!$O$190,'Gastos Proyecciones'!$D$22:$R$22,'Gastos Proyecciones'!$D$240:$R$240),FALSE)</f>
        <v>131071</v>
      </c>
    </row>
    <row r="186" spans="1:16">
      <c r="A186" s="72" t="s">
        <v>443</v>
      </c>
      <c r="B186" s="1034" t="s">
        <v>444</v>
      </c>
      <c r="C186" s="507" t="s">
        <v>259</v>
      </c>
      <c r="D186" s="1020">
        <f>VLOOKUP(A186,'Gastos Proyecciones'!$A$22:$R$233,LOOKUP($D$22,'Gastos Proyecciones'!$D$22:$R$22,'Gastos Proyecciones'!$D$240:$R$240),FALSE)</f>
        <v>334</v>
      </c>
      <c r="E186" s="18">
        <v>0</v>
      </c>
      <c r="F186" s="980">
        <v>0</v>
      </c>
      <c r="G186" s="18">
        <v>0</v>
      </c>
      <c r="H186" s="58">
        <f t="shared" si="11"/>
        <v>0</v>
      </c>
      <c r="I186" s="18">
        <v>0</v>
      </c>
      <c r="J186" s="18">
        <v>334</v>
      </c>
      <c r="K186" s="18">
        <v>334</v>
      </c>
      <c r="L186" s="64" t="e">
        <f t="shared" si="8"/>
        <v>#DIV/0!</v>
      </c>
      <c r="M186" s="18">
        <v>175000</v>
      </c>
      <c r="N186" s="64">
        <f t="shared" si="9"/>
        <v>-0.99809142857142852</v>
      </c>
      <c r="O186" s="64">
        <f t="shared" si="10"/>
        <v>1</v>
      </c>
      <c r="P186" s="18">
        <f>VLOOKUP(A186,'Gastos Proyecciones'!$A$22:$R$233,LOOKUP(Ingresos!$O$190,'Gastos Proyecciones'!$D$22:$R$22,'Gastos Proyecciones'!$D$240:$R$240),FALSE)</f>
        <v>175000</v>
      </c>
    </row>
    <row r="187" spans="1:16">
      <c r="A187" s="61" t="s">
        <v>445</v>
      </c>
      <c r="B187" s="1034" t="s">
        <v>446</v>
      </c>
      <c r="C187" s="507" t="s">
        <v>262</v>
      </c>
      <c r="D187" s="1020">
        <f>VLOOKUP(A187,'Gastos Proyecciones'!$A$22:$R$233,LOOKUP($D$22,'Gastos Proyecciones'!$D$22:$R$22,'Gastos Proyecciones'!$D$240:$R$240),FALSE)</f>
        <v>50000</v>
      </c>
      <c r="E187" s="18">
        <v>0</v>
      </c>
      <c r="F187" s="980">
        <v>0</v>
      </c>
      <c r="G187" s="18">
        <v>0</v>
      </c>
      <c r="H187" s="58">
        <f t="shared" si="11"/>
        <v>0</v>
      </c>
      <c r="I187" s="18">
        <v>0</v>
      </c>
      <c r="J187" s="18">
        <v>0</v>
      </c>
      <c r="K187" s="18">
        <v>0</v>
      </c>
      <c r="L187" s="66" t="e">
        <f t="shared" si="8"/>
        <v>#DIV/0!</v>
      </c>
      <c r="M187" s="18">
        <v>0</v>
      </c>
      <c r="N187" s="66" t="e">
        <f t="shared" si="9"/>
        <v>#DIV/0!</v>
      </c>
      <c r="O187" s="66">
        <f t="shared" si="10"/>
        <v>0</v>
      </c>
      <c r="P187" s="18">
        <v>0</v>
      </c>
    </row>
    <row r="188" spans="1:16">
      <c r="A188" s="61" t="s">
        <v>447</v>
      </c>
      <c r="B188" s="1034" t="s">
        <v>448</v>
      </c>
      <c r="C188" s="507" t="s">
        <v>265</v>
      </c>
      <c r="D188" s="1020">
        <f>VLOOKUP(A188,'Gastos Proyecciones'!$A$22:$R$233,LOOKUP($D$22,'Gastos Proyecciones'!$D$22:$R$22,'Gastos Proyecciones'!$D$240:$R$240),FALSE)</f>
        <v>31622</v>
      </c>
      <c r="E188" s="18">
        <v>0</v>
      </c>
      <c r="F188" s="980">
        <v>0</v>
      </c>
      <c r="G188" s="18">
        <v>0</v>
      </c>
      <c r="H188" s="58">
        <f t="shared" si="11"/>
        <v>0</v>
      </c>
      <c r="I188" s="18">
        <v>0</v>
      </c>
      <c r="J188" s="18">
        <v>31622</v>
      </c>
      <c r="K188" s="18">
        <v>31622</v>
      </c>
      <c r="L188" s="66" t="e">
        <f t="shared" si="8"/>
        <v>#DIV/0!</v>
      </c>
      <c r="M188" s="18">
        <v>4014</v>
      </c>
      <c r="N188" s="66">
        <f t="shared" si="9"/>
        <v>6.8779272546088688</v>
      </c>
      <c r="O188" s="66">
        <f t="shared" si="10"/>
        <v>1</v>
      </c>
      <c r="P188" s="18">
        <v>0</v>
      </c>
    </row>
    <row r="189" spans="1:16">
      <c r="A189" s="61" t="s">
        <v>449</v>
      </c>
      <c r="B189" s="1034" t="s">
        <v>450</v>
      </c>
      <c r="C189" s="507" t="s">
        <v>268</v>
      </c>
      <c r="D189" s="1020">
        <f>VLOOKUP(A189,'Gastos Proyecciones'!$A$22:$R$233,LOOKUP($D$22,'Gastos Proyecciones'!$D$22:$R$22,'Gastos Proyecciones'!$D$240:$R$240),FALSE)</f>
        <v>47661.075000000004</v>
      </c>
      <c r="E189" s="18">
        <v>0</v>
      </c>
      <c r="F189" s="980">
        <v>0</v>
      </c>
      <c r="G189" s="18">
        <v>0</v>
      </c>
      <c r="H189" s="58">
        <f t="shared" si="11"/>
        <v>0</v>
      </c>
      <c r="I189" s="18">
        <v>0</v>
      </c>
      <c r="J189" s="18">
        <v>47661.075000000004</v>
      </c>
      <c r="K189" s="18">
        <v>47661.075000000004</v>
      </c>
      <c r="L189" s="66" t="e">
        <f t="shared" si="8"/>
        <v>#DIV/0!</v>
      </c>
      <c r="M189" s="18">
        <v>96728</v>
      </c>
      <c r="N189" s="66">
        <f t="shared" si="9"/>
        <v>-0.50726702712761551</v>
      </c>
      <c r="O189" s="66">
        <f t="shared" si="10"/>
        <v>1</v>
      </c>
      <c r="P189" s="18">
        <f>VLOOKUP(A189,'Gastos Proyecciones'!$A$22:$R$233,LOOKUP(Ingresos!$O$190,'Gastos Proyecciones'!$D$22:$R$22,'Gastos Proyecciones'!$D$240:$R$240),FALSE)</f>
        <v>45391.5</v>
      </c>
    </row>
    <row r="190" spans="1:16">
      <c r="A190" s="61" t="s">
        <v>451</v>
      </c>
      <c r="B190" s="1034" t="s">
        <v>452</v>
      </c>
      <c r="C190" s="507" t="s">
        <v>271</v>
      </c>
      <c r="D190" s="1020">
        <f>VLOOKUP(A190,'Gastos Proyecciones'!$A$22:$R$233,LOOKUP($D$22,'Gastos Proyecciones'!$D$22:$R$22,'Gastos Proyecciones'!$D$240:$R$240),FALSE)</f>
        <v>12065</v>
      </c>
      <c r="E190" s="18">
        <v>0</v>
      </c>
      <c r="F190" s="980">
        <v>0</v>
      </c>
      <c r="G190" s="18">
        <v>0</v>
      </c>
      <c r="H190" s="58">
        <f t="shared" si="11"/>
        <v>0</v>
      </c>
      <c r="I190" s="18">
        <v>0</v>
      </c>
      <c r="J190" s="18">
        <v>12065</v>
      </c>
      <c r="K190" s="18">
        <v>12065</v>
      </c>
      <c r="L190" s="66" t="e">
        <f t="shared" si="8"/>
        <v>#DIV/0!</v>
      </c>
      <c r="M190" s="18">
        <v>43529</v>
      </c>
      <c r="N190" s="66">
        <f t="shared" si="9"/>
        <v>-0.72282845918812744</v>
      </c>
      <c r="O190" s="66">
        <f t="shared" si="10"/>
        <v>1</v>
      </c>
      <c r="P190" s="18">
        <f>VLOOKUP(A190,'Gastos Proyecciones'!$A$22:$R$233,LOOKUP(Ingresos!$O$190,'Gastos Proyecciones'!$D$22:$R$22,'Gastos Proyecciones'!$D$240:$R$240),FALSE)</f>
        <v>43529</v>
      </c>
    </row>
    <row r="191" spans="1:16">
      <c r="A191" s="61" t="s">
        <v>453</v>
      </c>
      <c r="B191" s="1034" t="s">
        <v>454</v>
      </c>
      <c r="C191" s="507" t="s">
        <v>274</v>
      </c>
      <c r="D191" s="1020">
        <f>VLOOKUP(A191,'Gastos Proyecciones'!$A$22:$R$233,LOOKUP($D$22,'Gastos Proyecciones'!$D$22:$R$22,'Gastos Proyecciones'!$D$240:$R$240),FALSE)</f>
        <v>0</v>
      </c>
      <c r="E191" s="18">
        <v>0</v>
      </c>
      <c r="F191" s="980">
        <v>0</v>
      </c>
      <c r="G191" s="18">
        <v>0</v>
      </c>
      <c r="H191" s="58">
        <f t="shared" si="11"/>
        <v>0</v>
      </c>
      <c r="I191" s="18">
        <v>0</v>
      </c>
      <c r="J191" s="18">
        <v>115732</v>
      </c>
      <c r="K191" s="18">
        <v>115732</v>
      </c>
      <c r="L191" s="66" t="e">
        <f t="shared" si="8"/>
        <v>#DIV/0!</v>
      </c>
      <c r="M191" s="18">
        <v>0</v>
      </c>
      <c r="N191" s="66" t="e">
        <f t="shared" si="9"/>
        <v>#DIV/0!</v>
      </c>
      <c r="O191" s="66" t="e">
        <f t="shared" si="10"/>
        <v>#DIV/0!</v>
      </c>
      <c r="P191" s="18">
        <f>VLOOKUP(A191,'Gastos Proyecciones'!$A$22:$R$233,LOOKUP(Ingresos!$O$190,'Gastos Proyecciones'!$D$22:$R$22,'Gastos Proyecciones'!$D$240:$R$240),FALSE)</f>
        <v>0</v>
      </c>
    </row>
    <row r="192" spans="1:16">
      <c r="A192" s="61" t="s">
        <v>455</v>
      </c>
      <c r="B192" s="1034" t="s">
        <v>456</v>
      </c>
      <c r="C192" s="507" t="s">
        <v>277</v>
      </c>
      <c r="D192" s="1020">
        <f>VLOOKUP(A192,'Gastos Proyecciones'!$A$22:$R$233,LOOKUP($D$22,'Gastos Proyecciones'!$D$22:$R$22,'Gastos Proyecciones'!$D$240:$R$240),FALSE)</f>
        <v>10317</v>
      </c>
      <c r="E192" s="18">
        <v>0</v>
      </c>
      <c r="F192" s="980">
        <v>0</v>
      </c>
      <c r="G192" s="18">
        <v>0</v>
      </c>
      <c r="H192" s="58">
        <f t="shared" si="11"/>
        <v>0</v>
      </c>
      <c r="I192" s="18">
        <v>0</v>
      </c>
      <c r="J192" s="18">
        <v>10317</v>
      </c>
      <c r="K192" s="18">
        <v>10317</v>
      </c>
      <c r="L192" s="66" t="e">
        <f t="shared" si="8"/>
        <v>#DIV/0!</v>
      </c>
      <c r="M192" s="18">
        <v>37172</v>
      </c>
      <c r="N192" s="66">
        <f t="shared" si="9"/>
        <v>-0.72245238351447327</v>
      </c>
      <c r="O192" s="66">
        <f t="shared" si="10"/>
        <v>1</v>
      </c>
      <c r="P192" s="18">
        <f>VLOOKUP(A192,'Gastos Proyecciones'!$A$22:$R$233,LOOKUP(Ingresos!$O$190,'Gastos Proyecciones'!$D$22:$R$22,'Gastos Proyecciones'!$D$240:$R$240),FALSE)</f>
        <v>32469.15</v>
      </c>
    </row>
    <row r="193" spans="1:16">
      <c r="A193" s="61" t="s">
        <v>457</v>
      </c>
      <c r="B193" s="1034" t="s">
        <v>458</v>
      </c>
      <c r="C193" s="507" t="s">
        <v>280</v>
      </c>
      <c r="D193" s="1020">
        <f>VLOOKUP(A193,'Gastos Proyecciones'!$A$22:$R$233,LOOKUP($D$22,'Gastos Proyecciones'!$D$22:$R$22,'Gastos Proyecciones'!$D$240:$R$240),FALSE)</f>
        <v>77175</v>
      </c>
      <c r="E193" s="18">
        <v>0</v>
      </c>
      <c r="F193" s="980">
        <v>0</v>
      </c>
      <c r="G193" s="18">
        <v>0</v>
      </c>
      <c r="H193" s="58">
        <f t="shared" si="11"/>
        <v>0</v>
      </c>
      <c r="I193" s="18">
        <v>0</v>
      </c>
      <c r="J193" s="18">
        <v>77175</v>
      </c>
      <c r="K193" s="18">
        <v>77175</v>
      </c>
      <c r="L193" s="66" t="e">
        <f t="shared" si="8"/>
        <v>#DIV/0!</v>
      </c>
      <c r="M193" s="18">
        <v>0</v>
      </c>
      <c r="N193" s="66" t="e">
        <f t="shared" si="9"/>
        <v>#DIV/0!</v>
      </c>
      <c r="O193" s="66">
        <f t="shared" si="10"/>
        <v>1</v>
      </c>
      <c r="P193" s="18">
        <v>0</v>
      </c>
    </row>
    <row r="194" spans="1:16">
      <c r="A194" s="61" t="s">
        <v>459</v>
      </c>
      <c r="B194" s="1034" t="s">
        <v>460</v>
      </c>
      <c r="C194" s="507" t="s">
        <v>283</v>
      </c>
      <c r="D194" s="1020">
        <f>VLOOKUP(A194,'Gastos Proyecciones'!$A$22:$R$233,LOOKUP($D$22,'Gastos Proyecciones'!$D$22:$R$22,'Gastos Proyecciones'!$D$240:$R$240),FALSE)</f>
        <v>35762.895000000004</v>
      </c>
      <c r="E194" s="18">
        <v>0</v>
      </c>
      <c r="F194" s="980">
        <v>0</v>
      </c>
      <c r="G194" s="18">
        <v>0</v>
      </c>
      <c r="H194" s="58">
        <f t="shared" si="11"/>
        <v>0</v>
      </c>
      <c r="I194" s="18">
        <v>0</v>
      </c>
      <c r="J194" s="18">
        <v>35762.895000000004</v>
      </c>
      <c r="K194" s="18">
        <v>35762.895000000004</v>
      </c>
      <c r="L194" s="66" t="e">
        <f t="shared" si="8"/>
        <v>#DIV/0!</v>
      </c>
      <c r="M194" s="18">
        <v>34059.9</v>
      </c>
      <c r="N194" s="66">
        <f t="shared" si="9"/>
        <v>5.0000000000000044E-2</v>
      </c>
      <c r="O194" s="66">
        <f t="shared" si="10"/>
        <v>1</v>
      </c>
      <c r="P194" s="18">
        <f>VLOOKUP(A194,'Gastos Proyecciones'!$A$22:$R$233,LOOKUP(Ingresos!$O$190,'Gastos Proyecciones'!$D$22:$R$22,'Gastos Proyecciones'!$D$240:$R$240),FALSE)</f>
        <v>34059.9</v>
      </c>
    </row>
    <row r="195" spans="1:16">
      <c r="A195" s="61" t="s">
        <v>461</v>
      </c>
      <c r="B195" s="1034" t="s">
        <v>462</v>
      </c>
      <c r="C195" s="507" t="s">
        <v>286</v>
      </c>
      <c r="D195" s="1020">
        <f>VLOOKUP(A195,'Gastos Proyecciones'!$A$22:$R$233,LOOKUP($D$22,'Gastos Proyecciones'!$D$22:$R$22,'Gastos Proyecciones'!$D$240:$R$240),FALSE)</f>
        <v>9183.8250000000007</v>
      </c>
      <c r="E195" s="18">
        <v>0</v>
      </c>
      <c r="F195" s="980">
        <v>0</v>
      </c>
      <c r="G195" s="18">
        <v>0</v>
      </c>
      <c r="H195" s="58">
        <f t="shared" si="11"/>
        <v>0</v>
      </c>
      <c r="I195" s="18">
        <v>0</v>
      </c>
      <c r="J195" s="18">
        <v>9183.8250000000007</v>
      </c>
      <c r="K195" s="18">
        <v>9183.8250000000007</v>
      </c>
      <c r="L195" s="66" t="e">
        <f t="shared" si="8"/>
        <v>#DIV/0!</v>
      </c>
      <c r="M195" s="18">
        <v>8746.5</v>
      </c>
      <c r="N195" s="66">
        <f t="shared" si="9"/>
        <v>5.0000000000000044E-2</v>
      </c>
      <c r="O195" s="66">
        <f t="shared" si="10"/>
        <v>1</v>
      </c>
      <c r="P195" s="18">
        <f>VLOOKUP(A195,'Gastos Proyecciones'!$A$22:$R$233,LOOKUP(Ingresos!$O$190,'Gastos Proyecciones'!$D$22:$R$22,'Gastos Proyecciones'!$D$240:$R$240),FALSE)</f>
        <v>8746.5</v>
      </c>
    </row>
    <row r="196" spans="1:16">
      <c r="A196" s="61" t="s">
        <v>463</v>
      </c>
      <c r="B196" s="1034" t="s">
        <v>464</v>
      </c>
      <c r="C196" s="507" t="s">
        <v>328</v>
      </c>
      <c r="D196" s="1020">
        <f>VLOOKUP(A196,'Gastos Proyecciones'!$A$22:$R$233,LOOKUP($D$22,'Gastos Proyecciones'!$D$22:$R$22,'Gastos Proyecciones'!$D$240:$R$240),FALSE)</f>
        <v>44100</v>
      </c>
      <c r="E196" s="18">
        <v>0</v>
      </c>
      <c r="F196" s="980">
        <v>0</v>
      </c>
      <c r="G196" s="18">
        <v>0</v>
      </c>
      <c r="H196" s="58">
        <f t="shared" si="11"/>
        <v>0</v>
      </c>
      <c r="I196" s="18">
        <v>0</v>
      </c>
      <c r="J196" s="18">
        <v>44100</v>
      </c>
      <c r="K196" s="18">
        <v>44100</v>
      </c>
      <c r="L196" s="66" t="e">
        <f t="shared" si="8"/>
        <v>#DIV/0!</v>
      </c>
      <c r="M196" s="18">
        <v>42000</v>
      </c>
      <c r="N196" s="66">
        <f t="shared" si="9"/>
        <v>5.0000000000000044E-2</v>
      </c>
      <c r="O196" s="66">
        <f t="shared" si="10"/>
        <v>1</v>
      </c>
      <c r="P196" s="18">
        <f>VLOOKUP(A196,'Gastos Proyecciones'!$A$22:$R$233,LOOKUP(Ingresos!$O$190,'Gastos Proyecciones'!$D$22:$R$22,'Gastos Proyecciones'!$D$240:$R$240),FALSE)</f>
        <v>42000</v>
      </c>
    </row>
    <row r="197" spans="1:16">
      <c r="A197" s="61" t="s">
        <v>465</v>
      </c>
      <c r="B197" s="1035" t="s">
        <v>466</v>
      </c>
      <c r="C197" s="507" t="s">
        <v>360</v>
      </c>
      <c r="D197" s="1020">
        <f>VLOOKUP(A197,'Gastos Proyecciones'!$A$22:$R$233,LOOKUP($D$22,'Gastos Proyecciones'!$D$22:$R$22,'Gastos Proyecciones'!$D$240:$R$240),FALSE)</f>
        <v>60010</v>
      </c>
      <c r="E197" s="18">
        <v>0</v>
      </c>
      <c r="F197" s="980">
        <v>0</v>
      </c>
      <c r="G197" s="18">
        <v>0</v>
      </c>
      <c r="H197" s="58">
        <f t="shared" si="11"/>
        <v>0</v>
      </c>
      <c r="I197" s="18">
        <v>0</v>
      </c>
      <c r="J197" s="18">
        <v>0</v>
      </c>
      <c r="K197" s="18">
        <v>0</v>
      </c>
      <c r="L197" s="66" t="e">
        <f t="shared" si="8"/>
        <v>#DIV/0!</v>
      </c>
      <c r="M197" s="18">
        <v>21407</v>
      </c>
      <c r="N197" s="66">
        <f t="shared" si="9"/>
        <v>-1</v>
      </c>
      <c r="O197" s="66">
        <f t="shared" si="10"/>
        <v>0</v>
      </c>
      <c r="P197" s="18">
        <f>VLOOKUP(A197,'Gastos Proyecciones'!$A$22:$R$233,LOOKUP(Ingresos!$O$190,'Gastos Proyecciones'!$D$22:$R$22,'Gastos Proyecciones'!$D$240:$R$240),FALSE)</f>
        <v>92882</v>
      </c>
    </row>
    <row r="198" spans="1:16" s="14" customFormat="1">
      <c r="A198" s="61" t="s">
        <v>467</v>
      </c>
      <c r="B198" s="1036"/>
      <c r="C198" s="506" t="s">
        <v>468</v>
      </c>
      <c r="D198" s="1020">
        <f>VLOOKUP(A198,'Gastos Proyecciones'!$A$22:$R$233,LOOKUP($D$22,'Gastos Proyecciones'!$D$22:$R$22,'Gastos Proyecciones'!$D$240:$R$240),FALSE)</f>
        <v>0</v>
      </c>
      <c r="E198" s="1350"/>
      <c r="F198" s="18">
        <v>0</v>
      </c>
      <c r="G198" s="1350"/>
      <c r="H198" s="58">
        <f t="shared" si="11"/>
        <v>0</v>
      </c>
      <c r="I198" s="1350"/>
      <c r="J198" s="58">
        <f>+'Pasivo a Cancelar y Deuda'!F38+'Pasivo a Cancelar y Deuda'!G38</f>
        <v>0</v>
      </c>
      <c r="K198" s="58">
        <f>+'Pasivo a Cancelar y Deuda'!H38+'Pasivo a Cancelar y Deuda'!I38</f>
        <v>0</v>
      </c>
      <c r="L198" s="64" t="e">
        <f t="shared" si="8"/>
        <v>#DIV/0!</v>
      </c>
      <c r="M198" s="1350"/>
      <c r="N198" s="64" t="e">
        <f t="shared" si="9"/>
        <v>#DIV/0!</v>
      </c>
      <c r="O198" s="64" t="e">
        <f t="shared" si="10"/>
        <v>#DIV/0!</v>
      </c>
      <c r="P198" s="1350">
        <f>VLOOKUP(A198,'Gastos Proyecciones'!$A$22:$R$233,LOOKUP(Ingresos!$O$190,'Gastos Proyecciones'!$D$22:$R$22,'Gastos Proyecciones'!$D$240:$R$240),FALSE)</f>
        <v>0</v>
      </c>
    </row>
    <row r="199" spans="1:16" s="14" customFormat="1">
      <c r="A199" s="61" t="s">
        <v>469</v>
      </c>
      <c r="B199" s="1018" t="s">
        <v>470</v>
      </c>
      <c r="C199" s="506" t="s">
        <v>471</v>
      </c>
      <c r="D199" s="42">
        <f>+D200+D205</f>
        <v>52429</v>
      </c>
      <c r="E199" s="42">
        <f>+E200+E205</f>
        <v>135000</v>
      </c>
      <c r="F199" s="1019" t="e">
        <f>+#REF!+#REF!+#REF!-#REF!-#REF!</f>
        <v>#REF!</v>
      </c>
      <c r="G199" s="42">
        <f>+G200+G205</f>
        <v>52429</v>
      </c>
      <c r="H199" s="42">
        <f t="shared" si="11"/>
        <v>-82571</v>
      </c>
      <c r="I199" s="42">
        <f>+I200+I205</f>
        <v>52429</v>
      </c>
      <c r="J199" s="42">
        <f>+J200+J205</f>
        <v>52429</v>
      </c>
      <c r="K199" s="42">
        <f>+K200+K205</f>
        <v>52056</v>
      </c>
      <c r="L199" s="64">
        <f t="shared" si="8"/>
        <v>1</v>
      </c>
      <c r="M199" s="42">
        <f>+M200+M205</f>
        <v>5000</v>
      </c>
      <c r="N199" s="64">
        <f t="shared" si="9"/>
        <v>9.4857999999999993</v>
      </c>
      <c r="O199" s="64">
        <f t="shared" si="10"/>
        <v>1</v>
      </c>
      <c r="P199" s="42">
        <f>+P200+P205</f>
        <v>5000</v>
      </c>
    </row>
    <row r="200" spans="1:16" s="14" customFormat="1">
      <c r="A200" s="425" t="s">
        <v>472</v>
      </c>
      <c r="B200" s="1018" t="s">
        <v>473</v>
      </c>
      <c r="C200" s="506" t="s">
        <v>474</v>
      </c>
      <c r="D200" s="42">
        <f>+D201+D202+D203+D204</f>
        <v>52429</v>
      </c>
      <c r="E200" s="42">
        <f>+E201+E202+E203+E204</f>
        <v>135000</v>
      </c>
      <c r="F200" s="1019" t="e">
        <f>+E198+#REF!+#REF!-#REF!-#REF!</f>
        <v>#REF!</v>
      </c>
      <c r="G200" s="42">
        <f>+G201+G202+G203+G204</f>
        <v>52429</v>
      </c>
      <c r="H200" s="42">
        <f t="shared" si="11"/>
        <v>-82571</v>
      </c>
      <c r="I200" s="42">
        <f>+I201+I202+I203+I204</f>
        <v>52429</v>
      </c>
      <c r="J200" s="42">
        <f>+J201+J202+J203+J204</f>
        <v>52429</v>
      </c>
      <c r="K200" s="42">
        <f>+K201+K202+K203+K204</f>
        <v>52056</v>
      </c>
      <c r="L200" s="64">
        <f t="shared" si="8"/>
        <v>1</v>
      </c>
      <c r="M200" s="42">
        <f>+M201+M202+M203+M204</f>
        <v>5000</v>
      </c>
      <c r="N200" s="64">
        <f t="shared" si="9"/>
        <v>9.4857999999999993</v>
      </c>
      <c r="O200" s="64">
        <f t="shared" si="10"/>
        <v>1</v>
      </c>
      <c r="P200" s="42">
        <f>+P201+P202+P203+P204</f>
        <v>5000</v>
      </c>
    </row>
    <row r="201" spans="1:16">
      <c r="A201" s="425" t="s">
        <v>475</v>
      </c>
      <c r="B201" s="1018" t="s">
        <v>476</v>
      </c>
      <c r="C201" s="507" t="s">
        <v>477</v>
      </c>
      <c r="D201" s="1020">
        <f>VLOOKUP(A201,'Gastos Proyecciones'!$A$22:$R$233,LOOKUP($D$22,'Gastos Proyecciones'!$D$22:$R$22,'Gastos Proyecciones'!$D$240:$R$240),FALSE)</f>
        <v>44996</v>
      </c>
      <c r="E201" s="18">
        <v>115000</v>
      </c>
      <c r="F201" s="980">
        <v>0</v>
      </c>
      <c r="G201" s="18">
        <v>44996</v>
      </c>
      <c r="H201" s="58">
        <f t="shared" si="11"/>
        <v>-70004</v>
      </c>
      <c r="I201" s="18">
        <v>44996</v>
      </c>
      <c r="J201" s="18">
        <v>44996</v>
      </c>
      <c r="K201" s="18">
        <v>44996</v>
      </c>
      <c r="L201" s="66">
        <f t="shared" si="8"/>
        <v>1</v>
      </c>
      <c r="M201" s="18">
        <v>0</v>
      </c>
      <c r="N201" s="66" t="e">
        <f t="shared" si="9"/>
        <v>#DIV/0!</v>
      </c>
      <c r="O201" s="66">
        <f t="shared" si="10"/>
        <v>1</v>
      </c>
      <c r="P201" s="18">
        <v>0</v>
      </c>
    </row>
    <row r="202" spans="1:16">
      <c r="A202" s="425" t="s">
        <v>478</v>
      </c>
      <c r="B202" s="1018" t="s">
        <v>479</v>
      </c>
      <c r="C202" s="507" t="s">
        <v>480</v>
      </c>
      <c r="D202" s="1020">
        <f>VLOOKUP(A202,'Gastos Proyecciones'!$A$22:$R$233,LOOKUP($D$22,'Gastos Proyecciones'!$D$22:$R$22,'Gastos Proyecciones'!$D$240:$R$240),FALSE)</f>
        <v>7433</v>
      </c>
      <c r="E202" s="18">
        <v>20000</v>
      </c>
      <c r="F202" s="980">
        <v>0</v>
      </c>
      <c r="G202" s="18">
        <v>7433</v>
      </c>
      <c r="H202" s="58">
        <f t="shared" si="11"/>
        <v>-12567</v>
      </c>
      <c r="I202" s="18">
        <v>7433</v>
      </c>
      <c r="J202" s="18">
        <v>7433</v>
      </c>
      <c r="K202" s="18">
        <v>7060</v>
      </c>
      <c r="L202" s="66">
        <f t="shared" si="8"/>
        <v>1</v>
      </c>
      <c r="M202" s="18">
        <v>5000</v>
      </c>
      <c r="N202" s="66">
        <f t="shared" si="9"/>
        <v>0.48659999999999992</v>
      </c>
      <c r="O202" s="66">
        <f t="shared" si="10"/>
        <v>1</v>
      </c>
      <c r="P202" s="18">
        <f>VLOOKUP(A202,'Gastos Proyecciones'!$A$22:$R$233,LOOKUP(Ingresos!$O$190,'Gastos Proyecciones'!$D$22:$R$22,'Gastos Proyecciones'!$D$240:$R$240),FALSE)</f>
        <v>5000</v>
      </c>
    </row>
    <row r="203" spans="1:16">
      <c r="A203" s="425" t="s">
        <v>481</v>
      </c>
      <c r="B203" s="1018" t="s">
        <v>482</v>
      </c>
      <c r="C203" s="507" t="s">
        <v>483</v>
      </c>
      <c r="D203" s="1020">
        <f>VLOOKUP(A203,'Gastos Proyecciones'!$A$22:$R$233,LOOKUP($D$22,'Gastos Proyecciones'!$D$22:$R$22,'Gastos Proyecciones'!$D$240:$R$240),FALSE)</f>
        <v>0</v>
      </c>
      <c r="E203" s="18">
        <v>0</v>
      </c>
      <c r="F203" s="980">
        <v>0</v>
      </c>
      <c r="G203" s="18">
        <v>0</v>
      </c>
      <c r="H203" s="58">
        <f t="shared" si="11"/>
        <v>0</v>
      </c>
      <c r="I203" s="18">
        <v>0</v>
      </c>
      <c r="J203" s="18">
        <v>0</v>
      </c>
      <c r="K203" s="18">
        <v>0</v>
      </c>
      <c r="L203" s="64" t="e">
        <f t="shared" si="8"/>
        <v>#DIV/0!</v>
      </c>
      <c r="M203" s="18">
        <v>0</v>
      </c>
      <c r="N203" s="64" t="e">
        <f t="shared" si="9"/>
        <v>#DIV/0!</v>
      </c>
      <c r="O203" s="64" t="e">
        <f t="shared" si="10"/>
        <v>#DIV/0!</v>
      </c>
      <c r="P203" s="18">
        <f>VLOOKUP(A203,'Gastos Proyecciones'!$A$22:$R$233,LOOKUP(Ingresos!$O$190,'Gastos Proyecciones'!$D$22:$R$22,'Gastos Proyecciones'!$D$240:$R$240),FALSE)</f>
        <v>0</v>
      </c>
    </row>
    <row r="204" spans="1:16">
      <c r="A204" s="425" t="s">
        <v>484</v>
      </c>
      <c r="B204" s="1018" t="s">
        <v>485</v>
      </c>
      <c r="C204" s="507" t="s">
        <v>486</v>
      </c>
      <c r="D204" s="1020">
        <f>VLOOKUP(A204,'Gastos Proyecciones'!$A$22:$R$233,LOOKUP($D$22,'Gastos Proyecciones'!$D$22:$R$22,'Gastos Proyecciones'!$D$240:$R$240),FALSE)</f>
        <v>0</v>
      </c>
      <c r="E204" s="18">
        <v>0</v>
      </c>
      <c r="F204" s="980">
        <v>0</v>
      </c>
      <c r="G204" s="18">
        <v>0</v>
      </c>
      <c r="H204" s="58">
        <f t="shared" si="11"/>
        <v>0</v>
      </c>
      <c r="I204" s="18">
        <v>0</v>
      </c>
      <c r="J204" s="18">
        <v>0</v>
      </c>
      <c r="K204" s="18">
        <v>0</v>
      </c>
      <c r="L204" s="66" t="e">
        <f t="shared" si="8"/>
        <v>#DIV/0!</v>
      </c>
      <c r="M204" s="18">
        <v>0</v>
      </c>
      <c r="N204" s="66" t="e">
        <f t="shared" si="9"/>
        <v>#DIV/0!</v>
      </c>
      <c r="O204" s="66" t="e">
        <f t="shared" si="10"/>
        <v>#DIV/0!</v>
      </c>
      <c r="P204" s="18">
        <f>VLOOKUP(A204,'Gastos Proyecciones'!$A$22:$R$233,LOOKUP(Ingresos!$O$190,'Gastos Proyecciones'!$D$22:$R$22,'Gastos Proyecciones'!$D$240:$R$240),FALSE)</f>
        <v>0</v>
      </c>
    </row>
    <row r="205" spans="1:16" s="14" customFormat="1">
      <c r="A205" s="425" t="s">
        <v>487</v>
      </c>
      <c r="B205" s="1018" t="s">
        <v>488</v>
      </c>
      <c r="C205" s="506" t="s">
        <v>489</v>
      </c>
      <c r="D205" s="42">
        <f>+D206+D207+D208</f>
        <v>0</v>
      </c>
      <c r="E205" s="42">
        <f>+E206+E207+E208</f>
        <v>0</v>
      </c>
      <c r="F205" s="42">
        <f>SUM(F206:F208)</f>
        <v>0</v>
      </c>
      <c r="G205" s="42">
        <f>+G206+G207+G208</f>
        <v>0</v>
      </c>
      <c r="H205" s="42">
        <f t="shared" si="11"/>
        <v>0</v>
      </c>
      <c r="I205" s="42">
        <f>+I206+I207+I208</f>
        <v>0</v>
      </c>
      <c r="J205" s="42">
        <f>+J206+J207+J208</f>
        <v>0</v>
      </c>
      <c r="K205" s="42">
        <f>+K206+K207+K208</f>
        <v>0</v>
      </c>
      <c r="L205" s="64" t="e">
        <f t="shared" si="8"/>
        <v>#DIV/0!</v>
      </c>
      <c r="M205" s="42">
        <f>+M206+M207+M208</f>
        <v>0</v>
      </c>
      <c r="N205" s="64" t="e">
        <f t="shared" si="9"/>
        <v>#DIV/0!</v>
      </c>
      <c r="O205" s="64" t="e">
        <f t="shared" si="10"/>
        <v>#DIV/0!</v>
      </c>
      <c r="P205" s="42">
        <f>+P206+P207+P208</f>
        <v>0</v>
      </c>
    </row>
    <row r="206" spans="1:16">
      <c r="A206" s="425" t="s">
        <v>490</v>
      </c>
      <c r="B206" s="1018" t="s">
        <v>491</v>
      </c>
      <c r="C206" s="507" t="s">
        <v>477</v>
      </c>
      <c r="D206" s="491">
        <f>VLOOKUP(A206,'Gastos Proyecciones'!$A$22:$R$233,LOOKUP($D$22,'Gastos Proyecciones'!$D$22:$R$22,'Gastos Proyecciones'!$D$240:$R$240),FALSE)</f>
        <v>0</v>
      </c>
      <c r="E206" s="18">
        <v>0</v>
      </c>
      <c r="F206" s="980">
        <v>0</v>
      </c>
      <c r="G206" s="18">
        <v>0</v>
      </c>
      <c r="H206" s="58">
        <f t="shared" si="11"/>
        <v>0</v>
      </c>
      <c r="I206" s="18">
        <v>0</v>
      </c>
      <c r="J206" s="18">
        <v>0</v>
      </c>
      <c r="K206" s="18">
        <v>0</v>
      </c>
      <c r="L206" s="66" t="e">
        <f t="shared" si="8"/>
        <v>#DIV/0!</v>
      </c>
      <c r="M206" s="18">
        <v>0</v>
      </c>
      <c r="N206" s="66" t="e">
        <f t="shared" si="9"/>
        <v>#DIV/0!</v>
      </c>
      <c r="O206" s="66" t="e">
        <f t="shared" si="10"/>
        <v>#DIV/0!</v>
      </c>
      <c r="P206" s="18">
        <v>0</v>
      </c>
    </row>
    <row r="207" spans="1:16">
      <c r="A207" s="425" t="s">
        <v>492</v>
      </c>
      <c r="B207" s="1018" t="s">
        <v>493</v>
      </c>
      <c r="C207" s="507" t="s">
        <v>480</v>
      </c>
      <c r="D207" s="491">
        <f>VLOOKUP(A207,'Gastos Proyecciones'!$A$22:$R$233,LOOKUP($D$22,'Gastos Proyecciones'!$D$22:$R$22,'Gastos Proyecciones'!$D$240:$R$240),FALSE)</f>
        <v>0</v>
      </c>
      <c r="E207" s="18">
        <v>0</v>
      </c>
      <c r="F207" s="980">
        <v>0</v>
      </c>
      <c r="G207" s="18">
        <v>0</v>
      </c>
      <c r="H207" s="58">
        <f t="shared" si="11"/>
        <v>0</v>
      </c>
      <c r="I207" s="18">
        <v>0</v>
      </c>
      <c r="J207" s="18">
        <v>0</v>
      </c>
      <c r="K207" s="18">
        <v>0</v>
      </c>
      <c r="L207" s="66" t="e">
        <f t="shared" si="8"/>
        <v>#DIV/0!</v>
      </c>
      <c r="M207" s="18">
        <v>0</v>
      </c>
      <c r="N207" s="66" t="e">
        <f t="shared" si="9"/>
        <v>#DIV/0!</v>
      </c>
      <c r="O207" s="66" t="e">
        <f t="shared" si="10"/>
        <v>#DIV/0!</v>
      </c>
      <c r="P207" s="18">
        <v>0</v>
      </c>
    </row>
    <row r="208" spans="1:16" s="10" customFormat="1" ht="13.5" thickBot="1">
      <c r="A208" s="426" t="s">
        <v>494</v>
      </c>
      <c r="B208" s="1037" t="s">
        <v>495</v>
      </c>
      <c r="C208" s="1038" t="s">
        <v>483</v>
      </c>
      <c r="D208" s="1039">
        <f>VLOOKUP(A208,'Gastos Proyecciones'!$A$22:$R$233,LOOKUP($D$22,'Gastos Proyecciones'!$D$22:$R$22,'Gastos Proyecciones'!$D$240:$R$240),FALSE)</f>
        <v>0</v>
      </c>
      <c r="E208" s="1040">
        <v>0</v>
      </c>
      <c r="F208" s="1041">
        <v>0</v>
      </c>
      <c r="G208" s="1040">
        <v>0</v>
      </c>
      <c r="H208" s="60">
        <f t="shared" si="11"/>
        <v>0</v>
      </c>
      <c r="I208" s="1040">
        <v>0</v>
      </c>
      <c r="J208" s="1040">
        <v>0</v>
      </c>
      <c r="K208" s="1040">
        <v>0</v>
      </c>
      <c r="L208" s="74" t="e">
        <f t="shared" si="8"/>
        <v>#DIV/0!</v>
      </c>
      <c r="M208" s="1040">
        <v>0</v>
      </c>
      <c r="N208" s="75" t="e">
        <f t="shared" si="9"/>
        <v>#DIV/0!</v>
      </c>
      <c r="O208" s="1042" t="e">
        <f t="shared" si="10"/>
        <v>#DIV/0!</v>
      </c>
      <c r="P208" s="1040">
        <f>VLOOKUP(A208,'Gastos Proyecciones'!$A$22:$R$233,LOOKUP(Ingresos!$O$190,'Gastos Proyecciones'!$D$22:$R$22,'Gastos Proyecciones'!$D$240:$R$240),FALSE)</f>
        <v>0</v>
      </c>
    </row>
    <row r="209" spans="1:16" s="10" customFormat="1" hidden="1">
      <c r="A209" s="459" t="str">
        <f>A222</f>
        <v>118A</v>
      </c>
      <c r="B209" s="459">
        <f t="shared" ref="B209:O209" si="12">B222</f>
        <v>0</v>
      </c>
      <c r="C209" s="459" t="str">
        <f t="shared" si="12"/>
        <v>ORGANISMOS DE CONTROL</v>
      </c>
      <c r="D209" s="459">
        <f t="shared" si="12"/>
        <v>179461</v>
      </c>
      <c r="E209" s="459">
        <f t="shared" si="12"/>
        <v>181006</v>
      </c>
      <c r="F209" s="459">
        <f t="shared" si="12"/>
        <v>0</v>
      </c>
      <c r="G209" s="459">
        <f t="shared" si="12"/>
        <v>179461</v>
      </c>
      <c r="H209" s="459">
        <f t="shared" si="12"/>
        <v>-1545</v>
      </c>
      <c r="I209" s="459">
        <f t="shared" si="12"/>
        <v>179461</v>
      </c>
      <c r="J209" s="459">
        <f t="shared" si="12"/>
        <v>179461</v>
      </c>
      <c r="K209" s="459">
        <f t="shared" si="12"/>
        <v>168270</v>
      </c>
      <c r="L209" s="459">
        <f t="shared" si="12"/>
        <v>1</v>
      </c>
      <c r="M209" s="459">
        <f t="shared" si="12"/>
        <v>175285</v>
      </c>
      <c r="N209" s="459">
        <f t="shared" si="12"/>
        <v>2.3824057962746448E-2</v>
      </c>
      <c r="O209" s="459">
        <f t="shared" si="12"/>
        <v>1</v>
      </c>
      <c r="P209" s="459">
        <f>P222</f>
        <v>175285</v>
      </c>
    </row>
    <row r="210" spans="1:16" s="10" customFormat="1" hidden="1">
      <c r="A210" s="459" t="str">
        <f t="shared" ref="A210:O212" si="13">A223</f>
        <v>242</v>
      </c>
      <c r="B210" s="459">
        <f t="shared" si="13"/>
        <v>0</v>
      </c>
      <c r="C210" s="459" t="str">
        <f t="shared" si="13"/>
        <v>Transferencias a Concejo</v>
      </c>
      <c r="D210" s="459">
        <f t="shared" si="13"/>
        <v>99121</v>
      </c>
      <c r="E210" s="459">
        <f t="shared" si="13"/>
        <v>99121</v>
      </c>
      <c r="F210" s="459">
        <f t="shared" si="13"/>
        <v>0</v>
      </c>
      <c r="G210" s="459">
        <f t="shared" si="13"/>
        <v>99121</v>
      </c>
      <c r="H210" s="459">
        <f t="shared" si="13"/>
        <v>0</v>
      </c>
      <c r="I210" s="459">
        <f t="shared" si="13"/>
        <v>99121</v>
      </c>
      <c r="J210" s="459">
        <f t="shared" si="13"/>
        <v>99121</v>
      </c>
      <c r="K210" s="459">
        <f t="shared" si="13"/>
        <v>94625</v>
      </c>
      <c r="L210" s="459">
        <f t="shared" si="13"/>
        <v>1</v>
      </c>
      <c r="M210" s="459">
        <f t="shared" si="13"/>
        <v>98035</v>
      </c>
      <c r="N210" s="459">
        <f t="shared" si="13"/>
        <v>1.1077676340082609E-2</v>
      </c>
      <c r="O210" s="459">
        <f t="shared" si="13"/>
        <v>1</v>
      </c>
      <c r="P210" s="459">
        <f>P223</f>
        <v>98035</v>
      </c>
    </row>
    <row r="211" spans="1:16" s="10" customFormat="1" hidden="1">
      <c r="A211" s="459" t="str">
        <f t="shared" si="13"/>
        <v>243</v>
      </c>
      <c r="B211" s="459">
        <f t="shared" si="13"/>
        <v>0</v>
      </c>
      <c r="C211" s="459" t="str">
        <f t="shared" si="13"/>
        <v xml:space="preserve">Transferencias a Contraloría </v>
      </c>
      <c r="D211" s="459">
        <f t="shared" si="13"/>
        <v>0</v>
      </c>
      <c r="E211" s="459">
        <f t="shared" si="13"/>
        <v>0</v>
      </c>
      <c r="F211" s="459">
        <f t="shared" si="13"/>
        <v>0</v>
      </c>
      <c r="G211" s="459">
        <f t="shared" si="13"/>
        <v>0</v>
      </c>
      <c r="H211" s="459">
        <f t="shared" si="13"/>
        <v>0</v>
      </c>
      <c r="I211" s="459">
        <f t="shared" si="13"/>
        <v>0</v>
      </c>
      <c r="J211" s="459">
        <f t="shared" si="13"/>
        <v>0</v>
      </c>
      <c r="K211" s="459">
        <f t="shared" si="13"/>
        <v>0</v>
      </c>
      <c r="L211" s="459" t="e">
        <f t="shared" si="13"/>
        <v>#DIV/0!</v>
      </c>
      <c r="M211" s="459">
        <f t="shared" si="13"/>
        <v>0</v>
      </c>
      <c r="N211" s="459" t="e">
        <f t="shared" si="13"/>
        <v>#DIV/0!</v>
      </c>
      <c r="O211" s="459" t="e">
        <f t="shared" si="13"/>
        <v>#DIV/0!</v>
      </c>
      <c r="P211" s="459">
        <f>P224</f>
        <v>0</v>
      </c>
    </row>
    <row r="212" spans="1:16" s="10" customFormat="1" hidden="1">
      <c r="A212" s="459" t="str">
        <f t="shared" si="13"/>
        <v>244</v>
      </c>
      <c r="B212" s="459">
        <f t="shared" si="13"/>
        <v>0</v>
      </c>
      <c r="C212" s="459" t="str">
        <f t="shared" si="13"/>
        <v>Transferencias a Personería</v>
      </c>
      <c r="D212" s="459">
        <f t="shared" si="13"/>
        <v>80340</v>
      </c>
      <c r="E212" s="459">
        <f t="shared" si="13"/>
        <v>81885</v>
      </c>
      <c r="F212" s="459">
        <f t="shared" si="13"/>
        <v>0</v>
      </c>
      <c r="G212" s="459">
        <f t="shared" si="13"/>
        <v>80340</v>
      </c>
      <c r="H212" s="459">
        <f t="shared" si="13"/>
        <v>-1545</v>
      </c>
      <c r="I212" s="459">
        <f t="shared" si="13"/>
        <v>80340</v>
      </c>
      <c r="J212" s="459">
        <f t="shared" si="13"/>
        <v>80340</v>
      </c>
      <c r="K212" s="459">
        <f t="shared" si="13"/>
        <v>73645</v>
      </c>
      <c r="L212" s="459">
        <f t="shared" si="13"/>
        <v>1</v>
      </c>
      <c r="M212" s="459">
        <f t="shared" si="13"/>
        <v>77250</v>
      </c>
      <c r="N212" s="459">
        <f t="shared" si="13"/>
        <v>4.0000000000000036E-2</v>
      </c>
      <c r="O212" s="459">
        <f t="shared" si="13"/>
        <v>1</v>
      </c>
      <c r="P212" s="459">
        <f>P225</f>
        <v>77250</v>
      </c>
    </row>
    <row r="213" spans="1:16" s="10" customFormat="1" hidden="1">
      <c r="A213" s="459" t="str">
        <f>A230</f>
        <v>341A</v>
      </c>
      <c r="B213" s="459">
        <f t="shared" ref="B213:O213" si="14">B230</f>
        <v>0</v>
      </c>
      <c r="C213" s="459" t="str">
        <f t="shared" si="14"/>
        <v>TRANSFERENCIAS A RESGUARDOS INDIGENAS</v>
      </c>
      <c r="D213" s="459">
        <f t="shared" si="14"/>
        <v>0</v>
      </c>
      <c r="E213" s="459">
        <f t="shared" si="14"/>
        <v>0</v>
      </c>
      <c r="F213" s="459">
        <f t="shared" si="14"/>
        <v>0</v>
      </c>
      <c r="G213" s="459">
        <f t="shared" si="14"/>
        <v>0</v>
      </c>
      <c r="H213" s="459">
        <f t="shared" si="14"/>
        <v>0</v>
      </c>
      <c r="I213" s="459">
        <f t="shared" si="14"/>
        <v>0</v>
      </c>
      <c r="J213" s="459">
        <f t="shared" si="14"/>
        <v>0</v>
      </c>
      <c r="K213" s="459">
        <f t="shared" si="14"/>
        <v>0</v>
      </c>
      <c r="L213" s="459" t="e">
        <f t="shared" si="14"/>
        <v>#DIV/0!</v>
      </c>
      <c r="M213" s="459">
        <f t="shared" si="14"/>
        <v>0</v>
      </c>
      <c r="N213" s="459" t="e">
        <f t="shared" si="14"/>
        <v>#DIV/0!</v>
      </c>
      <c r="O213" s="459" t="e">
        <f t="shared" si="14"/>
        <v>#DIV/0!</v>
      </c>
      <c r="P213" s="459">
        <f>P230</f>
        <v>0</v>
      </c>
    </row>
    <row r="214" spans="1:16" s="10" customFormat="1" hidden="1">
      <c r="A214" s="459" t="str">
        <f>A231</f>
        <v>241</v>
      </c>
      <c r="B214" s="459">
        <f t="shared" ref="B214:O214" si="15">B231</f>
        <v>0</v>
      </c>
      <c r="C214" s="459" t="str">
        <f t="shared" si="15"/>
        <v>Resguardos Indigenas</v>
      </c>
      <c r="D214" s="459">
        <f t="shared" si="15"/>
        <v>0</v>
      </c>
      <c r="E214" s="459">
        <f t="shared" si="15"/>
        <v>0</v>
      </c>
      <c r="F214" s="459">
        <f t="shared" si="15"/>
        <v>0</v>
      </c>
      <c r="G214" s="459">
        <f t="shared" si="15"/>
        <v>0</v>
      </c>
      <c r="H214" s="459">
        <f t="shared" si="15"/>
        <v>0</v>
      </c>
      <c r="I214" s="459">
        <f t="shared" si="15"/>
        <v>0</v>
      </c>
      <c r="J214" s="459">
        <f t="shared" si="15"/>
        <v>0</v>
      </c>
      <c r="K214" s="459">
        <f t="shared" si="15"/>
        <v>0</v>
      </c>
      <c r="L214" s="459" t="e">
        <f t="shared" si="15"/>
        <v>#DIV/0!</v>
      </c>
      <c r="M214" s="459">
        <f t="shared" si="15"/>
        <v>0</v>
      </c>
      <c r="N214" s="459" t="e">
        <f t="shared" si="15"/>
        <v>#DIV/0!</v>
      </c>
      <c r="O214" s="459" t="e">
        <f t="shared" si="15"/>
        <v>#DIV/0!</v>
      </c>
      <c r="P214" s="459">
        <f>P231</f>
        <v>0</v>
      </c>
    </row>
    <row r="215" spans="1:16" s="10" customFormat="1" ht="3.75" customHeight="1">
      <c r="A215" s="459"/>
      <c r="B215" s="3"/>
      <c r="C215" s="315"/>
      <c r="D215" s="43"/>
      <c r="E215" s="460"/>
      <c r="F215" s="86"/>
      <c r="G215" s="460"/>
      <c r="H215" s="418"/>
      <c r="I215" s="460"/>
      <c r="J215" s="460"/>
      <c r="K215" s="460"/>
      <c r="L215" s="461"/>
      <c r="M215" s="460"/>
      <c r="N215" s="78"/>
      <c r="O215" s="50"/>
      <c r="P215" s="460"/>
    </row>
    <row r="216" spans="1:16" s="10" customFormat="1" ht="3.75" customHeight="1">
      <c r="A216" s="3"/>
      <c r="B216" s="6"/>
      <c r="C216" s="3"/>
      <c r="D216" s="3"/>
      <c r="E216" s="6"/>
      <c r="F216" s="76" t="e">
        <f>+#REF!+#REF!+#REF!-#REF!-#REF!</f>
        <v>#REF!</v>
      </c>
      <c r="G216" s="6"/>
      <c r="I216" s="6"/>
      <c r="J216" s="6"/>
      <c r="K216" s="6"/>
      <c r="L216" s="51"/>
      <c r="M216" s="6"/>
      <c r="N216" s="51"/>
      <c r="O216" s="51"/>
      <c r="P216" s="6"/>
    </row>
    <row r="217" spans="1:16" s="10" customFormat="1" ht="15.75" thickBot="1">
      <c r="A217" s="2" t="s">
        <v>496</v>
      </c>
      <c r="B217" s="54"/>
      <c r="C217" s="1"/>
      <c r="D217" s="1"/>
      <c r="F217" s="77" t="e">
        <f>+#REF!+#REF!+#REF!-#REF!-#REF!</f>
        <v>#REF!</v>
      </c>
      <c r="L217" s="51"/>
      <c r="N217" s="51"/>
      <c r="O217" s="51"/>
    </row>
    <row r="218" spans="1:16" s="3" customFormat="1" ht="5.25" customHeight="1" thickBot="1">
      <c r="A218" s="1"/>
      <c r="B218" s="6"/>
      <c r="C218" s="1"/>
      <c r="D218" s="1"/>
      <c r="E218" s="10"/>
      <c r="G218" s="10"/>
      <c r="H218" s="6"/>
      <c r="I218" s="10"/>
      <c r="J218" s="10"/>
      <c r="K218" s="10"/>
      <c r="L218" s="78"/>
      <c r="M218" s="10"/>
      <c r="N218" s="78"/>
      <c r="O218" s="78"/>
      <c r="P218" s="10"/>
    </row>
    <row r="219" spans="1:16" ht="51.75" thickBot="1">
      <c r="A219" s="336" t="s">
        <v>497</v>
      </c>
      <c r="B219" s="1050"/>
      <c r="C219" s="336" t="s">
        <v>498</v>
      </c>
      <c r="D219" s="408" t="s">
        <v>499</v>
      </c>
      <c r="E219" s="311" t="s">
        <v>1242</v>
      </c>
      <c r="F219" s="1016"/>
      <c r="G219" s="311" t="s">
        <v>104</v>
      </c>
      <c r="H219" s="409" t="s">
        <v>1244</v>
      </c>
      <c r="I219" s="409" t="s">
        <v>105</v>
      </c>
      <c r="J219" s="311" t="s">
        <v>106</v>
      </c>
      <c r="K219" s="311" t="s">
        <v>107</v>
      </c>
      <c r="L219" s="409" t="s">
        <v>1247</v>
      </c>
      <c r="M219" s="311" t="s">
        <v>500</v>
      </c>
      <c r="N219" s="409" t="s">
        <v>1249</v>
      </c>
      <c r="O219" s="1043" t="s">
        <v>1250</v>
      </c>
      <c r="P219" s="311" t="s">
        <v>500</v>
      </c>
    </row>
    <row r="220" spans="1:16" ht="13.5" hidden="1" thickBot="1">
      <c r="A220" s="337"/>
      <c r="B220" s="93"/>
      <c r="C220" s="337"/>
      <c r="D220" s="338"/>
      <c r="E220" s="331"/>
      <c r="F220" s="1018"/>
      <c r="G220" s="331"/>
      <c r="H220" s="312"/>
      <c r="I220" s="331"/>
      <c r="J220" s="331"/>
      <c r="K220" s="331"/>
      <c r="L220" s="312"/>
      <c r="M220" s="331"/>
      <c r="N220" s="312"/>
      <c r="O220" s="424" t="s">
        <v>501</v>
      </c>
      <c r="P220" s="331"/>
    </row>
    <row r="221" spans="1:16" ht="13.5" hidden="1" customHeight="1" thickBot="1">
      <c r="A221" s="338"/>
      <c r="B221" s="93"/>
      <c r="C221" s="338"/>
      <c r="D221" s="338"/>
      <c r="E221" s="312"/>
      <c r="F221" s="336" t="s">
        <v>502</v>
      </c>
      <c r="G221" s="312"/>
      <c r="H221" s="312"/>
      <c r="I221" s="312"/>
      <c r="J221" s="312"/>
      <c r="K221" s="312"/>
      <c r="L221" s="312"/>
      <c r="M221" s="312"/>
      <c r="N221" s="312"/>
      <c r="O221" s="424"/>
      <c r="P221" s="312"/>
    </row>
    <row r="222" spans="1:16" s="14" customFormat="1">
      <c r="A222" s="44" t="s">
        <v>503</v>
      </c>
      <c r="B222" s="428"/>
      <c r="C222" s="1044" t="s">
        <v>504</v>
      </c>
      <c r="D222" s="79">
        <f>SUM(D223:D225)</f>
        <v>179461</v>
      </c>
      <c r="E222" s="80">
        <f>SUM(E223:E225)</f>
        <v>181006</v>
      </c>
      <c r="F222" s="337"/>
      <c r="G222" s="80">
        <f>SUM(G223:G225)</f>
        <v>179461</v>
      </c>
      <c r="H222" s="42">
        <f>+G222-E222</f>
        <v>-1545</v>
      </c>
      <c r="I222" s="980">
        <f>SUM(I223:I225)</f>
        <v>179461</v>
      </c>
      <c r="J222" s="80">
        <f>SUM(J223:J225)</f>
        <v>179461</v>
      </c>
      <c r="K222" s="80">
        <f>SUM(K223:K225)</f>
        <v>168270</v>
      </c>
      <c r="L222" s="64">
        <f t="shared" si="8"/>
        <v>1</v>
      </c>
      <c r="M222" s="80">
        <f>SUM(M223:M225)</f>
        <v>175285</v>
      </c>
      <c r="N222" s="64">
        <f>+(J222/M222)-1</f>
        <v>2.3824057962746448E-2</v>
      </c>
      <c r="O222" s="64">
        <f>+J222/D222</f>
        <v>1</v>
      </c>
      <c r="P222" s="80">
        <f>SUM(P223:P225)</f>
        <v>175285</v>
      </c>
    </row>
    <row r="223" spans="1:16" ht="13.5" thickBot="1">
      <c r="A223" s="28" t="s">
        <v>505</v>
      </c>
      <c r="B223" s="1045"/>
      <c r="C223" s="1046" t="s">
        <v>506</v>
      </c>
      <c r="D223" s="1020">
        <f>VLOOKUP(A223,'Gastos Proyecciones'!$A$22:$R$233,LOOKUP($D$22,'Gastos Proyecciones'!$D$22:$R$22,'Gastos Proyecciones'!$D$240:$R$240),FALSE)</f>
        <v>99121</v>
      </c>
      <c r="E223" s="18">
        <v>99121</v>
      </c>
      <c r="F223" s="338"/>
      <c r="G223" s="18">
        <v>99121</v>
      </c>
      <c r="H223" s="58">
        <f>+G223-E223</f>
        <v>0</v>
      </c>
      <c r="I223" s="18">
        <v>99121</v>
      </c>
      <c r="J223" s="18">
        <v>99121</v>
      </c>
      <c r="K223" s="18">
        <v>94625</v>
      </c>
      <c r="L223" s="66">
        <f t="shared" ref="L223:L233" si="16">+J223/G223</f>
        <v>1</v>
      </c>
      <c r="M223" s="18">
        <v>98035</v>
      </c>
      <c r="N223" s="66">
        <f>+(J223/M223)-1</f>
        <v>1.1077676340082609E-2</v>
      </c>
      <c r="O223" s="66">
        <f>+J223/D223</f>
        <v>1</v>
      </c>
      <c r="P223" s="18">
        <f>VLOOKUP(A223,'Gastos Proyecciones'!$A$22:$R$233,LOOKUP(Ingresos!$O$190,'Gastos Proyecciones'!$D$22:$R$22,'Gastos Proyecciones'!$D$240:$R$240),FALSE)</f>
        <v>98035</v>
      </c>
    </row>
    <row r="224" spans="1:16">
      <c r="A224" s="82" t="s">
        <v>507</v>
      </c>
      <c r="B224" s="1047"/>
      <c r="C224" s="1046" t="s">
        <v>508</v>
      </c>
      <c r="D224" s="1020">
        <f>VLOOKUP(A224,'Gastos Proyecciones'!$A$22:$R$233,LOOKUP($D$22,'Gastos Proyecciones'!$D$22:$R$22,'Gastos Proyecciones'!$D$240:$R$240),FALSE)</f>
        <v>0</v>
      </c>
      <c r="E224" s="18"/>
      <c r="F224" s="84"/>
      <c r="G224" s="18"/>
      <c r="H224" s="58">
        <f>+G224-E224</f>
        <v>0</v>
      </c>
      <c r="I224" s="18"/>
      <c r="J224" s="18"/>
      <c r="K224" s="18"/>
      <c r="L224" s="66" t="e">
        <f t="shared" si="16"/>
        <v>#DIV/0!</v>
      </c>
      <c r="M224" s="18"/>
      <c r="N224" s="66" t="e">
        <f>+(J224/M224)-1</f>
        <v>#DIV/0!</v>
      </c>
      <c r="O224" s="66" t="e">
        <f>+J224/D224</f>
        <v>#DIV/0!</v>
      </c>
      <c r="P224" s="18">
        <f>VLOOKUP(A224,'Gastos Proyecciones'!$A$22:$R$233,LOOKUP(Ingresos!$O$190,'Gastos Proyecciones'!$D$22:$R$22,'Gastos Proyecciones'!$D$240:$R$240),FALSE)</f>
        <v>0</v>
      </c>
    </row>
    <row r="225" spans="1:16" ht="13.5" thickBot="1">
      <c r="A225" s="467" t="s">
        <v>509</v>
      </c>
      <c r="B225" s="1048"/>
      <c r="C225" s="1049" t="s">
        <v>510</v>
      </c>
      <c r="D225" s="1040">
        <f>VLOOKUP(A225,'Gastos Proyecciones'!$A$22:$R$233,LOOKUP($D$22,'Gastos Proyecciones'!$D$22:$R$22,'Gastos Proyecciones'!$D$240:$R$240),FALSE)</f>
        <v>80340</v>
      </c>
      <c r="E225" s="1040">
        <v>81885</v>
      </c>
      <c r="F225" s="77"/>
      <c r="G225" s="1040">
        <v>80340</v>
      </c>
      <c r="H225" s="60">
        <f>+G225-E225</f>
        <v>-1545</v>
      </c>
      <c r="I225" s="1040">
        <v>80340</v>
      </c>
      <c r="J225" s="1040">
        <v>80340</v>
      </c>
      <c r="K225" s="1040">
        <v>73645</v>
      </c>
      <c r="L225" s="74">
        <f t="shared" si="16"/>
        <v>1</v>
      </c>
      <c r="M225" s="1040">
        <v>77250</v>
      </c>
      <c r="N225" s="75">
        <f>+(J225/M225)-1</f>
        <v>4.0000000000000036E-2</v>
      </c>
      <c r="O225" s="1042">
        <f>+J225/D225</f>
        <v>1</v>
      </c>
      <c r="P225" s="1040">
        <f>VLOOKUP(A225,'Gastos Proyecciones'!$A$22:$R$233,LOOKUP(Ingresos!$O$190,'Gastos Proyecciones'!$D$22:$R$22,'Gastos Proyecciones'!$D$240:$R$240),FALSE)</f>
        <v>77250</v>
      </c>
    </row>
    <row r="226" spans="1:16" ht="4.5" customHeight="1" thickBot="1">
      <c r="F226" s="76" t="e">
        <f>+E224+#REF!+#REF!-#REF!-#REF!</f>
        <v>#REF!</v>
      </c>
      <c r="G226" s="10"/>
      <c r="L226" s="49"/>
      <c r="M226" s="10"/>
      <c r="N226" s="49"/>
      <c r="P226" s="10"/>
    </row>
    <row r="227" spans="1:16" ht="51.75" thickBot="1">
      <c r="A227" s="336" t="s">
        <v>497</v>
      </c>
      <c r="B227" s="1056"/>
      <c r="C227" s="336" t="s">
        <v>498</v>
      </c>
      <c r="D227" s="408" t="s">
        <v>499</v>
      </c>
      <c r="E227" s="311" t="s">
        <v>1242</v>
      </c>
      <c r="F227" s="1016"/>
      <c r="G227" s="311" t="s">
        <v>104</v>
      </c>
      <c r="H227" s="409" t="s">
        <v>1244</v>
      </c>
      <c r="I227" s="311" t="s">
        <v>105</v>
      </c>
      <c r="J227" s="311" t="s">
        <v>106</v>
      </c>
      <c r="K227" s="311" t="s">
        <v>107</v>
      </c>
      <c r="L227" s="409" t="s">
        <v>1247</v>
      </c>
      <c r="M227" s="311" t="s">
        <v>500</v>
      </c>
      <c r="N227" s="409" t="s">
        <v>1249</v>
      </c>
      <c r="O227" s="1043" t="s">
        <v>1250</v>
      </c>
      <c r="P227" s="311" t="s">
        <v>500</v>
      </c>
    </row>
    <row r="228" spans="1:16" ht="13.5" hidden="1" thickBot="1">
      <c r="A228" s="337"/>
      <c r="B228" s="1051"/>
      <c r="C228" s="337"/>
      <c r="D228" s="337" t="s">
        <v>511</v>
      </c>
      <c r="E228" s="331"/>
      <c r="F228" s="1018"/>
      <c r="G228" s="331"/>
      <c r="H228" s="331"/>
      <c r="I228" s="331"/>
      <c r="J228" s="331"/>
      <c r="K228" s="331"/>
      <c r="L228" s="331"/>
      <c r="M228" s="331"/>
      <c r="N228" s="331"/>
      <c r="O228" s="1052" t="s">
        <v>501</v>
      </c>
      <c r="P228" s="331"/>
    </row>
    <row r="229" spans="1:16" ht="24.75" hidden="1" customHeight="1" thickBot="1">
      <c r="A229" s="338"/>
      <c r="B229" s="1051"/>
      <c r="C229" s="338"/>
      <c r="D229" s="338"/>
      <c r="E229" s="312"/>
      <c r="F229" s="336" t="s">
        <v>502</v>
      </c>
      <c r="G229" s="312"/>
      <c r="H229" s="312"/>
      <c r="I229" s="312"/>
      <c r="J229" s="312"/>
      <c r="K229" s="312"/>
      <c r="L229" s="312"/>
      <c r="M229" s="312"/>
      <c r="N229" s="312"/>
      <c r="O229" s="424"/>
      <c r="P229" s="312"/>
    </row>
    <row r="230" spans="1:16" s="14" customFormat="1">
      <c r="A230" s="45" t="s">
        <v>512</v>
      </c>
      <c r="B230" s="1053"/>
      <c r="C230" s="1044" t="s">
        <v>513</v>
      </c>
      <c r="D230" s="79">
        <f>SUM(D231:D233)</f>
        <v>0</v>
      </c>
      <c r="E230" s="80">
        <f>SUM(E231:E233)</f>
        <v>0</v>
      </c>
      <c r="F230" s="337"/>
      <c r="G230" s="80">
        <f>SUM(G231:G233)</f>
        <v>0</v>
      </c>
      <c r="H230" s="42">
        <f>+G230-E230</f>
        <v>0</v>
      </c>
      <c r="I230" s="80">
        <f>SUM(I231:I233)</f>
        <v>0</v>
      </c>
      <c r="J230" s="80">
        <f>SUM(J231:J233)</f>
        <v>0</v>
      </c>
      <c r="K230" s="80">
        <f>SUM(K231:K233)</f>
        <v>0</v>
      </c>
      <c r="L230" s="64" t="e">
        <f t="shared" si="16"/>
        <v>#DIV/0!</v>
      </c>
      <c r="M230" s="80">
        <f>SUM(M231:M233)</f>
        <v>0</v>
      </c>
      <c r="N230" s="64" t="e">
        <f>+(J230/M230)-1</f>
        <v>#DIV/0!</v>
      </c>
      <c r="O230" s="64" t="e">
        <f>+J230/D230</f>
        <v>#DIV/0!</v>
      </c>
      <c r="P230" s="80">
        <f>SUM(P231:P233)</f>
        <v>0</v>
      </c>
    </row>
    <row r="231" spans="1:16" ht="13.5" thickBot="1">
      <c r="A231" s="28" t="s">
        <v>514</v>
      </c>
      <c r="B231" s="1051"/>
      <c r="C231" s="1046" t="s">
        <v>515</v>
      </c>
      <c r="D231" s="28">
        <f>VLOOKUP(A231,'Gastos Proyecciones'!$A$22:$R$233,LOOKUP($D$22,'Gastos Proyecciones'!$D$22:$R$22,'Gastos Proyecciones'!$D$240:$R$240),FALSE)</f>
        <v>0</v>
      </c>
      <c r="E231" s="18"/>
      <c r="F231" s="338"/>
      <c r="G231" s="18"/>
      <c r="H231" s="58">
        <f>+G231-E231</f>
        <v>0</v>
      </c>
      <c r="I231" s="18"/>
      <c r="J231" s="18"/>
      <c r="K231" s="18"/>
      <c r="L231" s="66" t="e">
        <f t="shared" si="16"/>
        <v>#DIV/0!</v>
      </c>
      <c r="M231" s="18"/>
      <c r="N231" s="66" t="e">
        <f>+(J231/M231)-1</f>
        <v>#DIV/0!</v>
      </c>
      <c r="O231" s="66" t="e">
        <f>+J231/D231</f>
        <v>#DIV/0!</v>
      </c>
      <c r="P231" s="18">
        <f>VLOOKUP(A231,'Gastos Proyecciones'!$A$22:$R$233,LOOKUP(Ingresos!$O$190,'Gastos Proyecciones'!$D$22:$R$22,'Gastos Proyecciones'!$D$240:$R$240),FALSE)</f>
        <v>0</v>
      </c>
    </row>
    <row r="232" spans="1:16" ht="5.25" customHeight="1">
      <c r="A232" s="28"/>
      <c r="B232" s="1051"/>
      <c r="C232" s="1046"/>
      <c r="D232" s="88"/>
      <c r="E232" s="7"/>
      <c r="F232" s="89" t="e">
        <f>+E230+#REF!+#REF!-#REF!-#REF!</f>
        <v>#REF!</v>
      </c>
      <c r="G232" s="7"/>
      <c r="H232" s="58">
        <f>+G232-E232</f>
        <v>0</v>
      </c>
      <c r="I232" s="7"/>
      <c r="J232" s="7"/>
      <c r="K232" s="7"/>
      <c r="L232" s="66" t="e">
        <f t="shared" si="16"/>
        <v>#DIV/0!</v>
      </c>
      <c r="M232" s="7"/>
      <c r="N232" s="66" t="e">
        <f>+(J232/M232)-1</f>
        <v>#DIV/0!</v>
      </c>
      <c r="O232" s="66" t="e">
        <f>+J232/D232</f>
        <v>#DIV/0!</v>
      </c>
      <c r="P232" s="7"/>
    </row>
    <row r="233" spans="1:16" ht="5.25" customHeight="1" thickBot="1">
      <c r="A233" s="29"/>
      <c r="B233" s="1054"/>
      <c r="C233" s="1049"/>
      <c r="D233" s="90"/>
      <c r="E233" s="87"/>
      <c r="F233" s="1055" t="e">
        <f>+E231+#REF!+#REF!-#REF!-#REF!</f>
        <v>#REF!</v>
      </c>
      <c r="G233" s="87"/>
      <c r="H233" s="60">
        <f>+G233-E233</f>
        <v>0</v>
      </c>
      <c r="I233" s="87"/>
      <c r="J233" s="87"/>
      <c r="K233" s="87"/>
      <c r="L233" s="74" t="e">
        <f t="shared" si="16"/>
        <v>#DIV/0!</v>
      </c>
      <c r="M233" s="87"/>
      <c r="N233" s="75" t="e">
        <f>+(J233/M233)-1</f>
        <v>#DIV/0!</v>
      </c>
      <c r="O233" s="1042" t="e">
        <f>+J233/D233</f>
        <v>#DIV/0!</v>
      </c>
      <c r="P233" s="87"/>
    </row>
    <row r="234" spans="1:16">
      <c r="A234" s="4"/>
      <c r="B234" s="47"/>
      <c r="D234" s="10"/>
      <c r="F234" s="76" t="e">
        <f>+E232+#REF!+#REF!-#REF!-#REF!</f>
        <v>#REF!</v>
      </c>
      <c r="G234" s="85"/>
    </row>
    <row r="235" spans="1:16" ht="13.5" thickBot="1">
      <c r="A235" s="4"/>
      <c r="B235" s="47"/>
      <c r="D235" s="10"/>
      <c r="F235" s="77" t="e">
        <f>+E233+#REF!+#REF!-#REF!-#REF!</f>
        <v>#REF!</v>
      </c>
      <c r="G235" s="85"/>
    </row>
    <row r="236" spans="1:16">
      <c r="A236" s="4"/>
      <c r="B236" s="47"/>
      <c r="D236" s="10"/>
    </row>
    <row r="237" spans="1:16">
      <c r="A237" s="4"/>
      <c r="B237" s="47"/>
      <c r="D237" s="10"/>
    </row>
    <row r="238" spans="1:16">
      <c r="A238" s="4"/>
      <c r="B238" s="47"/>
      <c r="D238" s="10"/>
    </row>
    <row r="239" spans="1:16">
      <c r="A239" s="4"/>
      <c r="B239" s="47"/>
      <c r="D239" s="10"/>
    </row>
    <row r="240" spans="1:16">
      <c r="A240" s="4"/>
      <c r="B240" s="47"/>
      <c r="D240" s="10"/>
    </row>
    <row r="241" spans="1:8">
      <c r="A241" s="4"/>
      <c r="B241" s="47"/>
      <c r="D241" s="10"/>
    </row>
    <row r="242" spans="1:8">
      <c r="A242" s="4"/>
      <c r="B242" s="47"/>
      <c r="D242" s="10"/>
    </row>
    <row r="243" spans="1:8">
      <c r="A243" s="4"/>
      <c r="B243" s="47"/>
      <c r="D243" s="10"/>
    </row>
    <row r="244" spans="1:8">
      <c r="A244" s="4"/>
      <c r="B244" s="47"/>
      <c r="D244" s="10"/>
    </row>
    <row r="245" spans="1:8">
      <c r="A245" s="4"/>
      <c r="B245" s="47"/>
      <c r="D245" s="10"/>
    </row>
    <row r="246" spans="1:8">
      <c r="A246" s="4"/>
      <c r="B246" s="47"/>
      <c r="D246" s="10"/>
    </row>
    <row r="247" spans="1:8">
      <c r="A247" s="4"/>
      <c r="B247" s="47"/>
      <c r="D247" s="10"/>
    </row>
    <row r="248" spans="1:8">
      <c r="D248" s="10"/>
    </row>
    <row r="249" spans="1:8">
      <c r="D249" s="10"/>
    </row>
    <row r="250" spans="1:8">
      <c r="D250" s="10"/>
    </row>
    <row r="251" spans="1:8">
      <c r="D251" s="10"/>
    </row>
    <row r="252" spans="1:8">
      <c r="D252" s="10"/>
      <c r="G252" s="65"/>
      <c r="H252" s="1009"/>
    </row>
    <row r="253" spans="1:8">
      <c r="D253" s="10"/>
      <c r="G253" s="65"/>
      <c r="H253" s="1009"/>
    </row>
    <row r="254" spans="1:8">
      <c r="D254" s="10"/>
    </row>
    <row r="255" spans="1:8">
      <c r="D255" s="10"/>
    </row>
    <row r="256" spans="1:8">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sheetData>
  <sheetProtection password="95B1" sheet="1" objects="1" scenarios="1"/>
  <phoneticPr fontId="34" type="noConversion"/>
  <printOptions horizontalCentered="1" verticalCentered="1" gridLines="1"/>
  <pageMargins left="0.19685039370078741" right="0.19685039370078741" top="0.47244094488188981" bottom="0.43307086614173229" header="0" footer="0.23622047244094491"/>
  <pageSetup scale="50" fitToWidth="6" fitToHeight="3" orientation="landscape" horizontalDpi="4294967293" verticalDpi="144" r:id="rId1"/>
  <headerFooter alignWithMargins="0">
    <oddHeader>&amp;C&amp;"Arial,Negrita"&amp;12&amp;F</oddHeader>
    <oddFooter>&amp;L&amp;"Arial,Negrita"&amp;F  &amp;A&amp;R&amp;"Arial,Negrita"Página &amp;P de &amp;N</oddFooter>
  </headerFooter>
  <legacyDrawing r:id="rId2"/>
</worksheet>
</file>

<file path=xl/worksheets/sheet3.xml><?xml version="1.0" encoding="utf-8"?>
<worksheet xmlns="http://schemas.openxmlformats.org/spreadsheetml/2006/main" xmlns:r="http://schemas.openxmlformats.org/officeDocument/2006/relationships">
  <sheetPr codeName="Hoja3"/>
  <dimension ref="A1:AI314"/>
  <sheetViews>
    <sheetView topLeftCell="J34" zoomScaleNormal="80" workbookViewId="0">
      <selection activeCell="R23" sqref="R23:U156"/>
    </sheetView>
  </sheetViews>
  <sheetFormatPr baseColWidth="10" defaultRowHeight="12"/>
  <cols>
    <col min="1" max="1" width="9.7109375" style="601" customWidth="1"/>
    <col min="2" max="2" width="52.5703125" style="523" customWidth="1"/>
    <col min="3" max="3" width="15.42578125" style="523" customWidth="1"/>
    <col min="4" max="4" width="0.5703125" style="523" customWidth="1"/>
    <col min="5" max="5" width="13.7109375" style="522" customWidth="1"/>
    <col min="6" max="6" width="0.42578125" style="522" customWidth="1"/>
    <col min="7" max="21" width="14.7109375" style="523" customWidth="1"/>
    <col min="22" max="16384" width="11.42578125" style="523"/>
  </cols>
  <sheetData>
    <row r="1" spans="2:4" hidden="1">
      <c r="B1" s="525" t="s">
        <v>516</v>
      </c>
    </row>
    <row r="2" spans="2:4" hidden="1"/>
    <row r="3" spans="2:4" hidden="1">
      <c r="B3" s="526" t="s">
        <v>1224</v>
      </c>
    </row>
    <row r="4" spans="2:4" hidden="1">
      <c r="B4" s="526" t="s">
        <v>1225</v>
      </c>
    </row>
    <row r="5" spans="2:4" hidden="1">
      <c r="B5" s="526"/>
    </row>
    <row r="6" spans="2:4" hidden="1"/>
    <row r="7" spans="2:4" hidden="1">
      <c r="B7" s="523" t="s">
        <v>1226</v>
      </c>
    </row>
    <row r="8" spans="2:4" ht="12.75" hidden="1" thickBot="1">
      <c r="B8" s="523" t="s">
        <v>517</v>
      </c>
      <c r="C8" s="527"/>
      <c r="D8" s="528"/>
    </row>
    <row r="9" spans="2:4" ht="12.75" hidden="1" thickBot="1">
      <c r="B9" s="523" t="s">
        <v>1228</v>
      </c>
      <c r="C9" s="529" t="s">
        <v>518</v>
      </c>
      <c r="D9" s="530" t="e">
        <f>Ingresos!#REF!</f>
        <v>#REF!</v>
      </c>
    </row>
    <row r="10" spans="2:4" hidden="1">
      <c r="B10" s="523" t="s">
        <v>1230</v>
      </c>
    </row>
    <row r="11" spans="2:4" hidden="1">
      <c r="B11" s="523" t="s">
        <v>1231</v>
      </c>
    </row>
    <row r="12" spans="2:4" hidden="1"/>
    <row r="13" spans="2:4" hidden="1">
      <c r="B13" s="523" t="s">
        <v>1232</v>
      </c>
    </row>
    <row r="14" spans="2:4" hidden="1">
      <c r="B14" s="523" t="s">
        <v>1233</v>
      </c>
    </row>
    <row r="15" spans="2:4" hidden="1">
      <c r="B15" s="523" t="s">
        <v>1234</v>
      </c>
    </row>
    <row r="16" spans="2:4" hidden="1">
      <c r="B16" s="523" t="s">
        <v>1235</v>
      </c>
    </row>
    <row r="17" spans="1:35" hidden="1"/>
    <row r="18" spans="1:35" ht="12.75" hidden="1" thickBot="1">
      <c r="B18" s="523" t="s">
        <v>519</v>
      </c>
      <c r="D18" s="530" t="e">
        <f>Ingresos!#REF!</f>
        <v>#REF!</v>
      </c>
    </row>
    <row r="19" spans="1:35" hidden="1"/>
    <row r="20" spans="1:35" hidden="1"/>
    <row r="21" spans="1:35">
      <c r="B21" s="526" t="s">
        <v>516</v>
      </c>
    </row>
    <row r="22" spans="1:35" ht="12.75" thickBot="1">
      <c r="B22" s="525" t="s">
        <v>520</v>
      </c>
    </row>
    <row r="23" spans="1:35" ht="46.5" customHeight="1" thickBot="1">
      <c r="A23" s="602" t="s">
        <v>521</v>
      </c>
      <c r="B23" s="520" t="s">
        <v>1241</v>
      </c>
      <c r="C23" s="520" t="str">
        <f>"Balance Financiero Ejecutado Año"&amp;" " &amp;Ingresos!$B$10</f>
        <v>Balance Financiero Ejecutado Año 2011</v>
      </c>
      <c r="D23" s="521"/>
      <c r="E23" s="520" t="s">
        <v>522</v>
      </c>
      <c r="G23" s="520" t="str">
        <f>+'Ingresos Proyecciones'!C22</f>
        <v>Escenario Financiero Año 2009</v>
      </c>
      <c r="H23" s="520" t="str">
        <f>+'Ingresos Proyecciones'!D22</f>
        <v>Escenario Financiero Año 2010</v>
      </c>
      <c r="I23" s="520" t="str">
        <f>+'Ingresos Proyecciones'!E22</f>
        <v>Escenario Financiero Año 2011</v>
      </c>
      <c r="J23" s="520" t="str">
        <f>+'Ingresos Proyecciones'!F22</f>
        <v>Escenario Financiero Año 2012</v>
      </c>
      <c r="K23" s="520" t="str">
        <f>+'Ingresos Proyecciones'!G22</f>
        <v>Escenario Financiero Año 2013</v>
      </c>
      <c r="L23" s="520" t="str">
        <f>+'Ingresos Proyecciones'!H22</f>
        <v>Escenario Financiero Año 2014</v>
      </c>
      <c r="M23" s="520" t="str">
        <f>+'Ingresos Proyecciones'!I22</f>
        <v>Escenario Financiero Año 2015</v>
      </c>
      <c r="N23" s="520" t="str">
        <f>+'Ingresos Proyecciones'!J22</f>
        <v>Escenario Financiero Año 2016</v>
      </c>
      <c r="O23" s="520" t="str">
        <f>+'Ingresos Proyecciones'!K22</f>
        <v>Escenario Financiero Año 2017</v>
      </c>
      <c r="P23" s="520" t="str">
        <f>+'Ingresos Proyecciones'!L22</f>
        <v>Escenario Financiero Año 2018</v>
      </c>
      <c r="Q23" s="520" t="str">
        <f>+'Ingresos Proyecciones'!M22</f>
        <v>Escenario Financiero Año 2019</v>
      </c>
      <c r="R23" s="520" t="str">
        <f>+'Ingresos Proyecciones'!N22</f>
        <v>Escenario Financiero Año 2020</v>
      </c>
      <c r="S23" s="520" t="str">
        <f>+'Ingresos Proyecciones'!O22</f>
        <v>Escenario Financiero Año 2021</v>
      </c>
      <c r="T23" s="520" t="str">
        <f>+'Ingresos Proyecciones'!P22</f>
        <v>Escenario Financiero Año 2022</v>
      </c>
      <c r="U23" s="520" t="str">
        <f>+'Ingresos Proyecciones'!Q22</f>
        <v>Escenario Financiero Año 2023</v>
      </c>
      <c r="V23" s="1429" t="s">
        <v>209</v>
      </c>
      <c r="W23" s="1430" t="s">
        <v>210</v>
      </c>
      <c r="X23" s="1430" t="s">
        <v>211</v>
      </c>
      <c r="Y23" s="1430" t="s">
        <v>212</v>
      </c>
      <c r="Z23" s="1430" t="s">
        <v>213</v>
      </c>
      <c r="AA23" s="1430" t="s">
        <v>214</v>
      </c>
      <c r="AB23" s="1430" t="s">
        <v>215</v>
      </c>
      <c r="AC23" s="1430" t="s">
        <v>216</v>
      </c>
      <c r="AD23" s="1430" t="s">
        <v>217</v>
      </c>
      <c r="AE23" s="1430" t="s">
        <v>218</v>
      </c>
      <c r="AF23" s="1430" t="s">
        <v>219</v>
      </c>
      <c r="AG23" s="1430" t="s">
        <v>220</v>
      </c>
      <c r="AH23" s="1430" t="s">
        <v>221</v>
      </c>
      <c r="AI23" s="1430" t="s">
        <v>222</v>
      </c>
    </row>
    <row r="24" spans="1:35" ht="46.5" hidden="1" customHeight="1" thickBot="1">
      <c r="A24" s="602"/>
      <c r="B24" s="531"/>
      <c r="C24" s="520"/>
      <c r="D24" s="521"/>
      <c r="E24" s="520"/>
      <c r="G24" s="520"/>
      <c r="H24" s="520"/>
      <c r="I24" s="520"/>
      <c r="J24" s="520"/>
      <c r="K24" s="520"/>
      <c r="L24" s="520"/>
      <c r="M24" s="520"/>
      <c r="N24" s="520"/>
      <c r="O24" s="520"/>
      <c r="P24" s="520"/>
      <c r="Q24" s="520"/>
      <c r="R24" s="520"/>
      <c r="S24" s="520"/>
      <c r="T24" s="520"/>
      <c r="U24" s="520"/>
    </row>
    <row r="25" spans="1:35" ht="12.75" thickBot="1">
      <c r="A25" s="91" t="str">
        <f>+Ingresos!A27</f>
        <v>1</v>
      </c>
      <c r="B25" s="532" t="s">
        <v>523</v>
      </c>
      <c r="C25" s="533">
        <f>+C26+C66</f>
        <v>6706172.1200000001</v>
      </c>
      <c r="E25" s="534"/>
      <c r="G25" s="533">
        <f>+G26+G66</f>
        <v>6642691</v>
      </c>
      <c r="H25" s="533">
        <f t="shared" ref="H25:U25" si="0">+H26+H66</f>
        <v>6291226.4800000004</v>
      </c>
      <c r="I25" s="533">
        <f t="shared" si="0"/>
        <v>6706172.0992000001</v>
      </c>
      <c r="J25" s="533">
        <f t="shared" si="0"/>
        <v>5818634.5031679999</v>
      </c>
      <c r="K25" s="533">
        <f t="shared" si="0"/>
        <v>5957129.6032947199</v>
      </c>
      <c r="L25" s="533">
        <f t="shared" si="0"/>
        <v>6137684.3874265086</v>
      </c>
      <c r="M25" s="533">
        <f t="shared" si="0"/>
        <v>6383191.7629235703</v>
      </c>
      <c r="N25" s="533">
        <f t="shared" si="0"/>
        <v>6638519.433440512</v>
      </c>
      <c r="O25" s="533">
        <f t="shared" si="0"/>
        <v>6904060.2107781339</v>
      </c>
      <c r="P25" s="533">
        <f t="shared" si="0"/>
        <v>7180222.6192092588</v>
      </c>
      <c r="Q25" s="533">
        <f t="shared" si="0"/>
        <v>7467431.5239776298</v>
      </c>
      <c r="R25" s="533">
        <f t="shared" si="0"/>
        <v>7766128.7849367354</v>
      </c>
      <c r="S25" s="533">
        <f t="shared" si="0"/>
        <v>8076773.9363342058</v>
      </c>
      <c r="T25" s="533">
        <f t="shared" si="0"/>
        <v>8399844.893787574</v>
      </c>
      <c r="U25" s="533">
        <f t="shared" si="0"/>
        <v>8735838.6895390768</v>
      </c>
      <c r="V25" s="1431">
        <f>+H25/G25-1</f>
        <v>-5.2909960737297479E-2</v>
      </c>
      <c r="W25" s="1431">
        <f t="shared" ref="W25:AI25" si="1">+I25/H25-1</f>
        <v>6.5956236120114919E-2</v>
      </c>
      <c r="X25" s="1431">
        <f t="shared" si="1"/>
        <v>-0.13234637926125947</v>
      </c>
      <c r="Y25" s="1431">
        <f t="shared" si="1"/>
        <v>2.3801993414660272E-2</v>
      </c>
      <c r="Z25" s="1431">
        <f t="shared" si="1"/>
        <v>3.0309024002420415E-2</v>
      </c>
      <c r="AA25" s="1431">
        <f t="shared" si="1"/>
        <v>4.0000000000000258E-2</v>
      </c>
      <c r="AB25" s="1431">
        <f t="shared" si="1"/>
        <v>3.9999999999999813E-2</v>
      </c>
      <c r="AC25" s="1431">
        <f t="shared" si="1"/>
        <v>4.0000000000000258E-2</v>
      </c>
      <c r="AD25" s="1431">
        <f t="shared" si="1"/>
        <v>4.0000000000000036E-2</v>
      </c>
      <c r="AE25" s="1431">
        <f t="shared" si="1"/>
        <v>4.0000000000000036E-2</v>
      </c>
      <c r="AF25" s="1431">
        <f t="shared" si="1"/>
        <v>4.0000000000000036E-2</v>
      </c>
      <c r="AG25" s="1431">
        <f t="shared" si="1"/>
        <v>4.0000000000000036E-2</v>
      </c>
      <c r="AH25" s="1431">
        <f t="shared" si="1"/>
        <v>4.0000000000000036E-2</v>
      </c>
      <c r="AI25" s="1431">
        <f t="shared" si="1"/>
        <v>4.0000000000000036E-2</v>
      </c>
    </row>
    <row r="26" spans="1:35" ht="12.75" thickBot="1">
      <c r="A26" s="72" t="str">
        <f>+Ingresos!A28</f>
        <v>11</v>
      </c>
      <c r="B26" s="535" t="s">
        <v>524</v>
      </c>
      <c r="C26" s="536">
        <f>+C27+C33+C36</f>
        <v>4978908.12</v>
      </c>
      <c r="D26" s="537"/>
      <c r="E26" s="538">
        <f>+C26/C103</f>
        <v>0.74243667339692443</v>
      </c>
      <c r="G26" s="536">
        <f>+G27+G33+G36</f>
        <v>6429104</v>
      </c>
      <c r="H26" s="536">
        <f t="shared" ref="H26:U26" si="2">+H27+H33+H36</f>
        <v>6069096</v>
      </c>
      <c r="I26" s="536">
        <f t="shared" si="2"/>
        <v>4978908.12</v>
      </c>
      <c r="J26" s="536">
        <f t="shared" si="2"/>
        <v>5578377.8848000001</v>
      </c>
      <c r="K26" s="536">
        <f t="shared" si="2"/>
        <v>5707262.7201920003</v>
      </c>
      <c r="L26" s="536">
        <f t="shared" si="2"/>
        <v>5877822.8289996795</v>
      </c>
      <c r="M26" s="536">
        <f t="shared" si="2"/>
        <v>6112935.7421596684</v>
      </c>
      <c r="N26" s="536">
        <f t="shared" si="2"/>
        <v>6357453.1718460545</v>
      </c>
      <c r="O26" s="536">
        <f t="shared" si="2"/>
        <v>6611751.2987198979</v>
      </c>
      <c r="P26" s="536">
        <f t="shared" si="2"/>
        <v>6876221.350668693</v>
      </c>
      <c r="Q26" s="536">
        <f t="shared" si="2"/>
        <v>7151270.2046954418</v>
      </c>
      <c r="R26" s="536">
        <f t="shared" si="2"/>
        <v>7437321.012883259</v>
      </c>
      <c r="S26" s="536">
        <f t="shared" si="2"/>
        <v>7734813.8533985903</v>
      </c>
      <c r="T26" s="536">
        <f t="shared" si="2"/>
        <v>8044206.407534535</v>
      </c>
      <c r="U26" s="536">
        <f t="shared" si="2"/>
        <v>8365974.6638359148</v>
      </c>
      <c r="V26" s="1431">
        <f t="shared" ref="V26:V86" si="3">+H26/G26-1</f>
        <v>-5.5996605436776314E-2</v>
      </c>
      <c r="W26" s="1431">
        <f t="shared" ref="W26:W86" si="4">+I26/H26-1</f>
        <v>-0.17962936819585651</v>
      </c>
      <c r="X26" s="1431">
        <f t="shared" ref="X26:X86" si="5">+J26/I26-1</f>
        <v>0.12040185324809727</v>
      </c>
      <c r="Y26" s="1431">
        <f t="shared" ref="Y26:Y86" si="6">+K26/J26-1</f>
        <v>2.3104357225993244E-2</v>
      </c>
      <c r="Z26" s="1431">
        <f t="shared" ref="Z26:Z86" si="7">+L26/K26-1</f>
        <v>2.9884748113004678E-2</v>
      </c>
      <c r="AA26" s="1431">
        <f t="shared" ref="AA26:AA86" si="8">+M26/L26-1</f>
        <v>4.0000000000000258E-2</v>
      </c>
      <c r="AB26" s="1431">
        <f t="shared" ref="AB26:AB86" si="9">+N26/M26-1</f>
        <v>3.9999999999999813E-2</v>
      </c>
      <c r="AC26" s="1431">
        <f t="shared" ref="AC26:AC86" si="10">+O26/N26-1</f>
        <v>4.0000000000000258E-2</v>
      </c>
      <c r="AD26" s="1431">
        <f t="shared" ref="AD26:AD86" si="11">+P26/O26-1</f>
        <v>3.9999999999999813E-2</v>
      </c>
      <c r="AE26" s="1431">
        <f t="shared" ref="AE26:AE86" si="12">+Q26/P26-1</f>
        <v>4.0000000000000258E-2</v>
      </c>
      <c r="AF26" s="1431">
        <f t="shared" ref="AF26:AF86" si="13">+R26/Q26-1</f>
        <v>4.0000000000000036E-2</v>
      </c>
      <c r="AG26" s="1431">
        <f t="shared" ref="AG26:AG86" si="14">+S26/R26-1</f>
        <v>4.0000000000000036E-2</v>
      </c>
      <c r="AH26" s="1431">
        <f t="shared" ref="AH26:AH86" si="15">+T26/S26-1</f>
        <v>4.0000000000000036E-2</v>
      </c>
      <c r="AI26" s="1431">
        <f t="shared" ref="AI26:AI86" si="16">+U26/T26-1</f>
        <v>3.9999999999999813E-2</v>
      </c>
    </row>
    <row r="27" spans="1:35">
      <c r="A27" s="72" t="str">
        <f>+Ingresos!A29</f>
        <v>111</v>
      </c>
      <c r="B27" s="539" t="s">
        <v>525</v>
      </c>
      <c r="C27" s="540">
        <f>SUM(C28:C32)</f>
        <v>502986</v>
      </c>
      <c r="D27" s="537"/>
      <c r="E27" s="541">
        <f>+C27/C103</f>
        <v>7.5003443245951165E-2</v>
      </c>
      <c r="G27" s="540">
        <f>SUM(G28:G32)</f>
        <v>393482</v>
      </c>
      <c r="H27" s="540">
        <f t="shared" ref="H27:U27" si="17">SUM(H28:H32)</f>
        <v>571262</v>
      </c>
      <c r="I27" s="540">
        <f t="shared" si="17"/>
        <v>602986</v>
      </c>
      <c r="J27" s="540">
        <f t="shared" si="17"/>
        <v>578402.12</v>
      </c>
      <c r="K27" s="540">
        <f t="shared" si="17"/>
        <v>601538.20480000007</v>
      </c>
      <c r="L27" s="540">
        <f t="shared" si="17"/>
        <v>625599.73299199995</v>
      </c>
      <c r="M27" s="540">
        <f t="shared" si="17"/>
        <v>650623.72231168009</v>
      </c>
      <c r="N27" s="540">
        <f t="shared" si="17"/>
        <v>676648.67120414728</v>
      </c>
      <c r="O27" s="540">
        <f t="shared" si="17"/>
        <v>703714.6180523131</v>
      </c>
      <c r="P27" s="540">
        <f t="shared" si="17"/>
        <v>731863.20277440571</v>
      </c>
      <c r="Q27" s="540">
        <f t="shared" si="17"/>
        <v>761137.73088538204</v>
      </c>
      <c r="R27" s="540">
        <f t="shared" si="17"/>
        <v>791583.24012079719</v>
      </c>
      <c r="S27" s="540">
        <f t="shared" si="17"/>
        <v>823246.56972562918</v>
      </c>
      <c r="T27" s="540">
        <f t="shared" si="17"/>
        <v>856176.43251465424</v>
      </c>
      <c r="U27" s="540">
        <f t="shared" si="17"/>
        <v>890423.48981524049</v>
      </c>
      <c r="V27" s="1431">
        <f t="shared" si="3"/>
        <v>0.45181228112086447</v>
      </c>
      <c r="W27" s="1431">
        <f t="shared" si="4"/>
        <v>5.553318792427997E-2</v>
      </c>
      <c r="X27" s="1431">
        <f t="shared" si="5"/>
        <v>-4.0770233471423833E-2</v>
      </c>
      <c r="Y27" s="1431">
        <f t="shared" si="6"/>
        <v>4.0000000000000036E-2</v>
      </c>
      <c r="Z27" s="1431">
        <f t="shared" si="7"/>
        <v>3.9999999999999813E-2</v>
      </c>
      <c r="AA27" s="1431">
        <f t="shared" si="8"/>
        <v>4.0000000000000258E-2</v>
      </c>
      <c r="AB27" s="1431">
        <f t="shared" si="9"/>
        <v>4.0000000000000036E-2</v>
      </c>
      <c r="AC27" s="1431">
        <f t="shared" si="10"/>
        <v>3.9999999999999813E-2</v>
      </c>
      <c r="AD27" s="1431">
        <f t="shared" si="11"/>
        <v>4.0000000000000036E-2</v>
      </c>
      <c r="AE27" s="1431">
        <f t="shared" si="12"/>
        <v>4.0000000000000036E-2</v>
      </c>
      <c r="AF27" s="1431">
        <f t="shared" si="13"/>
        <v>3.9999999999999813E-2</v>
      </c>
      <c r="AG27" s="1431">
        <f t="shared" si="14"/>
        <v>4.0000000000000036E-2</v>
      </c>
      <c r="AH27" s="1431">
        <f t="shared" si="15"/>
        <v>3.9999999999999813E-2</v>
      </c>
      <c r="AI27" s="1431">
        <f t="shared" si="16"/>
        <v>4.0000000000000036E-2</v>
      </c>
    </row>
    <row r="28" spans="1:35">
      <c r="A28" s="71" t="str">
        <f>+Ingresos!A30</f>
        <v>1110103</v>
      </c>
      <c r="B28" s="542" t="str">
        <f>+Ingresos!B30</f>
        <v xml:space="preserve">    Impuesto Predial Unificado (Incluye Compensación por predial de Resguardos Indigenas)</v>
      </c>
      <c r="C28" s="543">
        <f>+Ingresos!H30</f>
        <v>275912</v>
      </c>
      <c r="D28" s="544"/>
      <c r="E28" s="545">
        <f>+C28/C27</f>
        <v>0.54854807092046298</v>
      </c>
      <c r="G28" s="543">
        <f>+'Ingresos Proyecciones'!C27</f>
        <v>184253</v>
      </c>
      <c r="H28" s="543">
        <f>+'Ingresos Proyecciones'!D27</f>
        <v>310512</v>
      </c>
      <c r="I28" s="543">
        <f>+'Ingresos Proyecciones'!E27</f>
        <v>375912</v>
      </c>
      <c r="J28" s="543">
        <f>+'Ingresos Proyecciones'!F27</f>
        <v>342244</v>
      </c>
      <c r="K28" s="543">
        <f>+'Ingresos Proyecciones'!G27</f>
        <v>355933.76</v>
      </c>
      <c r="L28" s="543">
        <f>+'Ingresos Proyecciones'!H27</f>
        <v>370171.11040000001</v>
      </c>
      <c r="M28" s="543">
        <f>+'Ingresos Proyecciones'!I27</f>
        <v>384977.95481600001</v>
      </c>
      <c r="N28" s="543">
        <f>+'Ingresos Proyecciones'!J27</f>
        <v>400377.07300864003</v>
      </c>
      <c r="O28" s="543">
        <f>+'Ingresos Proyecciones'!K27</f>
        <v>416392.15592898562</v>
      </c>
      <c r="P28" s="543">
        <f>+'Ingresos Proyecciones'!L27</f>
        <v>433047.84216614504</v>
      </c>
      <c r="Q28" s="543">
        <f>+'Ingresos Proyecciones'!M27</f>
        <v>450369.75585279084</v>
      </c>
      <c r="R28" s="543">
        <f>+'Ingresos Proyecciones'!N27</f>
        <v>468384.5460869025</v>
      </c>
      <c r="S28" s="543">
        <f>+'Ingresos Proyecciones'!O27</f>
        <v>487119.92793037859</v>
      </c>
      <c r="T28" s="543">
        <f>+'Ingresos Proyecciones'!P27</f>
        <v>506604.72504759376</v>
      </c>
      <c r="U28" s="543">
        <f>+'Ingresos Proyecciones'!Q27</f>
        <v>526868.91404949757</v>
      </c>
      <c r="V28" s="1431">
        <f t="shared" si="3"/>
        <v>0.68524800138939401</v>
      </c>
      <c r="W28" s="1431">
        <f t="shared" si="4"/>
        <v>0.21061987942494986</v>
      </c>
      <c r="X28" s="1431">
        <f t="shared" si="5"/>
        <v>-8.9563514865181215E-2</v>
      </c>
      <c r="Y28" s="1431">
        <f t="shared" si="6"/>
        <v>4.0000000000000036E-2</v>
      </c>
      <c r="Z28" s="1431">
        <f t="shared" si="7"/>
        <v>4.0000000000000036E-2</v>
      </c>
      <c r="AA28" s="1431">
        <f t="shared" si="8"/>
        <v>4.0000000000000036E-2</v>
      </c>
      <c r="AB28" s="1431">
        <f t="shared" si="9"/>
        <v>4.0000000000000036E-2</v>
      </c>
      <c r="AC28" s="1431">
        <f t="shared" si="10"/>
        <v>4.0000000000000036E-2</v>
      </c>
      <c r="AD28" s="1431">
        <f t="shared" si="11"/>
        <v>4.0000000000000036E-2</v>
      </c>
      <c r="AE28" s="1431">
        <f t="shared" si="12"/>
        <v>4.0000000000000036E-2</v>
      </c>
      <c r="AF28" s="1431">
        <f t="shared" si="13"/>
        <v>4.0000000000000036E-2</v>
      </c>
      <c r="AG28" s="1431">
        <f t="shared" si="14"/>
        <v>4.0000000000000036E-2</v>
      </c>
      <c r="AH28" s="1431">
        <f t="shared" si="15"/>
        <v>4.0000000000000036E-2</v>
      </c>
      <c r="AI28" s="1431">
        <f t="shared" si="16"/>
        <v>4.0000000000000036E-2</v>
      </c>
    </row>
    <row r="29" spans="1:35">
      <c r="A29" s="71" t="str">
        <f>+Ingresos!A32</f>
        <v>307A</v>
      </c>
      <c r="B29" s="542" t="str">
        <f>+Ingresos!B32</f>
        <v xml:space="preserve">    Impuesto de Circulación y Tránsito Servicio Público</v>
      </c>
      <c r="C29" s="543">
        <f>+Ingresos!H32</f>
        <v>0</v>
      </c>
      <c r="D29" s="544"/>
      <c r="E29" s="545">
        <f>+C29/C27</f>
        <v>0</v>
      </c>
      <c r="G29" s="543">
        <f>+'Ingresos Proyecciones'!C29</f>
        <v>0</v>
      </c>
      <c r="H29" s="543">
        <f>+'Ingresos Proyecciones'!D29</f>
        <v>0</v>
      </c>
      <c r="I29" s="543">
        <f>+'Ingresos Proyecciones'!E29</f>
        <v>0</v>
      </c>
      <c r="J29" s="543">
        <f>+'Ingresos Proyecciones'!F29</f>
        <v>0</v>
      </c>
      <c r="K29" s="543">
        <f>+'Ingresos Proyecciones'!G29</f>
        <v>0</v>
      </c>
      <c r="L29" s="543">
        <f>+'Ingresos Proyecciones'!H29</f>
        <v>0</v>
      </c>
      <c r="M29" s="543">
        <f>+'Ingresos Proyecciones'!I29</f>
        <v>0</v>
      </c>
      <c r="N29" s="543">
        <f>+'Ingresos Proyecciones'!J29</f>
        <v>0</v>
      </c>
      <c r="O29" s="543">
        <f>+'Ingresos Proyecciones'!K29</f>
        <v>0</v>
      </c>
      <c r="P29" s="543">
        <f>+'Ingresos Proyecciones'!L29</f>
        <v>0</v>
      </c>
      <c r="Q29" s="543">
        <f>+'Ingresos Proyecciones'!M29</f>
        <v>0</v>
      </c>
      <c r="R29" s="543">
        <f>+'Ingresos Proyecciones'!N29</f>
        <v>0</v>
      </c>
      <c r="S29" s="543">
        <f>+'Ingresos Proyecciones'!O29</f>
        <v>0</v>
      </c>
      <c r="T29" s="543">
        <f>+'Ingresos Proyecciones'!P29</f>
        <v>0</v>
      </c>
      <c r="U29" s="543">
        <f>+'Ingresos Proyecciones'!Q29</f>
        <v>0</v>
      </c>
      <c r="V29" s="1431" t="e">
        <f t="shared" si="3"/>
        <v>#DIV/0!</v>
      </c>
      <c r="W29" s="1431" t="e">
        <f t="shared" si="4"/>
        <v>#DIV/0!</v>
      </c>
      <c r="X29" s="1431" t="e">
        <f t="shared" si="5"/>
        <v>#DIV/0!</v>
      </c>
      <c r="Y29" s="1431" t="e">
        <f t="shared" si="6"/>
        <v>#DIV/0!</v>
      </c>
      <c r="Z29" s="1431" t="e">
        <f t="shared" si="7"/>
        <v>#DIV/0!</v>
      </c>
      <c r="AA29" s="1431" t="e">
        <f t="shared" si="8"/>
        <v>#DIV/0!</v>
      </c>
      <c r="AB29" s="1431" t="e">
        <f t="shared" si="9"/>
        <v>#DIV/0!</v>
      </c>
      <c r="AC29" s="1431" t="e">
        <f t="shared" si="10"/>
        <v>#DIV/0!</v>
      </c>
      <c r="AD29" s="1431" t="e">
        <f t="shared" si="11"/>
        <v>#DIV/0!</v>
      </c>
      <c r="AE29" s="1431" t="e">
        <f t="shared" si="12"/>
        <v>#DIV/0!</v>
      </c>
      <c r="AF29" s="1431" t="e">
        <f t="shared" si="13"/>
        <v>#DIV/0!</v>
      </c>
      <c r="AG29" s="1431" t="e">
        <f t="shared" si="14"/>
        <v>#DIV/0!</v>
      </c>
      <c r="AH29" s="1431" t="e">
        <f t="shared" si="15"/>
        <v>#DIV/0!</v>
      </c>
      <c r="AI29" s="1431" t="e">
        <f t="shared" si="16"/>
        <v>#DIV/0!</v>
      </c>
    </row>
    <row r="30" spans="1:35">
      <c r="A30" s="71" t="str">
        <f>+Ingresos!A33</f>
        <v>1110205</v>
      </c>
      <c r="B30" s="542" t="str">
        <f>+Ingresos!B33</f>
        <v xml:space="preserve">    Impuesto de Industria y Comercio</v>
      </c>
      <c r="C30" s="543">
        <f>+Ingresos!H33</f>
        <v>42779</v>
      </c>
      <c r="D30" s="537"/>
      <c r="E30" s="545">
        <f>+C30/C27</f>
        <v>8.5050080916765081E-2</v>
      </c>
      <c r="G30" s="543">
        <f>+'Ingresos Proyecciones'!C30</f>
        <v>69578</v>
      </c>
      <c r="H30" s="543">
        <f>+'Ingresos Proyecciones'!D30</f>
        <v>31883</v>
      </c>
      <c r="I30" s="543">
        <f>+'Ingresos Proyecciones'!E30</f>
        <v>42779</v>
      </c>
      <c r="J30" s="543">
        <f>+'Ingresos Proyecciones'!F30</f>
        <v>44490.16</v>
      </c>
      <c r="K30" s="543">
        <f>+'Ingresos Proyecciones'!G30</f>
        <v>46269.766400000008</v>
      </c>
      <c r="L30" s="543">
        <f>+'Ingresos Proyecciones'!H30</f>
        <v>48120.557056000012</v>
      </c>
      <c r="M30" s="543">
        <f>+'Ingresos Proyecciones'!I30</f>
        <v>50045.379338240018</v>
      </c>
      <c r="N30" s="543">
        <f>+'Ingresos Proyecciones'!J30</f>
        <v>52047.194511769623</v>
      </c>
      <c r="O30" s="543">
        <f>+'Ingresos Proyecciones'!K30</f>
        <v>54129.082292240411</v>
      </c>
      <c r="P30" s="543">
        <f>+'Ingresos Proyecciones'!L30</f>
        <v>56294.245583930031</v>
      </c>
      <c r="Q30" s="543">
        <f>+'Ingresos Proyecciones'!M30</f>
        <v>58546.015407287232</v>
      </c>
      <c r="R30" s="543">
        <f>+'Ingresos Proyecciones'!N30</f>
        <v>60887.856023578723</v>
      </c>
      <c r="S30" s="543">
        <f>+'Ingresos Proyecciones'!O30</f>
        <v>63323.370264521873</v>
      </c>
      <c r="T30" s="543">
        <f>+'Ingresos Proyecciones'!P30</f>
        <v>65856.305075102748</v>
      </c>
      <c r="U30" s="543">
        <f>+'Ingresos Proyecciones'!Q30</f>
        <v>68490.557278106862</v>
      </c>
      <c r="V30" s="1431">
        <f t="shared" si="3"/>
        <v>-0.54176607548362987</v>
      </c>
      <c r="W30" s="1431">
        <f t="shared" si="4"/>
        <v>0.34174952168867412</v>
      </c>
      <c r="X30" s="1431">
        <f t="shared" si="5"/>
        <v>4.0000000000000036E-2</v>
      </c>
      <c r="Y30" s="1431">
        <f t="shared" si="6"/>
        <v>4.0000000000000036E-2</v>
      </c>
      <c r="Z30" s="1431">
        <f t="shared" si="7"/>
        <v>4.0000000000000036E-2</v>
      </c>
      <c r="AA30" s="1431">
        <f t="shared" si="8"/>
        <v>4.0000000000000036E-2</v>
      </c>
      <c r="AB30" s="1431">
        <f t="shared" si="9"/>
        <v>4.0000000000000036E-2</v>
      </c>
      <c r="AC30" s="1431">
        <f t="shared" si="10"/>
        <v>4.0000000000000036E-2</v>
      </c>
      <c r="AD30" s="1431">
        <f t="shared" si="11"/>
        <v>4.0000000000000036E-2</v>
      </c>
      <c r="AE30" s="1431">
        <f t="shared" si="12"/>
        <v>4.0000000000000036E-2</v>
      </c>
      <c r="AF30" s="1431">
        <f t="shared" si="13"/>
        <v>4.0000000000000036E-2</v>
      </c>
      <c r="AG30" s="1431">
        <f t="shared" si="14"/>
        <v>4.0000000000000036E-2</v>
      </c>
      <c r="AH30" s="1431">
        <f t="shared" si="15"/>
        <v>4.0000000000000036E-2</v>
      </c>
      <c r="AI30" s="1431">
        <f t="shared" si="16"/>
        <v>4.0000000000000036E-2</v>
      </c>
    </row>
    <row r="31" spans="1:35">
      <c r="A31" s="71" t="str">
        <f>+Ingresos!A34</f>
        <v>1110216</v>
      </c>
      <c r="B31" s="542" t="str">
        <f>+Ingresos!B34</f>
        <v xml:space="preserve">    Sobretasa a la Gasolina</v>
      </c>
      <c r="C31" s="543">
        <f>+Ingresos!H34</f>
        <v>42951</v>
      </c>
      <c r="D31" s="537"/>
      <c r="E31" s="545">
        <f>+C31/C27</f>
        <v>8.5392038744617149E-2</v>
      </c>
      <c r="G31" s="543">
        <f>+'Ingresos Proyecciones'!C31</f>
        <v>56514</v>
      </c>
      <c r="H31" s="543">
        <f>+'Ingresos Proyecciones'!D31</f>
        <v>46000</v>
      </c>
      <c r="I31" s="543">
        <f>+'Ingresos Proyecciones'!E31</f>
        <v>42951</v>
      </c>
      <c r="J31" s="543">
        <f>+'Ingresos Proyecciones'!F31</f>
        <v>44669.04</v>
      </c>
      <c r="K31" s="543">
        <f>+'Ingresos Proyecciones'!G31</f>
        <v>46455.801599999999</v>
      </c>
      <c r="L31" s="543">
        <f>+'Ingresos Proyecciones'!H31</f>
        <v>48314.033664000002</v>
      </c>
      <c r="M31" s="543">
        <f>+'Ingresos Proyecciones'!I31</f>
        <v>50246.595010560006</v>
      </c>
      <c r="N31" s="543">
        <f>+'Ingresos Proyecciones'!J31</f>
        <v>52256.458810982411</v>
      </c>
      <c r="O31" s="543">
        <f>+'Ingresos Proyecciones'!K31</f>
        <v>54346.717163421708</v>
      </c>
      <c r="P31" s="543">
        <f>+'Ingresos Proyecciones'!L31</f>
        <v>56520.585849958581</v>
      </c>
      <c r="Q31" s="543">
        <f>+'Ingresos Proyecciones'!M31</f>
        <v>58781.409283956928</v>
      </c>
      <c r="R31" s="543">
        <f>+'Ingresos Proyecciones'!N31</f>
        <v>61132.665655315206</v>
      </c>
      <c r="S31" s="543">
        <f>+'Ingresos Proyecciones'!O31</f>
        <v>63577.972281527815</v>
      </c>
      <c r="T31" s="543">
        <f>+'Ingresos Proyecciones'!P31</f>
        <v>66121.091172788932</v>
      </c>
      <c r="U31" s="543">
        <f>+'Ingresos Proyecciones'!Q31</f>
        <v>68765.934819700487</v>
      </c>
      <c r="V31" s="1431">
        <f t="shared" si="3"/>
        <v>-0.18604239657430022</v>
      </c>
      <c r="W31" s="1431">
        <f t="shared" si="4"/>
        <v>-6.6282608695652168E-2</v>
      </c>
      <c r="X31" s="1431">
        <f t="shared" si="5"/>
        <v>4.0000000000000036E-2</v>
      </c>
      <c r="Y31" s="1431">
        <f t="shared" si="6"/>
        <v>4.0000000000000036E-2</v>
      </c>
      <c r="Z31" s="1431">
        <f t="shared" si="7"/>
        <v>4.0000000000000036E-2</v>
      </c>
      <c r="AA31" s="1431">
        <f t="shared" si="8"/>
        <v>4.0000000000000036E-2</v>
      </c>
      <c r="AB31" s="1431">
        <f t="shared" si="9"/>
        <v>4.0000000000000036E-2</v>
      </c>
      <c r="AC31" s="1431">
        <f t="shared" si="10"/>
        <v>4.0000000000000036E-2</v>
      </c>
      <c r="AD31" s="1431">
        <f t="shared" si="11"/>
        <v>4.0000000000000036E-2</v>
      </c>
      <c r="AE31" s="1431">
        <f t="shared" si="12"/>
        <v>4.0000000000000036E-2</v>
      </c>
      <c r="AF31" s="1431">
        <f t="shared" si="13"/>
        <v>4.0000000000000036E-2</v>
      </c>
      <c r="AG31" s="1431">
        <f t="shared" si="14"/>
        <v>4.0000000000000036E-2</v>
      </c>
      <c r="AH31" s="1431">
        <f t="shared" si="15"/>
        <v>4.0000000000000036E-2</v>
      </c>
      <c r="AI31" s="1431">
        <f t="shared" si="16"/>
        <v>4.0000000000000036E-2</v>
      </c>
    </row>
    <row r="32" spans="1:35">
      <c r="A32" s="71" t="str">
        <f>+Ingresos!A49</f>
        <v>308A</v>
      </c>
      <c r="B32" s="546" t="s">
        <v>526</v>
      </c>
      <c r="C32" s="543">
        <f>+Ingresos!H31+Ingresos!H35+Ingresos!H36+Ingresos!H37+Ingresos!H38+Ingresos!H39+Ingresos!H40+Ingresos!H41+Ingresos!H42+Ingresos!H48+Ingresos!H49</f>
        <v>141344</v>
      </c>
      <c r="D32" s="537"/>
      <c r="E32" s="545">
        <f>+C32/C27</f>
        <v>0.28100980941815479</v>
      </c>
      <c r="G32" s="543">
        <f>+'Ingresos Proyecciones'!C28+'Ingresos Proyecciones'!C32+'Ingresos Proyecciones'!C33+'Ingresos Proyecciones'!C34+'Ingresos Proyecciones'!C35+'Ingresos Proyecciones'!C36+'Ingresos Proyecciones'!C37+'Ingresos Proyecciones'!C38+'Ingresos Proyecciones'!C39+'Ingresos Proyecciones'!C45+'Ingresos Proyecciones'!C46</f>
        <v>83137</v>
      </c>
      <c r="H32" s="543">
        <f>+'Ingresos Proyecciones'!D28+'Ingresos Proyecciones'!D32+'Ingresos Proyecciones'!D33+'Ingresos Proyecciones'!D34+'Ingresos Proyecciones'!D35+'Ingresos Proyecciones'!D36+'Ingresos Proyecciones'!D37+'Ingresos Proyecciones'!D38+'Ingresos Proyecciones'!D39+'Ingresos Proyecciones'!D45+'Ingresos Proyecciones'!D46</f>
        <v>182867</v>
      </c>
      <c r="I32" s="543">
        <f>+'Ingresos Proyecciones'!E28+'Ingresos Proyecciones'!E32+'Ingresos Proyecciones'!E33+'Ingresos Proyecciones'!E34+'Ingresos Proyecciones'!E35+'Ingresos Proyecciones'!E36+'Ingresos Proyecciones'!E37+'Ingresos Proyecciones'!E38+'Ingresos Proyecciones'!E39+'Ingresos Proyecciones'!E45+'Ingresos Proyecciones'!E46</f>
        <v>141344</v>
      </c>
      <c r="J32" s="543">
        <f>+'Ingresos Proyecciones'!F28+'Ingresos Proyecciones'!F32+'Ingresos Proyecciones'!F33+'Ingresos Proyecciones'!F34+'Ingresos Proyecciones'!F35+'Ingresos Proyecciones'!F36+'Ingresos Proyecciones'!F37+'Ingresos Proyecciones'!F38+'Ingresos Proyecciones'!F39+'Ingresos Proyecciones'!F45+'Ingresos Proyecciones'!F46</f>
        <v>146998.92000000001</v>
      </c>
      <c r="K32" s="543">
        <f>+'Ingresos Proyecciones'!G28+'Ingresos Proyecciones'!G32+'Ingresos Proyecciones'!G33+'Ingresos Proyecciones'!G34+'Ingresos Proyecciones'!G35+'Ingresos Proyecciones'!G36+'Ingresos Proyecciones'!G37+'Ingresos Proyecciones'!G38+'Ingresos Proyecciones'!G39+'Ingresos Proyecciones'!G45+'Ingresos Proyecciones'!G46</f>
        <v>152878.87680000003</v>
      </c>
      <c r="L32" s="543">
        <f>+'Ingresos Proyecciones'!H28+'Ingresos Proyecciones'!H32+'Ingresos Proyecciones'!H33+'Ingresos Proyecciones'!H34+'Ingresos Proyecciones'!H35+'Ingresos Proyecciones'!H36+'Ingresos Proyecciones'!H37+'Ingresos Proyecciones'!H38+'Ingresos Proyecciones'!H39+'Ingresos Proyecciones'!H45+'Ingresos Proyecciones'!H46</f>
        <v>158994.03187200002</v>
      </c>
      <c r="M32" s="543">
        <f>+'Ingresos Proyecciones'!I28+'Ingresos Proyecciones'!I32+'Ingresos Proyecciones'!I33+'Ingresos Proyecciones'!I34+'Ingresos Proyecciones'!I35+'Ingresos Proyecciones'!I36+'Ingresos Proyecciones'!I37+'Ingresos Proyecciones'!I38+'Ingresos Proyecciones'!I39+'Ingresos Proyecciones'!I45+'Ingresos Proyecciones'!I46</f>
        <v>165353.79314688002</v>
      </c>
      <c r="N32" s="543">
        <f>+'Ingresos Proyecciones'!J28+'Ingresos Proyecciones'!J32+'Ingresos Proyecciones'!J33+'Ingresos Proyecciones'!J34+'Ingresos Proyecciones'!J35+'Ingresos Proyecciones'!J36+'Ingresos Proyecciones'!J37+'Ingresos Proyecciones'!J38+'Ingresos Proyecciones'!J39+'Ingresos Proyecciones'!J45+'Ingresos Proyecciones'!J46</f>
        <v>171967.94487275521</v>
      </c>
      <c r="O32" s="543">
        <f>+'Ingresos Proyecciones'!K28+'Ingresos Proyecciones'!K32+'Ingresos Proyecciones'!K33+'Ingresos Proyecciones'!K34+'Ingresos Proyecciones'!K35+'Ingresos Proyecciones'!K36+'Ingresos Proyecciones'!K37+'Ingresos Proyecciones'!K38+'Ingresos Proyecciones'!K39+'Ingresos Proyecciones'!K45+'Ingresos Proyecciones'!K46</f>
        <v>178846.66266766546</v>
      </c>
      <c r="P32" s="543">
        <f>+'Ingresos Proyecciones'!L28+'Ingresos Proyecciones'!L32+'Ingresos Proyecciones'!L33+'Ingresos Proyecciones'!L34+'Ingresos Proyecciones'!L35+'Ingresos Proyecciones'!L36+'Ingresos Proyecciones'!L37+'Ingresos Proyecciones'!L38+'Ingresos Proyecciones'!L39+'Ingresos Proyecciones'!L45+'Ingresos Proyecciones'!L46</f>
        <v>186000.52917437206</v>
      </c>
      <c r="Q32" s="543">
        <f>+'Ingresos Proyecciones'!M28+'Ingresos Proyecciones'!M32+'Ingresos Proyecciones'!M33+'Ingresos Proyecciones'!M34+'Ingresos Proyecciones'!M35+'Ingresos Proyecciones'!M36+'Ingresos Proyecciones'!M37+'Ingresos Proyecciones'!M38+'Ingresos Proyecciones'!M39+'Ingresos Proyecciones'!M45+'Ingresos Proyecciones'!M46</f>
        <v>193440.55034134694</v>
      </c>
      <c r="R32" s="543">
        <f>+'Ingresos Proyecciones'!N28+'Ingresos Proyecciones'!N32+'Ingresos Proyecciones'!N33+'Ingresos Proyecciones'!N34+'Ingresos Proyecciones'!N35+'Ingresos Proyecciones'!N36+'Ingresos Proyecciones'!N37+'Ingresos Proyecciones'!N38+'Ingresos Proyecciones'!N39+'Ingresos Proyecciones'!N45+'Ingresos Proyecciones'!N46</f>
        <v>201178.17235500083</v>
      </c>
      <c r="S32" s="543">
        <f>+'Ingresos Proyecciones'!O28+'Ingresos Proyecciones'!O32+'Ingresos Proyecciones'!O33+'Ingresos Proyecciones'!O34+'Ingresos Proyecciones'!O35+'Ingresos Proyecciones'!O36+'Ingresos Proyecciones'!O37+'Ingresos Proyecciones'!O38+'Ingresos Proyecciones'!O39+'Ingresos Proyecciones'!O45+'Ingresos Proyecciones'!O46</f>
        <v>209225.29924920085</v>
      </c>
      <c r="T32" s="543">
        <f>+'Ingresos Proyecciones'!P28+'Ingresos Proyecciones'!P32+'Ingresos Proyecciones'!P33+'Ingresos Proyecciones'!P34+'Ingresos Proyecciones'!P35+'Ingresos Proyecciones'!P36+'Ingresos Proyecciones'!P37+'Ingresos Proyecciones'!P38+'Ingresos Proyecciones'!P39+'Ingresos Proyecciones'!P45+'Ingresos Proyecciones'!P46</f>
        <v>217594.31121916886</v>
      </c>
      <c r="U32" s="543">
        <f>+'Ingresos Proyecciones'!Q28+'Ingresos Proyecciones'!Q32+'Ingresos Proyecciones'!Q33+'Ingresos Proyecciones'!Q34+'Ingresos Proyecciones'!Q35+'Ingresos Proyecciones'!Q36+'Ingresos Proyecciones'!Q37+'Ingresos Proyecciones'!Q38+'Ingresos Proyecciones'!Q39+'Ingresos Proyecciones'!Q45+'Ingresos Proyecciones'!Q46</f>
        <v>226298.08366793563</v>
      </c>
      <c r="V32" s="1431">
        <f t="shared" si="3"/>
        <v>1.1995862251464451</v>
      </c>
      <c r="W32" s="1431">
        <f t="shared" si="4"/>
        <v>-0.22706666593753932</v>
      </c>
      <c r="X32" s="1431">
        <f t="shared" si="5"/>
        <v>4.0008206927779177E-2</v>
      </c>
      <c r="Y32" s="1431">
        <f t="shared" si="6"/>
        <v>4.0000000000000036E-2</v>
      </c>
      <c r="Z32" s="1431">
        <f t="shared" si="7"/>
        <v>4.0000000000000036E-2</v>
      </c>
      <c r="AA32" s="1431">
        <f t="shared" si="8"/>
        <v>4.0000000000000036E-2</v>
      </c>
      <c r="AB32" s="1431">
        <f t="shared" si="9"/>
        <v>3.9999999999999813E-2</v>
      </c>
      <c r="AC32" s="1431">
        <f t="shared" si="10"/>
        <v>4.0000000000000258E-2</v>
      </c>
      <c r="AD32" s="1431">
        <f t="shared" si="11"/>
        <v>3.9999999999999813E-2</v>
      </c>
      <c r="AE32" s="1431">
        <f t="shared" si="12"/>
        <v>4.0000000000000036E-2</v>
      </c>
      <c r="AF32" s="1431">
        <f t="shared" si="13"/>
        <v>4.0000000000000036E-2</v>
      </c>
      <c r="AG32" s="1431">
        <f t="shared" si="14"/>
        <v>3.9999999999999813E-2</v>
      </c>
      <c r="AH32" s="1431">
        <f t="shared" si="15"/>
        <v>3.9999999999999813E-2</v>
      </c>
      <c r="AI32" s="1431">
        <f t="shared" si="16"/>
        <v>4.0000000000000036E-2</v>
      </c>
    </row>
    <row r="33" spans="1:35">
      <c r="A33" s="72" t="str">
        <f>+Ingresos!A50</f>
        <v>112</v>
      </c>
      <c r="B33" s="547" t="s">
        <v>527</v>
      </c>
      <c r="C33" s="548">
        <f>SUM(C34:C35)</f>
        <v>41186</v>
      </c>
      <c r="D33" s="537"/>
      <c r="E33" s="549">
        <f>+C33/C103</f>
        <v>6.1415065499392518E-3</v>
      </c>
      <c r="G33" s="548">
        <f>SUM(G34:G35)</f>
        <v>340446</v>
      </c>
      <c r="H33" s="548">
        <f t="shared" ref="H33:U33" si="18">SUM(H34:H35)</f>
        <v>504157</v>
      </c>
      <c r="I33" s="548">
        <f t="shared" si="18"/>
        <v>92817</v>
      </c>
      <c r="J33" s="548">
        <f t="shared" si="18"/>
        <v>497233.44</v>
      </c>
      <c r="K33" s="548">
        <f t="shared" si="18"/>
        <v>422872.77759999997</v>
      </c>
      <c r="L33" s="548">
        <f t="shared" si="18"/>
        <v>382057.28870400001</v>
      </c>
      <c r="M33" s="548">
        <f t="shared" si="18"/>
        <v>397339.58025216003</v>
      </c>
      <c r="N33" s="548">
        <f t="shared" si="18"/>
        <v>413233.16346224648</v>
      </c>
      <c r="O33" s="548">
        <f t="shared" si="18"/>
        <v>429762.49000073638</v>
      </c>
      <c r="P33" s="548">
        <f t="shared" si="18"/>
        <v>446952.98960076575</v>
      </c>
      <c r="Q33" s="548">
        <f t="shared" si="18"/>
        <v>464831.1091847964</v>
      </c>
      <c r="R33" s="548">
        <f t="shared" si="18"/>
        <v>483424.35355218826</v>
      </c>
      <c r="S33" s="548">
        <f t="shared" si="18"/>
        <v>502761.32769427588</v>
      </c>
      <c r="T33" s="548">
        <f t="shared" si="18"/>
        <v>522871.78080204688</v>
      </c>
      <c r="U33" s="548">
        <f t="shared" si="18"/>
        <v>543786.65203412878</v>
      </c>
      <c r="V33" s="1431">
        <f t="shared" si="3"/>
        <v>0.48087215006197748</v>
      </c>
      <c r="W33" s="1431">
        <f t="shared" si="4"/>
        <v>-0.81589663537350465</v>
      </c>
      <c r="X33" s="1431">
        <f t="shared" si="5"/>
        <v>4.3571375933288081</v>
      </c>
      <c r="Y33" s="1431">
        <f t="shared" si="6"/>
        <v>-0.14954879623542627</v>
      </c>
      <c r="Z33" s="1431">
        <f t="shared" si="7"/>
        <v>-9.6519546913487519E-2</v>
      </c>
      <c r="AA33" s="1431">
        <f t="shared" si="8"/>
        <v>4.0000000000000036E-2</v>
      </c>
      <c r="AB33" s="1431">
        <f t="shared" si="9"/>
        <v>4.0000000000000036E-2</v>
      </c>
      <c r="AC33" s="1431">
        <f t="shared" si="10"/>
        <v>4.0000000000000036E-2</v>
      </c>
      <c r="AD33" s="1431">
        <f t="shared" si="11"/>
        <v>3.9999999999999813E-2</v>
      </c>
      <c r="AE33" s="1431">
        <f t="shared" si="12"/>
        <v>4.0000000000000036E-2</v>
      </c>
      <c r="AF33" s="1431">
        <f t="shared" si="13"/>
        <v>4.0000000000000036E-2</v>
      </c>
      <c r="AG33" s="1431">
        <f t="shared" si="14"/>
        <v>4.0000000000000258E-2</v>
      </c>
      <c r="AH33" s="1431">
        <f t="shared" si="15"/>
        <v>4.0000000000000036E-2</v>
      </c>
      <c r="AI33" s="1431">
        <f t="shared" si="16"/>
        <v>4.0000000000000036E-2</v>
      </c>
    </row>
    <row r="34" spans="1:35">
      <c r="A34" s="431" t="s">
        <v>528</v>
      </c>
      <c r="B34" s="550" t="s">
        <v>529</v>
      </c>
      <c r="C34" s="543">
        <f>+Ingresos!H51+Ingresos!H52+Ingresos!H53+Ingresos!H54</f>
        <v>23808</v>
      </c>
      <c r="D34" s="537"/>
      <c r="E34" s="545">
        <f>+C34/C33</f>
        <v>0.5780605059971835</v>
      </c>
      <c r="G34" s="543">
        <f>+'Ingresos Proyecciones'!C48+'Ingresos Proyecciones'!C49+'Ingresos Proyecciones'!C50+'Ingresos Proyecciones'!C51</f>
        <v>42550</v>
      </c>
      <c r="H34" s="543">
        <f>+'Ingresos Proyecciones'!D48+'Ingresos Proyecciones'!D49+'Ingresos Proyecciones'!D50+'Ingresos Proyecciones'!D51</f>
        <v>39299</v>
      </c>
      <c r="I34" s="543">
        <f>+'Ingresos Proyecciones'!E48+'Ingresos Proyecciones'!E49+'Ingresos Proyecciones'!E50+'Ingresos Proyecciones'!E51</f>
        <v>33808</v>
      </c>
      <c r="J34" s="543">
        <f>+'Ingresos Proyecciones'!F48+'Ingresos Proyecciones'!F49+'Ingresos Proyecciones'!F50+'Ingresos Proyecciones'!F51</f>
        <v>179160.32000000001</v>
      </c>
      <c r="K34" s="543">
        <f>+'Ingresos Proyecciones'!G48+'Ingresos Proyecciones'!G49+'Ingresos Proyecciones'!G50+'Ingresos Proyecciones'!G51</f>
        <v>92076.732799999998</v>
      </c>
      <c r="L34" s="543">
        <f>+'Ingresos Proyecciones'!H48+'Ingresos Proyecciones'!H49+'Ingresos Proyecciones'!H50+'Ingresos Proyecciones'!H51</f>
        <v>38029.402112000003</v>
      </c>
      <c r="M34" s="543">
        <f>+'Ingresos Proyecciones'!I48+'Ingresos Proyecciones'!I49+'Ingresos Proyecciones'!I50+'Ingresos Proyecciones'!I51</f>
        <v>39550.578196479997</v>
      </c>
      <c r="N34" s="543">
        <f>+'Ingresos Proyecciones'!J48+'Ingresos Proyecciones'!J49+'Ingresos Proyecciones'!J50+'Ingresos Proyecciones'!J51</f>
        <v>41132.601324339208</v>
      </c>
      <c r="O34" s="543">
        <f>+'Ingresos Proyecciones'!K48+'Ingresos Proyecciones'!K49+'Ingresos Proyecciones'!K50+'Ingresos Proyecciones'!K51</f>
        <v>42777.905377312774</v>
      </c>
      <c r="P34" s="543">
        <f>+'Ingresos Proyecciones'!L48+'Ingresos Proyecciones'!L49+'Ingresos Proyecciones'!L50+'Ingresos Proyecciones'!L51</f>
        <v>44489.021592405283</v>
      </c>
      <c r="Q34" s="543">
        <f>+'Ingresos Proyecciones'!M48+'Ingresos Proyecciones'!M49+'Ingresos Proyecciones'!M50+'Ingresos Proyecciones'!M51</f>
        <v>46268.582456101496</v>
      </c>
      <c r="R34" s="543">
        <f>+'Ingresos Proyecciones'!N48+'Ingresos Proyecciones'!N49+'Ingresos Proyecciones'!N50+'Ingresos Proyecciones'!N51</f>
        <v>48119.325754345562</v>
      </c>
      <c r="S34" s="543">
        <f>+'Ingresos Proyecciones'!O48+'Ingresos Proyecciones'!O49+'Ingresos Proyecciones'!O50+'Ingresos Proyecciones'!O51</f>
        <v>50044.098784519389</v>
      </c>
      <c r="T34" s="543">
        <f>+'Ingresos Proyecciones'!P48+'Ingresos Proyecciones'!P49+'Ingresos Proyecciones'!P50+'Ingresos Proyecciones'!P51</f>
        <v>52045.862735900169</v>
      </c>
      <c r="U34" s="543">
        <f>+'Ingresos Proyecciones'!Q48+'Ingresos Proyecciones'!Q49+'Ingresos Proyecciones'!Q50+'Ingresos Proyecciones'!Q51</f>
        <v>54127.697245336174</v>
      </c>
      <c r="V34" s="1431">
        <f t="shared" si="3"/>
        <v>-7.6404230317273836E-2</v>
      </c>
      <c r="W34" s="1431">
        <f t="shared" si="4"/>
        <v>-0.13972365709051116</v>
      </c>
      <c r="X34" s="1431">
        <f t="shared" si="5"/>
        <v>4.2993469001419786</v>
      </c>
      <c r="Y34" s="1431">
        <f t="shared" si="6"/>
        <v>-0.48606514656816868</v>
      </c>
      <c r="Z34" s="1431">
        <f t="shared" si="7"/>
        <v>-0.58698141261589154</v>
      </c>
      <c r="AA34" s="1431">
        <f t="shared" si="8"/>
        <v>3.9999999999999813E-2</v>
      </c>
      <c r="AB34" s="1431">
        <f t="shared" si="9"/>
        <v>4.0000000000000258E-2</v>
      </c>
      <c r="AC34" s="1431">
        <f t="shared" si="10"/>
        <v>4.0000000000000036E-2</v>
      </c>
      <c r="AD34" s="1431">
        <f t="shared" si="11"/>
        <v>4.0000000000000036E-2</v>
      </c>
      <c r="AE34" s="1431">
        <f t="shared" si="12"/>
        <v>4.0000000000000036E-2</v>
      </c>
      <c r="AF34" s="1431">
        <f t="shared" si="13"/>
        <v>4.0000000000000036E-2</v>
      </c>
      <c r="AG34" s="1431">
        <f t="shared" si="14"/>
        <v>4.0000000000000036E-2</v>
      </c>
      <c r="AH34" s="1431">
        <f t="shared" si="15"/>
        <v>4.0000000000000036E-2</v>
      </c>
      <c r="AI34" s="1431">
        <f t="shared" si="16"/>
        <v>4.0000000000000036E-2</v>
      </c>
    </row>
    <row r="35" spans="1:35">
      <c r="A35" s="71" t="str">
        <f>+Ingresos!A86</f>
        <v>11298</v>
      </c>
      <c r="B35" s="551" t="s">
        <v>530</v>
      </c>
      <c r="C35" s="543">
        <f>+Ingresos!H82+Ingresos!H86</f>
        <v>17378</v>
      </c>
      <c r="D35" s="537"/>
      <c r="E35" s="545">
        <f>+C35/C33</f>
        <v>0.4219394940028165</v>
      </c>
      <c r="G35" s="543">
        <f>+'Ingresos Proyecciones'!C79+'Ingresos Proyecciones'!C83</f>
        <v>297896</v>
      </c>
      <c r="H35" s="543">
        <f>+'Ingresos Proyecciones'!D79+'Ingresos Proyecciones'!D83</f>
        <v>464858</v>
      </c>
      <c r="I35" s="543">
        <f>+'Ingresos Proyecciones'!E79+'Ingresos Proyecciones'!E83</f>
        <v>59009</v>
      </c>
      <c r="J35" s="543">
        <f>+'Ingresos Proyecciones'!F79+'Ingresos Proyecciones'!F83</f>
        <v>318073.12</v>
      </c>
      <c r="K35" s="543">
        <f>+'Ingresos Proyecciones'!G79+'Ingresos Proyecciones'!G83</f>
        <v>330796.04479999997</v>
      </c>
      <c r="L35" s="543">
        <f>+'Ingresos Proyecciones'!H79+'Ingresos Proyecciones'!H83</f>
        <v>344027.88659200002</v>
      </c>
      <c r="M35" s="543">
        <f>+'Ingresos Proyecciones'!I79+'Ingresos Proyecciones'!I83</f>
        <v>357789.00205568003</v>
      </c>
      <c r="N35" s="543">
        <f>+'Ingresos Proyecciones'!J79+'Ingresos Proyecciones'!J83</f>
        <v>372100.56213790725</v>
      </c>
      <c r="O35" s="543">
        <f>+'Ingresos Proyecciones'!K79+'Ingresos Proyecciones'!K83</f>
        <v>386984.58462342358</v>
      </c>
      <c r="P35" s="543">
        <f>+'Ingresos Proyecciones'!L79+'Ingresos Proyecciones'!L83</f>
        <v>402463.96800836048</v>
      </c>
      <c r="Q35" s="543">
        <f>+'Ingresos Proyecciones'!M79+'Ingresos Proyecciones'!M83</f>
        <v>418562.52672869491</v>
      </c>
      <c r="R35" s="543">
        <f>+'Ingresos Proyecciones'!N79+'Ingresos Proyecciones'!N83</f>
        <v>435305.02779784269</v>
      </c>
      <c r="S35" s="543">
        <f>+'Ingresos Proyecciones'!O79+'Ingresos Proyecciones'!O83</f>
        <v>452717.22890975646</v>
      </c>
      <c r="T35" s="543">
        <f>+'Ingresos Proyecciones'!P79+'Ingresos Proyecciones'!P83</f>
        <v>470825.91806614673</v>
      </c>
      <c r="U35" s="543">
        <f>+'Ingresos Proyecciones'!Q79+'Ingresos Proyecciones'!Q83</f>
        <v>489658.95478879265</v>
      </c>
      <c r="V35" s="1431">
        <f t="shared" si="3"/>
        <v>0.5604707683218304</v>
      </c>
      <c r="W35" s="1431">
        <f t="shared" si="4"/>
        <v>-0.8730601603070185</v>
      </c>
      <c r="X35" s="1431">
        <f t="shared" si="5"/>
        <v>4.3902475893507766</v>
      </c>
      <c r="Y35" s="1431">
        <f t="shared" si="6"/>
        <v>4.0000000000000036E-2</v>
      </c>
      <c r="Z35" s="1431">
        <f t="shared" si="7"/>
        <v>4.0000000000000258E-2</v>
      </c>
      <c r="AA35" s="1431">
        <f t="shared" si="8"/>
        <v>4.0000000000000036E-2</v>
      </c>
      <c r="AB35" s="1431">
        <f t="shared" si="9"/>
        <v>4.0000000000000036E-2</v>
      </c>
      <c r="AC35" s="1431">
        <f t="shared" si="10"/>
        <v>4.0000000000000036E-2</v>
      </c>
      <c r="AD35" s="1431">
        <f t="shared" si="11"/>
        <v>3.9999999999999813E-2</v>
      </c>
      <c r="AE35" s="1431">
        <f t="shared" si="12"/>
        <v>4.0000000000000036E-2</v>
      </c>
      <c r="AF35" s="1431">
        <f t="shared" si="13"/>
        <v>4.0000000000000036E-2</v>
      </c>
      <c r="AG35" s="1431">
        <f t="shared" si="14"/>
        <v>4.0000000000000258E-2</v>
      </c>
      <c r="AH35" s="1431">
        <f t="shared" si="15"/>
        <v>4.0000000000000036E-2</v>
      </c>
      <c r="AI35" s="1431">
        <f t="shared" si="16"/>
        <v>4.0000000000000036E-2</v>
      </c>
    </row>
    <row r="36" spans="1:35">
      <c r="A36" s="72" t="str">
        <f>+Ingresos!A57</f>
        <v>11205</v>
      </c>
      <c r="B36" s="547" t="s">
        <v>531</v>
      </c>
      <c r="C36" s="548">
        <f>+C37+C38+C43</f>
        <v>4434736.12</v>
      </c>
      <c r="D36" s="552"/>
      <c r="E36" s="549">
        <f>+C36/C103</f>
        <v>0.66129172360103394</v>
      </c>
      <c r="G36" s="548">
        <f>+G37+G38+G43</f>
        <v>5695176</v>
      </c>
      <c r="H36" s="548">
        <f t="shared" ref="H36:U36" si="19">+H37+H38+H43</f>
        <v>4993677</v>
      </c>
      <c r="I36" s="548">
        <f t="shared" si="19"/>
        <v>4283105.12</v>
      </c>
      <c r="J36" s="548">
        <f t="shared" si="19"/>
        <v>4502742.3248000005</v>
      </c>
      <c r="K36" s="548">
        <f t="shared" si="19"/>
        <v>4682851.7377920002</v>
      </c>
      <c r="L36" s="548">
        <f t="shared" si="19"/>
        <v>4870165.8073036801</v>
      </c>
      <c r="M36" s="548">
        <f t="shared" si="19"/>
        <v>5064972.4395958278</v>
      </c>
      <c r="N36" s="548">
        <f t="shared" si="19"/>
        <v>5267571.3371796608</v>
      </c>
      <c r="O36" s="548">
        <f t="shared" si="19"/>
        <v>5478274.1906668479</v>
      </c>
      <c r="P36" s="548">
        <f t="shared" si="19"/>
        <v>5697405.158293522</v>
      </c>
      <c r="Q36" s="548">
        <f t="shared" si="19"/>
        <v>5925301.364625263</v>
      </c>
      <c r="R36" s="548">
        <f t="shared" si="19"/>
        <v>6162313.4192102738</v>
      </c>
      <c r="S36" s="548">
        <f t="shared" si="19"/>
        <v>6408805.9559786851</v>
      </c>
      <c r="T36" s="548">
        <f t="shared" si="19"/>
        <v>6665158.1942178337</v>
      </c>
      <c r="U36" s="548">
        <f t="shared" si="19"/>
        <v>6931764.521986546</v>
      </c>
      <c r="V36" s="1431">
        <f t="shared" si="3"/>
        <v>-0.12317424430781421</v>
      </c>
      <c r="W36" s="1431">
        <f t="shared" si="4"/>
        <v>-0.14229432139884091</v>
      </c>
      <c r="X36" s="1431">
        <f t="shared" si="5"/>
        <v>5.1279900596976402E-2</v>
      </c>
      <c r="Y36" s="1431">
        <f t="shared" si="6"/>
        <v>3.9999937815673237E-2</v>
      </c>
      <c r="Z36" s="1431">
        <f t="shared" si="7"/>
        <v>4.0000000000000036E-2</v>
      </c>
      <c r="AA36" s="1431">
        <f t="shared" si="8"/>
        <v>4.0000000000000036E-2</v>
      </c>
      <c r="AB36" s="1431">
        <f t="shared" si="9"/>
        <v>4.0000000000000036E-2</v>
      </c>
      <c r="AC36" s="1431">
        <f t="shared" si="10"/>
        <v>4.0000000000000036E-2</v>
      </c>
      <c r="AD36" s="1431">
        <f t="shared" si="11"/>
        <v>4.0000000000000036E-2</v>
      </c>
      <c r="AE36" s="1431">
        <f t="shared" si="12"/>
        <v>4.0000000000000036E-2</v>
      </c>
      <c r="AF36" s="1431">
        <f t="shared" si="13"/>
        <v>4.0000000000000036E-2</v>
      </c>
      <c r="AG36" s="1431">
        <f t="shared" si="14"/>
        <v>4.0000000000000036E-2</v>
      </c>
      <c r="AH36" s="1431">
        <f t="shared" si="15"/>
        <v>4.0000000000000258E-2</v>
      </c>
      <c r="AI36" s="1431">
        <f t="shared" si="16"/>
        <v>3.9999999999999813E-2</v>
      </c>
    </row>
    <row r="37" spans="1:35">
      <c r="A37" s="72" t="str">
        <f>+Ingresos!A58</f>
        <v>1120501</v>
      </c>
      <c r="B37" s="547" t="str">
        <f>+Ingresos!B58</f>
        <v xml:space="preserve">      Transferencias Corrientes (Para Funcionamiento)</v>
      </c>
      <c r="C37" s="548">
        <f>+Ingresos!H58</f>
        <v>602012</v>
      </c>
      <c r="D37" s="537"/>
      <c r="E37" s="549">
        <f>+C37/C36</f>
        <v>0.13574922694611197</v>
      </c>
      <c r="G37" s="548">
        <f>+'Ingresos Proyecciones'!C55</f>
        <v>613684</v>
      </c>
      <c r="H37" s="548">
        <f>+'Ingresos Proyecciones'!D55</f>
        <v>676572</v>
      </c>
      <c r="I37" s="548">
        <f>+'Ingresos Proyecciones'!E55</f>
        <v>872012</v>
      </c>
      <c r="J37" s="548">
        <f>+'Ingresos Proyecciones'!F55</f>
        <v>728982</v>
      </c>
      <c r="K37" s="548">
        <f>+'Ingresos Proyecciones'!G55</f>
        <v>758141</v>
      </c>
      <c r="L37" s="548">
        <f>+'Ingresos Proyecciones'!H55</f>
        <v>788466.64</v>
      </c>
      <c r="M37" s="548">
        <f>+'Ingresos Proyecciones'!I55</f>
        <v>820005.30560000008</v>
      </c>
      <c r="N37" s="548">
        <f>+'Ingresos Proyecciones'!J55</f>
        <v>852805.5178240001</v>
      </c>
      <c r="O37" s="548">
        <f>+'Ingresos Proyecciones'!K55</f>
        <v>886917.7385369601</v>
      </c>
      <c r="P37" s="548">
        <f>+'Ingresos Proyecciones'!L55</f>
        <v>922394.44807843852</v>
      </c>
      <c r="Q37" s="548">
        <f>+'Ingresos Proyecciones'!M55</f>
        <v>959290.22600157605</v>
      </c>
      <c r="R37" s="548">
        <f>+'Ingresos Proyecciones'!N55</f>
        <v>997661.83504163916</v>
      </c>
      <c r="S37" s="548">
        <f>+'Ingresos Proyecciones'!O55</f>
        <v>1037568.3084433047</v>
      </c>
      <c r="T37" s="548">
        <f>+'Ingresos Proyecciones'!P55</f>
        <v>1079071.040781037</v>
      </c>
      <c r="U37" s="548">
        <f>+'Ingresos Proyecciones'!Q55</f>
        <v>1122233.8824122786</v>
      </c>
      <c r="V37" s="1431">
        <f t="shared" si="3"/>
        <v>0.10247619295924282</v>
      </c>
      <c r="W37" s="1431">
        <f t="shared" si="4"/>
        <v>0.28886799926689255</v>
      </c>
      <c r="X37" s="1431">
        <f t="shared" si="5"/>
        <v>-0.16402297216093353</v>
      </c>
      <c r="Y37" s="1431">
        <f t="shared" si="6"/>
        <v>3.9999615902724717E-2</v>
      </c>
      <c r="Z37" s="1431">
        <f t="shared" si="7"/>
        <v>4.0000000000000036E-2</v>
      </c>
      <c r="AA37" s="1431">
        <f t="shared" si="8"/>
        <v>4.0000000000000036E-2</v>
      </c>
      <c r="AB37" s="1431">
        <f t="shared" si="9"/>
        <v>4.0000000000000036E-2</v>
      </c>
      <c r="AC37" s="1431">
        <f t="shared" si="10"/>
        <v>4.0000000000000036E-2</v>
      </c>
      <c r="AD37" s="1431">
        <f t="shared" si="11"/>
        <v>4.0000000000000036E-2</v>
      </c>
      <c r="AE37" s="1431">
        <f t="shared" si="12"/>
        <v>4.0000000000000036E-2</v>
      </c>
      <c r="AF37" s="1431">
        <f t="shared" si="13"/>
        <v>4.0000000000000036E-2</v>
      </c>
      <c r="AG37" s="1431">
        <f t="shared" si="14"/>
        <v>4.0000000000000036E-2</v>
      </c>
      <c r="AH37" s="1431">
        <f t="shared" si="15"/>
        <v>4.0000000000000036E-2</v>
      </c>
      <c r="AI37" s="1431">
        <f t="shared" si="16"/>
        <v>4.0000000000000036E-2</v>
      </c>
    </row>
    <row r="38" spans="1:35">
      <c r="A38" s="72" t="str">
        <f>+Ingresos!A61</f>
        <v>1120502</v>
      </c>
      <c r="B38" s="547" t="s">
        <v>532</v>
      </c>
      <c r="C38" s="548">
        <f>SUM(C39:C42)</f>
        <v>3588794.12</v>
      </c>
      <c r="D38" s="552"/>
      <c r="E38" s="549">
        <f>+C38/C36</f>
        <v>0.80924637292737045</v>
      </c>
      <c r="G38" s="548">
        <f>SUM(G39:G42)</f>
        <v>4758399</v>
      </c>
      <c r="H38" s="548">
        <f t="shared" ref="H38:U38" si="20">SUM(H39:H42)</f>
        <v>4123811</v>
      </c>
      <c r="I38" s="548">
        <f t="shared" si="20"/>
        <v>3388794.12</v>
      </c>
      <c r="J38" s="548">
        <f t="shared" si="20"/>
        <v>3574169.3648000001</v>
      </c>
      <c r="K38" s="548">
        <f t="shared" si="20"/>
        <v>3717136.1393920006</v>
      </c>
      <c r="L38" s="548">
        <f t="shared" si="20"/>
        <v>3865821.5849676803</v>
      </c>
      <c r="M38" s="548">
        <f t="shared" si="20"/>
        <v>4020454.4483663877</v>
      </c>
      <c r="N38" s="548">
        <f t="shared" si="20"/>
        <v>4181272.6263010437</v>
      </c>
      <c r="O38" s="548">
        <f t="shared" si="20"/>
        <v>4348523.5313530853</v>
      </c>
      <c r="P38" s="548">
        <f t="shared" si="20"/>
        <v>4522464.4726072084</v>
      </c>
      <c r="Q38" s="548">
        <f t="shared" si="20"/>
        <v>4703363.0515114972</v>
      </c>
      <c r="R38" s="548">
        <f t="shared" si="20"/>
        <v>4891497.5735719576</v>
      </c>
      <c r="S38" s="548">
        <f t="shared" si="20"/>
        <v>5087157.4765148358</v>
      </c>
      <c r="T38" s="548">
        <f t="shared" si="20"/>
        <v>5290643.7755754311</v>
      </c>
      <c r="U38" s="548">
        <f t="shared" si="20"/>
        <v>5502269.526598447</v>
      </c>
      <c r="V38" s="1431">
        <f t="shared" si="3"/>
        <v>-0.13336166218932044</v>
      </c>
      <c r="W38" s="1431">
        <f t="shared" si="4"/>
        <v>-0.17823728585039422</v>
      </c>
      <c r="X38" s="1431">
        <f t="shared" si="5"/>
        <v>5.4702421638998855E-2</v>
      </c>
      <c r="Y38" s="1431">
        <f t="shared" si="6"/>
        <v>4.0000000000000036E-2</v>
      </c>
      <c r="Z38" s="1431">
        <f t="shared" si="7"/>
        <v>3.9999999999999813E-2</v>
      </c>
      <c r="AA38" s="1431">
        <f t="shared" si="8"/>
        <v>4.0000000000000036E-2</v>
      </c>
      <c r="AB38" s="1431">
        <f t="shared" si="9"/>
        <v>4.0000000000000036E-2</v>
      </c>
      <c r="AC38" s="1431">
        <f t="shared" si="10"/>
        <v>4.0000000000000036E-2</v>
      </c>
      <c r="AD38" s="1431">
        <f t="shared" si="11"/>
        <v>4.0000000000000036E-2</v>
      </c>
      <c r="AE38" s="1431">
        <f t="shared" si="12"/>
        <v>4.0000000000000036E-2</v>
      </c>
      <c r="AF38" s="1431">
        <f t="shared" si="13"/>
        <v>4.0000000000000036E-2</v>
      </c>
      <c r="AG38" s="1431">
        <f t="shared" si="14"/>
        <v>4.0000000000000036E-2</v>
      </c>
      <c r="AH38" s="1431">
        <f t="shared" si="15"/>
        <v>4.0000000000000258E-2</v>
      </c>
      <c r="AI38" s="1431">
        <f t="shared" si="16"/>
        <v>3.9999999999999813E-2</v>
      </c>
    </row>
    <row r="39" spans="1:35">
      <c r="A39" s="71" t="str">
        <f>+Ingresos!A62</f>
        <v>1120502010101</v>
      </c>
      <c r="B39" s="551" t="str">
        <f>+Ingresos!B62</f>
        <v xml:space="preserve">            Sistema General de Participaciones -Educación-</v>
      </c>
      <c r="C39" s="543">
        <f>+Ingresos!H62</f>
        <v>306838</v>
      </c>
      <c r="D39" s="553"/>
      <c r="E39" s="545">
        <f>+C39/C38</f>
        <v>8.5498914047485122E-2</v>
      </c>
      <c r="G39" s="543">
        <f>+'Ingresos Proyecciones'!C59</f>
        <v>233314</v>
      </c>
      <c r="H39" s="543">
        <f>+'Ingresos Proyecciones'!D59</f>
        <v>242632</v>
      </c>
      <c r="I39" s="543">
        <f>+'Ingresos Proyecciones'!E59</f>
        <v>306838</v>
      </c>
      <c r="J39" s="543">
        <f>+'Ingresos Proyecciones'!F59</f>
        <v>319111.52</v>
      </c>
      <c r="K39" s="543">
        <f>+'Ingresos Proyecciones'!G59</f>
        <v>331875.98080000002</v>
      </c>
      <c r="L39" s="543">
        <f>+'Ingresos Proyecciones'!H59</f>
        <v>345151.02003200003</v>
      </c>
      <c r="M39" s="543">
        <f>+'Ingresos Proyecciones'!I59</f>
        <v>358957.06083328003</v>
      </c>
      <c r="N39" s="543">
        <f>+'Ingresos Proyecciones'!J59</f>
        <v>373315.34326661122</v>
      </c>
      <c r="O39" s="543">
        <f>+'Ingresos Proyecciones'!K59</f>
        <v>388247.95699727564</v>
      </c>
      <c r="P39" s="543">
        <f>+'Ingresos Proyecciones'!L59</f>
        <v>403777.87527716672</v>
      </c>
      <c r="Q39" s="543">
        <f>+'Ingresos Proyecciones'!M59</f>
        <v>419928.99028825341</v>
      </c>
      <c r="R39" s="543">
        <f>+'Ingresos Proyecciones'!N59</f>
        <v>436726.1498997836</v>
      </c>
      <c r="S39" s="543">
        <f>+'Ingresos Proyecciones'!O59</f>
        <v>454195.19589577493</v>
      </c>
      <c r="T39" s="543">
        <f>+'Ingresos Proyecciones'!P59</f>
        <v>472363.00373160595</v>
      </c>
      <c r="U39" s="543">
        <f>+'Ingresos Proyecciones'!Q59</f>
        <v>491257.5238808702</v>
      </c>
      <c r="V39" s="1431">
        <f t="shared" si="3"/>
        <v>3.9937594829285938E-2</v>
      </c>
      <c r="W39" s="1431">
        <f t="shared" si="4"/>
        <v>0.26462296811632435</v>
      </c>
      <c r="X39" s="1431">
        <f t="shared" si="5"/>
        <v>4.0000000000000036E-2</v>
      </c>
      <c r="Y39" s="1431">
        <f t="shared" si="6"/>
        <v>4.0000000000000036E-2</v>
      </c>
      <c r="Z39" s="1431">
        <f t="shared" si="7"/>
        <v>4.0000000000000036E-2</v>
      </c>
      <c r="AA39" s="1431">
        <f t="shared" si="8"/>
        <v>4.0000000000000036E-2</v>
      </c>
      <c r="AB39" s="1431">
        <f t="shared" si="9"/>
        <v>4.0000000000000036E-2</v>
      </c>
      <c r="AC39" s="1431">
        <f t="shared" si="10"/>
        <v>4.0000000000000036E-2</v>
      </c>
      <c r="AD39" s="1431">
        <f t="shared" si="11"/>
        <v>4.0000000000000036E-2</v>
      </c>
      <c r="AE39" s="1431">
        <f t="shared" si="12"/>
        <v>4.0000000000000036E-2</v>
      </c>
      <c r="AF39" s="1431">
        <f t="shared" si="13"/>
        <v>4.0000000000000036E-2</v>
      </c>
      <c r="AG39" s="1431">
        <f t="shared" si="14"/>
        <v>4.0000000000000036E-2</v>
      </c>
      <c r="AH39" s="1431">
        <f t="shared" si="15"/>
        <v>4.0000000000000036E-2</v>
      </c>
      <c r="AI39" s="1431">
        <f t="shared" si="16"/>
        <v>4.0000000000000036E-2</v>
      </c>
    </row>
    <row r="40" spans="1:35">
      <c r="A40" s="71" t="str">
        <f>+Ingresos!A65</f>
        <v>1120502010102</v>
      </c>
      <c r="B40" s="551" t="str">
        <f>+Ingresos!B65</f>
        <v xml:space="preserve">            Sistema General de Participaciones -Salud-</v>
      </c>
      <c r="C40" s="543">
        <f>+Ingresos!H65</f>
        <v>1771195.12</v>
      </c>
      <c r="D40" s="553"/>
      <c r="E40" s="545">
        <f>+C40/C38</f>
        <v>0.49353489243902354</v>
      </c>
      <c r="G40" s="543">
        <f>+'Ingresos Proyecciones'!C62</f>
        <v>1308197</v>
      </c>
      <c r="H40" s="543">
        <f>+'Ingresos Proyecciones'!D62</f>
        <v>1405815</v>
      </c>
      <c r="I40" s="543">
        <f>+'Ingresos Proyecciones'!E62</f>
        <v>1771195.12</v>
      </c>
      <c r="J40" s="543">
        <f>+'Ingresos Proyecciones'!F62</f>
        <v>1891866.4048000001</v>
      </c>
      <c r="K40" s="543">
        <f>+'Ingresos Proyecciones'!G62</f>
        <v>1967541.0609920002</v>
      </c>
      <c r="L40" s="543">
        <f>+'Ingresos Proyecciones'!H62</f>
        <v>2046242.7034316801</v>
      </c>
      <c r="M40" s="543">
        <f>+'Ingresos Proyecciones'!I62</f>
        <v>2128092.4115689476</v>
      </c>
      <c r="N40" s="543">
        <f>+'Ingresos Proyecciones'!J62</f>
        <v>2213216.108031706</v>
      </c>
      <c r="O40" s="543">
        <f>+'Ingresos Proyecciones'!K62</f>
        <v>2301744.7523529739</v>
      </c>
      <c r="P40" s="543">
        <f>+'Ingresos Proyecciones'!L62</f>
        <v>2393814.5424470929</v>
      </c>
      <c r="Q40" s="543">
        <f>+'Ingresos Proyecciones'!M62</f>
        <v>2489567.124144977</v>
      </c>
      <c r="R40" s="543">
        <f>+'Ingresos Proyecciones'!N62</f>
        <v>2589149.8091107765</v>
      </c>
      <c r="S40" s="543">
        <f>+'Ingresos Proyecciones'!O62</f>
        <v>2692715.8014752069</v>
      </c>
      <c r="T40" s="543">
        <f>+'Ingresos Proyecciones'!P62</f>
        <v>2800424.4335342161</v>
      </c>
      <c r="U40" s="543">
        <f>+'Ingresos Proyecciones'!Q62</f>
        <v>2912441.4108755845</v>
      </c>
      <c r="V40" s="1431">
        <f t="shared" si="3"/>
        <v>7.4620259792676391E-2</v>
      </c>
      <c r="W40" s="1431">
        <f t="shared" si="4"/>
        <v>0.2599062607811129</v>
      </c>
      <c r="X40" s="1431">
        <f t="shared" si="5"/>
        <v>6.8129865217785746E-2</v>
      </c>
      <c r="Y40" s="1431">
        <f t="shared" si="6"/>
        <v>4.0000000000000036E-2</v>
      </c>
      <c r="Z40" s="1431">
        <f t="shared" si="7"/>
        <v>4.0000000000000036E-2</v>
      </c>
      <c r="AA40" s="1431">
        <f t="shared" si="8"/>
        <v>4.0000000000000036E-2</v>
      </c>
      <c r="AB40" s="1431">
        <f t="shared" si="9"/>
        <v>4.0000000000000258E-2</v>
      </c>
      <c r="AC40" s="1431">
        <f t="shared" si="10"/>
        <v>3.9999999999999813E-2</v>
      </c>
      <c r="AD40" s="1431">
        <f t="shared" si="11"/>
        <v>4.0000000000000036E-2</v>
      </c>
      <c r="AE40" s="1431">
        <f t="shared" si="12"/>
        <v>4.0000000000000036E-2</v>
      </c>
      <c r="AF40" s="1431">
        <f t="shared" si="13"/>
        <v>4.0000000000000258E-2</v>
      </c>
      <c r="AG40" s="1431">
        <f t="shared" si="14"/>
        <v>3.9999999999999813E-2</v>
      </c>
      <c r="AH40" s="1431">
        <f t="shared" si="15"/>
        <v>4.000000000000048E-2</v>
      </c>
      <c r="AI40" s="1431">
        <f t="shared" si="16"/>
        <v>3.9999999999999813E-2</v>
      </c>
    </row>
    <row r="41" spans="1:35">
      <c r="A41" s="71" t="str">
        <f>+Ingresos!A71</f>
        <v>1120502010103</v>
      </c>
      <c r="B41" s="551" t="str">
        <f>+Ingresos!B71</f>
        <v xml:space="preserve">            Sistema General de Participaciones Propósito General (Forsoza Inversión)</v>
      </c>
      <c r="C41" s="543">
        <f>+Ingresos!H71</f>
        <v>752600</v>
      </c>
      <c r="D41" s="553"/>
      <c r="E41" s="545">
        <f>+C41/C38</f>
        <v>0.2097083239759655</v>
      </c>
      <c r="G41" s="543">
        <f>+'Ingresos Proyecciones'!C68</f>
        <v>897093</v>
      </c>
      <c r="H41" s="543">
        <f>+'Ingresos Proyecciones'!D68</f>
        <v>847021</v>
      </c>
      <c r="I41" s="543">
        <f>+'Ingresos Proyecciones'!E68</f>
        <v>752600</v>
      </c>
      <c r="J41" s="543">
        <f>+'Ingresos Proyecciones'!F68</f>
        <v>782704</v>
      </c>
      <c r="K41" s="543">
        <f>+'Ingresos Proyecciones'!G68</f>
        <v>814012.16</v>
      </c>
      <c r="L41" s="543">
        <f>+'Ingresos Proyecciones'!H68</f>
        <v>846572.64640000009</v>
      </c>
      <c r="M41" s="543">
        <f>+'Ingresos Proyecciones'!I68</f>
        <v>880435.55225600011</v>
      </c>
      <c r="N41" s="543">
        <f>+'Ingresos Proyecciones'!J68</f>
        <v>915652.97434624017</v>
      </c>
      <c r="O41" s="543">
        <f>+'Ingresos Proyecciones'!K68</f>
        <v>952279.09332008986</v>
      </c>
      <c r="P41" s="543">
        <f>+'Ingresos Proyecciones'!L68</f>
        <v>990370.25705289352</v>
      </c>
      <c r="Q41" s="543">
        <f>+'Ingresos Proyecciones'!M68</f>
        <v>1029985.0673350093</v>
      </c>
      <c r="R41" s="543">
        <f>+'Ingresos Proyecciones'!N68</f>
        <v>1071184.4700284097</v>
      </c>
      <c r="S41" s="543">
        <f>+'Ingresos Proyecciones'!O68</f>
        <v>1114031.8488295462</v>
      </c>
      <c r="T41" s="543">
        <f>+'Ingresos Proyecciones'!P68</f>
        <v>1158593.1227827282</v>
      </c>
      <c r="U41" s="543">
        <f>+'Ingresos Proyecciones'!Q68</f>
        <v>1204936.8476940372</v>
      </c>
      <c r="V41" s="1431">
        <f t="shared" si="3"/>
        <v>-5.5815840721084697E-2</v>
      </c>
      <c r="W41" s="1431">
        <f t="shared" si="4"/>
        <v>-0.11147421374440536</v>
      </c>
      <c r="X41" s="1431">
        <f t="shared" si="5"/>
        <v>4.0000000000000036E-2</v>
      </c>
      <c r="Y41" s="1431">
        <f t="shared" si="6"/>
        <v>4.0000000000000036E-2</v>
      </c>
      <c r="Z41" s="1431">
        <f t="shared" si="7"/>
        <v>4.0000000000000036E-2</v>
      </c>
      <c r="AA41" s="1431">
        <f t="shared" si="8"/>
        <v>4.0000000000000036E-2</v>
      </c>
      <c r="AB41" s="1431">
        <f t="shared" si="9"/>
        <v>4.0000000000000036E-2</v>
      </c>
      <c r="AC41" s="1431">
        <f t="shared" si="10"/>
        <v>4.0000000000000036E-2</v>
      </c>
      <c r="AD41" s="1431">
        <f t="shared" si="11"/>
        <v>4.0000000000000036E-2</v>
      </c>
      <c r="AE41" s="1431">
        <f t="shared" si="12"/>
        <v>4.0000000000000036E-2</v>
      </c>
      <c r="AF41" s="1431">
        <f t="shared" si="13"/>
        <v>4.0000000000000036E-2</v>
      </c>
      <c r="AG41" s="1431">
        <f t="shared" si="14"/>
        <v>4.0000000000000036E-2</v>
      </c>
      <c r="AH41" s="1431">
        <f t="shared" si="15"/>
        <v>4.0000000000000036E-2</v>
      </c>
      <c r="AI41" s="1431">
        <f t="shared" si="16"/>
        <v>4.0000000000000036E-2</v>
      </c>
    </row>
    <row r="42" spans="1:35">
      <c r="A42" s="72" t="str">
        <f>+Ingresos!A74</f>
        <v>1120502010198</v>
      </c>
      <c r="B42" s="551" t="s">
        <v>533</v>
      </c>
      <c r="C42" s="543">
        <f>+Ingresos!H72+Ingresos!H73+Ingresos!H74</f>
        <v>758161</v>
      </c>
      <c r="D42" s="554"/>
      <c r="E42" s="545">
        <f>+C42/C38</f>
        <v>0.21125786953752587</v>
      </c>
      <c r="G42" s="543">
        <f>+'Ingresos Proyecciones'!C69+'Ingresos Proyecciones'!C70+'Ingresos Proyecciones'!C71</f>
        <v>2319795</v>
      </c>
      <c r="H42" s="543">
        <f>+'Ingresos Proyecciones'!D69+'Ingresos Proyecciones'!D70+'Ingresos Proyecciones'!D71</f>
        <v>1628343</v>
      </c>
      <c r="I42" s="543">
        <f>+'Ingresos Proyecciones'!E69+'Ingresos Proyecciones'!E70+'Ingresos Proyecciones'!E71</f>
        <v>558161</v>
      </c>
      <c r="J42" s="543">
        <f>+'Ingresos Proyecciones'!F69+'Ingresos Proyecciones'!F70+'Ingresos Proyecciones'!F71</f>
        <v>580487.44000000006</v>
      </c>
      <c r="K42" s="543">
        <f>+'Ingresos Proyecciones'!G69+'Ingresos Proyecciones'!G70+'Ingresos Proyecciones'!G71</f>
        <v>603706.93760000006</v>
      </c>
      <c r="L42" s="543">
        <f>+'Ingresos Proyecciones'!H69+'Ingresos Proyecciones'!H70+'Ingresos Proyecciones'!H71</f>
        <v>627855.21510400006</v>
      </c>
      <c r="M42" s="543">
        <f>+'Ingresos Proyecciones'!I69+'Ingresos Proyecciones'!I70+'Ingresos Proyecciones'!I71</f>
        <v>652969.42370815994</v>
      </c>
      <c r="N42" s="543">
        <f>+'Ingresos Proyecciones'!J69+'Ingresos Proyecciones'!J70+'Ingresos Proyecciones'!J71</f>
        <v>679088.20065648644</v>
      </c>
      <c r="O42" s="543">
        <f>+'Ingresos Proyecciones'!K69+'Ingresos Proyecciones'!K70+'Ingresos Proyecciones'!K71</f>
        <v>706251.72868274595</v>
      </c>
      <c r="P42" s="543">
        <f>+'Ingresos Proyecciones'!L69+'Ingresos Proyecciones'!L70+'Ingresos Proyecciones'!L71</f>
        <v>734501.79783005582</v>
      </c>
      <c r="Q42" s="543">
        <f>+'Ingresos Proyecciones'!M69+'Ingresos Proyecciones'!M70+'Ingresos Proyecciones'!M71</f>
        <v>763881.86974325799</v>
      </c>
      <c r="R42" s="543">
        <f>+'Ingresos Proyecciones'!N69+'Ingresos Proyecciones'!N70+'Ingresos Proyecciones'!N71</f>
        <v>794437.14453298831</v>
      </c>
      <c r="S42" s="543">
        <f>+'Ingresos Proyecciones'!O69+'Ingresos Proyecciones'!O70+'Ingresos Proyecciones'!O71</f>
        <v>826214.63031430787</v>
      </c>
      <c r="T42" s="543">
        <f>+'Ingresos Proyecciones'!P69+'Ingresos Proyecciones'!P70+'Ingresos Proyecciones'!P71</f>
        <v>859263.21552688035</v>
      </c>
      <c r="U42" s="543">
        <f>+'Ingresos Proyecciones'!Q69+'Ingresos Proyecciones'!Q70+'Ingresos Proyecciones'!Q71</f>
        <v>893633.74414795544</v>
      </c>
      <c r="V42" s="1431">
        <f t="shared" si="3"/>
        <v>-0.29806599290023472</v>
      </c>
      <c r="W42" s="1431">
        <f t="shared" si="4"/>
        <v>-0.65722148220614451</v>
      </c>
      <c r="X42" s="1431">
        <f t="shared" si="5"/>
        <v>4.0000000000000036E-2</v>
      </c>
      <c r="Y42" s="1431">
        <f t="shared" si="6"/>
        <v>4.0000000000000036E-2</v>
      </c>
      <c r="Z42" s="1431">
        <f t="shared" si="7"/>
        <v>4.0000000000000036E-2</v>
      </c>
      <c r="AA42" s="1431">
        <f t="shared" si="8"/>
        <v>3.9999999999999813E-2</v>
      </c>
      <c r="AB42" s="1431">
        <f t="shared" si="9"/>
        <v>4.0000000000000258E-2</v>
      </c>
      <c r="AC42" s="1431">
        <f t="shared" si="10"/>
        <v>4.0000000000000036E-2</v>
      </c>
      <c r="AD42" s="1431">
        <f t="shared" si="11"/>
        <v>4.0000000000000036E-2</v>
      </c>
      <c r="AE42" s="1431">
        <f t="shared" si="12"/>
        <v>3.9999999999999813E-2</v>
      </c>
      <c r="AF42" s="1431">
        <f t="shared" si="13"/>
        <v>4.0000000000000036E-2</v>
      </c>
      <c r="AG42" s="1431">
        <f t="shared" si="14"/>
        <v>4.0000000000000036E-2</v>
      </c>
      <c r="AH42" s="1431">
        <f t="shared" si="15"/>
        <v>4.0000000000000258E-2</v>
      </c>
      <c r="AI42" s="1431">
        <f t="shared" si="16"/>
        <v>3.9999999999999813E-2</v>
      </c>
    </row>
    <row r="43" spans="1:35" ht="12.75" thickBot="1">
      <c r="A43" s="72" t="str">
        <f>+Ingresos!A78</f>
        <v>112050202</v>
      </c>
      <c r="B43" s="547" t="str">
        <f>+Ingresos!B78</f>
        <v xml:space="preserve">        Del Nivel Departamental</v>
      </c>
      <c r="C43" s="548">
        <f>+Ingresos!H78</f>
        <v>243930</v>
      </c>
      <c r="D43" s="554"/>
      <c r="E43" s="549">
        <f>+C43/C36</f>
        <v>5.5004400126517562E-2</v>
      </c>
      <c r="G43" s="548">
        <f>+'Ingresos Proyecciones'!C75</f>
        <v>323093</v>
      </c>
      <c r="H43" s="548">
        <f>+'Ingresos Proyecciones'!D75</f>
        <v>193294</v>
      </c>
      <c r="I43" s="548">
        <f>+'Ingresos Proyecciones'!E75</f>
        <v>22299</v>
      </c>
      <c r="J43" s="548">
        <f>+'Ingresos Proyecciones'!F75</f>
        <v>199590.96</v>
      </c>
      <c r="K43" s="548">
        <f>+'Ingresos Proyecciones'!G75</f>
        <v>207574.59839999999</v>
      </c>
      <c r="L43" s="548">
        <f>+'Ingresos Proyecciones'!H75</f>
        <v>215877.58233600002</v>
      </c>
      <c r="M43" s="548">
        <f>+'Ingresos Proyecciones'!I75</f>
        <v>224512.68562944001</v>
      </c>
      <c r="N43" s="548">
        <f>+'Ingresos Proyecciones'!J75</f>
        <v>233493.19305461764</v>
      </c>
      <c r="O43" s="548">
        <f>+'Ingresos Proyecciones'!K75</f>
        <v>242832.92077680235</v>
      </c>
      <c r="P43" s="548">
        <f>+'Ingresos Proyecciones'!L75</f>
        <v>252546.23760787447</v>
      </c>
      <c r="Q43" s="548">
        <f>+'Ingresos Proyecciones'!M75</f>
        <v>262648.08711218945</v>
      </c>
      <c r="R43" s="548">
        <f>+'Ingresos Proyecciones'!N75</f>
        <v>273154.01059667702</v>
      </c>
      <c r="S43" s="548">
        <f>+'Ingresos Proyecciones'!O75</f>
        <v>284080.17102054413</v>
      </c>
      <c r="T43" s="548">
        <f>+'Ingresos Proyecciones'!P75</f>
        <v>295443.37786136591</v>
      </c>
      <c r="U43" s="548">
        <f>+'Ingresos Proyecciones'!Q75</f>
        <v>307261.11297582055</v>
      </c>
      <c r="V43" s="1431">
        <f t="shared" si="3"/>
        <v>-0.40173881823499735</v>
      </c>
      <c r="W43" s="1431">
        <f t="shared" si="4"/>
        <v>-0.88463687439858452</v>
      </c>
      <c r="X43" s="1431">
        <f t="shared" si="5"/>
        <v>7.9506686398493205</v>
      </c>
      <c r="Y43" s="1431">
        <f t="shared" si="6"/>
        <v>4.0000000000000036E-2</v>
      </c>
      <c r="Z43" s="1431">
        <f t="shared" si="7"/>
        <v>4.0000000000000258E-2</v>
      </c>
      <c r="AA43" s="1431">
        <f t="shared" si="8"/>
        <v>4.0000000000000036E-2</v>
      </c>
      <c r="AB43" s="1431">
        <f t="shared" si="9"/>
        <v>4.0000000000000258E-2</v>
      </c>
      <c r="AC43" s="1431">
        <f t="shared" si="10"/>
        <v>4.0000000000000036E-2</v>
      </c>
      <c r="AD43" s="1431">
        <f t="shared" si="11"/>
        <v>4.0000000000000036E-2</v>
      </c>
      <c r="AE43" s="1431">
        <f t="shared" si="12"/>
        <v>4.0000000000000036E-2</v>
      </c>
      <c r="AF43" s="1431">
        <f t="shared" si="13"/>
        <v>4.0000000000000036E-2</v>
      </c>
      <c r="AG43" s="1431">
        <f t="shared" si="14"/>
        <v>4.0000000000000036E-2</v>
      </c>
      <c r="AH43" s="1431">
        <f t="shared" si="15"/>
        <v>4.0000000000000036E-2</v>
      </c>
      <c r="AI43" s="1431">
        <f t="shared" si="16"/>
        <v>4.0000000000000036E-2</v>
      </c>
    </row>
    <row r="44" spans="1:35" ht="12.75" customHeight="1" thickBot="1">
      <c r="A44" s="72" t="str">
        <f>+Gastos!A25</f>
        <v>2</v>
      </c>
      <c r="B44" s="555" t="s">
        <v>534</v>
      </c>
      <c r="C44" s="533">
        <f>+C45+C74</f>
        <v>5164928.4450000003</v>
      </c>
      <c r="E44" s="556"/>
      <c r="G44" s="533">
        <f>+G45+G74</f>
        <v>6592632</v>
      </c>
      <c r="H44" s="533">
        <f t="shared" ref="H44:U44" si="21">+H45+H74</f>
        <v>6256226.1999999993</v>
      </c>
      <c r="I44" s="533">
        <f t="shared" si="21"/>
        <v>6661176.4450000003</v>
      </c>
      <c r="J44" s="533">
        <f t="shared" si="21"/>
        <v>5658635.4172500009</v>
      </c>
      <c r="K44" s="533">
        <f t="shared" si="21"/>
        <v>5789129.8881125012</v>
      </c>
      <c r="L44" s="533">
        <f t="shared" si="21"/>
        <v>5961285.0835181251</v>
      </c>
      <c r="M44" s="533">
        <f t="shared" si="21"/>
        <v>6197972.4636140335</v>
      </c>
      <c r="N44" s="533">
        <f t="shared" si="21"/>
        <v>6444038.8395395344</v>
      </c>
      <c r="O44" s="533">
        <f t="shared" si="21"/>
        <v>6699856.0223510778</v>
      </c>
      <c r="P44" s="533">
        <f t="shared" si="21"/>
        <v>6965807.4757420952</v>
      </c>
      <c r="Q44" s="533">
        <f t="shared" si="21"/>
        <v>7242295.9487952879</v>
      </c>
      <c r="R44" s="533">
        <f t="shared" si="21"/>
        <v>7529735.9725867175</v>
      </c>
      <c r="S44" s="533">
        <f t="shared" si="21"/>
        <v>7828561.3278210741</v>
      </c>
      <c r="T44" s="533">
        <f t="shared" si="21"/>
        <v>8139222.1003860021</v>
      </c>
      <c r="U44" s="533">
        <f t="shared" si="21"/>
        <v>8462184.657962814</v>
      </c>
      <c r="V44" s="1431">
        <f t="shared" si="3"/>
        <v>-5.1027541048855873E-2</v>
      </c>
      <c r="W44" s="1431">
        <f t="shared" si="4"/>
        <v>6.4727558124417106E-2</v>
      </c>
      <c r="X44" s="1431">
        <f t="shared" si="5"/>
        <v>-0.15050510011674068</v>
      </c>
      <c r="Y44" s="1431">
        <f t="shared" si="6"/>
        <v>2.306112008289074E-2</v>
      </c>
      <c r="Z44" s="1431">
        <f t="shared" si="7"/>
        <v>2.9737663298785355E-2</v>
      </c>
      <c r="AA44" s="1431">
        <f t="shared" si="8"/>
        <v>3.9704086749735579E-2</v>
      </c>
      <c r="AB44" s="1431">
        <f t="shared" si="9"/>
        <v>3.970110828501805E-2</v>
      </c>
      <c r="AC44" s="1431">
        <f t="shared" si="10"/>
        <v>3.9698268303706152E-2</v>
      </c>
      <c r="AD44" s="1431">
        <f t="shared" si="11"/>
        <v>3.9695099790769905E-2</v>
      </c>
      <c r="AE44" s="1431">
        <f t="shared" si="12"/>
        <v>3.9692235827080147E-2</v>
      </c>
      <c r="AF44" s="1431">
        <f t="shared" si="13"/>
        <v>3.9689074545378622E-2</v>
      </c>
      <c r="AG44" s="1431">
        <f t="shared" si="14"/>
        <v>3.9686033656728625E-2</v>
      </c>
      <c r="AH44" s="1431">
        <f t="shared" si="15"/>
        <v>3.9682996601291709E-2</v>
      </c>
      <c r="AI44" s="1431">
        <f t="shared" si="16"/>
        <v>3.9679781875161746E-2</v>
      </c>
    </row>
    <row r="45" spans="1:35" ht="12.75" customHeight="1" thickBot="1">
      <c r="A45" s="431" t="s">
        <v>535</v>
      </c>
      <c r="B45" s="557" t="s">
        <v>536</v>
      </c>
      <c r="C45" s="536">
        <f>+C46+C59+C62+C63+C64</f>
        <v>1018804</v>
      </c>
      <c r="D45" s="558"/>
      <c r="E45" s="559">
        <f>+C45/C104</f>
        <v>0.19555062856578526</v>
      </c>
      <c r="G45" s="536">
        <f>+G46+G59+G62+G63+G64</f>
        <v>1001015</v>
      </c>
      <c r="H45" s="536">
        <f t="shared" ref="H45:U45" si="22">+H46+H59+H62+H63+H64</f>
        <v>880428.85</v>
      </c>
      <c r="I45" s="536">
        <f t="shared" si="22"/>
        <v>908814</v>
      </c>
      <c r="J45" s="536">
        <f t="shared" si="22"/>
        <v>1021696.0000000001</v>
      </c>
      <c r="K45" s="536">
        <f t="shared" si="22"/>
        <v>1070904</v>
      </c>
      <c r="L45" s="536">
        <f t="shared" si="22"/>
        <v>1122497.3280000002</v>
      </c>
      <c r="M45" s="536">
        <f t="shared" si="22"/>
        <v>1116552.3203200004</v>
      </c>
      <c r="N45" s="536">
        <f t="shared" si="22"/>
        <v>1120752.8915808003</v>
      </c>
      <c r="O45" s="536">
        <f t="shared" si="22"/>
        <v>1174594.9456144322</v>
      </c>
      <c r="P45" s="536">
        <f t="shared" si="22"/>
        <v>1231041.2787279293</v>
      </c>
      <c r="Q45" s="536">
        <f t="shared" si="22"/>
        <v>1290218.5919304127</v>
      </c>
      <c r="R45" s="536">
        <f t="shared" si="22"/>
        <v>1352259.7807636638</v>
      </c>
      <c r="S45" s="536">
        <f t="shared" si="22"/>
        <v>1417304.2394080462</v>
      </c>
      <c r="T45" s="536">
        <f t="shared" si="22"/>
        <v>1485498.179768896</v>
      </c>
      <c r="U45" s="536">
        <f t="shared" si="22"/>
        <v>1556994.9662834061</v>
      </c>
      <c r="V45" s="1431">
        <f t="shared" si="3"/>
        <v>-0.12046387916264989</v>
      </c>
      <c r="W45" s="1431">
        <f t="shared" si="4"/>
        <v>3.2240140699614672E-2</v>
      </c>
      <c r="X45" s="1431">
        <f t="shared" si="5"/>
        <v>0.12420803376708567</v>
      </c>
      <c r="Y45" s="1431">
        <f t="shared" si="6"/>
        <v>4.8163054372337699E-2</v>
      </c>
      <c r="Z45" s="1431">
        <f t="shared" si="7"/>
        <v>4.8177360435669447E-2</v>
      </c>
      <c r="AA45" s="1431">
        <f t="shared" si="8"/>
        <v>-5.2962332574922888E-3</v>
      </c>
      <c r="AB45" s="1431">
        <f t="shared" si="9"/>
        <v>3.7620908437108191E-3</v>
      </c>
      <c r="AC45" s="1431">
        <f t="shared" si="10"/>
        <v>4.8040968208155732E-2</v>
      </c>
      <c r="AD45" s="1431">
        <f t="shared" si="11"/>
        <v>4.8055998643830256E-2</v>
      </c>
      <c r="AE45" s="1431">
        <f t="shared" si="12"/>
        <v>4.8070941425809144E-2</v>
      </c>
      <c r="AF45" s="1431">
        <f t="shared" si="13"/>
        <v>4.8085796640417122E-2</v>
      </c>
      <c r="AG45" s="1431">
        <f t="shared" si="14"/>
        <v>4.8100564380942901E-2</v>
      </c>
      <c r="AH45" s="1431">
        <f t="shared" si="15"/>
        <v>4.8115244747543917E-2</v>
      </c>
      <c r="AI45" s="1431">
        <f t="shared" si="16"/>
        <v>4.8129837847147749E-2</v>
      </c>
    </row>
    <row r="46" spans="1:35">
      <c r="A46" s="72" t="str">
        <f>+Gastos!A26</f>
        <v>21</v>
      </c>
      <c r="B46" s="560" t="s">
        <v>537</v>
      </c>
      <c r="C46" s="540">
        <f>+C47+C48+C49</f>
        <v>1011371</v>
      </c>
      <c r="D46" s="544"/>
      <c r="E46" s="541">
        <f>+C46/C104</f>
        <v>0.19412392841332268</v>
      </c>
      <c r="G46" s="540">
        <f>+G47+G48+G49</f>
        <v>991015</v>
      </c>
      <c r="H46" s="540">
        <f t="shared" ref="H46:U46" si="23">+H47+H48+H49</f>
        <v>875428.85</v>
      </c>
      <c r="I46" s="540">
        <f t="shared" si="23"/>
        <v>813189</v>
      </c>
      <c r="J46" s="540">
        <f t="shared" si="23"/>
        <v>853094.40000000014</v>
      </c>
      <c r="K46" s="540">
        <f t="shared" si="23"/>
        <v>893872.32000000007</v>
      </c>
      <c r="L46" s="540">
        <f t="shared" si="23"/>
        <v>936614.06400000013</v>
      </c>
      <c r="M46" s="540">
        <f t="shared" si="23"/>
        <v>981414.82032000029</v>
      </c>
      <c r="N46" s="540">
        <f t="shared" si="23"/>
        <v>1028374.4165808003</v>
      </c>
      <c r="O46" s="540">
        <f t="shared" si="23"/>
        <v>1077597.5468644323</v>
      </c>
      <c r="P46" s="540">
        <f t="shared" si="23"/>
        <v>1129194.0100404294</v>
      </c>
      <c r="Q46" s="540">
        <f t="shared" si="23"/>
        <v>1183278.9598085377</v>
      </c>
      <c r="R46" s="540">
        <f t="shared" si="23"/>
        <v>1239973.1670356949</v>
      </c>
      <c r="S46" s="540">
        <f t="shared" si="23"/>
        <v>1299403.294993679</v>
      </c>
      <c r="T46" s="540">
        <f t="shared" si="23"/>
        <v>1361702.1881338104</v>
      </c>
      <c r="U46" s="540">
        <f t="shared" si="23"/>
        <v>1427009.1750665663</v>
      </c>
      <c r="V46" s="1431">
        <f t="shared" si="3"/>
        <v>-0.11663410745548763</v>
      </c>
      <c r="W46" s="1431">
        <f t="shared" si="4"/>
        <v>-7.1096411775782742E-2</v>
      </c>
      <c r="X46" s="1431">
        <f t="shared" si="5"/>
        <v>4.9072724790915956E-2</v>
      </c>
      <c r="Y46" s="1431">
        <f t="shared" si="6"/>
        <v>4.7800009002520571E-2</v>
      </c>
      <c r="Z46" s="1431">
        <f t="shared" si="7"/>
        <v>4.7816386125481669E-2</v>
      </c>
      <c r="AA46" s="1431">
        <f t="shared" si="8"/>
        <v>4.783267520954082E-2</v>
      </c>
      <c r="AB46" s="1431">
        <f t="shared" si="9"/>
        <v>4.7848876222888581E-2</v>
      </c>
      <c r="AC46" s="1431">
        <f t="shared" si="10"/>
        <v>4.786498914207904E-2</v>
      </c>
      <c r="AD46" s="1431">
        <f t="shared" si="11"/>
        <v>4.7881013951944551E-2</v>
      </c>
      <c r="AE46" s="1431">
        <f t="shared" si="12"/>
        <v>4.7896950645506697E-2</v>
      </c>
      <c r="AF46" s="1431">
        <f t="shared" si="13"/>
        <v>4.7912799223887692E-2</v>
      </c>
      <c r="AG46" s="1431">
        <f t="shared" si="14"/>
        <v>4.7928559696222228E-2</v>
      </c>
      <c r="AH46" s="1431">
        <f t="shared" si="15"/>
        <v>4.7944232079567328E-2</v>
      </c>
      <c r="AI46" s="1431">
        <f t="shared" si="16"/>
        <v>4.7959816398810418E-2</v>
      </c>
    </row>
    <row r="47" spans="1:35">
      <c r="A47" s="72" t="str">
        <f>+Gastos!A27</f>
        <v>211</v>
      </c>
      <c r="B47" s="547" t="str">
        <f>+Gastos!C27</f>
        <v xml:space="preserve">  GASTOS DE PERSONAL</v>
      </c>
      <c r="C47" s="548">
        <f>+Gastos!J27</f>
        <v>342094</v>
      </c>
      <c r="D47" s="544"/>
      <c r="E47" s="549">
        <f>+C47/C46</f>
        <v>0.33824778444309755</v>
      </c>
      <c r="G47" s="548">
        <f>+'Gastos Proyecciones'!D27</f>
        <v>310428</v>
      </c>
      <c r="H47" s="548">
        <f>+'Gastos Proyecciones'!E27</f>
        <v>316296.84999999998</v>
      </c>
      <c r="I47" s="548">
        <f>+'Gastos Proyecciones'!F27</f>
        <v>248973</v>
      </c>
      <c r="J47" s="548">
        <f>+'Gastos Proyecciones'!G27</f>
        <v>261421.65</v>
      </c>
      <c r="K47" s="548">
        <f>+'Gastos Proyecciones'!H27</f>
        <v>274492.73250000004</v>
      </c>
      <c r="L47" s="548">
        <f>+'Gastos Proyecciones'!I27</f>
        <v>288217.36912500003</v>
      </c>
      <c r="M47" s="548">
        <f>+'Gastos Proyecciones'!J27</f>
        <v>302628.23758125008</v>
      </c>
      <c r="N47" s="548">
        <f>+'Gastos Proyecciones'!K27</f>
        <v>317759.64946031256</v>
      </c>
      <c r="O47" s="548">
        <f>+'Gastos Proyecciones'!L27</f>
        <v>333647.63193332823</v>
      </c>
      <c r="P47" s="548">
        <f>+'Gastos Proyecciones'!M27</f>
        <v>350330.01352999464</v>
      </c>
      <c r="Q47" s="548">
        <f>+'Gastos Proyecciones'!N27</f>
        <v>367846.51420649444</v>
      </c>
      <c r="R47" s="548">
        <f>+'Gastos Proyecciones'!O27</f>
        <v>386238.83991681912</v>
      </c>
      <c r="S47" s="548">
        <f>+'Gastos Proyecciones'!P27</f>
        <v>405550.78191266011</v>
      </c>
      <c r="T47" s="548">
        <f>+'Gastos Proyecciones'!Q27</f>
        <v>425828.32100829313</v>
      </c>
      <c r="U47" s="548">
        <f>+'Gastos Proyecciones'!R27</f>
        <v>447119.73705870786</v>
      </c>
      <c r="V47" s="1431">
        <f t="shared" si="3"/>
        <v>1.89056721687475E-2</v>
      </c>
      <c r="W47" s="1431">
        <f t="shared" si="4"/>
        <v>-0.21285020701281088</v>
      </c>
      <c r="X47" s="1431">
        <f t="shared" si="5"/>
        <v>5.0000000000000044E-2</v>
      </c>
      <c r="Y47" s="1431">
        <f t="shared" si="6"/>
        <v>5.0000000000000266E-2</v>
      </c>
      <c r="Z47" s="1431">
        <f t="shared" si="7"/>
        <v>5.0000000000000044E-2</v>
      </c>
      <c r="AA47" s="1431">
        <f t="shared" si="8"/>
        <v>5.0000000000000266E-2</v>
      </c>
      <c r="AB47" s="1431">
        <f t="shared" si="9"/>
        <v>4.9999999999999822E-2</v>
      </c>
      <c r="AC47" s="1431">
        <f t="shared" si="10"/>
        <v>5.0000000000000044E-2</v>
      </c>
      <c r="AD47" s="1431">
        <f t="shared" si="11"/>
        <v>5.0000000000000044E-2</v>
      </c>
      <c r="AE47" s="1431">
        <f t="shared" si="12"/>
        <v>5.0000000000000266E-2</v>
      </c>
      <c r="AF47" s="1431">
        <f t="shared" si="13"/>
        <v>4.9999999999999822E-2</v>
      </c>
      <c r="AG47" s="1431">
        <f t="shared" si="14"/>
        <v>5.0000000000000044E-2</v>
      </c>
      <c r="AH47" s="1431">
        <f t="shared" si="15"/>
        <v>5.0000000000000044E-2</v>
      </c>
      <c r="AI47" s="1431">
        <f t="shared" si="16"/>
        <v>5.0000000000000266E-2</v>
      </c>
    </row>
    <row r="48" spans="1:35">
      <c r="A48" s="72" t="str">
        <f>+Gastos!A42</f>
        <v>212</v>
      </c>
      <c r="B48" s="547" t="str">
        <f>+Gastos!C42</f>
        <v xml:space="preserve">  GASTOS GENERALES</v>
      </c>
      <c r="C48" s="548">
        <f>+Gastos!J42</f>
        <v>106998</v>
      </c>
      <c r="D48" s="537"/>
      <c r="E48" s="549">
        <f>+C48/C46</f>
        <v>0.10579500499816585</v>
      </c>
      <c r="G48" s="548">
        <f>+'Gastos Proyecciones'!D42</f>
        <v>134441</v>
      </c>
      <c r="H48" s="548">
        <f>+'Gastos Proyecciones'!E42</f>
        <v>19671</v>
      </c>
      <c r="I48" s="548">
        <f>+'Gastos Proyecciones'!F42</f>
        <v>17213</v>
      </c>
      <c r="J48" s="548">
        <f>+'Gastos Proyecciones'!G42</f>
        <v>18073.650000000001</v>
      </c>
      <c r="K48" s="548">
        <f>+'Gastos Proyecciones'!H42</f>
        <v>18977.332500000004</v>
      </c>
      <c r="L48" s="548">
        <f>+'Gastos Proyecciones'!I42</f>
        <v>19926.199125000006</v>
      </c>
      <c r="M48" s="548">
        <f>+'Gastos Proyecciones'!J42</f>
        <v>20922.509081250006</v>
      </c>
      <c r="N48" s="548">
        <f>+'Gastos Proyecciones'!K42</f>
        <v>21968.634535312507</v>
      </c>
      <c r="O48" s="548">
        <f>+'Gastos Proyecciones'!L42</f>
        <v>23067.06626207813</v>
      </c>
      <c r="P48" s="548">
        <f>+'Gastos Proyecciones'!M42</f>
        <v>24220.419575182037</v>
      </c>
      <c r="Q48" s="548">
        <f>+'Gastos Proyecciones'!N42</f>
        <v>25431.440553941142</v>
      </c>
      <c r="R48" s="548">
        <f>+'Gastos Proyecciones'!O42</f>
        <v>26703.012581638199</v>
      </c>
      <c r="S48" s="548">
        <f>+'Gastos Proyecciones'!P42</f>
        <v>28038.163210720111</v>
      </c>
      <c r="T48" s="548">
        <f>+'Gastos Proyecciones'!Q42</f>
        <v>29440.071371256119</v>
      </c>
      <c r="U48" s="548">
        <f>+'Gastos Proyecciones'!R42</f>
        <v>30912.074939818922</v>
      </c>
      <c r="V48" s="1431">
        <f t="shared" si="3"/>
        <v>-0.85368302824287234</v>
      </c>
      <c r="W48" s="1431">
        <f t="shared" si="4"/>
        <v>-0.12495551827563423</v>
      </c>
      <c r="X48" s="1431">
        <f t="shared" si="5"/>
        <v>5.0000000000000044E-2</v>
      </c>
      <c r="Y48" s="1431">
        <f t="shared" si="6"/>
        <v>5.0000000000000044E-2</v>
      </c>
      <c r="Z48" s="1431">
        <f t="shared" si="7"/>
        <v>5.0000000000000044E-2</v>
      </c>
      <c r="AA48" s="1431">
        <f t="shared" si="8"/>
        <v>5.0000000000000044E-2</v>
      </c>
      <c r="AB48" s="1431">
        <f t="shared" si="9"/>
        <v>5.0000000000000044E-2</v>
      </c>
      <c r="AC48" s="1431">
        <f t="shared" si="10"/>
        <v>4.9999999999999822E-2</v>
      </c>
      <c r="AD48" s="1431">
        <f t="shared" si="11"/>
        <v>5.0000000000000044E-2</v>
      </c>
      <c r="AE48" s="1431">
        <f t="shared" si="12"/>
        <v>5.0000000000000044E-2</v>
      </c>
      <c r="AF48" s="1431">
        <f t="shared" si="13"/>
        <v>5.0000000000000044E-2</v>
      </c>
      <c r="AG48" s="1431">
        <f t="shared" si="14"/>
        <v>5.0000000000000044E-2</v>
      </c>
      <c r="AH48" s="1431">
        <f t="shared" si="15"/>
        <v>5.0000000000000044E-2</v>
      </c>
      <c r="AI48" s="1431">
        <f t="shared" si="16"/>
        <v>4.9999999999999822E-2</v>
      </c>
    </row>
    <row r="49" spans="1:35">
      <c r="A49" s="72" t="str">
        <f>+Gastos!A46</f>
        <v>213</v>
      </c>
      <c r="B49" s="547" t="s">
        <v>151</v>
      </c>
      <c r="C49" s="548">
        <f>SUM(C50:C58)</f>
        <v>562279</v>
      </c>
      <c r="D49" s="544"/>
      <c r="E49" s="549">
        <f>+C49/C46</f>
        <v>0.55595721055873659</v>
      </c>
      <c r="G49" s="548">
        <f>SUM(G50:G58)</f>
        <v>546146</v>
      </c>
      <c r="H49" s="548">
        <f t="shared" ref="H49:U49" si="24">SUM(H50:H58)</f>
        <v>539461</v>
      </c>
      <c r="I49" s="548">
        <f t="shared" si="24"/>
        <v>547003</v>
      </c>
      <c r="J49" s="548">
        <f t="shared" si="24"/>
        <v>573599.10000000009</v>
      </c>
      <c r="K49" s="548">
        <f t="shared" si="24"/>
        <v>600402.255</v>
      </c>
      <c r="L49" s="548">
        <f t="shared" si="24"/>
        <v>628470.49575000012</v>
      </c>
      <c r="M49" s="548">
        <f t="shared" si="24"/>
        <v>657864.07365750021</v>
      </c>
      <c r="N49" s="548">
        <f t="shared" si="24"/>
        <v>688646.13258517522</v>
      </c>
      <c r="O49" s="548">
        <f t="shared" si="24"/>
        <v>720882.84866902593</v>
      </c>
      <c r="P49" s="548">
        <f t="shared" si="24"/>
        <v>754643.57693525287</v>
      </c>
      <c r="Q49" s="548">
        <f t="shared" si="24"/>
        <v>790001.00504810223</v>
      </c>
      <c r="R49" s="548">
        <f t="shared" si="24"/>
        <v>827031.31453723763</v>
      </c>
      <c r="S49" s="548">
        <f t="shared" si="24"/>
        <v>865814.34987029876</v>
      </c>
      <c r="T49" s="548">
        <f t="shared" si="24"/>
        <v>906433.7957542612</v>
      </c>
      <c r="U49" s="548">
        <f t="shared" si="24"/>
        <v>948977.36306803953</v>
      </c>
      <c r="V49" s="1431">
        <f t="shared" si="3"/>
        <v>-1.2240316691873643E-2</v>
      </c>
      <c r="W49" s="1431">
        <f t="shared" si="4"/>
        <v>1.3980621398025139E-2</v>
      </c>
      <c r="X49" s="1431">
        <f t="shared" si="5"/>
        <v>4.8621488364780641E-2</v>
      </c>
      <c r="Y49" s="1431">
        <f t="shared" si="6"/>
        <v>4.6728028338956396E-2</v>
      </c>
      <c r="Z49" s="1431">
        <f t="shared" si="7"/>
        <v>4.6749059511776991E-2</v>
      </c>
      <c r="AA49" s="1431">
        <f t="shared" si="8"/>
        <v>4.6770020400755064E-2</v>
      </c>
      <c r="AB49" s="1431">
        <f t="shared" si="9"/>
        <v>4.6790910402717767E-2</v>
      </c>
      <c r="AC49" s="1431">
        <f t="shared" si="10"/>
        <v>4.6811728925034712E-2</v>
      </c>
      <c r="AD49" s="1431">
        <f t="shared" si="11"/>
        <v>4.683247538564661E-2</v>
      </c>
      <c r="AE49" s="1431">
        <f t="shared" si="12"/>
        <v>4.6853149213092582E-2</v>
      </c>
      <c r="AF49" s="1431">
        <f t="shared" si="13"/>
        <v>4.6873749846534363E-2</v>
      </c>
      <c r="AG49" s="1431">
        <f t="shared" si="14"/>
        <v>4.6894276735775176E-2</v>
      </c>
      <c r="AH49" s="1431">
        <f t="shared" si="15"/>
        <v>4.6914729341281269E-2</v>
      </c>
      <c r="AI49" s="1431">
        <f t="shared" si="16"/>
        <v>4.6935107134191689E-2</v>
      </c>
    </row>
    <row r="50" spans="1:35">
      <c r="A50" s="61" t="s">
        <v>538</v>
      </c>
      <c r="B50" s="561" t="str">
        <f>+Gastos!C50</f>
        <v xml:space="preserve">          Pensiones (mesadas)</v>
      </c>
      <c r="C50" s="543">
        <f>+Gastos!J50+Gastos!J61</f>
        <v>176352</v>
      </c>
      <c r="D50" s="544"/>
      <c r="E50" s="545">
        <f t="shared" ref="E50:E55" si="25">+C50/$C$49</f>
        <v>0.31363789150937527</v>
      </c>
      <c r="G50" s="543">
        <f>+'Gastos Proyecciones'!D50+'Gastos Proyecciones'!D61</f>
        <v>101000</v>
      </c>
      <c r="H50" s="543">
        <f>+'Gastos Proyecciones'!E50+'Gastos Proyecciones'!E61</f>
        <v>145471</v>
      </c>
      <c r="I50" s="543">
        <f>+'Gastos Proyecciones'!F50+'Gastos Proyecciones'!F61</f>
        <v>175139</v>
      </c>
      <c r="J50" s="543">
        <f>+'Gastos Proyecciones'!G50+'Gastos Proyecciones'!G61</f>
        <v>183895.95</v>
      </c>
      <c r="K50" s="543">
        <f>+'Gastos Proyecciones'!H50+'Gastos Proyecciones'!H61</f>
        <v>193090.74750000003</v>
      </c>
      <c r="L50" s="543">
        <f>+'Gastos Proyecciones'!I50+'Gastos Proyecciones'!I61</f>
        <v>202745.28487500004</v>
      </c>
      <c r="M50" s="543">
        <f>+'Gastos Proyecciones'!J50+'Gastos Proyecciones'!J61</f>
        <v>212882.54911875006</v>
      </c>
      <c r="N50" s="543">
        <f>+'Gastos Proyecciones'!K50+'Gastos Proyecciones'!K61</f>
        <v>223526.67657468756</v>
      </c>
      <c r="O50" s="543">
        <f>+'Gastos Proyecciones'!L50+'Gastos Proyecciones'!L61</f>
        <v>234703.01040342194</v>
      </c>
      <c r="P50" s="543">
        <f>+'Gastos Proyecciones'!M50+'Gastos Proyecciones'!M61</f>
        <v>246438.16092359304</v>
      </c>
      <c r="Q50" s="543">
        <f>+'Gastos Proyecciones'!N50+'Gastos Proyecciones'!N61</f>
        <v>258760.06896977269</v>
      </c>
      <c r="R50" s="543">
        <f>+'Gastos Proyecciones'!O50+'Gastos Proyecciones'!O61</f>
        <v>271698.07241826132</v>
      </c>
      <c r="S50" s="543">
        <f>+'Gastos Proyecciones'!P50+'Gastos Proyecciones'!P61</f>
        <v>285282.97603917442</v>
      </c>
      <c r="T50" s="543">
        <f>+'Gastos Proyecciones'!Q50+'Gastos Proyecciones'!Q61</f>
        <v>299547.12484113313</v>
      </c>
      <c r="U50" s="543">
        <f>+'Gastos Proyecciones'!R50+'Gastos Proyecciones'!R61</f>
        <v>314524.48108318978</v>
      </c>
      <c r="V50" s="1431">
        <f t="shared" si="3"/>
        <v>0.44030693069306936</v>
      </c>
      <c r="W50" s="1431">
        <f t="shared" si="4"/>
        <v>0.20394442878649355</v>
      </c>
      <c r="X50" s="1431">
        <f t="shared" si="5"/>
        <v>5.0000000000000044E-2</v>
      </c>
      <c r="Y50" s="1431">
        <f t="shared" si="6"/>
        <v>5.0000000000000044E-2</v>
      </c>
      <c r="Z50" s="1431">
        <f t="shared" si="7"/>
        <v>5.0000000000000044E-2</v>
      </c>
      <c r="AA50" s="1431">
        <f t="shared" si="8"/>
        <v>5.0000000000000044E-2</v>
      </c>
      <c r="AB50" s="1431">
        <f t="shared" si="9"/>
        <v>5.0000000000000044E-2</v>
      </c>
      <c r="AC50" s="1431">
        <f t="shared" si="10"/>
        <v>5.0000000000000044E-2</v>
      </c>
      <c r="AD50" s="1431">
        <f t="shared" si="11"/>
        <v>5.0000000000000044E-2</v>
      </c>
      <c r="AE50" s="1431">
        <f t="shared" si="12"/>
        <v>5.0000000000000044E-2</v>
      </c>
      <c r="AF50" s="1431">
        <f t="shared" si="13"/>
        <v>5.0000000000000044E-2</v>
      </c>
      <c r="AG50" s="1431">
        <f t="shared" si="14"/>
        <v>5.0000000000000044E-2</v>
      </c>
      <c r="AH50" s="1431">
        <f t="shared" si="15"/>
        <v>5.0000000000000044E-2</v>
      </c>
      <c r="AI50" s="1431">
        <f t="shared" si="16"/>
        <v>5.0000000000000044E-2</v>
      </c>
    </row>
    <row r="51" spans="1:35">
      <c r="A51" s="431" t="s">
        <v>539</v>
      </c>
      <c r="B51" s="561" t="s">
        <v>540</v>
      </c>
      <c r="C51" s="543">
        <f>+Gastos!J49+Gastos!J51+Gastos!J60+Gastos!J62</f>
        <v>0</v>
      </c>
      <c r="D51" s="537"/>
      <c r="E51" s="545">
        <f t="shared" si="25"/>
        <v>0</v>
      </c>
      <c r="G51" s="543">
        <f>+'Gastos Proyecciones'!D49+'Gastos Proyecciones'!D51+'Gastos Proyecciones'!D60+'Gastos Proyecciones'!D62</f>
        <v>0</v>
      </c>
      <c r="H51" s="543">
        <f>+'Gastos Proyecciones'!E49+'Gastos Proyecciones'!E51+'Gastos Proyecciones'!E60+'Gastos Proyecciones'!E62</f>
        <v>0</v>
      </c>
      <c r="I51" s="543">
        <f>+'Gastos Proyecciones'!F49+'Gastos Proyecciones'!F51+'Gastos Proyecciones'!F60+'Gastos Proyecciones'!F62</f>
        <v>0</v>
      </c>
      <c r="J51" s="543">
        <f>+'Gastos Proyecciones'!G49+'Gastos Proyecciones'!G51+'Gastos Proyecciones'!G60+'Gastos Proyecciones'!G62</f>
        <v>0</v>
      </c>
      <c r="K51" s="543">
        <f>+'Gastos Proyecciones'!H49+'Gastos Proyecciones'!H51+'Gastos Proyecciones'!H60+'Gastos Proyecciones'!H62</f>
        <v>0</v>
      </c>
      <c r="L51" s="543">
        <f>+'Gastos Proyecciones'!I49+'Gastos Proyecciones'!I51+'Gastos Proyecciones'!I60+'Gastos Proyecciones'!I62</f>
        <v>0</v>
      </c>
      <c r="M51" s="543">
        <f>+'Gastos Proyecciones'!J49+'Gastos Proyecciones'!J51+'Gastos Proyecciones'!J60+'Gastos Proyecciones'!J62</f>
        <v>0</v>
      </c>
      <c r="N51" s="543">
        <f>+'Gastos Proyecciones'!K49+'Gastos Proyecciones'!K51+'Gastos Proyecciones'!K60+'Gastos Proyecciones'!K62</f>
        <v>0</v>
      </c>
      <c r="O51" s="543">
        <f>+'Gastos Proyecciones'!L49+'Gastos Proyecciones'!L51+'Gastos Proyecciones'!L60+'Gastos Proyecciones'!L62</f>
        <v>0</v>
      </c>
      <c r="P51" s="543">
        <f>+'Gastos Proyecciones'!M49+'Gastos Proyecciones'!M51+'Gastos Proyecciones'!M60+'Gastos Proyecciones'!M62</f>
        <v>0</v>
      </c>
      <c r="Q51" s="543">
        <f>+'Gastos Proyecciones'!N49+'Gastos Proyecciones'!N51+'Gastos Proyecciones'!N60+'Gastos Proyecciones'!N62</f>
        <v>0</v>
      </c>
      <c r="R51" s="543">
        <f>+'Gastos Proyecciones'!O49+'Gastos Proyecciones'!O51+'Gastos Proyecciones'!O60+'Gastos Proyecciones'!O62</f>
        <v>0</v>
      </c>
      <c r="S51" s="543">
        <f>+'Gastos Proyecciones'!P49+'Gastos Proyecciones'!P51+'Gastos Proyecciones'!P60+'Gastos Proyecciones'!P62</f>
        <v>0</v>
      </c>
      <c r="T51" s="543">
        <f>+'Gastos Proyecciones'!Q49+'Gastos Proyecciones'!Q51+'Gastos Proyecciones'!Q60+'Gastos Proyecciones'!Q62</f>
        <v>0</v>
      </c>
      <c r="U51" s="543">
        <f>+'Gastos Proyecciones'!R49+'Gastos Proyecciones'!R51+'Gastos Proyecciones'!R60+'Gastos Proyecciones'!R62</f>
        <v>0</v>
      </c>
      <c r="V51" s="1431" t="e">
        <f t="shared" si="3"/>
        <v>#DIV/0!</v>
      </c>
      <c r="W51" s="1431" t="e">
        <f t="shared" si="4"/>
        <v>#DIV/0!</v>
      </c>
      <c r="X51" s="1431" t="e">
        <f t="shared" si="5"/>
        <v>#DIV/0!</v>
      </c>
      <c r="Y51" s="1431" t="e">
        <f t="shared" si="6"/>
        <v>#DIV/0!</v>
      </c>
      <c r="Z51" s="1431" t="e">
        <f t="shared" si="7"/>
        <v>#DIV/0!</v>
      </c>
      <c r="AA51" s="1431" t="e">
        <f t="shared" si="8"/>
        <v>#DIV/0!</v>
      </c>
      <c r="AB51" s="1431" t="e">
        <f t="shared" si="9"/>
        <v>#DIV/0!</v>
      </c>
      <c r="AC51" s="1431" t="e">
        <f t="shared" si="10"/>
        <v>#DIV/0!</v>
      </c>
      <c r="AD51" s="1431" t="e">
        <f t="shared" si="11"/>
        <v>#DIV/0!</v>
      </c>
      <c r="AE51" s="1431" t="e">
        <f t="shared" si="12"/>
        <v>#DIV/0!</v>
      </c>
      <c r="AF51" s="1431" t="e">
        <f t="shared" si="13"/>
        <v>#DIV/0!</v>
      </c>
      <c r="AG51" s="1431" t="e">
        <f t="shared" si="14"/>
        <v>#DIV/0!</v>
      </c>
      <c r="AH51" s="1431" t="e">
        <f t="shared" si="15"/>
        <v>#DIV/0!</v>
      </c>
      <c r="AI51" s="1431" t="e">
        <f t="shared" si="16"/>
        <v>#DIV/0!</v>
      </c>
    </row>
    <row r="52" spans="1:35">
      <c r="A52" s="72" t="s">
        <v>541</v>
      </c>
      <c r="B52" s="561" t="s">
        <v>542</v>
      </c>
      <c r="C52" s="543">
        <f>+Gastos!J53</f>
        <v>0</v>
      </c>
      <c r="D52" s="537"/>
      <c r="E52" s="545">
        <f t="shared" si="25"/>
        <v>0</v>
      </c>
      <c r="G52" s="543">
        <f>+'Gastos Proyecciones'!D53</f>
        <v>0</v>
      </c>
      <c r="H52" s="543">
        <f>+'Gastos Proyecciones'!E53</f>
        <v>0</v>
      </c>
      <c r="I52" s="543">
        <f>+'Gastos Proyecciones'!F53</f>
        <v>0</v>
      </c>
      <c r="J52" s="543">
        <f>+'Gastos Proyecciones'!G53</f>
        <v>0</v>
      </c>
      <c r="K52" s="543">
        <f>+'Gastos Proyecciones'!H53</f>
        <v>0</v>
      </c>
      <c r="L52" s="543">
        <f>+'Gastos Proyecciones'!I53</f>
        <v>0</v>
      </c>
      <c r="M52" s="543">
        <f>+'Gastos Proyecciones'!J53</f>
        <v>0</v>
      </c>
      <c r="N52" s="543">
        <f>+'Gastos Proyecciones'!K53</f>
        <v>0</v>
      </c>
      <c r="O52" s="543">
        <f>+'Gastos Proyecciones'!L53</f>
        <v>0</v>
      </c>
      <c r="P52" s="543">
        <f>+'Gastos Proyecciones'!M53</f>
        <v>0</v>
      </c>
      <c r="Q52" s="543">
        <f>+'Gastos Proyecciones'!N53</f>
        <v>0</v>
      </c>
      <c r="R52" s="543">
        <f>+'Gastos Proyecciones'!O53</f>
        <v>0</v>
      </c>
      <c r="S52" s="543">
        <f>+'Gastos Proyecciones'!P53</f>
        <v>0</v>
      </c>
      <c r="T52" s="543">
        <f>+'Gastos Proyecciones'!Q53</f>
        <v>0</v>
      </c>
      <c r="U52" s="543">
        <f>+'Gastos Proyecciones'!R53</f>
        <v>0</v>
      </c>
      <c r="V52" s="1431" t="e">
        <f t="shared" si="3"/>
        <v>#DIV/0!</v>
      </c>
      <c r="W52" s="1431" t="e">
        <f t="shared" si="4"/>
        <v>#DIV/0!</v>
      </c>
      <c r="X52" s="1431" t="e">
        <f t="shared" si="5"/>
        <v>#DIV/0!</v>
      </c>
      <c r="Y52" s="1431" t="e">
        <f t="shared" si="6"/>
        <v>#DIV/0!</v>
      </c>
      <c r="Z52" s="1431" t="e">
        <f t="shared" si="7"/>
        <v>#DIV/0!</v>
      </c>
      <c r="AA52" s="1431" t="e">
        <f t="shared" si="8"/>
        <v>#DIV/0!</v>
      </c>
      <c r="AB52" s="1431" t="e">
        <f t="shared" si="9"/>
        <v>#DIV/0!</v>
      </c>
      <c r="AC52" s="1431" t="e">
        <f t="shared" si="10"/>
        <v>#DIV/0!</v>
      </c>
      <c r="AD52" s="1431" t="e">
        <f t="shared" si="11"/>
        <v>#DIV/0!</v>
      </c>
      <c r="AE52" s="1431" t="e">
        <f t="shared" si="12"/>
        <v>#DIV/0!</v>
      </c>
      <c r="AF52" s="1431" t="e">
        <f t="shared" si="13"/>
        <v>#DIV/0!</v>
      </c>
      <c r="AG52" s="1431" t="e">
        <f t="shared" si="14"/>
        <v>#DIV/0!</v>
      </c>
      <c r="AH52" s="1431" t="e">
        <f t="shared" si="15"/>
        <v>#DIV/0!</v>
      </c>
      <c r="AI52" s="1431" t="e">
        <f t="shared" si="16"/>
        <v>#DIV/0!</v>
      </c>
    </row>
    <row r="53" spans="1:35">
      <c r="A53" s="72" t="s">
        <v>543</v>
      </c>
      <c r="B53" s="561" t="s">
        <v>544</v>
      </c>
      <c r="C53" s="543">
        <f>+Gastos!J54</f>
        <v>0</v>
      </c>
      <c r="D53" s="537"/>
      <c r="E53" s="545">
        <f t="shared" si="25"/>
        <v>0</v>
      </c>
      <c r="G53" s="543">
        <f>+'Gastos Proyecciones'!D54</f>
        <v>0</v>
      </c>
      <c r="H53" s="543">
        <f>+'Gastos Proyecciones'!E54</f>
        <v>0</v>
      </c>
      <c r="I53" s="543">
        <f>+'Gastos Proyecciones'!F54</f>
        <v>0</v>
      </c>
      <c r="J53" s="543">
        <f>+'Gastos Proyecciones'!G54</f>
        <v>0</v>
      </c>
      <c r="K53" s="543">
        <f>+'Gastos Proyecciones'!H54</f>
        <v>0</v>
      </c>
      <c r="L53" s="543">
        <f>+'Gastos Proyecciones'!I54</f>
        <v>0</v>
      </c>
      <c r="M53" s="543">
        <f>+'Gastos Proyecciones'!J54</f>
        <v>0</v>
      </c>
      <c r="N53" s="543">
        <f>+'Gastos Proyecciones'!K54</f>
        <v>0</v>
      </c>
      <c r="O53" s="543">
        <f>+'Gastos Proyecciones'!L54</f>
        <v>0</v>
      </c>
      <c r="P53" s="543">
        <f>+'Gastos Proyecciones'!M54</f>
        <v>0</v>
      </c>
      <c r="Q53" s="543">
        <f>+'Gastos Proyecciones'!N54</f>
        <v>0</v>
      </c>
      <c r="R53" s="543">
        <f>+'Gastos Proyecciones'!O54</f>
        <v>0</v>
      </c>
      <c r="S53" s="543">
        <f>+'Gastos Proyecciones'!P54</f>
        <v>0</v>
      </c>
      <c r="T53" s="543">
        <f>+'Gastos Proyecciones'!Q54</f>
        <v>0</v>
      </c>
      <c r="U53" s="543">
        <f>+'Gastos Proyecciones'!R54</f>
        <v>0</v>
      </c>
      <c r="V53" s="1431" t="e">
        <f t="shared" si="3"/>
        <v>#DIV/0!</v>
      </c>
      <c r="W53" s="1431" t="e">
        <f t="shared" si="4"/>
        <v>#DIV/0!</v>
      </c>
      <c r="X53" s="1431" t="e">
        <f t="shared" si="5"/>
        <v>#DIV/0!</v>
      </c>
      <c r="Y53" s="1431" t="e">
        <f t="shared" si="6"/>
        <v>#DIV/0!</v>
      </c>
      <c r="Z53" s="1431" t="e">
        <f t="shared" si="7"/>
        <v>#DIV/0!</v>
      </c>
      <c r="AA53" s="1431" t="e">
        <f t="shared" si="8"/>
        <v>#DIV/0!</v>
      </c>
      <c r="AB53" s="1431" t="e">
        <f t="shared" si="9"/>
        <v>#DIV/0!</v>
      </c>
      <c r="AC53" s="1431" t="e">
        <f t="shared" si="10"/>
        <v>#DIV/0!</v>
      </c>
      <c r="AD53" s="1431" t="e">
        <f t="shared" si="11"/>
        <v>#DIV/0!</v>
      </c>
      <c r="AE53" s="1431" t="e">
        <f t="shared" si="12"/>
        <v>#DIV/0!</v>
      </c>
      <c r="AF53" s="1431" t="e">
        <f t="shared" si="13"/>
        <v>#DIV/0!</v>
      </c>
      <c r="AG53" s="1431" t="e">
        <f t="shared" si="14"/>
        <v>#DIV/0!</v>
      </c>
      <c r="AH53" s="1431" t="e">
        <f t="shared" si="15"/>
        <v>#DIV/0!</v>
      </c>
      <c r="AI53" s="1431" t="e">
        <f t="shared" si="16"/>
        <v>#DIV/0!</v>
      </c>
    </row>
    <row r="54" spans="1:35">
      <c r="A54" s="432" t="s">
        <v>545</v>
      </c>
      <c r="B54" s="561" t="s">
        <v>546</v>
      </c>
      <c r="C54" s="543">
        <f>+Gastos!J55+Gastos!J56+Gastos!J222</f>
        <v>179461</v>
      </c>
      <c r="D54" s="537"/>
      <c r="E54" s="545">
        <f t="shared" si="25"/>
        <v>0.31916717501453906</v>
      </c>
      <c r="G54" s="543">
        <f>+'Gastos Proyecciones'!D55+'Gastos Proyecciones'!D56+'Gastos Proyecciones'!D222</f>
        <v>163187</v>
      </c>
      <c r="H54" s="543">
        <f>+'Gastos Proyecciones'!E55+'Gastos Proyecciones'!E56+'Gastos Proyecciones'!E222</f>
        <v>175285</v>
      </c>
      <c r="I54" s="543">
        <f>+'Gastos Proyecciones'!F55+'Gastos Proyecciones'!F56+'Gastos Proyecciones'!F222</f>
        <v>179461</v>
      </c>
      <c r="J54" s="543">
        <f>+'Gastos Proyecciones'!G55+'Gastos Proyecciones'!G56+'Gastos Proyecciones'!G222</f>
        <v>187680</v>
      </c>
      <c r="K54" s="543">
        <f>+'Gastos Proyecciones'!H55+'Gastos Proyecciones'!H56+'Gastos Proyecciones'!H222</f>
        <v>195187.20000000001</v>
      </c>
      <c r="L54" s="543">
        <f>+'Gastos Proyecciones'!I55+'Gastos Proyecciones'!I56+'Gastos Proyecciones'!I222</f>
        <v>202994.68800000002</v>
      </c>
      <c r="M54" s="543">
        <f>+'Gastos Proyecciones'!J55+'Gastos Proyecciones'!J56+'Gastos Proyecciones'!J222</f>
        <v>211114.47552000004</v>
      </c>
      <c r="N54" s="543">
        <f>+'Gastos Proyecciones'!K55+'Gastos Proyecciones'!K56+'Gastos Proyecciones'!K222</f>
        <v>219559.05454080005</v>
      </c>
      <c r="O54" s="543">
        <f>+'Gastos Proyecciones'!L55+'Gastos Proyecciones'!L56+'Gastos Proyecciones'!L222</f>
        <v>228341.41672243207</v>
      </c>
      <c r="P54" s="543">
        <f>+'Gastos Proyecciones'!M55+'Gastos Proyecciones'!M56+'Gastos Proyecciones'!M222</f>
        <v>237475.07339132932</v>
      </c>
      <c r="Q54" s="543">
        <f>+'Gastos Proyecciones'!N55+'Gastos Proyecciones'!N56+'Gastos Proyecciones'!N222</f>
        <v>246974.07632698253</v>
      </c>
      <c r="R54" s="543">
        <f>+'Gastos Proyecciones'!O55+'Gastos Proyecciones'!O56+'Gastos Proyecciones'!O222</f>
        <v>256853.03938006185</v>
      </c>
      <c r="S54" s="543">
        <f>+'Gastos Proyecciones'!P55+'Gastos Proyecciones'!P56+'Gastos Proyecciones'!P222</f>
        <v>267127.16095526435</v>
      </c>
      <c r="T54" s="543">
        <f>+'Gastos Proyecciones'!Q55+'Gastos Proyecciones'!Q56+'Gastos Proyecciones'!Q222</f>
        <v>277812.24739347491</v>
      </c>
      <c r="U54" s="543">
        <f>+'Gastos Proyecciones'!R55+'Gastos Proyecciones'!R56+'Gastos Proyecciones'!R222</f>
        <v>288924.73728921392</v>
      </c>
      <c r="V54" s="1431">
        <f t="shared" si="3"/>
        <v>7.4135807386617847E-2</v>
      </c>
      <c r="W54" s="1431">
        <f t="shared" si="4"/>
        <v>2.3824057962746448E-2</v>
      </c>
      <c r="X54" s="1431">
        <f t="shared" si="5"/>
        <v>4.5798251430672954E-2</v>
      </c>
      <c r="Y54" s="1431">
        <f t="shared" si="6"/>
        <v>4.0000000000000036E-2</v>
      </c>
      <c r="Z54" s="1431">
        <f t="shared" si="7"/>
        <v>4.0000000000000036E-2</v>
      </c>
      <c r="AA54" s="1431">
        <f t="shared" si="8"/>
        <v>4.0000000000000036E-2</v>
      </c>
      <c r="AB54" s="1431">
        <f t="shared" si="9"/>
        <v>4.0000000000000036E-2</v>
      </c>
      <c r="AC54" s="1431">
        <f t="shared" si="10"/>
        <v>4.0000000000000036E-2</v>
      </c>
      <c r="AD54" s="1431">
        <f t="shared" si="11"/>
        <v>3.9999999999999813E-2</v>
      </c>
      <c r="AE54" s="1431">
        <f t="shared" si="12"/>
        <v>4.0000000000000036E-2</v>
      </c>
      <c r="AF54" s="1431">
        <f t="shared" si="13"/>
        <v>4.0000000000000036E-2</v>
      </c>
      <c r="AG54" s="1431">
        <f t="shared" si="14"/>
        <v>4.0000000000000036E-2</v>
      </c>
      <c r="AH54" s="1431">
        <f t="shared" si="15"/>
        <v>4.0000000000000036E-2</v>
      </c>
      <c r="AI54" s="1431">
        <f t="shared" si="16"/>
        <v>4.0000000000000036E-2</v>
      </c>
    </row>
    <row r="55" spans="1:35">
      <c r="A55" s="72" t="s">
        <v>547</v>
      </c>
      <c r="B55" s="561" t="s">
        <v>548</v>
      </c>
      <c r="C55" s="543">
        <f>+Gastos!J65</f>
        <v>0</v>
      </c>
      <c r="D55" s="537"/>
      <c r="E55" s="545">
        <f t="shared" si="25"/>
        <v>0</v>
      </c>
      <c r="G55" s="543">
        <f>+'Gastos Proyecciones'!D65</f>
        <v>0</v>
      </c>
      <c r="H55" s="543">
        <f>+'Gastos Proyecciones'!E65</f>
        <v>0</v>
      </c>
      <c r="I55" s="543">
        <f>+'Gastos Proyecciones'!F65</f>
        <v>0</v>
      </c>
      <c r="J55" s="543">
        <f>+'Gastos Proyecciones'!G65</f>
        <v>0</v>
      </c>
      <c r="K55" s="543">
        <f>+'Gastos Proyecciones'!H65</f>
        <v>0</v>
      </c>
      <c r="L55" s="543">
        <f>+'Gastos Proyecciones'!I65</f>
        <v>0</v>
      </c>
      <c r="M55" s="543">
        <f>+'Gastos Proyecciones'!J65</f>
        <v>0</v>
      </c>
      <c r="N55" s="543">
        <f>+'Gastos Proyecciones'!K65</f>
        <v>0</v>
      </c>
      <c r="O55" s="543">
        <f>+'Gastos Proyecciones'!L65</f>
        <v>0</v>
      </c>
      <c r="P55" s="543">
        <f>+'Gastos Proyecciones'!M65</f>
        <v>0</v>
      </c>
      <c r="Q55" s="543">
        <f>+'Gastos Proyecciones'!N65</f>
        <v>0</v>
      </c>
      <c r="R55" s="543">
        <f>+'Gastos Proyecciones'!O65</f>
        <v>0</v>
      </c>
      <c r="S55" s="543">
        <f>+'Gastos Proyecciones'!P65</f>
        <v>0</v>
      </c>
      <c r="T55" s="543">
        <f>+'Gastos Proyecciones'!Q65</f>
        <v>0</v>
      </c>
      <c r="U55" s="543">
        <f>+'Gastos Proyecciones'!R65</f>
        <v>0</v>
      </c>
      <c r="V55" s="1431" t="e">
        <f t="shared" si="3"/>
        <v>#DIV/0!</v>
      </c>
      <c r="W55" s="1431" t="e">
        <f t="shared" si="4"/>
        <v>#DIV/0!</v>
      </c>
      <c r="X55" s="1431" t="e">
        <f t="shared" si="5"/>
        <v>#DIV/0!</v>
      </c>
      <c r="Y55" s="1431" t="e">
        <f t="shared" si="6"/>
        <v>#DIV/0!</v>
      </c>
      <c r="Z55" s="1431" t="e">
        <f t="shared" si="7"/>
        <v>#DIV/0!</v>
      </c>
      <c r="AA55" s="1431" t="e">
        <f t="shared" si="8"/>
        <v>#DIV/0!</v>
      </c>
      <c r="AB55" s="1431" t="e">
        <f t="shared" si="9"/>
        <v>#DIV/0!</v>
      </c>
      <c r="AC55" s="1431" t="e">
        <f t="shared" si="10"/>
        <v>#DIV/0!</v>
      </c>
      <c r="AD55" s="1431" t="e">
        <f t="shared" si="11"/>
        <v>#DIV/0!</v>
      </c>
      <c r="AE55" s="1431" t="e">
        <f t="shared" si="12"/>
        <v>#DIV/0!</v>
      </c>
      <c r="AF55" s="1431" t="e">
        <f t="shared" si="13"/>
        <v>#DIV/0!</v>
      </c>
      <c r="AG55" s="1431" t="e">
        <f t="shared" si="14"/>
        <v>#DIV/0!</v>
      </c>
      <c r="AH55" s="1431" t="e">
        <f t="shared" si="15"/>
        <v>#DIV/0!</v>
      </c>
      <c r="AI55" s="1431" t="e">
        <f t="shared" si="16"/>
        <v>#DIV/0!</v>
      </c>
    </row>
    <row r="56" spans="1:35">
      <c r="A56" s="72" t="str">
        <f>+Gastos!A66</f>
        <v>21305</v>
      </c>
      <c r="B56" s="551" t="s">
        <v>549</v>
      </c>
      <c r="C56" s="543">
        <f>+Gastos!J66</f>
        <v>0</v>
      </c>
      <c r="D56" s="553"/>
      <c r="E56" s="545">
        <f>+C56/$C$49</f>
        <v>0</v>
      </c>
      <c r="G56" s="543">
        <f>+'Gastos Proyecciones'!D66</f>
        <v>0</v>
      </c>
      <c r="H56" s="543">
        <f>+'Gastos Proyecciones'!E66</f>
        <v>0</v>
      </c>
      <c r="I56" s="543">
        <f>+'Gastos Proyecciones'!F66</f>
        <v>0</v>
      </c>
      <c r="J56" s="543">
        <f>+'Gastos Proyecciones'!G66</f>
        <v>0</v>
      </c>
      <c r="K56" s="543">
        <f>+'Gastos Proyecciones'!H66</f>
        <v>0</v>
      </c>
      <c r="L56" s="543">
        <f>+'Gastos Proyecciones'!I66</f>
        <v>0</v>
      </c>
      <c r="M56" s="543">
        <f>+'Gastos Proyecciones'!J66</f>
        <v>0</v>
      </c>
      <c r="N56" s="543">
        <f>+'Gastos Proyecciones'!K66</f>
        <v>0</v>
      </c>
      <c r="O56" s="543">
        <f>+'Gastos Proyecciones'!L66</f>
        <v>0</v>
      </c>
      <c r="P56" s="543">
        <f>+'Gastos Proyecciones'!M66</f>
        <v>0</v>
      </c>
      <c r="Q56" s="543">
        <f>+'Gastos Proyecciones'!N66</f>
        <v>0</v>
      </c>
      <c r="R56" s="543">
        <f>+'Gastos Proyecciones'!O66</f>
        <v>0</v>
      </c>
      <c r="S56" s="543">
        <f>+'Gastos Proyecciones'!P66</f>
        <v>0</v>
      </c>
      <c r="T56" s="543">
        <f>+'Gastos Proyecciones'!Q66</f>
        <v>0</v>
      </c>
      <c r="U56" s="543">
        <f>+'Gastos Proyecciones'!R66</f>
        <v>0</v>
      </c>
      <c r="V56" s="1431" t="e">
        <f t="shared" si="3"/>
        <v>#DIV/0!</v>
      </c>
      <c r="W56" s="1431" t="e">
        <f t="shared" si="4"/>
        <v>#DIV/0!</v>
      </c>
      <c r="X56" s="1431" t="e">
        <f t="shared" si="5"/>
        <v>#DIV/0!</v>
      </c>
      <c r="Y56" s="1431" t="e">
        <f t="shared" si="6"/>
        <v>#DIV/0!</v>
      </c>
      <c r="Z56" s="1431" t="e">
        <f t="shared" si="7"/>
        <v>#DIV/0!</v>
      </c>
      <c r="AA56" s="1431" t="e">
        <f t="shared" si="8"/>
        <v>#DIV/0!</v>
      </c>
      <c r="AB56" s="1431" t="e">
        <f t="shared" si="9"/>
        <v>#DIV/0!</v>
      </c>
      <c r="AC56" s="1431" t="e">
        <f t="shared" si="10"/>
        <v>#DIV/0!</v>
      </c>
      <c r="AD56" s="1431" t="e">
        <f t="shared" si="11"/>
        <v>#DIV/0!</v>
      </c>
      <c r="AE56" s="1431" t="e">
        <f t="shared" si="12"/>
        <v>#DIV/0!</v>
      </c>
      <c r="AF56" s="1431" t="e">
        <f t="shared" si="13"/>
        <v>#DIV/0!</v>
      </c>
      <c r="AG56" s="1431" t="e">
        <f t="shared" si="14"/>
        <v>#DIV/0!</v>
      </c>
      <c r="AH56" s="1431" t="e">
        <f t="shared" si="15"/>
        <v>#DIV/0!</v>
      </c>
      <c r="AI56" s="1431" t="e">
        <f t="shared" si="16"/>
        <v>#DIV/0!</v>
      </c>
    </row>
    <row r="57" spans="1:35">
      <c r="A57" s="72" t="str">
        <f>+Gastos!A67</f>
        <v>21306</v>
      </c>
      <c r="B57" s="551" t="s">
        <v>550</v>
      </c>
      <c r="C57" s="543">
        <f>+Gastos!J67</f>
        <v>4073</v>
      </c>
      <c r="D57" s="537"/>
      <c r="E57" s="545">
        <f>+C57/C49</f>
        <v>7.2437348718340892E-3</v>
      </c>
      <c r="G57" s="543">
        <f>+'Gastos Proyecciones'!D67</f>
        <v>51787</v>
      </c>
      <c r="H57" s="543">
        <f>+'Gastos Proyecciones'!E67</f>
        <v>14614</v>
      </c>
      <c r="I57" s="543">
        <f>+'Gastos Proyecciones'!F67</f>
        <v>0</v>
      </c>
      <c r="J57" s="543">
        <f>+'Gastos Proyecciones'!G67</f>
        <v>0</v>
      </c>
      <c r="K57" s="543">
        <f>+'Gastos Proyecciones'!H67</f>
        <v>0</v>
      </c>
      <c r="L57" s="543">
        <f>+'Gastos Proyecciones'!I67</f>
        <v>0</v>
      </c>
      <c r="M57" s="543">
        <f>+'Gastos Proyecciones'!J67</f>
        <v>0</v>
      </c>
      <c r="N57" s="543">
        <f>+'Gastos Proyecciones'!K67</f>
        <v>0</v>
      </c>
      <c r="O57" s="543">
        <f>+'Gastos Proyecciones'!L67</f>
        <v>0</v>
      </c>
      <c r="P57" s="543">
        <f>+'Gastos Proyecciones'!M67</f>
        <v>0</v>
      </c>
      <c r="Q57" s="543">
        <f>+'Gastos Proyecciones'!N67</f>
        <v>0</v>
      </c>
      <c r="R57" s="543">
        <f>+'Gastos Proyecciones'!O67</f>
        <v>0</v>
      </c>
      <c r="S57" s="543">
        <f>+'Gastos Proyecciones'!P67</f>
        <v>0</v>
      </c>
      <c r="T57" s="543">
        <f>+'Gastos Proyecciones'!Q67</f>
        <v>0</v>
      </c>
      <c r="U57" s="543">
        <f>+'Gastos Proyecciones'!R67</f>
        <v>0</v>
      </c>
      <c r="V57" s="1431">
        <f t="shared" si="3"/>
        <v>-0.71780562689478056</v>
      </c>
      <c r="W57" s="1431">
        <f t="shared" si="4"/>
        <v>-1</v>
      </c>
      <c r="X57" s="1431" t="e">
        <f t="shared" si="5"/>
        <v>#DIV/0!</v>
      </c>
      <c r="Y57" s="1431" t="e">
        <f t="shared" si="6"/>
        <v>#DIV/0!</v>
      </c>
      <c r="Z57" s="1431" t="e">
        <f t="shared" si="7"/>
        <v>#DIV/0!</v>
      </c>
      <c r="AA57" s="1431" t="e">
        <f t="shared" si="8"/>
        <v>#DIV/0!</v>
      </c>
      <c r="AB57" s="1431" t="e">
        <f t="shared" si="9"/>
        <v>#DIV/0!</v>
      </c>
      <c r="AC57" s="1431" t="e">
        <f t="shared" si="10"/>
        <v>#DIV/0!</v>
      </c>
      <c r="AD57" s="1431" t="e">
        <f t="shared" si="11"/>
        <v>#DIV/0!</v>
      </c>
      <c r="AE57" s="1431" t="e">
        <f t="shared" si="12"/>
        <v>#DIV/0!</v>
      </c>
      <c r="AF57" s="1431" t="e">
        <f t="shared" si="13"/>
        <v>#DIV/0!</v>
      </c>
      <c r="AG57" s="1431" t="e">
        <f t="shared" si="14"/>
        <v>#DIV/0!</v>
      </c>
      <c r="AH57" s="1431" t="e">
        <f t="shared" si="15"/>
        <v>#DIV/0!</v>
      </c>
      <c r="AI57" s="1431" t="e">
        <f t="shared" si="16"/>
        <v>#DIV/0!</v>
      </c>
    </row>
    <row r="58" spans="1:35">
      <c r="A58" s="72" t="str">
        <f>+Gastos!A68</f>
        <v>21398</v>
      </c>
      <c r="B58" s="551" t="s">
        <v>551</v>
      </c>
      <c r="C58" s="543">
        <f>+Gastos!J57+Gastos!J63+Gastos!J64+Gastos!J68+Gastos!J230</f>
        <v>202393</v>
      </c>
      <c r="D58" s="537"/>
      <c r="E58" s="545">
        <f>+C58/C49</f>
        <v>0.35995119860425162</v>
      </c>
      <c r="G58" s="543">
        <f>+'Gastos Proyecciones'!D57+'Gastos Proyecciones'!D63+'Gastos Proyecciones'!D64+'Gastos Proyecciones'!D68+'Gastos Proyecciones'!D230</f>
        <v>230172</v>
      </c>
      <c r="H58" s="543">
        <f>+'Gastos Proyecciones'!E57+'Gastos Proyecciones'!E63+'Gastos Proyecciones'!E64+'Gastos Proyecciones'!E68+'Gastos Proyecciones'!E230</f>
        <v>204091</v>
      </c>
      <c r="I58" s="543">
        <f>+'Gastos Proyecciones'!F57+'Gastos Proyecciones'!F63+'Gastos Proyecciones'!F64+'Gastos Proyecciones'!F68+'Gastos Proyecciones'!F230</f>
        <v>192403</v>
      </c>
      <c r="J58" s="543">
        <f>+'Gastos Proyecciones'!G57+'Gastos Proyecciones'!G63+'Gastos Proyecciones'!G64+'Gastos Proyecciones'!G68+'Gastos Proyecciones'!G230</f>
        <v>202023.15000000002</v>
      </c>
      <c r="K58" s="543">
        <f>+'Gastos Proyecciones'!H57+'Gastos Proyecciones'!H63+'Gastos Proyecciones'!H64+'Gastos Proyecciones'!H68+'Gastos Proyecciones'!H230</f>
        <v>212124.30750000002</v>
      </c>
      <c r="L58" s="543">
        <f>+'Gastos Proyecciones'!I57+'Gastos Proyecciones'!I63+'Gastos Proyecciones'!I64+'Gastos Proyecciones'!I68+'Gastos Proyecciones'!I230</f>
        <v>222730.52287500002</v>
      </c>
      <c r="M58" s="543">
        <f>+'Gastos Proyecciones'!J57+'Gastos Proyecciones'!J63+'Gastos Proyecciones'!J64+'Gastos Proyecciones'!J68+'Gastos Proyecciones'!J230</f>
        <v>233867.04901875005</v>
      </c>
      <c r="N58" s="543">
        <f>+'Gastos Proyecciones'!K57+'Gastos Proyecciones'!K63+'Gastos Proyecciones'!K64+'Gastos Proyecciones'!K68+'Gastos Proyecciones'!K230</f>
        <v>245560.40146968755</v>
      </c>
      <c r="O58" s="543">
        <f>+'Gastos Proyecciones'!L57+'Gastos Proyecciones'!L63+'Gastos Proyecciones'!L64+'Gastos Proyecciones'!L68+'Gastos Proyecciones'!L230</f>
        <v>257838.42154317192</v>
      </c>
      <c r="P58" s="543">
        <f>+'Gastos Proyecciones'!M57+'Gastos Proyecciones'!M63+'Gastos Proyecciones'!M64+'Gastos Proyecciones'!M68+'Gastos Proyecciones'!M230</f>
        <v>270730.34262033051</v>
      </c>
      <c r="Q58" s="543">
        <f>+'Gastos Proyecciones'!N57+'Gastos Proyecciones'!N63+'Gastos Proyecciones'!N64+'Gastos Proyecciones'!N68+'Gastos Proyecciones'!N230</f>
        <v>284266.85975134704</v>
      </c>
      <c r="R58" s="543">
        <f>+'Gastos Proyecciones'!O57+'Gastos Proyecciones'!O63+'Gastos Proyecciones'!O64+'Gastos Proyecciones'!O68+'Gastos Proyecciones'!O230</f>
        <v>298480.20273891435</v>
      </c>
      <c r="S58" s="543">
        <f>+'Gastos Proyecciones'!P57+'Gastos Proyecciones'!P63+'Gastos Proyecciones'!P64+'Gastos Proyecciones'!P68+'Gastos Proyecciones'!P230</f>
        <v>313404.2128758601</v>
      </c>
      <c r="T58" s="543">
        <f>+'Gastos Proyecciones'!Q57+'Gastos Proyecciones'!Q63+'Gastos Proyecciones'!Q64+'Gastos Proyecciones'!Q68+'Gastos Proyecciones'!Q230</f>
        <v>329074.42351965315</v>
      </c>
      <c r="U58" s="543">
        <f>+'Gastos Proyecciones'!R57+'Gastos Proyecciones'!R63+'Gastos Proyecciones'!R64+'Gastos Proyecciones'!R68+'Gastos Proyecciones'!R230</f>
        <v>345528.14469563583</v>
      </c>
      <c r="V58" s="1431">
        <f t="shared" si="3"/>
        <v>-0.11331091531550319</v>
      </c>
      <c r="W58" s="1431">
        <f t="shared" si="4"/>
        <v>-5.7268571372574018E-2</v>
      </c>
      <c r="X58" s="1431">
        <f t="shared" si="5"/>
        <v>5.0000000000000044E-2</v>
      </c>
      <c r="Y58" s="1431">
        <f t="shared" si="6"/>
        <v>5.0000000000000044E-2</v>
      </c>
      <c r="Z58" s="1431">
        <f t="shared" si="7"/>
        <v>5.0000000000000044E-2</v>
      </c>
      <c r="AA58" s="1431">
        <f t="shared" si="8"/>
        <v>5.0000000000000044E-2</v>
      </c>
      <c r="AB58" s="1431">
        <f t="shared" si="9"/>
        <v>5.0000000000000044E-2</v>
      </c>
      <c r="AC58" s="1431">
        <f t="shared" si="10"/>
        <v>5.0000000000000044E-2</v>
      </c>
      <c r="AD58" s="1431">
        <f t="shared" si="11"/>
        <v>5.0000000000000044E-2</v>
      </c>
      <c r="AE58" s="1431">
        <f t="shared" si="12"/>
        <v>5.0000000000000044E-2</v>
      </c>
      <c r="AF58" s="1431">
        <f t="shared" si="13"/>
        <v>4.9999999999999822E-2</v>
      </c>
      <c r="AG58" s="1431">
        <f t="shared" si="14"/>
        <v>5.0000000000000044E-2</v>
      </c>
      <c r="AH58" s="1431">
        <f t="shared" si="15"/>
        <v>5.0000000000000044E-2</v>
      </c>
      <c r="AI58" s="1431">
        <f t="shared" si="16"/>
        <v>5.0000000000000044E-2</v>
      </c>
    </row>
    <row r="59" spans="1:35">
      <c r="A59" s="72" t="s">
        <v>552</v>
      </c>
      <c r="B59" s="547" t="s">
        <v>553</v>
      </c>
      <c r="C59" s="548">
        <f>+C60+C61</f>
        <v>7433</v>
      </c>
      <c r="D59" s="537"/>
      <c r="E59" s="549">
        <f>+C59/C104</f>
        <v>1.4267001524625757E-3</v>
      </c>
      <c r="G59" s="548">
        <f>+G60+G61</f>
        <v>10000</v>
      </c>
      <c r="H59" s="548">
        <f t="shared" ref="H59:U59" si="26">+H60+H61</f>
        <v>5000</v>
      </c>
      <c r="I59" s="548">
        <f t="shared" si="26"/>
        <v>7433</v>
      </c>
      <c r="J59" s="548">
        <f t="shared" si="26"/>
        <v>76000</v>
      </c>
      <c r="K59" s="548">
        <f t="shared" si="26"/>
        <v>79800</v>
      </c>
      <c r="L59" s="548">
        <f t="shared" si="26"/>
        <v>83790</v>
      </c>
      <c r="M59" s="548">
        <f t="shared" si="26"/>
        <v>87979.5</v>
      </c>
      <c r="N59" s="548">
        <f t="shared" si="26"/>
        <v>92378.475000000006</v>
      </c>
      <c r="O59" s="548">
        <f t="shared" si="26"/>
        <v>96997.398750000008</v>
      </c>
      <c r="P59" s="548">
        <f t="shared" si="26"/>
        <v>101847.26868750001</v>
      </c>
      <c r="Q59" s="548">
        <f t="shared" si="26"/>
        <v>106939.63212187501</v>
      </c>
      <c r="R59" s="548">
        <f t="shared" si="26"/>
        <v>112286.61372796877</v>
      </c>
      <c r="S59" s="548">
        <f t="shared" si="26"/>
        <v>117900.94441436722</v>
      </c>
      <c r="T59" s="548">
        <f t="shared" si="26"/>
        <v>123795.99163508558</v>
      </c>
      <c r="U59" s="548">
        <f t="shared" si="26"/>
        <v>129985.79121683986</v>
      </c>
      <c r="V59" s="1431">
        <f t="shared" si="3"/>
        <v>-0.5</v>
      </c>
      <c r="W59" s="1431">
        <f t="shared" si="4"/>
        <v>0.48659999999999992</v>
      </c>
      <c r="X59" s="1431">
        <f t="shared" si="5"/>
        <v>9.224673752186197</v>
      </c>
      <c r="Y59" s="1431">
        <f t="shared" si="6"/>
        <v>5.0000000000000044E-2</v>
      </c>
      <c r="Z59" s="1431">
        <f t="shared" si="7"/>
        <v>5.0000000000000044E-2</v>
      </c>
      <c r="AA59" s="1431">
        <f t="shared" si="8"/>
        <v>5.0000000000000044E-2</v>
      </c>
      <c r="AB59" s="1431">
        <f t="shared" si="9"/>
        <v>5.0000000000000044E-2</v>
      </c>
      <c r="AC59" s="1431">
        <f t="shared" si="10"/>
        <v>5.0000000000000044E-2</v>
      </c>
      <c r="AD59" s="1431">
        <f t="shared" si="11"/>
        <v>5.0000000000000044E-2</v>
      </c>
      <c r="AE59" s="1431">
        <f t="shared" si="12"/>
        <v>5.0000000000000044E-2</v>
      </c>
      <c r="AF59" s="1431">
        <f t="shared" si="13"/>
        <v>5.0000000000000044E-2</v>
      </c>
      <c r="AG59" s="1431">
        <f t="shared" si="14"/>
        <v>5.0000000000000044E-2</v>
      </c>
      <c r="AH59" s="1431">
        <f t="shared" si="15"/>
        <v>5.0000000000000044E-2</v>
      </c>
      <c r="AI59" s="1431">
        <f t="shared" si="16"/>
        <v>5.0000000000000044E-2</v>
      </c>
    </row>
    <row r="60" spans="1:35">
      <c r="A60" s="431" t="s">
        <v>554</v>
      </c>
      <c r="B60" s="550" t="s">
        <v>555</v>
      </c>
      <c r="C60" s="543">
        <f>+Gastos!J202+Gastos!J203</f>
        <v>7433</v>
      </c>
      <c r="D60" s="537"/>
      <c r="E60" s="545">
        <f>+C60/C59</f>
        <v>1</v>
      </c>
      <c r="G60" s="543">
        <f>+'Gastos Proyecciones'!D202+'Gastos Proyecciones'!D203</f>
        <v>10000</v>
      </c>
      <c r="H60" s="543">
        <f>+'Gastos Proyecciones'!E202+'Gastos Proyecciones'!E203</f>
        <v>5000</v>
      </c>
      <c r="I60" s="543">
        <f>+'Gastos Proyecciones'!F202+'Gastos Proyecciones'!F203</f>
        <v>7433</v>
      </c>
      <c r="J60" s="543">
        <f>+'Gastos Proyecciones'!G202+'Gastos Proyecciones'!G203</f>
        <v>76000</v>
      </c>
      <c r="K60" s="543">
        <f>+'Gastos Proyecciones'!H202+'Gastos Proyecciones'!H203</f>
        <v>79800</v>
      </c>
      <c r="L60" s="543">
        <f>+'Gastos Proyecciones'!I202+'Gastos Proyecciones'!I203</f>
        <v>83790</v>
      </c>
      <c r="M60" s="543">
        <f>+'Gastos Proyecciones'!J202+'Gastos Proyecciones'!J203</f>
        <v>87979.5</v>
      </c>
      <c r="N60" s="543">
        <f>+'Gastos Proyecciones'!K202+'Gastos Proyecciones'!K203</f>
        <v>92378.475000000006</v>
      </c>
      <c r="O60" s="543">
        <f>+'Gastos Proyecciones'!L202+'Gastos Proyecciones'!L203</f>
        <v>96997.398750000008</v>
      </c>
      <c r="P60" s="543">
        <f>+'Gastos Proyecciones'!M202+'Gastos Proyecciones'!M203</f>
        <v>101847.26868750001</v>
      </c>
      <c r="Q60" s="543">
        <f>+'Gastos Proyecciones'!N202+'Gastos Proyecciones'!N203</f>
        <v>106939.63212187501</v>
      </c>
      <c r="R60" s="543">
        <f>+'Gastos Proyecciones'!O202+'Gastos Proyecciones'!O203</f>
        <v>112286.61372796877</v>
      </c>
      <c r="S60" s="543">
        <f>+'Gastos Proyecciones'!P202+'Gastos Proyecciones'!P203</f>
        <v>117900.94441436722</v>
      </c>
      <c r="T60" s="543">
        <f>+'Gastos Proyecciones'!Q202+'Gastos Proyecciones'!Q203</f>
        <v>123795.99163508558</v>
      </c>
      <c r="U60" s="543">
        <f>+'Gastos Proyecciones'!R202+'Gastos Proyecciones'!R203</f>
        <v>129985.79121683986</v>
      </c>
      <c r="V60" s="1431">
        <f t="shared" si="3"/>
        <v>-0.5</v>
      </c>
      <c r="W60" s="1431">
        <f t="shared" si="4"/>
        <v>0.48659999999999992</v>
      </c>
      <c r="X60" s="1431">
        <f t="shared" si="5"/>
        <v>9.224673752186197</v>
      </c>
      <c r="Y60" s="1431">
        <f t="shared" si="6"/>
        <v>5.0000000000000044E-2</v>
      </c>
      <c r="Z60" s="1431">
        <f t="shared" si="7"/>
        <v>5.0000000000000044E-2</v>
      </c>
      <c r="AA60" s="1431">
        <f t="shared" si="8"/>
        <v>5.0000000000000044E-2</v>
      </c>
      <c r="AB60" s="1431">
        <f t="shared" si="9"/>
        <v>5.0000000000000044E-2</v>
      </c>
      <c r="AC60" s="1431">
        <f t="shared" si="10"/>
        <v>5.0000000000000044E-2</v>
      </c>
      <c r="AD60" s="1431">
        <f t="shared" si="11"/>
        <v>5.0000000000000044E-2</v>
      </c>
      <c r="AE60" s="1431">
        <f t="shared" si="12"/>
        <v>5.0000000000000044E-2</v>
      </c>
      <c r="AF60" s="1431">
        <f t="shared" si="13"/>
        <v>5.0000000000000044E-2</v>
      </c>
      <c r="AG60" s="1431">
        <f t="shared" si="14"/>
        <v>5.0000000000000044E-2</v>
      </c>
      <c r="AH60" s="1431">
        <f t="shared" si="15"/>
        <v>5.0000000000000044E-2</v>
      </c>
      <c r="AI60" s="1431">
        <f t="shared" si="16"/>
        <v>5.0000000000000044E-2</v>
      </c>
    </row>
    <row r="61" spans="1:35">
      <c r="A61" s="431" t="s">
        <v>556</v>
      </c>
      <c r="B61" s="550" t="s">
        <v>557</v>
      </c>
      <c r="C61" s="543">
        <f>+Gastos!J207+Gastos!J208</f>
        <v>0</v>
      </c>
      <c r="D61" s="537"/>
      <c r="E61" s="545">
        <f>+C61/C59</f>
        <v>0</v>
      </c>
      <c r="G61" s="543">
        <f>+'Gastos Proyecciones'!D207+'Gastos Proyecciones'!D208</f>
        <v>0</v>
      </c>
      <c r="H61" s="543">
        <f>+'Gastos Proyecciones'!E207+'Gastos Proyecciones'!E208</f>
        <v>0</v>
      </c>
      <c r="I61" s="543">
        <f>+'Gastos Proyecciones'!F207+'Gastos Proyecciones'!F208</f>
        <v>0</v>
      </c>
      <c r="J61" s="543">
        <f>+'Gastos Proyecciones'!G207+'Gastos Proyecciones'!G208</f>
        <v>0</v>
      </c>
      <c r="K61" s="543">
        <f>+'Gastos Proyecciones'!H207+'Gastos Proyecciones'!H208</f>
        <v>0</v>
      </c>
      <c r="L61" s="543">
        <f>+'Gastos Proyecciones'!I207+'Gastos Proyecciones'!I208</f>
        <v>0</v>
      </c>
      <c r="M61" s="543">
        <f>+'Gastos Proyecciones'!J207+'Gastos Proyecciones'!J208</f>
        <v>0</v>
      </c>
      <c r="N61" s="543">
        <f>+'Gastos Proyecciones'!K207+'Gastos Proyecciones'!K208</f>
        <v>0</v>
      </c>
      <c r="O61" s="543">
        <f>+'Gastos Proyecciones'!L207+'Gastos Proyecciones'!L208</f>
        <v>0</v>
      </c>
      <c r="P61" s="543">
        <f>+'Gastos Proyecciones'!M207+'Gastos Proyecciones'!M208</f>
        <v>0</v>
      </c>
      <c r="Q61" s="543">
        <f>+'Gastos Proyecciones'!N207+'Gastos Proyecciones'!N208</f>
        <v>0</v>
      </c>
      <c r="R61" s="543">
        <f>+'Gastos Proyecciones'!O207+'Gastos Proyecciones'!O208</f>
        <v>0</v>
      </c>
      <c r="S61" s="543">
        <f>+'Gastos Proyecciones'!P207+'Gastos Proyecciones'!P208</f>
        <v>0</v>
      </c>
      <c r="T61" s="543">
        <f>+'Gastos Proyecciones'!Q207+'Gastos Proyecciones'!Q208</f>
        <v>0</v>
      </c>
      <c r="U61" s="543">
        <f>+'Gastos Proyecciones'!R207+'Gastos Proyecciones'!R208</f>
        <v>0</v>
      </c>
      <c r="V61" s="1431" t="e">
        <f t="shared" si="3"/>
        <v>#DIV/0!</v>
      </c>
      <c r="W61" s="1431" t="e">
        <f t="shared" si="4"/>
        <v>#DIV/0!</v>
      </c>
      <c r="X61" s="1431" t="e">
        <f t="shared" si="5"/>
        <v>#DIV/0!</v>
      </c>
      <c r="Y61" s="1431" t="e">
        <f t="shared" si="6"/>
        <v>#DIV/0!</v>
      </c>
      <c r="Z61" s="1431" t="e">
        <f t="shared" si="7"/>
        <v>#DIV/0!</v>
      </c>
      <c r="AA61" s="1431" t="e">
        <f t="shared" si="8"/>
        <v>#DIV/0!</v>
      </c>
      <c r="AB61" s="1431" t="e">
        <f t="shared" si="9"/>
        <v>#DIV/0!</v>
      </c>
      <c r="AC61" s="1431" t="e">
        <f t="shared" si="10"/>
        <v>#DIV/0!</v>
      </c>
      <c r="AD61" s="1431" t="e">
        <f t="shared" si="11"/>
        <v>#DIV/0!</v>
      </c>
      <c r="AE61" s="1431" t="e">
        <f t="shared" si="12"/>
        <v>#DIV/0!</v>
      </c>
      <c r="AF61" s="1431" t="e">
        <f t="shared" si="13"/>
        <v>#DIV/0!</v>
      </c>
      <c r="AG61" s="1431" t="e">
        <f t="shared" si="14"/>
        <v>#DIV/0!</v>
      </c>
      <c r="AH61" s="1431" t="e">
        <f t="shared" si="15"/>
        <v>#DIV/0!</v>
      </c>
      <c r="AI61" s="1431" t="e">
        <f t="shared" si="16"/>
        <v>#DIV/0!</v>
      </c>
    </row>
    <row r="62" spans="1:35" s="551" customFormat="1" ht="36">
      <c r="A62" s="431" t="s">
        <v>558</v>
      </c>
      <c r="B62" s="562" t="s">
        <v>559</v>
      </c>
      <c r="C62" s="563">
        <f>+Gastos!J77+Gastos!J78+Gastos!J79+Gastos!J84+Gastos!J85+Gastos!J86+Gastos!J89+Gastos!J103+Gastos!J126+Gastos!J140+Gastos!J163+Gastos!J177</f>
        <v>0</v>
      </c>
      <c r="D62" s="537"/>
      <c r="E62" s="564">
        <f>+C62/C104</f>
        <v>0</v>
      </c>
      <c r="G62" s="563">
        <f>+'Gastos Proyecciones'!D77+'Gastos Proyecciones'!D78+'Gastos Proyecciones'!D79+'Gastos Proyecciones'!D84+'Gastos Proyecciones'!D85+'Gastos Proyecciones'!D86+'Gastos Proyecciones'!D89+'Gastos Proyecciones'!D103+'Gastos Proyecciones'!D126+'Gastos Proyecciones'!D140+'Gastos Proyecciones'!D163+'Gastos Proyecciones'!D177</f>
        <v>0</v>
      </c>
      <c r="H62" s="563">
        <f>+'Gastos Proyecciones'!E77+'Gastos Proyecciones'!E78+'Gastos Proyecciones'!E79+'Gastos Proyecciones'!E84+'Gastos Proyecciones'!E85+'Gastos Proyecciones'!E86+'Gastos Proyecciones'!E89+'Gastos Proyecciones'!E103+'Gastos Proyecciones'!E126+'Gastos Proyecciones'!E140+'Gastos Proyecciones'!E163+'Gastos Proyecciones'!E177</f>
        <v>0</v>
      </c>
      <c r="I62" s="563">
        <f>+'Gastos Proyecciones'!F77+'Gastos Proyecciones'!F78+'Gastos Proyecciones'!F79+'Gastos Proyecciones'!F84+'Gastos Proyecciones'!F85+'Gastos Proyecciones'!F86+'Gastos Proyecciones'!F89+'Gastos Proyecciones'!F103+'Gastos Proyecciones'!F126+'Gastos Proyecciones'!F140+'Gastos Proyecciones'!F163+'Gastos Proyecciones'!F177</f>
        <v>88192</v>
      </c>
      <c r="J62" s="563">
        <f>+'Gastos Proyecciones'!G77+'Gastos Proyecciones'!G78+'Gastos Proyecciones'!G79+'Gastos Proyecciones'!G84+'Gastos Proyecciones'!G85+'Gastos Proyecciones'!G86+'Gastos Proyecciones'!G89+'Gastos Proyecciones'!G103+'Gastos Proyecciones'!G126+'Gastos Proyecciones'!G140+'Gastos Proyecciones'!G163+'Gastos Proyecciones'!G177</f>
        <v>92601.600000000006</v>
      </c>
      <c r="K62" s="563">
        <f>+'Gastos Proyecciones'!H77+'Gastos Proyecciones'!H78+'Gastos Proyecciones'!H79+'Gastos Proyecciones'!H84+'Gastos Proyecciones'!H85+'Gastos Proyecciones'!H86+'Gastos Proyecciones'!H89+'Gastos Proyecciones'!H103+'Gastos Proyecciones'!H126+'Gastos Proyecciones'!H140+'Gastos Proyecciones'!H163+'Gastos Proyecciones'!H177</f>
        <v>97231.680000000008</v>
      </c>
      <c r="L62" s="563">
        <f>+'Gastos Proyecciones'!I77+'Gastos Proyecciones'!I78+'Gastos Proyecciones'!I79+'Gastos Proyecciones'!I84+'Gastos Proyecciones'!I85+'Gastos Proyecciones'!I86+'Gastos Proyecciones'!I89+'Gastos Proyecciones'!I103+'Gastos Proyecciones'!I126+'Gastos Proyecciones'!I140+'Gastos Proyecciones'!I163+'Gastos Proyecciones'!I177</f>
        <v>102093.26400000001</v>
      </c>
      <c r="M62" s="563">
        <f>+'Gastos Proyecciones'!J77+'Gastos Proyecciones'!J78+'Gastos Proyecciones'!J79+'Gastos Proyecciones'!J84+'Gastos Proyecciones'!J85+'Gastos Proyecciones'!J86+'Gastos Proyecciones'!J89+'Gastos Proyecciones'!J103+'Gastos Proyecciones'!J126+'Gastos Proyecciones'!J140+'Gastos Proyecciones'!J163+'Gastos Proyecciones'!J177</f>
        <v>47158</v>
      </c>
      <c r="N62" s="563">
        <f>+'Gastos Proyecciones'!K77+'Gastos Proyecciones'!K78+'Gastos Proyecciones'!K79+'Gastos Proyecciones'!K84+'Gastos Proyecciones'!K85+'Gastos Proyecciones'!K86+'Gastos Proyecciones'!K89+'Gastos Proyecciones'!K103+'Gastos Proyecciones'!K126+'Gastos Proyecciones'!K140+'Gastos Proyecciones'!K163+'Gastos Proyecciones'!K177</f>
        <v>0</v>
      </c>
      <c r="O62" s="563">
        <f>+'Gastos Proyecciones'!L77+'Gastos Proyecciones'!L78+'Gastos Proyecciones'!L79+'Gastos Proyecciones'!L84+'Gastos Proyecciones'!L85+'Gastos Proyecciones'!L86+'Gastos Proyecciones'!L89+'Gastos Proyecciones'!L103+'Gastos Proyecciones'!L126+'Gastos Proyecciones'!L140+'Gastos Proyecciones'!L163+'Gastos Proyecciones'!L177</f>
        <v>0</v>
      </c>
      <c r="P62" s="563">
        <f>+'Gastos Proyecciones'!M77+'Gastos Proyecciones'!M78+'Gastos Proyecciones'!M79+'Gastos Proyecciones'!M84+'Gastos Proyecciones'!M85+'Gastos Proyecciones'!M86+'Gastos Proyecciones'!M89+'Gastos Proyecciones'!M103+'Gastos Proyecciones'!M126+'Gastos Proyecciones'!M140+'Gastos Proyecciones'!M163+'Gastos Proyecciones'!M177</f>
        <v>0</v>
      </c>
      <c r="Q62" s="563">
        <f>+'Gastos Proyecciones'!N77+'Gastos Proyecciones'!N78+'Gastos Proyecciones'!N79+'Gastos Proyecciones'!N84+'Gastos Proyecciones'!N85+'Gastos Proyecciones'!N86+'Gastos Proyecciones'!N89+'Gastos Proyecciones'!N103+'Gastos Proyecciones'!N126+'Gastos Proyecciones'!N140+'Gastos Proyecciones'!N163+'Gastos Proyecciones'!N177</f>
        <v>0</v>
      </c>
      <c r="R62" s="563">
        <f>+'Gastos Proyecciones'!O77+'Gastos Proyecciones'!O78+'Gastos Proyecciones'!O79+'Gastos Proyecciones'!O84+'Gastos Proyecciones'!O85+'Gastos Proyecciones'!O86+'Gastos Proyecciones'!O89+'Gastos Proyecciones'!O103+'Gastos Proyecciones'!O126+'Gastos Proyecciones'!O140+'Gastos Proyecciones'!O163+'Gastos Proyecciones'!O177</f>
        <v>0</v>
      </c>
      <c r="S62" s="563">
        <f>+'Gastos Proyecciones'!P77+'Gastos Proyecciones'!P78+'Gastos Proyecciones'!P79+'Gastos Proyecciones'!P84+'Gastos Proyecciones'!P85+'Gastos Proyecciones'!P86+'Gastos Proyecciones'!P89+'Gastos Proyecciones'!P103+'Gastos Proyecciones'!P126+'Gastos Proyecciones'!P140+'Gastos Proyecciones'!P163+'Gastos Proyecciones'!P177</f>
        <v>0</v>
      </c>
      <c r="T62" s="563">
        <f>+'Gastos Proyecciones'!Q77+'Gastos Proyecciones'!Q78+'Gastos Proyecciones'!Q79+'Gastos Proyecciones'!Q84+'Gastos Proyecciones'!Q85+'Gastos Proyecciones'!Q86+'Gastos Proyecciones'!Q89+'Gastos Proyecciones'!Q103+'Gastos Proyecciones'!Q126+'Gastos Proyecciones'!Q140+'Gastos Proyecciones'!Q163+'Gastos Proyecciones'!Q177</f>
        <v>0</v>
      </c>
      <c r="U62" s="563">
        <f>+'Gastos Proyecciones'!R77+'Gastos Proyecciones'!R78+'Gastos Proyecciones'!R79+'Gastos Proyecciones'!R84+'Gastos Proyecciones'!R85+'Gastos Proyecciones'!R86+'Gastos Proyecciones'!R89+'Gastos Proyecciones'!R103+'Gastos Proyecciones'!R126+'Gastos Proyecciones'!R140+'Gastos Proyecciones'!R163+'Gastos Proyecciones'!R177</f>
        <v>0</v>
      </c>
      <c r="V62" s="1432" t="e">
        <f t="shared" si="3"/>
        <v>#DIV/0!</v>
      </c>
      <c r="W62" s="1432" t="e">
        <f t="shared" si="4"/>
        <v>#DIV/0!</v>
      </c>
      <c r="X62" s="1432">
        <f t="shared" si="5"/>
        <v>5.0000000000000044E-2</v>
      </c>
      <c r="Y62" s="1432">
        <f t="shared" si="6"/>
        <v>5.0000000000000044E-2</v>
      </c>
      <c r="Z62" s="1432">
        <f t="shared" si="7"/>
        <v>5.0000000000000044E-2</v>
      </c>
      <c r="AA62" s="1432">
        <f t="shared" si="8"/>
        <v>-0.53808901633314421</v>
      </c>
      <c r="AB62" s="1432">
        <f t="shared" si="9"/>
        <v>-1</v>
      </c>
      <c r="AC62" s="1432" t="e">
        <f t="shared" si="10"/>
        <v>#DIV/0!</v>
      </c>
      <c r="AD62" s="1432" t="e">
        <f t="shared" si="11"/>
        <v>#DIV/0!</v>
      </c>
      <c r="AE62" s="1432" t="e">
        <f t="shared" si="12"/>
        <v>#DIV/0!</v>
      </c>
      <c r="AF62" s="1432" t="e">
        <f t="shared" si="13"/>
        <v>#DIV/0!</v>
      </c>
      <c r="AG62" s="1432" t="e">
        <f t="shared" si="14"/>
        <v>#DIV/0!</v>
      </c>
      <c r="AH62" s="1432" t="e">
        <f t="shared" si="15"/>
        <v>#DIV/0!</v>
      </c>
      <c r="AI62" s="1432" t="e">
        <f t="shared" si="16"/>
        <v>#DIV/0!</v>
      </c>
    </row>
    <row r="63" spans="1:35" ht="14.25" customHeight="1">
      <c r="A63" s="72" t="str">
        <f>+Gastos!A69</f>
        <v>217</v>
      </c>
      <c r="B63" s="547" t="s">
        <v>560</v>
      </c>
      <c r="C63" s="548">
        <f>+Gastos!J69</f>
        <v>0</v>
      </c>
      <c r="D63" s="537"/>
      <c r="E63" s="564">
        <f>+C63/C104</f>
        <v>0</v>
      </c>
      <c r="G63" s="548">
        <f>+'Gastos Proyecciones'!D69</f>
        <v>0</v>
      </c>
      <c r="H63" s="548">
        <f>+'Gastos Proyecciones'!E69</f>
        <v>0</v>
      </c>
      <c r="I63" s="548">
        <f>+'Gastos Proyecciones'!F69</f>
        <v>0</v>
      </c>
      <c r="J63" s="548">
        <f>+'Gastos Proyecciones'!G69</f>
        <v>0</v>
      </c>
      <c r="K63" s="548">
        <f>+'Gastos Proyecciones'!H69</f>
        <v>0</v>
      </c>
      <c r="L63" s="548">
        <f>+'Gastos Proyecciones'!I69</f>
        <v>0</v>
      </c>
      <c r="M63" s="548">
        <f>+'Gastos Proyecciones'!J69</f>
        <v>0</v>
      </c>
      <c r="N63" s="548">
        <f>+'Gastos Proyecciones'!K69</f>
        <v>0</v>
      </c>
      <c r="O63" s="548">
        <f>+'Gastos Proyecciones'!L69</f>
        <v>0</v>
      </c>
      <c r="P63" s="548">
        <f>+'Gastos Proyecciones'!M69</f>
        <v>0</v>
      </c>
      <c r="Q63" s="548">
        <f>+'Gastos Proyecciones'!N69</f>
        <v>0</v>
      </c>
      <c r="R63" s="548">
        <f>+'Gastos Proyecciones'!O69</f>
        <v>0</v>
      </c>
      <c r="S63" s="548">
        <f>+'Gastos Proyecciones'!P69</f>
        <v>0</v>
      </c>
      <c r="T63" s="548">
        <f>+'Gastos Proyecciones'!Q69</f>
        <v>0</v>
      </c>
      <c r="U63" s="548">
        <f>+'Gastos Proyecciones'!R69</f>
        <v>0</v>
      </c>
      <c r="V63" s="1431" t="e">
        <f t="shared" si="3"/>
        <v>#DIV/0!</v>
      </c>
      <c r="W63" s="1431" t="e">
        <f t="shared" si="4"/>
        <v>#DIV/0!</v>
      </c>
      <c r="X63" s="1431" t="e">
        <f t="shared" si="5"/>
        <v>#DIV/0!</v>
      </c>
      <c r="Y63" s="1431" t="e">
        <f t="shared" si="6"/>
        <v>#DIV/0!</v>
      </c>
      <c r="Z63" s="1431" t="e">
        <f t="shared" si="7"/>
        <v>#DIV/0!</v>
      </c>
      <c r="AA63" s="1431" t="e">
        <f t="shared" si="8"/>
        <v>#DIV/0!</v>
      </c>
      <c r="AB63" s="1431" t="e">
        <f t="shared" si="9"/>
        <v>#DIV/0!</v>
      </c>
      <c r="AC63" s="1431" t="e">
        <f t="shared" si="10"/>
        <v>#DIV/0!</v>
      </c>
      <c r="AD63" s="1431" t="e">
        <f t="shared" si="11"/>
        <v>#DIV/0!</v>
      </c>
      <c r="AE63" s="1431" t="e">
        <f t="shared" si="12"/>
        <v>#DIV/0!</v>
      </c>
      <c r="AF63" s="1431" t="e">
        <f t="shared" si="13"/>
        <v>#DIV/0!</v>
      </c>
      <c r="AG63" s="1431" t="e">
        <f t="shared" si="14"/>
        <v>#DIV/0!</v>
      </c>
      <c r="AH63" s="1431" t="e">
        <f t="shared" si="15"/>
        <v>#DIV/0!</v>
      </c>
      <c r="AI63" s="1431" t="e">
        <f t="shared" si="16"/>
        <v>#DIV/0!</v>
      </c>
    </row>
    <row r="64" spans="1:35" ht="14.25" customHeight="1" thickBot="1">
      <c r="A64" s="72" t="str">
        <f>+Gastos!A204</f>
        <v>300A</v>
      </c>
      <c r="B64" s="565" t="s">
        <v>561</v>
      </c>
      <c r="C64" s="566">
        <f>+Gastos!J204</f>
        <v>0</v>
      </c>
      <c r="D64" s="537"/>
      <c r="E64" s="567">
        <f>+C64/C104</f>
        <v>0</v>
      </c>
      <c r="G64" s="566">
        <f>+'Gastos Proyecciones'!D204</f>
        <v>0</v>
      </c>
      <c r="H64" s="566">
        <f>+'Gastos Proyecciones'!E204</f>
        <v>0</v>
      </c>
      <c r="I64" s="566">
        <f>+'Gastos Proyecciones'!F204</f>
        <v>0</v>
      </c>
      <c r="J64" s="566">
        <f>+'Gastos Proyecciones'!G204</f>
        <v>0</v>
      </c>
      <c r="K64" s="566">
        <f>+'Gastos Proyecciones'!H204</f>
        <v>0</v>
      </c>
      <c r="L64" s="566">
        <f>+'Gastos Proyecciones'!I204</f>
        <v>0</v>
      </c>
      <c r="M64" s="566">
        <f>+'Gastos Proyecciones'!J204</f>
        <v>0</v>
      </c>
      <c r="N64" s="566">
        <f>+'Gastos Proyecciones'!K204</f>
        <v>0</v>
      </c>
      <c r="O64" s="566">
        <f>+'Gastos Proyecciones'!L204</f>
        <v>0</v>
      </c>
      <c r="P64" s="566">
        <f>+'Gastos Proyecciones'!M204</f>
        <v>0</v>
      </c>
      <c r="Q64" s="566">
        <f>+'Gastos Proyecciones'!N204</f>
        <v>0</v>
      </c>
      <c r="R64" s="566">
        <f>+'Gastos Proyecciones'!O204</f>
        <v>0</v>
      </c>
      <c r="S64" s="566">
        <f>+'Gastos Proyecciones'!P204</f>
        <v>0</v>
      </c>
      <c r="T64" s="566">
        <f>+'Gastos Proyecciones'!Q204</f>
        <v>0</v>
      </c>
      <c r="U64" s="566">
        <f>+'Gastos Proyecciones'!R204</f>
        <v>0</v>
      </c>
      <c r="V64" s="1431" t="e">
        <f t="shared" si="3"/>
        <v>#DIV/0!</v>
      </c>
      <c r="W64" s="1431" t="e">
        <f t="shared" si="4"/>
        <v>#DIV/0!</v>
      </c>
      <c r="X64" s="1431" t="e">
        <f t="shared" si="5"/>
        <v>#DIV/0!</v>
      </c>
      <c r="Y64" s="1431" t="e">
        <f t="shared" si="6"/>
        <v>#DIV/0!</v>
      </c>
      <c r="Z64" s="1431" t="e">
        <f t="shared" si="7"/>
        <v>#DIV/0!</v>
      </c>
      <c r="AA64" s="1431" t="e">
        <f t="shared" si="8"/>
        <v>#DIV/0!</v>
      </c>
      <c r="AB64" s="1431" t="e">
        <f t="shared" si="9"/>
        <v>#DIV/0!</v>
      </c>
      <c r="AC64" s="1431" t="e">
        <f t="shared" si="10"/>
        <v>#DIV/0!</v>
      </c>
      <c r="AD64" s="1431" t="e">
        <f t="shared" si="11"/>
        <v>#DIV/0!</v>
      </c>
      <c r="AE64" s="1431" t="e">
        <f t="shared" si="12"/>
        <v>#DIV/0!</v>
      </c>
      <c r="AF64" s="1431" t="e">
        <f t="shared" si="13"/>
        <v>#DIV/0!</v>
      </c>
      <c r="AG64" s="1431" t="e">
        <f t="shared" si="14"/>
        <v>#DIV/0!</v>
      </c>
      <c r="AH64" s="1431" t="e">
        <f t="shared" si="15"/>
        <v>#DIV/0!</v>
      </c>
      <c r="AI64" s="1431" t="e">
        <f t="shared" si="16"/>
        <v>#DIV/0!</v>
      </c>
    </row>
    <row r="65" spans="1:35" ht="13.5" customHeight="1" thickBot="1">
      <c r="A65" s="431" t="s">
        <v>562</v>
      </c>
      <c r="B65" s="568" t="s">
        <v>563</v>
      </c>
      <c r="C65" s="533">
        <f>+C26-C45</f>
        <v>3960104.12</v>
      </c>
      <c r="D65" s="537"/>
      <c r="E65" s="556"/>
      <c r="G65" s="533">
        <f>+G26-G45</f>
        <v>5428089</v>
      </c>
      <c r="H65" s="533">
        <f t="shared" ref="H65:U65" si="27">+H26-H45</f>
        <v>5188667.1500000004</v>
      </c>
      <c r="I65" s="533">
        <f t="shared" si="27"/>
        <v>4070094.12</v>
      </c>
      <c r="J65" s="533">
        <f t="shared" si="27"/>
        <v>4556681.8848000001</v>
      </c>
      <c r="K65" s="533">
        <f t="shared" si="27"/>
        <v>4636358.7201920003</v>
      </c>
      <c r="L65" s="533">
        <f t="shared" si="27"/>
        <v>4755325.5009996798</v>
      </c>
      <c r="M65" s="533">
        <f t="shared" si="27"/>
        <v>4996383.4218396675</v>
      </c>
      <c r="N65" s="533">
        <f t="shared" si="27"/>
        <v>5236700.280265254</v>
      </c>
      <c r="O65" s="533">
        <f t="shared" si="27"/>
        <v>5437156.3531054659</v>
      </c>
      <c r="P65" s="533">
        <f t="shared" si="27"/>
        <v>5645180.0719407639</v>
      </c>
      <c r="Q65" s="533">
        <f t="shared" si="27"/>
        <v>5861051.6127650291</v>
      </c>
      <c r="R65" s="533">
        <f t="shared" si="27"/>
        <v>6085061.2321195956</v>
      </c>
      <c r="S65" s="533">
        <f t="shared" si="27"/>
        <v>6317509.6139905443</v>
      </c>
      <c r="T65" s="533">
        <f t="shared" si="27"/>
        <v>6558708.2277656393</v>
      </c>
      <c r="U65" s="533">
        <f t="shared" si="27"/>
        <v>6808979.6975525087</v>
      </c>
      <c r="V65" s="1431">
        <f t="shared" si="3"/>
        <v>-4.4107944803410515E-2</v>
      </c>
      <c r="W65" s="1431">
        <f t="shared" si="4"/>
        <v>-0.21558003195483455</v>
      </c>
      <c r="X65" s="1431">
        <f t="shared" si="5"/>
        <v>0.11955196869009987</v>
      </c>
      <c r="Y65" s="1431">
        <f t="shared" si="6"/>
        <v>1.748571381684183E-2</v>
      </c>
      <c r="Z65" s="1431">
        <f t="shared" si="7"/>
        <v>2.5659528950933375E-2</v>
      </c>
      <c r="AA65" s="1431">
        <f t="shared" si="8"/>
        <v>5.0692201993178365E-2</v>
      </c>
      <c r="AB65" s="1431">
        <f t="shared" si="9"/>
        <v>4.8098161837448083E-2</v>
      </c>
      <c r="AC65" s="1431">
        <f t="shared" si="10"/>
        <v>3.8279080740144744E-2</v>
      </c>
      <c r="AD65" s="1431">
        <f t="shared" si="11"/>
        <v>3.8259653636129931E-2</v>
      </c>
      <c r="AE65" s="1431">
        <f t="shared" si="12"/>
        <v>3.8239974291918388E-2</v>
      </c>
      <c r="AF65" s="1431">
        <f t="shared" si="13"/>
        <v>3.8220038681571422E-2</v>
      </c>
      <c r="AG65" s="1431">
        <f t="shared" si="14"/>
        <v>3.8199842697389075E-2</v>
      </c>
      <c r="AH65" s="1431">
        <f t="shared" si="15"/>
        <v>3.8179382147823571E-2</v>
      </c>
      <c r="AI65" s="1431">
        <f t="shared" si="16"/>
        <v>3.8158652755335254E-2</v>
      </c>
    </row>
    <row r="66" spans="1:35" ht="13.5" customHeight="1" thickBot="1">
      <c r="A66" s="72" t="str">
        <f>+Ingresos!A87</f>
        <v>12</v>
      </c>
      <c r="B66" s="557" t="s">
        <v>564</v>
      </c>
      <c r="C66" s="569">
        <f>SUM(C67:C73)</f>
        <v>1727264</v>
      </c>
      <c r="D66" s="553"/>
      <c r="E66" s="559">
        <f>+C66/C103</f>
        <v>0.25756332660307563</v>
      </c>
      <c r="G66" s="569">
        <f>SUM(G67:G73)</f>
        <v>213587</v>
      </c>
      <c r="H66" s="569">
        <f t="shared" ref="H66:U66" si="28">SUM(H67:H73)</f>
        <v>222130.48</v>
      </c>
      <c r="I66" s="569">
        <f t="shared" si="28"/>
        <v>1727263.9791999999</v>
      </c>
      <c r="J66" s="569">
        <f t="shared" si="28"/>
        <v>240256.618368</v>
      </c>
      <c r="K66" s="569">
        <f t="shared" si="28"/>
        <v>249866.88310271999</v>
      </c>
      <c r="L66" s="569">
        <f t="shared" si="28"/>
        <v>259861.55842682882</v>
      </c>
      <c r="M66" s="569">
        <f t="shared" si="28"/>
        <v>270256.02076390194</v>
      </c>
      <c r="N66" s="569">
        <f t="shared" si="28"/>
        <v>281066.26159445802</v>
      </c>
      <c r="O66" s="569">
        <f t="shared" si="28"/>
        <v>292308.91205823637</v>
      </c>
      <c r="P66" s="569">
        <f t="shared" si="28"/>
        <v>304001.2685405658</v>
      </c>
      <c r="Q66" s="569">
        <f t="shared" si="28"/>
        <v>316161.31928218843</v>
      </c>
      <c r="R66" s="569">
        <f t="shared" si="28"/>
        <v>328807.77205347596</v>
      </c>
      <c r="S66" s="569">
        <f t="shared" si="28"/>
        <v>341960.08293561498</v>
      </c>
      <c r="T66" s="569">
        <f t="shared" si="28"/>
        <v>355638.48625303962</v>
      </c>
      <c r="U66" s="569">
        <f t="shared" si="28"/>
        <v>369864.0257031612</v>
      </c>
      <c r="V66" s="1431">
        <f t="shared" si="3"/>
        <v>4.0000000000000036E-2</v>
      </c>
      <c r="W66" s="1431">
        <f t="shared" si="4"/>
        <v>6.7758981081749781</v>
      </c>
      <c r="X66" s="1431">
        <f t="shared" si="5"/>
        <v>-0.86090335857100586</v>
      </c>
      <c r="Y66" s="1431">
        <f t="shared" si="6"/>
        <v>4.0000000000000036E-2</v>
      </c>
      <c r="Z66" s="1431">
        <f t="shared" si="7"/>
        <v>4.0000000000000036E-2</v>
      </c>
      <c r="AA66" s="1431">
        <f t="shared" si="8"/>
        <v>3.9999999999999813E-2</v>
      </c>
      <c r="AB66" s="1431">
        <f t="shared" si="9"/>
        <v>4.0000000000000036E-2</v>
      </c>
      <c r="AC66" s="1431">
        <f t="shared" si="10"/>
        <v>4.0000000000000036E-2</v>
      </c>
      <c r="AD66" s="1431">
        <f t="shared" si="11"/>
        <v>3.9999999999999813E-2</v>
      </c>
      <c r="AE66" s="1431">
        <f t="shared" si="12"/>
        <v>4.0000000000000036E-2</v>
      </c>
      <c r="AF66" s="1431">
        <f t="shared" si="13"/>
        <v>4.0000000000000036E-2</v>
      </c>
      <c r="AG66" s="1431">
        <f t="shared" si="14"/>
        <v>4.0000000000000036E-2</v>
      </c>
      <c r="AH66" s="1431">
        <f t="shared" si="15"/>
        <v>4.0000000000000036E-2</v>
      </c>
      <c r="AI66" s="1431">
        <f t="shared" si="16"/>
        <v>4.0000000000000036E-2</v>
      </c>
    </row>
    <row r="67" spans="1:35">
      <c r="A67" s="71" t="str">
        <f>+Ingresos!A89</f>
        <v>309A</v>
      </c>
      <c r="B67" s="570" t="s">
        <v>565</v>
      </c>
      <c r="C67" s="571">
        <f>+Ingresos!H88+Ingresos!H89</f>
        <v>0</v>
      </c>
      <c r="D67" s="537"/>
      <c r="E67" s="545">
        <f>+C67/C66</f>
        <v>0</v>
      </c>
      <c r="G67" s="571">
        <f>+'Ingresos Proyecciones'!C85+'Ingresos Proyecciones'!C86</f>
        <v>0</v>
      </c>
      <c r="H67" s="571">
        <f>+'Ingresos Proyecciones'!D85+'Ingresos Proyecciones'!D86</f>
        <v>0</v>
      </c>
      <c r="I67" s="571">
        <f>+'Ingresos Proyecciones'!E85+'Ingresos Proyecciones'!E86</f>
        <v>0</v>
      </c>
      <c r="J67" s="571">
        <f>+'Ingresos Proyecciones'!F85+'Ingresos Proyecciones'!F86</f>
        <v>0</v>
      </c>
      <c r="K67" s="571">
        <f>+'Ingresos Proyecciones'!G85+'Ingresos Proyecciones'!G86</f>
        <v>0</v>
      </c>
      <c r="L67" s="571">
        <f>+'Ingresos Proyecciones'!H85+'Ingresos Proyecciones'!H86</f>
        <v>0</v>
      </c>
      <c r="M67" s="571">
        <f>+'Ingresos Proyecciones'!I85+'Ingresos Proyecciones'!I86</f>
        <v>0</v>
      </c>
      <c r="N67" s="571">
        <f>+'Ingresos Proyecciones'!J85+'Ingresos Proyecciones'!J86</f>
        <v>0</v>
      </c>
      <c r="O67" s="571">
        <f>+'Ingresos Proyecciones'!K85+'Ingresos Proyecciones'!K86</f>
        <v>0</v>
      </c>
      <c r="P67" s="571">
        <f>+'Ingresos Proyecciones'!L85+'Ingresos Proyecciones'!L86</f>
        <v>0</v>
      </c>
      <c r="Q67" s="571">
        <f>+'Ingresos Proyecciones'!M85+'Ingresos Proyecciones'!M86</f>
        <v>0</v>
      </c>
      <c r="R67" s="571">
        <f>+'Ingresos Proyecciones'!N85+'Ingresos Proyecciones'!N86</f>
        <v>0</v>
      </c>
      <c r="S67" s="571">
        <f>+'Ingresos Proyecciones'!O85+'Ingresos Proyecciones'!O86</f>
        <v>0</v>
      </c>
      <c r="T67" s="571">
        <f>+'Ingresos Proyecciones'!P85+'Ingresos Proyecciones'!P86</f>
        <v>0</v>
      </c>
      <c r="U67" s="571">
        <f>+'Ingresos Proyecciones'!Q85+'Ingresos Proyecciones'!Q86</f>
        <v>0</v>
      </c>
      <c r="V67" s="1431" t="e">
        <f t="shared" si="3"/>
        <v>#DIV/0!</v>
      </c>
      <c r="W67" s="1431" t="e">
        <f t="shared" si="4"/>
        <v>#DIV/0!</v>
      </c>
      <c r="X67" s="1431" t="e">
        <f t="shared" si="5"/>
        <v>#DIV/0!</v>
      </c>
      <c r="Y67" s="1431" t="e">
        <f t="shared" si="6"/>
        <v>#DIV/0!</v>
      </c>
      <c r="Z67" s="1431" t="e">
        <f t="shared" si="7"/>
        <v>#DIV/0!</v>
      </c>
      <c r="AA67" s="1431" t="e">
        <f t="shared" si="8"/>
        <v>#DIV/0!</v>
      </c>
      <c r="AB67" s="1431" t="e">
        <f t="shared" si="9"/>
        <v>#DIV/0!</v>
      </c>
      <c r="AC67" s="1431" t="e">
        <f t="shared" si="10"/>
        <v>#DIV/0!</v>
      </c>
      <c r="AD67" s="1431" t="e">
        <f t="shared" si="11"/>
        <v>#DIV/0!</v>
      </c>
      <c r="AE67" s="1431" t="e">
        <f t="shared" si="12"/>
        <v>#DIV/0!</v>
      </c>
      <c r="AF67" s="1431" t="e">
        <f t="shared" si="13"/>
        <v>#DIV/0!</v>
      </c>
      <c r="AG67" s="1431" t="e">
        <f t="shared" si="14"/>
        <v>#DIV/0!</v>
      </c>
      <c r="AH67" s="1431" t="e">
        <f t="shared" si="15"/>
        <v>#DIV/0!</v>
      </c>
      <c r="AI67" s="1431" t="e">
        <f t="shared" si="16"/>
        <v>#DIV/0!</v>
      </c>
    </row>
    <row r="68" spans="1:35">
      <c r="A68" s="71" t="str">
        <f>+Ingresos!A90</f>
        <v>112050207</v>
      </c>
      <c r="B68" s="551" t="s">
        <v>6</v>
      </c>
      <c r="C68" s="543">
        <f>+Ingresos!H90</f>
        <v>1496248</v>
      </c>
      <c r="D68" s="537"/>
      <c r="E68" s="545">
        <f>+C68/C66</f>
        <v>0.86625321896363261</v>
      </c>
      <c r="G68" s="543">
        <f>+'Ingresos Proyecciones'!C87</f>
        <v>0</v>
      </c>
      <c r="H68" s="543">
        <f>+'Ingresos Proyecciones'!D87</f>
        <v>0</v>
      </c>
      <c r="I68" s="543">
        <f>+'Ingresos Proyecciones'!E87</f>
        <v>1496248</v>
      </c>
      <c r="J68" s="543">
        <f>+'Ingresos Proyecciones'!F87</f>
        <v>0</v>
      </c>
      <c r="K68" s="543">
        <f>+'Ingresos Proyecciones'!G87</f>
        <v>0</v>
      </c>
      <c r="L68" s="543">
        <f>+'Ingresos Proyecciones'!H87</f>
        <v>0</v>
      </c>
      <c r="M68" s="543">
        <f>+'Ingresos Proyecciones'!I87</f>
        <v>0</v>
      </c>
      <c r="N68" s="543">
        <f>+'Ingresos Proyecciones'!J87</f>
        <v>0</v>
      </c>
      <c r="O68" s="543">
        <f>+'Ingresos Proyecciones'!K87</f>
        <v>0</v>
      </c>
      <c r="P68" s="543">
        <f>+'Ingresos Proyecciones'!L87</f>
        <v>0</v>
      </c>
      <c r="Q68" s="543">
        <f>+'Ingresos Proyecciones'!M87</f>
        <v>0</v>
      </c>
      <c r="R68" s="543">
        <f>+'Ingresos Proyecciones'!N87</f>
        <v>0</v>
      </c>
      <c r="S68" s="543">
        <f>+'Ingresos Proyecciones'!O87</f>
        <v>0</v>
      </c>
      <c r="T68" s="543">
        <f>+'Ingresos Proyecciones'!P87</f>
        <v>0</v>
      </c>
      <c r="U68" s="543">
        <f>+'Ingresos Proyecciones'!Q87</f>
        <v>0</v>
      </c>
      <c r="V68" s="1431" t="e">
        <f t="shared" si="3"/>
        <v>#DIV/0!</v>
      </c>
      <c r="W68" s="1431" t="e">
        <f t="shared" si="4"/>
        <v>#DIV/0!</v>
      </c>
      <c r="X68" s="1431">
        <f t="shared" si="5"/>
        <v>-1</v>
      </c>
      <c r="Y68" s="1431" t="e">
        <f t="shared" si="6"/>
        <v>#DIV/0!</v>
      </c>
      <c r="Z68" s="1431" t="e">
        <f t="shared" si="7"/>
        <v>#DIV/0!</v>
      </c>
      <c r="AA68" s="1431" t="e">
        <f t="shared" si="8"/>
        <v>#DIV/0!</v>
      </c>
      <c r="AB68" s="1431" t="e">
        <f t="shared" si="9"/>
        <v>#DIV/0!</v>
      </c>
      <c r="AC68" s="1431" t="e">
        <f t="shared" si="10"/>
        <v>#DIV/0!</v>
      </c>
      <c r="AD68" s="1431" t="e">
        <f t="shared" si="11"/>
        <v>#DIV/0!</v>
      </c>
      <c r="AE68" s="1431" t="e">
        <f t="shared" si="12"/>
        <v>#DIV/0!</v>
      </c>
      <c r="AF68" s="1431" t="e">
        <f t="shared" si="13"/>
        <v>#DIV/0!</v>
      </c>
      <c r="AG68" s="1431" t="e">
        <f t="shared" si="14"/>
        <v>#DIV/0!</v>
      </c>
      <c r="AH68" s="1431" t="e">
        <f t="shared" si="15"/>
        <v>#DIV/0!</v>
      </c>
      <c r="AI68" s="1431" t="e">
        <f t="shared" si="16"/>
        <v>#DIV/0!</v>
      </c>
    </row>
    <row r="69" spans="1:35">
      <c r="A69" s="71" t="str">
        <f>+Ingresos!A129</f>
        <v>11205020105</v>
      </c>
      <c r="B69" s="551" t="s">
        <v>566</v>
      </c>
      <c r="C69" s="543">
        <f>+Ingresos!H129</f>
        <v>0</v>
      </c>
      <c r="D69" s="521"/>
      <c r="E69" s="545">
        <f>+C69/C66</f>
        <v>0</v>
      </c>
      <c r="G69" s="543">
        <f>+'Ingresos Proyecciones'!C126</f>
        <v>0</v>
      </c>
      <c r="H69" s="543">
        <f>+'Ingresos Proyecciones'!D126</f>
        <v>0</v>
      </c>
      <c r="I69" s="543">
        <f>+'Ingresos Proyecciones'!E126</f>
        <v>0</v>
      </c>
      <c r="J69" s="543">
        <f>+'Ingresos Proyecciones'!F126</f>
        <v>0</v>
      </c>
      <c r="K69" s="543">
        <f>+'Ingresos Proyecciones'!G126</f>
        <v>0</v>
      </c>
      <c r="L69" s="543">
        <f>+'Ingresos Proyecciones'!H126</f>
        <v>0</v>
      </c>
      <c r="M69" s="543">
        <f>+'Ingresos Proyecciones'!I126</f>
        <v>0</v>
      </c>
      <c r="N69" s="543">
        <f>+'Ingresos Proyecciones'!J126</f>
        <v>0</v>
      </c>
      <c r="O69" s="543">
        <f>+'Ingresos Proyecciones'!K126</f>
        <v>0</v>
      </c>
      <c r="P69" s="543">
        <f>+'Ingresos Proyecciones'!L126</f>
        <v>0</v>
      </c>
      <c r="Q69" s="543">
        <f>+'Ingresos Proyecciones'!M126</f>
        <v>0</v>
      </c>
      <c r="R69" s="543">
        <f>+'Ingresos Proyecciones'!N126</f>
        <v>0</v>
      </c>
      <c r="S69" s="543">
        <f>+'Ingresos Proyecciones'!O126</f>
        <v>0</v>
      </c>
      <c r="T69" s="543">
        <f>+'Ingresos Proyecciones'!P126</f>
        <v>0</v>
      </c>
      <c r="U69" s="543">
        <f>+'Ingresos Proyecciones'!Q126</f>
        <v>0</v>
      </c>
      <c r="V69" s="1431" t="e">
        <f t="shared" si="3"/>
        <v>#DIV/0!</v>
      </c>
      <c r="W69" s="1431" t="e">
        <f t="shared" si="4"/>
        <v>#DIV/0!</v>
      </c>
      <c r="X69" s="1431" t="e">
        <f t="shared" si="5"/>
        <v>#DIV/0!</v>
      </c>
      <c r="Y69" s="1431" t="e">
        <f t="shared" si="6"/>
        <v>#DIV/0!</v>
      </c>
      <c r="Z69" s="1431" t="e">
        <f t="shared" si="7"/>
        <v>#DIV/0!</v>
      </c>
      <c r="AA69" s="1431" t="e">
        <f t="shared" si="8"/>
        <v>#DIV/0!</v>
      </c>
      <c r="AB69" s="1431" t="e">
        <f t="shared" si="9"/>
        <v>#DIV/0!</v>
      </c>
      <c r="AC69" s="1431" t="e">
        <f t="shared" si="10"/>
        <v>#DIV/0!</v>
      </c>
      <c r="AD69" s="1431" t="e">
        <f t="shared" si="11"/>
        <v>#DIV/0!</v>
      </c>
      <c r="AE69" s="1431" t="e">
        <f t="shared" si="12"/>
        <v>#DIV/0!</v>
      </c>
      <c r="AF69" s="1431" t="e">
        <f t="shared" si="13"/>
        <v>#DIV/0!</v>
      </c>
      <c r="AG69" s="1431" t="e">
        <f t="shared" si="14"/>
        <v>#DIV/0!</v>
      </c>
      <c r="AH69" s="1431" t="e">
        <f t="shared" si="15"/>
        <v>#DIV/0!</v>
      </c>
      <c r="AI69" s="1431" t="e">
        <f t="shared" si="16"/>
        <v>#DIV/0!</v>
      </c>
    </row>
    <row r="70" spans="1:35">
      <c r="A70" s="71" t="str">
        <f>+Ingresos!A123</f>
        <v>123</v>
      </c>
      <c r="B70" s="551" t="s">
        <v>567</v>
      </c>
      <c r="C70" s="543">
        <f>+Ingresos!H123</f>
        <v>0</v>
      </c>
      <c r="D70" s="521"/>
      <c r="E70" s="545">
        <f>+C70/C66</f>
        <v>0</v>
      </c>
      <c r="G70" s="543">
        <f>+'Ingresos Proyecciones'!C120</f>
        <v>0</v>
      </c>
      <c r="H70" s="543">
        <f>+'Ingresos Proyecciones'!D120</f>
        <v>0</v>
      </c>
      <c r="I70" s="543">
        <f>+'Ingresos Proyecciones'!E120</f>
        <v>0</v>
      </c>
      <c r="J70" s="543">
        <f>+'Ingresos Proyecciones'!F120</f>
        <v>0</v>
      </c>
      <c r="K70" s="543">
        <f>+'Ingresos Proyecciones'!G120</f>
        <v>0</v>
      </c>
      <c r="L70" s="543">
        <f>+'Ingresos Proyecciones'!H120</f>
        <v>0</v>
      </c>
      <c r="M70" s="543">
        <f>+'Ingresos Proyecciones'!I120</f>
        <v>0</v>
      </c>
      <c r="N70" s="543">
        <f>+'Ingresos Proyecciones'!J120</f>
        <v>0</v>
      </c>
      <c r="O70" s="543">
        <f>+'Ingresos Proyecciones'!K120</f>
        <v>0</v>
      </c>
      <c r="P70" s="543">
        <f>+'Ingresos Proyecciones'!L120</f>
        <v>0</v>
      </c>
      <c r="Q70" s="543">
        <f>+'Ingresos Proyecciones'!M120</f>
        <v>0</v>
      </c>
      <c r="R70" s="543">
        <f>+'Ingresos Proyecciones'!N120</f>
        <v>0</v>
      </c>
      <c r="S70" s="543">
        <f>+'Ingresos Proyecciones'!O120</f>
        <v>0</v>
      </c>
      <c r="T70" s="543">
        <f>+'Ingresos Proyecciones'!P120</f>
        <v>0</v>
      </c>
      <c r="U70" s="543">
        <f>+'Ingresos Proyecciones'!Q120</f>
        <v>0</v>
      </c>
      <c r="V70" s="1431" t="e">
        <f t="shared" si="3"/>
        <v>#DIV/0!</v>
      </c>
      <c r="W70" s="1431" t="e">
        <f t="shared" si="4"/>
        <v>#DIV/0!</v>
      </c>
      <c r="X70" s="1431" t="e">
        <f t="shared" si="5"/>
        <v>#DIV/0!</v>
      </c>
      <c r="Y70" s="1431" t="e">
        <f t="shared" si="6"/>
        <v>#DIV/0!</v>
      </c>
      <c r="Z70" s="1431" t="e">
        <f t="shared" si="7"/>
        <v>#DIV/0!</v>
      </c>
      <c r="AA70" s="1431" t="e">
        <f t="shared" si="8"/>
        <v>#DIV/0!</v>
      </c>
      <c r="AB70" s="1431" t="e">
        <f t="shared" si="9"/>
        <v>#DIV/0!</v>
      </c>
      <c r="AC70" s="1431" t="e">
        <f t="shared" si="10"/>
        <v>#DIV/0!</v>
      </c>
      <c r="AD70" s="1431" t="e">
        <f t="shared" si="11"/>
        <v>#DIV/0!</v>
      </c>
      <c r="AE70" s="1431" t="e">
        <f t="shared" si="12"/>
        <v>#DIV/0!</v>
      </c>
      <c r="AF70" s="1431" t="e">
        <f t="shared" si="13"/>
        <v>#DIV/0!</v>
      </c>
      <c r="AG70" s="1431" t="e">
        <f t="shared" si="14"/>
        <v>#DIV/0!</v>
      </c>
      <c r="AH70" s="1431" t="e">
        <f t="shared" si="15"/>
        <v>#DIV/0!</v>
      </c>
      <c r="AI70" s="1431" t="e">
        <f t="shared" si="16"/>
        <v>#DIV/0!</v>
      </c>
    </row>
    <row r="71" spans="1:35">
      <c r="A71" s="71" t="str">
        <f>+Ingresos!A125</f>
        <v>125</v>
      </c>
      <c r="B71" s="551" t="s">
        <v>568</v>
      </c>
      <c r="C71" s="543">
        <f>+Ingresos!H125</f>
        <v>13</v>
      </c>
      <c r="D71" s="537"/>
      <c r="E71" s="545">
        <f>+C71/C66</f>
        <v>7.5263538173666561E-6</v>
      </c>
      <c r="G71" s="543">
        <f>+'Ingresos Proyecciones'!C122</f>
        <v>12</v>
      </c>
      <c r="H71" s="543">
        <f>+'Ingresos Proyecciones'!D122</f>
        <v>12.48</v>
      </c>
      <c r="I71" s="543">
        <f>+'Ingresos Proyecciones'!E122</f>
        <v>12.979200000000001</v>
      </c>
      <c r="J71" s="543">
        <f>+'Ingresos Proyecciones'!F122</f>
        <v>13.498368000000001</v>
      </c>
      <c r="K71" s="543">
        <f>+'Ingresos Proyecciones'!G122</f>
        <v>14.038302720000001</v>
      </c>
      <c r="L71" s="543">
        <f>+'Ingresos Proyecciones'!H122</f>
        <v>14.599834828800001</v>
      </c>
      <c r="M71" s="543">
        <f>+'Ingresos Proyecciones'!I122</f>
        <v>15.183828221952002</v>
      </c>
      <c r="N71" s="543">
        <f>+'Ingresos Proyecciones'!J122</f>
        <v>15.791181350830083</v>
      </c>
      <c r="O71" s="543">
        <f>+'Ingresos Proyecciones'!K122</f>
        <v>16.422828604863287</v>
      </c>
      <c r="P71" s="543">
        <f>+'Ingresos Proyecciones'!L122</f>
        <v>17.07974174905782</v>
      </c>
      <c r="Q71" s="543">
        <f>+'Ingresos Proyecciones'!M122</f>
        <v>17.762931419020134</v>
      </c>
      <c r="R71" s="543">
        <f>+'Ingresos Proyecciones'!N122</f>
        <v>18.47344867578094</v>
      </c>
      <c r="S71" s="543">
        <f>+'Ingresos Proyecciones'!O122</f>
        <v>19.212386622812179</v>
      </c>
      <c r="T71" s="543">
        <f>+'Ingresos Proyecciones'!P122</f>
        <v>19.980882087724666</v>
      </c>
      <c r="U71" s="543">
        <f>+'Ingresos Proyecciones'!Q122</f>
        <v>20.780117371233654</v>
      </c>
      <c r="V71" s="1431">
        <f t="shared" si="3"/>
        <v>4.0000000000000036E-2</v>
      </c>
      <c r="W71" s="1431">
        <f t="shared" si="4"/>
        <v>4.0000000000000036E-2</v>
      </c>
      <c r="X71" s="1431">
        <f t="shared" si="5"/>
        <v>4.0000000000000036E-2</v>
      </c>
      <c r="Y71" s="1431">
        <f t="shared" si="6"/>
        <v>4.0000000000000036E-2</v>
      </c>
      <c r="Z71" s="1431">
        <f t="shared" si="7"/>
        <v>4.0000000000000036E-2</v>
      </c>
      <c r="AA71" s="1431">
        <f t="shared" si="8"/>
        <v>4.0000000000000036E-2</v>
      </c>
      <c r="AB71" s="1431">
        <f t="shared" si="9"/>
        <v>4.0000000000000036E-2</v>
      </c>
      <c r="AC71" s="1431">
        <f t="shared" si="10"/>
        <v>4.0000000000000036E-2</v>
      </c>
      <c r="AD71" s="1431">
        <f t="shared" si="11"/>
        <v>4.0000000000000036E-2</v>
      </c>
      <c r="AE71" s="1431">
        <f t="shared" si="12"/>
        <v>4.0000000000000036E-2</v>
      </c>
      <c r="AF71" s="1431">
        <f t="shared" si="13"/>
        <v>4.0000000000000036E-2</v>
      </c>
      <c r="AG71" s="1431">
        <f t="shared" si="14"/>
        <v>4.0000000000000036E-2</v>
      </c>
      <c r="AH71" s="1431">
        <f t="shared" si="15"/>
        <v>4.0000000000000036E-2</v>
      </c>
      <c r="AI71" s="1431">
        <f t="shared" si="16"/>
        <v>4.0000000000000036E-2</v>
      </c>
    </row>
    <row r="72" spans="1:35">
      <c r="A72" s="71" t="str">
        <f>+Ingresos!A111</f>
        <v>122</v>
      </c>
      <c r="B72" s="551" t="s">
        <v>569</v>
      </c>
      <c r="C72" s="543">
        <f>+Ingresos!H111</f>
        <v>231003</v>
      </c>
      <c r="D72" s="537"/>
      <c r="E72" s="545">
        <f>+C72/C66</f>
        <v>0.13373925468254996</v>
      </c>
      <c r="G72" s="543">
        <f>+'Ingresos Proyecciones'!C108</f>
        <v>213575</v>
      </c>
      <c r="H72" s="543">
        <f>+'Ingresos Proyecciones'!D108</f>
        <v>222118</v>
      </c>
      <c r="I72" s="543">
        <f>+'Ingresos Proyecciones'!E108</f>
        <v>231003</v>
      </c>
      <c r="J72" s="543">
        <f>+'Ingresos Proyecciones'!F108</f>
        <v>240243.12</v>
      </c>
      <c r="K72" s="543">
        <f>+'Ingresos Proyecciones'!G108</f>
        <v>249852.84479999999</v>
      </c>
      <c r="L72" s="543">
        <f>+'Ingresos Proyecciones'!H108</f>
        <v>259846.95859200001</v>
      </c>
      <c r="M72" s="543">
        <f>+'Ingresos Proyecciones'!I108</f>
        <v>270240.83693568001</v>
      </c>
      <c r="N72" s="543">
        <f>+'Ingresos Proyecciones'!J108</f>
        <v>281050.47041310719</v>
      </c>
      <c r="O72" s="543">
        <f>+'Ingresos Proyecciones'!K108</f>
        <v>292292.48922963149</v>
      </c>
      <c r="P72" s="543">
        <f>+'Ingresos Proyecciones'!L108</f>
        <v>303984.18879881676</v>
      </c>
      <c r="Q72" s="543">
        <f>+'Ingresos Proyecciones'!M108</f>
        <v>316143.55635076942</v>
      </c>
      <c r="R72" s="543">
        <f>+'Ingresos Proyecciones'!N108</f>
        <v>328789.29860480019</v>
      </c>
      <c r="S72" s="543">
        <f>+'Ingresos Proyecciones'!O108</f>
        <v>341940.87054899218</v>
      </c>
      <c r="T72" s="543">
        <f>+'Ingresos Proyecciones'!P108</f>
        <v>355618.5053709519</v>
      </c>
      <c r="U72" s="543">
        <f>+'Ingresos Proyecciones'!Q108</f>
        <v>369843.24558578996</v>
      </c>
      <c r="V72" s="1431">
        <f t="shared" si="3"/>
        <v>4.0000000000000036E-2</v>
      </c>
      <c r="W72" s="1431">
        <f t="shared" si="4"/>
        <v>4.0001260591217225E-2</v>
      </c>
      <c r="X72" s="1431">
        <f t="shared" si="5"/>
        <v>4.0000000000000036E-2</v>
      </c>
      <c r="Y72" s="1431">
        <f t="shared" si="6"/>
        <v>4.0000000000000036E-2</v>
      </c>
      <c r="Z72" s="1431">
        <f t="shared" si="7"/>
        <v>4.0000000000000036E-2</v>
      </c>
      <c r="AA72" s="1431">
        <f t="shared" si="8"/>
        <v>4.0000000000000036E-2</v>
      </c>
      <c r="AB72" s="1431">
        <f t="shared" si="9"/>
        <v>4.0000000000000036E-2</v>
      </c>
      <c r="AC72" s="1431">
        <f t="shared" si="10"/>
        <v>4.0000000000000036E-2</v>
      </c>
      <c r="AD72" s="1431">
        <f t="shared" si="11"/>
        <v>4.0000000000000036E-2</v>
      </c>
      <c r="AE72" s="1431">
        <f t="shared" si="12"/>
        <v>4.0000000000000036E-2</v>
      </c>
      <c r="AF72" s="1431">
        <f t="shared" si="13"/>
        <v>4.0000000000000036E-2</v>
      </c>
      <c r="AG72" s="1431">
        <f t="shared" si="14"/>
        <v>4.0000000000000036E-2</v>
      </c>
      <c r="AH72" s="1431">
        <f t="shared" si="15"/>
        <v>4.0000000000000036E-2</v>
      </c>
      <c r="AI72" s="1431">
        <f t="shared" si="16"/>
        <v>4.0000000000000036E-2</v>
      </c>
    </row>
    <row r="73" spans="1:35" ht="12.75" thickBot="1">
      <c r="A73" s="71" t="str">
        <f>+Ingresos!A130</f>
        <v>128</v>
      </c>
      <c r="B73" s="572" t="s">
        <v>570</v>
      </c>
      <c r="C73" s="573">
        <f>+Ingresos!H124+Ingresos!H128+Ingresos!H130</f>
        <v>0</v>
      </c>
      <c r="D73" s="537"/>
      <c r="E73" s="545">
        <f>+C73/C66</f>
        <v>0</v>
      </c>
      <c r="G73" s="573">
        <f>+'Ingresos Proyecciones'!C121+'Ingresos Proyecciones'!C125+'Ingresos Proyecciones'!C127</f>
        <v>0</v>
      </c>
      <c r="H73" s="573">
        <f>+'Ingresos Proyecciones'!D121+'Ingresos Proyecciones'!D125+'Ingresos Proyecciones'!D127</f>
        <v>0</v>
      </c>
      <c r="I73" s="573">
        <f>+'Ingresos Proyecciones'!E121+'Ingresos Proyecciones'!E125+'Ingresos Proyecciones'!E127</f>
        <v>0</v>
      </c>
      <c r="J73" s="573">
        <f>+'Ingresos Proyecciones'!F121+'Ingresos Proyecciones'!F125+'Ingresos Proyecciones'!F127</f>
        <v>0</v>
      </c>
      <c r="K73" s="573">
        <f>+'Ingresos Proyecciones'!G121+'Ingresos Proyecciones'!G125+'Ingresos Proyecciones'!G127</f>
        <v>0</v>
      </c>
      <c r="L73" s="573">
        <f>+'Ingresos Proyecciones'!H121+'Ingresos Proyecciones'!H125+'Ingresos Proyecciones'!H127</f>
        <v>0</v>
      </c>
      <c r="M73" s="573">
        <f>+'Ingresos Proyecciones'!I121+'Ingresos Proyecciones'!I125+'Ingresos Proyecciones'!I127</f>
        <v>0</v>
      </c>
      <c r="N73" s="573">
        <f>+'Ingresos Proyecciones'!J121+'Ingresos Proyecciones'!J125+'Ingresos Proyecciones'!J127</f>
        <v>0</v>
      </c>
      <c r="O73" s="573">
        <f>+'Ingresos Proyecciones'!K121+'Ingresos Proyecciones'!K125+'Ingresos Proyecciones'!K127</f>
        <v>0</v>
      </c>
      <c r="P73" s="573">
        <f>+'Ingresos Proyecciones'!L121+'Ingresos Proyecciones'!L125+'Ingresos Proyecciones'!L127</f>
        <v>0</v>
      </c>
      <c r="Q73" s="573">
        <f>+'Ingresos Proyecciones'!M121+'Ingresos Proyecciones'!M125+'Ingresos Proyecciones'!M127</f>
        <v>0</v>
      </c>
      <c r="R73" s="573">
        <f>+'Ingresos Proyecciones'!N121+'Ingresos Proyecciones'!N125+'Ingresos Proyecciones'!N127</f>
        <v>0</v>
      </c>
      <c r="S73" s="573">
        <f>+'Ingresos Proyecciones'!O121+'Ingresos Proyecciones'!O125+'Ingresos Proyecciones'!O127</f>
        <v>0</v>
      </c>
      <c r="T73" s="573">
        <f>+'Ingresos Proyecciones'!P121+'Ingresos Proyecciones'!P125+'Ingresos Proyecciones'!P127</f>
        <v>0</v>
      </c>
      <c r="U73" s="573">
        <f>+'Ingresos Proyecciones'!Q121+'Ingresos Proyecciones'!Q125+'Ingresos Proyecciones'!Q127</f>
        <v>0</v>
      </c>
      <c r="V73" s="1431" t="e">
        <f t="shared" si="3"/>
        <v>#DIV/0!</v>
      </c>
      <c r="W73" s="1431" t="e">
        <f t="shared" si="4"/>
        <v>#DIV/0!</v>
      </c>
      <c r="X73" s="1431" t="e">
        <f t="shared" si="5"/>
        <v>#DIV/0!</v>
      </c>
      <c r="Y73" s="1431" t="e">
        <f t="shared" si="6"/>
        <v>#DIV/0!</v>
      </c>
      <c r="Z73" s="1431" t="e">
        <f t="shared" si="7"/>
        <v>#DIV/0!</v>
      </c>
      <c r="AA73" s="1431" t="e">
        <f t="shared" si="8"/>
        <v>#DIV/0!</v>
      </c>
      <c r="AB73" s="1431" t="e">
        <f t="shared" si="9"/>
        <v>#DIV/0!</v>
      </c>
      <c r="AC73" s="1431" t="e">
        <f t="shared" si="10"/>
        <v>#DIV/0!</v>
      </c>
      <c r="AD73" s="1431" t="e">
        <f t="shared" si="11"/>
        <v>#DIV/0!</v>
      </c>
      <c r="AE73" s="1431" t="e">
        <f t="shared" si="12"/>
        <v>#DIV/0!</v>
      </c>
      <c r="AF73" s="1431" t="e">
        <f t="shared" si="13"/>
        <v>#DIV/0!</v>
      </c>
      <c r="AG73" s="1431" t="e">
        <f t="shared" si="14"/>
        <v>#DIV/0!</v>
      </c>
      <c r="AH73" s="1431" t="e">
        <f t="shared" si="15"/>
        <v>#DIV/0!</v>
      </c>
      <c r="AI73" s="1431" t="e">
        <f t="shared" si="16"/>
        <v>#DIV/0!</v>
      </c>
    </row>
    <row r="74" spans="1:35" ht="12.75" customHeight="1" thickBot="1">
      <c r="A74" s="433" t="s">
        <v>571</v>
      </c>
      <c r="B74" s="574" t="s">
        <v>572</v>
      </c>
      <c r="C74" s="575">
        <f>SUM(C75:C76)</f>
        <v>4146124.4449999998</v>
      </c>
      <c r="D74" s="537"/>
      <c r="E74" s="559">
        <f>+C74/C104</f>
        <v>0.79581277785689641</v>
      </c>
      <c r="G74" s="575">
        <f>SUM(G75:G76)</f>
        <v>5591617</v>
      </c>
      <c r="H74" s="575">
        <f t="shared" ref="H74:U74" si="29">SUM(H75:H76)</f>
        <v>5375797.3499999996</v>
      </c>
      <c r="I74" s="575">
        <f t="shared" si="29"/>
        <v>5752362.4450000003</v>
      </c>
      <c r="J74" s="575">
        <f t="shared" si="29"/>
        <v>4636939.4172500009</v>
      </c>
      <c r="K74" s="575">
        <f t="shared" si="29"/>
        <v>4718225.8881125012</v>
      </c>
      <c r="L74" s="575">
        <f t="shared" si="29"/>
        <v>4838787.7555181254</v>
      </c>
      <c r="M74" s="575">
        <f t="shared" si="29"/>
        <v>5081420.1432940327</v>
      </c>
      <c r="N74" s="575">
        <f t="shared" si="29"/>
        <v>5323285.9479587339</v>
      </c>
      <c r="O74" s="575">
        <f t="shared" si="29"/>
        <v>5525261.0767366458</v>
      </c>
      <c r="P74" s="575">
        <f t="shared" si="29"/>
        <v>5734766.197014166</v>
      </c>
      <c r="Q74" s="575">
        <f t="shared" si="29"/>
        <v>5952077.3568648752</v>
      </c>
      <c r="R74" s="575">
        <f t="shared" si="29"/>
        <v>6177476.1918230532</v>
      </c>
      <c r="S74" s="575">
        <f t="shared" si="29"/>
        <v>6411257.088413028</v>
      </c>
      <c r="T74" s="575">
        <f t="shared" si="29"/>
        <v>6653723.9206171064</v>
      </c>
      <c r="U74" s="575">
        <f t="shared" si="29"/>
        <v>6905189.6916794069</v>
      </c>
      <c r="V74" s="1431">
        <f t="shared" si="3"/>
        <v>-3.8597001547137522E-2</v>
      </c>
      <c r="W74" s="1431">
        <f t="shared" si="4"/>
        <v>7.0048231077758372E-2</v>
      </c>
      <c r="X74" s="1431">
        <f t="shared" si="5"/>
        <v>-0.19390694491435156</v>
      </c>
      <c r="Y74" s="1431">
        <f t="shared" si="6"/>
        <v>1.7530199027424143E-2</v>
      </c>
      <c r="Z74" s="1431">
        <f t="shared" si="7"/>
        <v>2.5552372918256738E-2</v>
      </c>
      <c r="AA74" s="1431">
        <f t="shared" si="8"/>
        <v>5.0143217689019526E-2</v>
      </c>
      <c r="AB74" s="1431">
        <f t="shared" si="9"/>
        <v>4.7598072555345095E-2</v>
      </c>
      <c r="AC74" s="1431">
        <f t="shared" si="10"/>
        <v>3.794181465216262E-2</v>
      </c>
      <c r="AD74" s="1431">
        <f t="shared" si="11"/>
        <v>3.7917687031950864E-2</v>
      </c>
      <c r="AE74" s="1431">
        <f t="shared" si="12"/>
        <v>3.7893638970644128E-2</v>
      </c>
      <c r="AF74" s="1431">
        <f t="shared" si="13"/>
        <v>3.7868935741941057E-2</v>
      </c>
      <c r="AG74" s="1431">
        <f t="shared" si="14"/>
        <v>3.7844078929745395E-2</v>
      </c>
      <c r="AH74" s="1431">
        <f t="shared" si="15"/>
        <v>3.7818922071037431E-2</v>
      </c>
      <c r="AI74" s="1431">
        <f t="shared" si="16"/>
        <v>3.7793237901427412E-2</v>
      </c>
    </row>
    <row r="75" spans="1:35">
      <c r="A75" s="431" t="s">
        <v>573</v>
      </c>
      <c r="B75" s="550" t="s">
        <v>574</v>
      </c>
      <c r="C75" s="543">
        <f>+Gastos!J75+Gastos!J76+Gastos!J80+Gastos!J82+Gastos!J83+Gastos!J87+Gastos!J110+Gastos!J147+Gastos!J183</f>
        <v>4146124.4449999998</v>
      </c>
      <c r="D75" s="537"/>
      <c r="E75" s="545">
        <f>+C75/C74</f>
        <v>1</v>
      </c>
      <c r="G75" s="543">
        <f>+'Gastos Proyecciones'!D75+'Gastos Proyecciones'!D76+'Gastos Proyecciones'!D80+'Gastos Proyecciones'!D82+'Gastos Proyecciones'!D83+'Gastos Proyecciones'!D87+'Gastos Proyecciones'!D110+'Gastos Proyecciones'!D147+'Gastos Proyecciones'!D183</f>
        <v>5591617</v>
      </c>
      <c r="H75" s="543">
        <f>+'Gastos Proyecciones'!E75+'Gastos Proyecciones'!E76+'Gastos Proyecciones'!E80+'Gastos Proyecciones'!E82+'Gastos Proyecciones'!E83+'Gastos Proyecciones'!E87+'Gastos Proyecciones'!E110+'Gastos Proyecciones'!E147+'Gastos Proyecciones'!E183</f>
        <v>5375797.3499999996</v>
      </c>
      <c r="I75" s="543">
        <f>+'Gastos Proyecciones'!F75+'Gastos Proyecciones'!F76+'Gastos Proyecciones'!F80+'Gastos Proyecciones'!F82+'Gastos Proyecciones'!F83+'Gastos Proyecciones'!F87+'Gastos Proyecciones'!F110+'Gastos Proyecciones'!F147+'Gastos Proyecciones'!F183</f>
        <v>5752362.4450000003</v>
      </c>
      <c r="J75" s="543">
        <f>+'Gastos Proyecciones'!G75+'Gastos Proyecciones'!G76+'Gastos Proyecciones'!G80+'Gastos Proyecciones'!G82+'Gastos Proyecciones'!G83+'Gastos Proyecciones'!G87+'Gastos Proyecciones'!G110+'Gastos Proyecciones'!G147+'Gastos Proyecciones'!G183</f>
        <v>4636939.4172500009</v>
      </c>
      <c r="K75" s="543">
        <f>+'Gastos Proyecciones'!H75+'Gastos Proyecciones'!H76+'Gastos Proyecciones'!H80+'Gastos Proyecciones'!H82+'Gastos Proyecciones'!H83+'Gastos Proyecciones'!H87+'Gastos Proyecciones'!H110+'Gastos Proyecciones'!H147+'Gastos Proyecciones'!H183</f>
        <v>4718225.8881125012</v>
      </c>
      <c r="L75" s="543">
        <f>+'Gastos Proyecciones'!I75+'Gastos Proyecciones'!I76+'Gastos Proyecciones'!I80+'Gastos Proyecciones'!I82+'Gastos Proyecciones'!I83+'Gastos Proyecciones'!I87+'Gastos Proyecciones'!I110+'Gastos Proyecciones'!I147+'Gastos Proyecciones'!I183</f>
        <v>4838787.7555181254</v>
      </c>
      <c r="M75" s="543">
        <f>+'Gastos Proyecciones'!J75+'Gastos Proyecciones'!J76+'Gastos Proyecciones'!J80+'Gastos Proyecciones'!J82+'Gastos Proyecciones'!J83+'Gastos Proyecciones'!J87+'Gastos Proyecciones'!J110+'Gastos Proyecciones'!J147+'Gastos Proyecciones'!J183</f>
        <v>5081420.1432940327</v>
      </c>
      <c r="N75" s="543">
        <f>+'Gastos Proyecciones'!K75+'Gastos Proyecciones'!K76+'Gastos Proyecciones'!K80+'Gastos Proyecciones'!K82+'Gastos Proyecciones'!K83+'Gastos Proyecciones'!K87+'Gastos Proyecciones'!K110+'Gastos Proyecciones'!K147+'Gastos Proyecciones'!K183</f>
        <v>5323285.9479587339</v>
      </c>
      <c r="O75" s="543">
        <f>+'Gastos Proyecciones'!L75+'Gastos Proyecciones'!L76+'Gastos Proyecciones'!L80+'Gastos Proyecciones'!L82+'Gastos Proyecciones'!L83+'Gastos Proyecciones'!L87+'Gastos Proyecciones'!L110+'Gastos Proyecciones'!L147+'Gastos Proyecciones'!L183</f>
        <v>5525261.0767366458</v>
      </c>
      <c r="P75" s="543">
        <f>+'Gastos Proyecciones'!M75+'Gastos Proyecciones'!M76+'Gastos Proyecciones'!M80+'Gastos Proyecciones'!M82+'Gastos Proyecciones'!M83+'Gastos Proyecciones'!M87+'Gastos Proyecciones'!M110+'Gastos Proyecciones'!M147+'Gastos Proyecciones'!M183</f>
        <v>5734766.197014166</v>
      </c>
      <c r="Q75" s="543">
        <f>+'Gastos Proyecciones'!N75+'Gastos Proyecciones'!N76+'Gastos Proyecciones'!N80+'Gastos Proyecciones'!N82+'Gastos Proyecciones'!N83+'Gastos Proyecciones'!N87+'Gastos Proyecciones'!N110+'Gastos Proyecciones'!N147+'Gastos Proyecciones'!N183</f>
        <v>5952077.3568648752</v>
      </c>
      <c r="R75" s="543">
        <f>+'Gastos Proyecciones'!O75+'Gastos Proyecciones'!O76+'Gastos Proyecciones'!O80+'Gastos Proyecciones'!O82+'Gastos Proyecciones'!O83+'Gastos Proyecciones'!O87+'Gastos Proyecciones'!O110+'Gastos Proyecciones'!O147+'Gastos Proyecciones'!O183</f>
        <v>6177476.1918230532</v>
      </c>
      <c r="S75" s="543">
        <f>+'Gastos Proyecciones'!P75+'Gastos Proyecciones'!P76+'Gastos Proyecciones'!P80+'Gastos Proyecciones'!P82+'Gastos Proyecciones'!P83+'Gastos Proyecciones'!P87+'Gastos Proyecciones'!P110+'Gastos Proyecciones'!P147+'Gastos Proyecciones'!P183</f>
        <v>6411257.088413028</v>
      </c>
      <c r="T75" s="543">
        <f>+'Gastos Proyecciones'!Q75+'Gastos Proyecciones'!Q76+'Gastos Proyecciones'!Q80+'Gastos Proyecciones'!Q82+'Gastos Proyecciones'!Q83+'Gastos Proyecciones'!Q87+'Gastos Proyecciones'!Q110+'Gastos Proyecciones'!Q147+'Gastos Proyecciones'!Q183</f>
        <v>6653723.9206171064</v>
      </c>
      <c r="U75" s="543">
        <f>+'Gastos Proyecciones'!R75+'Gastos Proyecciones'!R76+'Gastos Proyecciones'!R80+'Gastos Proyecciones'!R82+'Gastos Proyecciones'!R83+'Gastos Proyecciones'!R87+'Gastos Proyecciones'!R110+'Gastos Proyecciones'!R147+'Gastos Proyecciones'!R183</f>
        <v>6905189.6916794069</v>
      </c>
      <c r="V75" s="1431">
        <f t="shared" si="3"/>
        <v>-3.8597001547137522E-2</v>
      </c>
      <c r="W75" s="1431">
        <f t="shared" si="4"/>
        <v>7.0048231077758372E-2</v>
      </c>
      <c r="X75" s="1431">
        <f t="shared" si="5"/>
        <v>-0.19390694491435156</v>
      </c>
      <c r="Y75" s="1431">
        <f t="shared" si="6"/>
        <v>1.7530199027424143E-2</v>
      </c>
      <c r="Z75" s="1431">
        <f t="shared" si="7"/>
        <v>2.5552372918256738E-2</v>
      </c>
      <c r="AA75" s="1431">
        <f t="shared" si="8"/>
        <v>5.0143217689019526E-2</v>
      </c>
      <c r="AB75" s="1431">
        <f t="shared" si="9"/>
        <v>4.7598072555345095E-2</v>
      </c>
      <c r="AC75" s="1431">
        <f t="shared" si="10"/>
        <v>3.794181465216262E-2</v>
      </c>
      <c r="AD75" s="1431">
        <f t="shared" si="11"/>
        <v>3.7917687031950864E-2</v>
      </c>
      <c r="AE75" s="1431">
        <f t="shared" si="12"/>
        <v>3.7893638970644128E-2</v>
      </c>
      <c r="AF75" s="1431">
        <f t="shared" si="13"/>
        <v>3.7868935741941057E-2</v>
      </c>
      <c r="AG75" s="1431">
        <f t="shared" si="14"/>
        <v>3.7844078929745395E-2</v>
      </c>
      <c r="AH75" s="1431">
        <f t="shared" si="15"/>
        <v>3.7818922071037431E-2</v>
      </c>
      <c r="AI75" s="1431">
        <f t="shared" si="16"/>
        <v>3.7793237901427412E-2</v>
      </c>
    </row>
    <row r="76" spans="1:35" ht="12.75" thickBot="1">
      <c r="A76" s="61" t="str">
        <f>Gastos!A198</f>
        <v>228</v>
      </c>
      <c r="B76" s="551" t="s">
        <v>575</v>
      </c>
      <c r="C76" s="543">
        <f>+Gastos!J198</f>
        <v>0</v>
      </c>
      <c r="D76" s="537"/>
      <c r="E76" s="545">
        <f>+C76/C74</f>
        <v>0</v>
      </c>
      <c r="G76" s="543">
        <f>+'Gastos Proyecciones'!D198</f>
        <v>0</v>
      </c>
      <c r="H76" s="543">
        <f>+'Gastos Proyecciones'!E198</f>
        <v>0</v>
      </c>
      <c r="I76" s="543">
        <f>+'Gastos Proyecciones'!F198</f>
        <v>0</v>
      </c>
      <c r="J76" s="543">
        <f>+'Gastos Proyecciones'!G198</f>
        <v>0</v>
      </c>
      <c r="K76" s="543">
        <f>+'Gastos Proyecciones'!H198</f>
        <v>0</v>
      </c>
      <c r="L76" s="543">
        <f>+'Gastos Proyecciones'!I198</f>
        <v>0</v>
      </c>
      <c r="M76" s="543">
        <f>+'Gastos Proyecciones'!J198</f>
        <v>0</v>
      </c>
      <c r="N76" s="543">
        <f>+'Gastos Proyecciones'!K198</f>
        <v>0</v>
      </c>
      <c r="O76" s="543">
        <f>+'Gastos Proyecciones'!L198</f>
        <v>0</v>
      </c>
      <c r="P76" s="543">
        <f>+'Gastos Proyecciones'!M198</f>
        <v>0</v>
      </c>
      <c r="Q76" s="543">
        <f>+'Gastos Proyecciones'!N198</f>
        <v>0</v>
      </c>
      <c r="R76" s="543">
        <f>+'Gastos Proyecciones'!O198</f>
        <v>0</v>
      </c>
      <c r="S76" s="543">
        <f>+'Gastos Proyecciones'!P198</f>
        <v>0</v>
      </c>
      <c r="T76" s="543">
        <f>+'Gastos Proyecciones'!Q198</f>
        <v>0</v>
      </c>
      <c r="U76" s="543">
        <f>+'Gastos Proyecciones'!R198</f>
        <v>0</v>
      </c>
      <c r="V76" s="1431" t="e">
        <f t="shared" si="3"/>
        <v>#DIV/0!</v>
      </c>
      <c r="W76" s="1431" t="e">
        <f t="shared" si="4"/>
        <v>#DIV/0!</v>
      </c>
      <c r="X76" s="1431" t="e">
        <f t="shared" si="5"/>
        <v>#DIV/0!</v>
      </c>
      <c r="Y76" s="1431" t="e">
        <f t="shared" si="6"/>
        <v>#DIV/0!</v>
      </c>
      <c r="Z76" s="1431" t="e">
        <f t="shared" si="7"/>
        <v>#DIV/0!</v>
      </c>
      <c r="AA76" s="1431" t="e">
        <f t="shared" si="8"/>
        <v>#DIV/0!</v>
      </c>
      <c r="AB76" s="1431" t="e">
        <f t="shared" si="9"/>
        <v>#DIV/0!</v>
      </c>
      <c r="AC76" s="1431" t="e">
        <f t="shared" si="10"/>
        <v>#DIV/0!</v>
      </c>
      <c r="AD76" s="1431" t="e">
        <f t="shared" si="11"/>
        <v>#DIV/0!</v>
      </c>
      <c r="AE76" s="1431" t="e">
        <f t="shared" si="12"/>
        <v>#DIV/0!</v>
      </c>
      <c r="AF76" s="1431" t="e">
        <f t="shared" si="13"/>
        <v>#DIV/0!</v>
      </c>
      <c r="AG76" s="1431" t="e">
        <f t="shared" si="14"/>
        <v>#DIV/0!</v>
      </c>
      <c r="AH76" s="1431" t="e">
        <f t="shared" si="15"/>
        <v>#DIV/0!</v>
      </c>
      <c r="AI76" s="1431" t="e">
        <f t="shared" si="16"/>
        <v>#DIV/0!</v>
      </c>
    </row>
    <row r="77" spans="1:35" ht="12.75" customHeight="1" thickBot="1">
      <c r="A77" s="431" t="s">
        <v>576</v>
      </c>
      <c r="B77" s="568" t="s">
        <v>577</v>
      </c>
      <c r="C77" s="533">
        <f>+C66-C74</f>
        <v>-2418860.4449999998</v>
      </c>
      <c r="D77" s="553"/>
      <c r="E77" s="576"/>
      <c r="G77" s="533">
        <f>+G66-G74</f>
        <v>-5378030</v>
      </c>
      <c r="H77" s="533">
        <f t="shared" ref="H77:U77" si="30">+H66-H74</f>
        <v>-5153666.8699999992</v>
      </c>
      <c r="I77" s="533">
        <f t="shared" si="30"/>
        <v>-4025098.4658000004</v>
      </c>
      <c r="J77" s="533">
        <f t="shared" si="30"/>
        <v>-4396682.7988820011</v>
      </c>
      <c r="K77" s="533">
        <f t="shared" si="30"/>
        <v>-4468359.0050097816</v>
      </c>
      <c r="L77" s="533">
        <f t="shared" si="30"/>
        <v>-4578926.1970912963</v>
      </c>
      <c r="M77" s="533">
        <f t="shared" si="30"/>
        <v>-4811164.1225301307</v>
      </c>
      <c r="N77" s="533">
        <f t="shared" si="30"/>
        <v>-5042219.6863642763</v>
      </c>
      <c r="O77" s="533">
        <f t="shared" si="30"/>
        <v>-5232952.1646784097</v>
      </c>
      <c r="P77" s="533">
        <f t="shared" si="30"/>
        <v>-5430764.9284736002</v>
      </c>
      <c r="Q77" s="533">
        <f t="shared" si="30"/>
        <v>-5635916.0375826871</v>
      </c>
      <c r="R77" s="533">
        <f t="shared" si="30"/>
        <v>-5848668.4197695777</v>
      </c>
      <c r="S77" s="533">
        <f t="shared" si="30"/>
        <v>-6069297.0054774135</v>
      </c>
      <c r="T77" s="533">
        <f t="shared" si="30"/>
        <v>-6298085.4343640665</v>
      </c>
      <c r="U77" s="533">
        <f t="shared" si="30"/>
        <v>-6535325.6659762459</v>
      </c>
      <c r="V77" s="1431">
        <f t="shared" si="3"/>
        <v>-4.1718460105280353E-2</v>
      </c>
      <c r="W77" s="1431">
        <f t="shared" si="4"/>
        <v>-0.21898357667809421</v>
      </c>
      <c r="X77" s="1431">
        <f t="shared" si="5"/>
        <v>9.2316830566813834E-2</v>
      </c>
      <c r="Y77" s="1431">
        <f t="shared" si="6"/>
        <v>1.6302337331682626E-2</v>
      </c>
      <c r="Z77" s="1431">
        <f t="shared" si="7"/>
        <v>2.4744473744735096E-2</v>
      </c>
      <c r="AA77" s="1431">
        <f t="shared" si="8"/>
        <v>5.0718861899621936E-2</v>
      </c>
      <c r="AB77" s="1431">
        <f t="shared" si="9"/>
        <v>4.8024876713753883E-2</v>
      </c>
      <c r="AC77" s="1431">
        <f t="shared" si="10"/>
        <v>3.782708612041108E-2</v>
      </c>
      <c r="AD77" s="1431">
        <f t="shared" si="11"/>
        <v>3.7801370540016643E-2</v>
      </c>
      <c r="AE77" s="1431">
        <f t="shared" si="12"/>
        <v>3.7775729903807065E-2</v>
      </c>
      <c r="AF77" s="1431">
        <f t="shared" si="13"/>
        <v>3.7749388168341502E-2</v>
      </c>
      <c r="AG77" s="1431">
        <f t="shared" si="14"/>
        <v>3.7722874656745953E-2</v>
      </c>
      <c r="AH77" s="1431">
        <f t="shared" si="15"/>
        <v>3.7696034430375835E-2</v>
      </c>
      <c r="AI77" s="1431">
        <f t="shared" si="16"/>
        <v>3.7668627090660323E-2</v>
      </c>
    </row>
    <row r="78" spans="1:35" ht="12.75" customHeight="1" thickBot="1">
      <c r="A78" s="431" t="s">
        <v>578</v>
      </c>
      <c r="B78" s="568" t="s">
        <v>579</v>
      </c>
      <c r="C78" s="533">
        <f>+C65+C66-C74</f>
        <v>1541243.6750000003</v>
      </c>
      <c r="E78" s="576"/>
      <c r="G78" s="533">
        <f>+G65+G66-G74</f>
        <v>50059</v>
      </c>
      <c r="H78" s="533">
        <f t="shared" ref="H78:U78" si="31">+H65+H66-H74</f>
        <v>35000.280000001192</v>
      </c>
      <c r="I78" s="533">
        <f t="shared" si="31"/>
        <v>44995.654199999757</v>
      </c>
      <c r="J78" s="533">
        <f t="shared" si="31"/>
        <v>159999.08591799904</v>
      </c>
      <c r="K78" s="533">
        <f t="shared" si="31"/>
        <v>167999.7151822187</v>
      </c>
      <c r="L78" s="533">
        <f t="shared" si="31"/>
        <v>176399.30390838347</v>
      </c>
      <c r="M78" s="533">
        <f t="shared" si="31"/>
        <v>185219.29930953681</v>
      </c>
      <c r="N78" s="533">
        <f t="shared" si="31"/>
        <v>194480.59390097857</v>
      </c>
      <c r="O78" s="533">
        <f t="shared" si="31"/>
        <v>204204.18842705619</v>
      </c>
      <c r="P78" s="533">
        <f t="shared" si="31"/>
        <v>214415.14346716367</v>
      </c>
      <c r="Q78" s="533">
        <f t="shared" si="31"/>
        <v>225135.57518234197</v>
      </c>
      <c r="R78" s="533">
        <f t="shared" si="31"/>
        <v>236392.81235001888</v>
      </c>
      <c r="S78" s="533">
        <f t="shared" si="31"/>
        <v>248212.60851313174</v>
      </c>
      <c r="T78" s="533">
        <f t="shared" si="31"/>
        <v>260622.79340157285</v>
      </c>
      <c r="U78" s="533">
        <f t="shared" si="31"/>
        <v>273654.03157626279</v>
      </c>
      <c r="V78" s="1431">
        <f t="shared" si="3"/>
        <v>-0.30081943306895476</v>
      </c>
      <c r="W78" s="1431">
        <f t="shared" si="4"/>
        <v>0.28557983536126641</v>
      </c>
      <c r="X78" s="1431">
        <f t="shared" si="5"/>
        <v>2.5558786456759619</v>
      </c>
      <c r="Y78" s="1431">
        <f t="shared" si="6"/>
        <v>5.0004218576098936E-2</v>
      </c>
      <c r="Z78" s="1431">
        <f t="shared" si="7"/>
        <v>4.9997636704647297E-2</v>
      </c>
      <c r="AA78" s="1431">
        <f t="shared" si="8"/>
        <v>5.0000171234996449E-2</v>
      </c>
      <c r="AB78" s="1431">
        <f t="shared" si="9"/>
        <v>5.0001779652369516E-2</v>
      </c>
      <c r="AC78" s="1431">
        <f t="shared" si="10"/>
        <v>4.9997762404142332E-2</v>
      </c>
      <c r="AD78" s="1431">
        <f t="shared" si="11"/>
        <v>5.0003651339183719E-2</v>
      </c>
      <c r="AE78" s="1431">
        <f t="shared" si="12"/>
        <v>4.9998482111969222E-2</v>
      </c>
      <c r="AF78" s="1431">
        <f t="shared" si="13"/>
        <v>5.0002036144485063E-2</v>
      </c>
      <c r="AG78" s="1431">
        <f t="shared" si="14"/>
        <v>5.0000657996367881E-2</v>
      </c>
      <c r="AH78" s="1431">
        <f t="shared" si="15"/>
        <v>4.9998205017794506E-2</v>
      </c>
      <c r="AI78" s="1431">
        <f t="shared" si="16"/>
        <v>5.0000377958543174E-2</v>
      </c>
    </row>
    <row r="79" spans="1:35" ht="12.75" customHeight="1">
      <c r="A79" s="431" t="s">
        <v>580</v>
      </c>
      <c r="B79" s="577" t="s">
        <v>581</v>
      </c>
      <c r="C79" s="540">
        <f>+C80</f>
        <v>-44996</v>
      </c>
      <c r="D79" s="537"/>
      <c r="E79" s="578"/>
      <c r="G79" s="540">
        <f>+G80</f>
        <v>-50059</v>
      </c>
      <c r="H79" s="540">
        <f t="shared" ref="H79:U79" si="32">+H80</f>
        <v>-35000</v>
      </c>
      <c r="I79" s="540">
        <f t="shared" si="32"/>
        <v>-44996</v>
      </c>
      <c r="J79" s="540">
        <f t="shared" si="32"/>
        <v>-160000</v>
      </c>
      <c r="K79" s="540">
        <f t="shared" si="32"/>
        <v>-168000</v>
      </c>
      <c r="L79" s="540">
        <f t="shared" si="32"/>
        <v>-176400</v>
      </c>
      <c r="M79" s="540">
        <f t="shared" si="32"/>
        <v>-185220</v>
      </c>
      <c r="N79" s="540">
        <f t="shared" si="32"/>
        <v>-194481</v>
      </c>
      <c r="O79" s="540">
        <f t="shared" si="32"/>
        <v>-204205.05000000005</v>
      </c>
      <c r="P79" s="540">
        <f t="shared" si="32"/>
        <v>-214415.30250000002</v>
      </c>
      <c r="Q79" s="540">
        <f t="shared" si="32"/>
        <v>-225136.06762500003</v>
      </c>
      <c r="R79" s="540">
        <f t="shared" si="32"/>
        <v>-236392.87100625003</v>
      </c>
      <c r="S79" s="540">
        <f t="shared" si="32"/>
        <v>-248212.51455656256</v>
      </c>
      <c r="T79" s="540">
        <f t="shared" si="32"/>
        <v>-260623.14028439068</v>
      </c>
      <c r="U79" s="540">
        <f t="shared" si="32"/>
        <v>-273654.29729861021</v>
      </c>
      <c r="V79" s="1431">
        <f t="shared" si="3"/>
        <v>-0.30082502646876685</v>
      </c>
      <c r="W79" s="1431">
        <f t="shared" si="4"/>
        <v>0.28560000000000008</v>
      </c>
      <c r="X79" s="1431">
        <f t="shared" si="5"/>
        <v>2.5558716330340476</v>
      </c>
      <c r="Y79" s="1431">
        <f t="shared" si="6"/>
        <v>5.0000000000000044E-2</v>
      </c>
      <c r="Z79" s="1431">
        <f t="shared" si="7"/>
        <v>5.0000000000000044E-2</v>
      </c>
      <c r="AA79" s="1431">
        <f t="shared" si="8"/>
        <v>5.0000000000000044E-2</v>
      </c>
      <c r="AB79" s="1431">
        <f t="shared" si="9"/>
        <v>5.0000000000000044E-2</v>
      </c>
      <c r="AC79" s="1431">
        <f t="shared" si="10"/>
        <v>5.0000000000000266E-2</v>
      </c>
      <c r="AD79" s="1431">
        <f t="shared" si="11"/>
        <v>4.9999999999999822E-2</v>
      </c>
      <c r="AE79" s="1431">
        <f t="shared" si="12"/>
        <v>5.0000000000000044E-2</v>
      </c>
      <c r="AF79" s="1431">
        <f t="shared" si="13"/>
        <v>5.0000000000000044E-2</v>
      </c>
      <c r="AG79" s="1431">
        <f t="shared" si="14"/>
        <v>5.0000000000000044E-2</v>
      </c>
      <c r="AH79" s="1431">
        <f t="shared" si="15"/>
        <v>5.0000000000000044E-2</v>
      </c>
      <c r="AI79" s="1431">
        <f t="shared" si="16"/>
        <v>5.0000000000000044E-2</v>
      </c>
    </row>
    <row r="80" spans="1:35">
      <c r="A80" s="72" t="str">
        <f>+Ingresos!A99</f>
        <v>121</v>
      </c>
      <c r="B80" s="547" t="s">
        <v>582</v>
      </c>
      <c r="C80" s="548">
        <f>+C81+C84</f>
        <v>-44996</v>
      </c>
      <c r="D80" s="537"/>
      <c r="E80" s="579"/>
      <c r="G80" s="548">
        <f>+G81+G84</f>
        <v>-50059</v>
      </c>
      <c r="H80" s="548">
        <f t="shared" ref="H80:U80" si="33">+H81+H84</f>
        <v>-35000</v>
      </c>
      <c r="I80" s="548">
        <f t="shared" si="33"/>
        <v>-44996</v>
      </c>
      <c r="J80" s="548">
        <f t="shared" si="33"/>
        <v>-160000</v>
      </c>
      <c r="K80" s="548">
        <f t="shared" si="33"/>
        <v>-168000</v>
      </c>
      <c r="L80" s="548">
        <f t="shared" si="33"/>
        <v>-176400</v>
      </c>
      <c r="M80" s="548">
        <f t="shared" si="33"/>
        <v>-185220</v>
      </c>
      <c r="N80" s="548">
        <f t="shared" si="33"/>
        <v>-194481</v>
      </c>
      <c r="O80" s="548">
        <f t="shared" si="33"/>
        <v>-204205.05000000005</v>
      </c>
      <c r="P80" s="548">
        <f t="shared" si="33"/>
        <v>-214415.30250000002</v>
      </c>
      <c r="Q80" s="548">
        <f t="shared" si="33"/>
        <v>-225136.06762500003</v>
      </c>
      <c r="R80" s="548">
        <f t="shared" si="33"/>
        <v>-236392.87100625003</v>
      </c>
      <c r="S80" s="548">
        <f t="shared" si="33"/>
        <v>-248212.51455656256</v>
      </c>
      <c r="T80" s="548">
        <f t="shared" si="33"/>
        <v>-260623.14028439068</v>
      </c>
      <c r="U80" s="548">
        <f t="shared" si="33"/>
        <v>-273654.29729861021</v>
      </c>
      <c r="V80" s="1431">
        <f t="shared" si="3"/>
        <v>-0.30082502646876685</v>
      </c>
      <c r="W80" s="1431">
        <f t="shared" si="4"/>
        <v>0.28560000000000008</v>
      </c>
      <c r="X80" s="1431">
        <f t="shared" si="5"/>
        <v>2.5558716330340476</v>
      </c>
      <c r="Y80" s="1431">
        <f t="shared" si="6"/>
        <v>5.0000000000000044E-2</v>
      </c>
      <c r="Z80" s="1431">
        <f t="shared" si="7"/>
        <v>5.0000000000000044E-2</v>
      </c>
      <c r="AA80" s="1431">
        <f t="shared" si="8"/>
        <v>5.0000000000000044E-2</v>
      </c>
      <c r="AB80" s="1431">
        <f t="shared" si="9"/>
        <v>5.0000000000000044E-2</v>
      </c>
      <c r="AC80" s="1431">
        <f t="shared" si="10"/>
        <v>5.0000000000000266E-2</v>
      </c>
      <c r="AD80" s="1431">
        <f t="shared" si="11"/>
        <v>4.9999999999999822E-2</v>
      </c>
      <c r="AE80" s="1431">
        <f t="shared" si="12"/>
        <v>5.0000000000000044E-2</v>
      </c>
      <c r="AF80" s="1431">
        <f t="shared" si="13"/>
        <v>5.0000000000000044E-2</v>
      </c>
      <c r="AG80" s="1431">
        <f t="shared" si="14"/>
        <v>5.0000000000000044E-2</v>
      </c>
      <c r="AH80" s="1431">
        <f t="shared" si="15"/>
        <v>5.0000000000000044E-2</v>
      </c>
      <c r="AI80" s="1431">
        <f t="shared" si="16"/>
        <v>5.0000000000000044E-2</v>
      </c>
    </row>
    <row r="81" spans="1:35">
      <c r="A81" s="72" t="str">
        <f>+Ingresos!A100</f>
        <v>12101</v>
      </c>
      <c r="B81" s="547" t="s">
        <v>26</v>
      </c>
      <c r="C81" s="548">
        <f>+C82-C83</f>
        <v>-44996</v>
      </c>
      <c r="D81" s="537"/>
      <c r="E81" s="579"/>
      <c r="G81" s="548">
        <f>+G82-G83</f>
        <v>-50059</v>
      </c>
      <c r="H81" s="548">
        <f t="shared" ref="H81:U81" si="34">+H82-H83</f>
        <v>-35000</v>
      </c>
      <c r="I81" s="548">
        <f t="shared" si="34"/>
        <v>-44996</v>
      </c>
      <c r="J81" s="548">
        <f t="shared" si="34"/>
        <v>640000</v>
      </c>
      <c r="K81" s="548">
        <f t="shared" si="34"/>
        <v>-168000</v>
      </c>
      <c r="L81" s="548">
        <f t="shared" si="34"/>
        <v>-176400</v>
      </c>
      <c r="M81" s="548">
        <f t="shared" si="34"/>
        <v>-185220</v>
      </c>
      <c r="N81" s="548">
        <f t="shared" si="34"/>
        <v>-194481</v>
      </c>
      <c r="O81" s="548">
        <f t="shared" si="34"/>
        <v>595794.94999999995</v>
      </c>
      <c r="P81" s="548">
        <f t="shared" si="34"/>
        <v>-214415.30250000002</v>
      </c>
      <c r="Q81" s="548">
        <f t="shared" si="34"/>
        <v>-225136.06762500003</v>
      </c>
      <c r="R81" s="548">
        <f t="shared" si="34"/>
        <v>-236392.87100625003</v>
      </c>
      <c r="S81" s="548">
        <f t="shared" si="34"/>
        <v>-248212.51455656256</v>
      </c>
      <c r="T81" s="548">
        <f t="shared" si="34"/>
        <v>-260623.14028439068</v>
      </c>
      <c r="U81" s="548">
        <f t="shared" si="34"/>
        <v>-273654.29729861021</v>
      </c>
      <c r="V81" s="1431">
        <f t="shared" si="3"/>
        <v>-0.30082502646876685</v>
      </c>
      <c r="W81" s="1431">
        <f t="shared" si="4"/>
        <v>0.28560000000000008</v>
      </c>
      <c r="X81" s="1431">
        <f t="shared" si="5"/>
        <v>-15.223486532136191</v>
      </c>
      <c r="Y81" s="1431">
        <f t="shared" si="6"/>
        <v>-1.2625</v>
      </c>
      <c r="Z81" s="1431">
        <f t="shared" si="7"/>
        <v>5.0000000000000044E-2</v>
      </c>
      <c r="AA81" s="1431">
        <f t="shared" si="8"/>
        <v>5.0000000000000044E-2</v>
      </c>
      <c r="AB81" s="1431">
        <f t="shared" si="9"/>
        <v>5.0000000000000044E-2</v>
      </c>
      <c r="AC81" s="1431">
        <f t="shared" si="10"/>
        <v>-4.0635123739594103</v>
      </c>
      <c r="AD81" s="1431">
        <f t="shared" si="11"/>
        <v>-1.3598810337348446</v>
      </c>
      <c r="AE81" s="1431">
        <f t="shared" si="12"/>
        <v>5.0000000000000044E-2</v>
      </c>
      <c r="AF81" s="1431">
        <f t="shared" si="13"/>
        <v>5.0000000000000044E-2</v>
      </c>
      <c r="AG81" s="1431">
        <f t="shared" si="14"/>
        <v>5.0000000000000044E-2</v>
      </c>
      <c r="AH81" s="1431">
        <f t="shared" si="15"/>
        <v>5.0000000000000044E-2</v>
      </c>
      <c r="AI81" s="1431">
        <f t="shared" si="16"/>
        <v>5.0000000000000044E-2</v>
      </c>
    </row>
    <row r="82" spans="1:35">
      <c r="A82" s="72" t="s">
        <v>583</v>
      </c>
      <c r="B82" s="551" t="s">
        <v>584</v>
      </c>
      <c r="C82" s="543">
        <f>+Ingresos!H100</f>
        <v>0</v>
      </c>
      <c r="D82" s="537"/>
      <c r="E82" s="549">
        <f>+C82/C103</f>
        <v>0</v>
      </c>
      <c r="G82" s="543">
        <f>+'Ingresos Proyecciones'!C97</f>
        <v>0</v>
      </c>
      <c r="H82" s="543">
        <f>+'Ingresos Proyecciones'!D97</f>
        <v>0</v>
      </c>
      <c r="I82" s="543">
        <f>+'Ingresos Proyecciones'!E97</f>
        <v>0</v>
      </c>
      <c r="J82" s="543">
        <f>+'Ingresos Proyecciones'!F97</f>
        <v>800000</v>
      </c>
      <c r="K82" s="543">
        <f>+'Ingresos Proyecciones'!G97</f>
        <v>0</v>
      </c>
      <c r="L82" s="543">
        <f>+'Ingresos Proyecciones'!H97</f>
        <v>0</v>
      </c>
      <c r="M82" s="543">
        <f>+'Ingresos Proyecciones'!I97</f>
        <v>0</v>
      </c>
      <c r="N82" s="543">
        <f>+'Ingresos Proyecciones'!J97</f>
        <v>0</v>
      </c>
      <c r="O82" s="543">
        <f>+'Ingresos Proyecciones'!K97</f>
        <v>800000</v>
      </c>
      <c r="P82" s="543">
        <f>+'Ingresos Proyecciones'!L97</f>
        <v>0</v>
      </c>
      <c r="Q82" s="543">
        <f>+'Ingresos Proyecciones'!M97</f>
        <v>0</v>
      </c>
      <c r="R82" s="543">
        <f>+'Ingresos Proyecciones'!N97</f>
        <v>0</v>
      </c>
      <c r="S82" s="543">
        <f>+'Ingresos Proyecciones'!O97</f>
        <v>0</v>
      </c>
      <c r="T82" s="543">
        <f>+'Ingresos Proyecciones'!P97</f>
        <v>0</v>
      </c>
      <c r="U82" s="543">
        <f>+'Ingresos Proyecciones'!Q97</f>
        <v>0</v>
      </c>
      <c r="V82" s="1431" t="e">
        <f t="shared" si="3"/>
        <v>#DIV/0!</v>
      </c>
      <c r="W82" s="1431" t="e">
        <f t="shared" si="4"/>
        <v>#DIV/0!</v>
      </c>
      <c r="X82" s="1431" t="e">
        <f t="shared" si="5"/>
        <v>#DIV/0!</v>
      </c>
      <c r="Y82" s="1431">
        <f t="shared" si="6"/>
        <v>-1</v>
      </c>
      <c r="Z82" s="1431" t="e">
        <f t="shared" si="7"/>
        <v>#DIV/0!</v>
      </c>
      <c r="AA82" s="1431" t="e">
        <f t="shared" si="8"/>
        <v>#DIV/0!</v>
      </c>
      <c r="AB82" s="1431" t="e">
        <f t="shared" si="9"/>
        <v>#DIV/0!</v>
      </c>
      <c r="AC82" s="1431" t="e">
        <f t="shared" si="10"/>
        <v>#DIV/0!</v>
      </c>
      <c r="AD82" s="1431">
        <f t="shared" si="11"/>
        <v>-1</v>
      </c>
      <c r="AE82" s="1431" t="e">
        <f t="shared" si="12"/>
        <v>#DIV/0!</v>
      </c>
      <c r="AF82" s="1431" t="e">
        <f t="shared" si="13"/>
        <v>#DIV/0!</v>
      </c>
      <c r="AG82" s="1431" t="e">
        <f t="shared" si="14"/>
        <v>#DIV/0!</v>
      </c>
      <c r="AH82" s="1431" t="e">
        <f t="shared" si="15"/>
        <v>#DIV/0!</v>
      </c>
      <c r="AI82" s="1431" t="e">
        <f t="shared" si="16"/>
        <v>#DIV/0!</v>
      </c>
    </row>
    <row r="83" spans="1:35">
      <c r="A83" s="425" t="s">
        <v>475</v>
      </c>
      <c r="B83" s="551" t="s">
        <v>585</v>
      </c>
      <c r="C83" s="543">
        <f>+Gastos!J201</f>
        <v>44996</v>
      </c>
      <c r="D83" s="537"/>
      <c r="E83" s="549">
        <f>+C83/C104</f>
        <v>8.6365935773181825E-3</v>
      </c>
      <c r="G83" s="543">
        <f>+'Gastos Proyecciones'!D201</f>
        <v>50059</v>
      </c>
      <c r="H83" s="543">
        <f>+'Gastos Proyecciones'!E201</f>
        <v>35000</v>
      </c>
      <c r="I83" s="543">
        <f>+'Gastos Proyecciones'!F201</f>
        <v>44996</v>
      </c>
      <c r="J83" s="543">
        <f>+'Gastos Proyecciones'!G201</f>
        <v>160000</v>
      </c>
      <c r="K83" s="543">
        <f>+'Gastos Proyecciones'!H201</f>
        <v>168000</v>
      </c>
      <c r="L83" s="543">
        <f>+'Gastos Proyecciones'!I201</f>
        <v>176400</v>
      </c>
      <c r="M83" s="543">
        <f>+'Gastos Proyecciones'!J201</f>
        <v>185220</v>
      </c>
      <c r="N83" s="543">
        <f>+'Gastos Proyecciones'!K201</f>
        <v>194481</v>
      </c>
      <c r="O83" s="543">
        <f>+'Gastos Proyecciones'!L201</f>
        <v>204205.05000000002</v>
      </c>
      <c r="P83" s="543">
        <f>+'Gastos Proyecciones'!M201</f>
        <v>214415.30250000002</v>
      </c>
      <c r="Q83" s="543">
        <f>+'Gastos Proyecciones'!N201</f>
        <v>225136.06762500003</v>
      </c>
      <c r="R83" s="543">
        <f>+'Gastos Proyecciones'!O201</f>
        <v>236392.87100625003</v>
      </c>
      <c r="S83" s="543">
        <f>+'Gastos Proyecciones'!P201</f>
        <v>248212.51455656256</v>
      </c>
      <c r="T83" s="543">
        <f>+'Gastos Proyecciones'!Q201</f>
        <v>260623.14028439068</v>
      </c>
      <c r="U83" s="543">
        <f>+'Gastos Proyecciones'!R201</f>
        <v>273654.29729861021</v>
      </c>
      <c r="V83" s="1431">
        <f t="shared" si="3"/>
        <v>-0.30082502646876685</v>
      </c>
      <c r="W83" s="1431">
        <f t="shared" si="4"/>
        <v>0.28560000000000008</v>
      </c>
      <c r="X83" s="1431">
        <f t="shared" si="5"/>
        <v>2.5558716330340476</v>
      </c>
      <c r="Y83" s="1431">
        <f t="shared" si="6"/>
        <v>5.0000000000000044E-2</v>
      </c>
      <c r="Z83" s="1431">
        <f t="shared" si="7"/>
        <v>5.0000000000000044E-2</v>
      </c>
      <c r="AA83" s="1431">
        <f t="shared" si="8"/>
        <v>5.0000000000000044E-2</v>
      </c>
      <c r="AB83" s="1431">
        <f t="shared" si="9"/>
        <v>5.0000000000000044E-2</v>
      </c>
      <c r="AC83" s="1431">
        <f t="shared" si="10"/>
        <v>5.0000000000000044E-2</v>
      </c>
      <c r="AD83" s="1431">
        <f t="shared" si="11"/>
        <v>5.0000000000000044E-2</v>
      </c>
      <c r="AE83" s="1431">
        <f t="shared" si="12"/>
        <v>5.0000000000000044E-2</v>
      </c>
      <c r="AF83" s="1431">
        <f t="shared" si="13"/>
        <v>5.0000000000000044E-2</v>
      </c>
      <c r="AG83" s="1431">
        <f t="shared" si="14"/>
        <v>5.0000000000000044E-2</v>
      </c>
      <c r="AH83" s="1431">
        <f t="shared" si="15"/>
        <v>5.0000000000000044E-2</v>
      </c>
      <c r="AI83" s="1431">
        <f t="shared" si="16"/>
        <v>5.0000000000000044E-2</v>
      </c>
    </row>
    <row r="84" spans="1:35">
      <c r="A84" s="72" t="str">
        <f>+Ingresos!A110</f>
        <v>12102</v>
      </c>
      <c r="B84" s="547" t="s">
        <v>46</v>
      </c>
      <c r="C84" s="548">
        <f>+C85-C86</f>
        <v>0</v>
      </c>
      <c r="D84" s="537"/>
      <c r="E84" s="579"/>
      <c r="G84" s="548">
        <f>+G85-G86</f>
        <v>0</v>
      </c>
      <c r="H84" s="548">
        <f t="shared" ref="H84:U84" si="35">+H85-H86</f>
        <v>0</v>
      </c>
      <c r="I84" s="548">
        <f t="shared" si="35"/>
        <v>0</v>
      </c>
      <c r="J84" s="548">
        <f t="shared" si="35"/>
        <v>-800000</v>
      </c>
      <c r="K84" s="548">
        <f t="shared" si="35"/>
        <v>0</v>
      </c>
      <c r="L84" s="548">
        <f t="shared" si="35"/>
        <v>0</v>
      </c>
      <c r="M84" s="548">
        <f t="shared" si="35"/>
        <v>0</v>
      </c>
      <c r="N84" s="548">
        <f t="shared" si="35"/>
        <v>0</v>
      </c>
      <c r="O84" s="548">
        <f t="shared" si="35"/>
        <v>-800000</v>
      </c>
      <c r="P84" s="548">
        <f t="shared" si="35"/>
        <v>0</v>
      </c>
      <c r="Q84" s="548">
        <f t="shared" si="35"/>
        <v>0</v>
      </c>
      <c r="R84" s="548">
        <f t="shared" si="35"/>
        <v>0</v>
      </c>
      <c r="S84" s="548">
        <f t="shared" si="35"/>
        <v>0</v>
      </c>
      <c r="T84" s="548">
        <f t="shared" si="35"/>
        <v>0</v>
      </c>
      <c r="U84" s="548">
        <f t="shared" si="35"/>
        <v>0</v>
      </c>
      <c r="V84" s="1431" t="e">
        <f t="shared" si="3"/>
        <v>#DIV/0!</v>
      </c>
      <c r="W84" s="1431" t="e">
        <f t="shared" si="4"/>
        <v>#DIV/0!</v>
      </c>
      <c r="X84" s="1431" t="e">
        <f t="shared" si="5"/>
        <v>#DIV/0!</v>
      </c>
      <c r="Y84" s="1431">
        <f t="shared" si="6"/>
        <v>-1</v>
      </c>
      <c r="Z84" s="1431" t="e">
        <f t="shared" si="7"/>
        <v>#DIV/0!</v>
      </c>
      <c r="AA84" s="1431" t="e">
        <f t="shared" si="8"/>
        <v>#DIV/0!</v>
      </c>
      <c r="AB84" s="1431" t="e">
        <f t="shared" si="9"/>
        <v>#DIV/0!</v>
      </c>
      <c r="AC84" s="1431" t="e">
        <f t="shared" si="10"/>
        <v>#DIV/0!</v>
      </c>
      <c r="AD84" s="1431">
        <f t="shared" si="11"/>
        <v>-1</v>
      </c>
      <c r="AE84" s="1431" t="e">
        <f t="shared" si="12"/>
        <v>#DIV/0!</v>
      </c>
      <c r="AF84" s="1431" t="e">
        <f t="shared" si="13"/>
        <v>#DIV/0!</v>
      </c>
      <c r="AG84" s="1431" t="e">
        <f t="shared" si="14"/>
        <v>#DIV/0!</v>
      </c>
      <c r="AH84" s="1431" t="e">
        <f t="shared" si="15"/>
        <v>#DIV/0!</v>
      </c>
      <c r="AI84" s="1431" t="e">
        <f t="shared" si="16"/>
        <v>#DIV/0!</v>
      </c>
    </row>
    <row r="85" spans="1:35">
      <c r="A85" s="72" t="s">
        <v>586</v>
      </c>
      <c r="B85" s="551" t="s">
        <v>584</v>
      </c>
      <c r="C85" s="543">
        <f>+Ingresos!H110</f>
        <v>0</v>
      </c>
      <c r="D85" s="537"/>
      <c r="E85" s="579"/>
      <c r="G85" s="543">
        <f>+'Ingresos Proyecciones'!C107</f>
        <v>0</v>
      </c>
      <c r="H85" s="543">
        <f>+'Ingresos Proyecciones'!D107</f>
        <v>0</v>
      </c>
      <c r="I85" s="543">
        <f>+'Ingresos Proyecciones'!E107</f>
        <v>0</v>
      </c>
      <c r="J85" s="543">
        <f>+'Ingresos Proyecciones'!F107</f>
        <v>0</v>
      </c>
      <c r="K85" s="543">
        <f>+'Ingresos Proyecciones'!G107</f>
        <v>0</v>
      </c>
      <c r="L85" s="543">
        <f>+'Ingresos Proyecciones'!H107</f>
        <v>0</v>
      </c>
      <c r="M85" s="543">
        <f>+'Ingresos Proyecciones'!I107</f>
        <v>0</v>
      </c>
      <c r="N85" s="543">
        <f>+'Ingresos Proyecciones'!J107</f>
        <v>0</v>
      </c>
      <c r="O85" s="543">
        <f>+'Ingresos Proyecciones'!K107</f>
        <v>0</v>
      </c>
      <c r="P85" s="543">
        <f>+'Ingresos Proyecciones'!L107</f>
        <v>0</v>
      </c>
      <c r="Q85" s="543">
        <f>+'Ingresos Proyecciones'!M107</f>
        <v>0</v>
      </c>
      <c r="R85" s="543">
        <f>+'Ingresos Proyecciones'!N107</f>
        <v>0</v>
      </c>
      <c r="S85" s="543">
        <f>+'Ingresos Proyecciones'!O107</f>
        <v>0</v>
      </c>
      <c r="T85" s="543">
        <f>+'Ingresos Proyecciones'!P107</f>
        <v>0</v>
      </c>
      <c r="U85" s="543">
        <f>+'Ingresos Proyecciones'!Q107</f>
        <v>0</v>
      </c>
      <c r="V85" s="1431" t="e">
        <f t="shared" si="3"/>
        <v>#DIV/0!</v>
      </c>
      <c r="W85" s="1431" t="e">
        <f t="shared" si="4"/>
        <v>#DIV/0!</v>
      </c>
      <c r="X85" s="1431" t="e">
        <f t="shared" si="5"/>
        <v>#DIV/0!</v>
      </c>
      <c r="Y85" s="1431" t="e">
        <f t="shared" si="6"/>
        <v>#DIV/0!</v>
      </c>
      <c r="Z85" s="1431" t="e">
        <f t="shared" si="7"/>
        <v>#DIV/0!</v>
      </c>
      <c r="AA85" s="1431" t="e">
        <f t="shared" si="8"/>
        <v>#DIV/0!</v>
      </c>
      <c r="AB85" s="1431" t="e">
        <f t="shared" si="9"/>
        <v>#DIV/0!</v>
      </c>
      <c r="AC85" s="1431" t="e">
        <f t="shared" si="10"/>
        <v>#DIV/0!</v>
      </c>
      <c r="AD85" s="1431" t="e">
        <f t="shared" si="11"/>
        <v>#DIV/0!</v>
      </c>
      <c r="AE85" s="1431" t="e">
        <f t="shared" si="12"/>
        <v>#DIV/0!</v>
      </c>
      <c r="AF85" s="1431" t="e">
        <f t="shared" si="13"/>
        <v>#DIV/0!</v>
      </c>
      <c r="AG85" s="1431" t="e">
        <f t="shared" si="14"/>
        <v>#DIV/0!</v>
      </c>
      <c r="AH85" s="1431" t="e">
        <f t="shared" si="15"/>
        <v>#DIV/0!</v>
      </c>
      <c r="AI85" s="1431" t="e">
        <f t="shared" si="16"/>
        <v>#DIV/0!</v>
      </c>
    </row>
    <row r="86" spans="1:35" ht="12.75" thickBot="1">
      <c r="A86" s="425" t="s">
        <v>490</v>
      </c>
      <c r="B86" s="572" t="s">
        <v>585</v>
      </c>
      <c r="C86" s="573">
        <f>+Gastos!J206</f>
        <v>0</v>
      </c>
      <c r="D86" s="537"/>
      <c r="E86" s="580"/>
      <c r="G86" s="573">
        <f>+'Gastos Proyecciones'!D206</f>
        <v>0</v>
      </c>
      <c r="H86" s="573">
        <f>+'Gastos Proyecciones'!E206</f>
        <v>0</v>
      </c>
      <c r="I86" s="573">
        <f>+'Gastos Proyecciones'!F206</f>
        <v>0</v>
      </c>
      <c r="J86" s="573">
        <f>+'Gastos Proyecciones'!G206</f>
        <v>800000</v>
      </c>
      <c r="K86" s="573">
        <f>+'Gastos Proyecciones'!H206</f>
        <v>0</v>
      </c>
      <c r="L86" s="573">
        <f>+'Gastos Proyecciones'!I206</f>
        <v>0</v>
      </c>
      <c r="M86" s="573">
        <f>+'Gastos Proyecciones'!J206</f>
        <v>0</v>
      </c>
      <c r="N86" s="573">
        <f>+'Gastos Proyecciones'!K206</f>
        <v>0</v>
      </c>
      <c r="O86" s="573">
        <f>+'Gastos Proyecciones'!L206</f>
        <v>800000</v>
      </c>
      <c r="P86" s="573">
        <f>+'Gastos Proyecciones'!M206</f>
        <v>0</v>
      </c>
      <c r="Q86" s="573">
        <f>+'Gastos Proyecciones'!N206</f>
        <v>0</v>
      </c>
      <c r="R86" s="573">
        <f>+'Gastos Proyecciones'!O206</f>
        <v>0</v>
      </c>
      <c r="S86" s="573">
        <f>+'Gastos Proyecciones'!P206</f>
        <v>0</v>
      </c>
      <c r="T86" s="573">
        <f>+'Gastos Proyecciones'!Q206</f>
        <v>0</v>
      </c>
      <c r="U86" s="573">
        <f>+'Gastos Proyecciones'!R206</f>
        <v>0</v>
      </c>
      <c r="V86" s="1431" t="e">
        <f t="shared" si="3"/>
        <v>#DIV/0!</v>
      </c>
      <c r="W86" s="1431" t="e">
        <f t="shared" si="4"/>
        <v>#DIV/0!</v>
      </c>
      <c r="X86" s="1431" t="e">
        <f t="shared" si="5"/>
        <v>#DIV/0!</v>
      </c>
      <c r="Y86" s="1431">
        <f t="shared" si="6"/>
        <v>-1</v>
      </c>
      <c r="Z86" s="1431" t="e">
        <f t="shared" si="7"/>
        <v>#DIV/0!</v>
      </c>
      <c r="AA86" s="1431" t="e">
        <f t="shared" si="8"/>
        <v>#DIV/0!</v>
      </c>
      <c r="AB86" s="1431" t="e">
        <f t="shared" si="9"/>
        <v>#DIV/0!</v>
      </c>
      <c r="AC86" s="1431" t="e">
        <f t="shared" si="10"/>
        <v>#DIV/0!</v>
      </c>
      <c r="AD86" s="1431">
        <f t="shared" si="11"/>
        <v>-1</v>
      </c>
      <c r="AE86" s="1431" t="e">
        <f t="shared" si="12"/>
        <v>#DIV/0!</v>
      </c>
      <c r="AF86" s="1431" t="e">
        <f t="shared" si="13"/>
        <v>#DIV/0!</v>
      </c>
      <c r="AG86" s="1431" t="e">
        <f t="shared" si="14"/>
        <v>#DIV/0!</v>
      </c>
      <c r="AH86" s="1431" t="e">
        <f t="shared" si="15"/>
        <v>#DIV/0!</v>
      </c>
      <c r="AI86" s="1431" t="e">
        <f t="shared" si="16"/>
        <v>#DIV/0!</v>
      </c>
    </row>
    <row r="87" spans="1:35" hidden="1">
      <c r="A87" s="459" t="str">
        <f>A94</f>
        <v>145A</v>
      </c>
      <c r="B87" s="581" t="str">
        <f t="shared" ref="B87:U87" si="36">B94</f>
        <v xml:space="preserve">DÉFICIT O SUPERÁVIT PRIMARIO </v>
      </c>
      <c r="C87" s="581">
        <f t="shared" si="36"/>
        <v>1548676.6749999998</v>
      </c>
      <c r="D87" s="581">
        <f t="shared" si="36"/>
        <v>0</v>
      </c>
      <c r="E87" s="581">
        <f t="shared" si="36"/>
        <v>0</v>
      </c>
      <c r="F87" s="581">
        <f t="shared" si="36"/>
        <v>0</v>
      </c>
      <c r="G87" s="581">
        <f t="shared" si="36"/>
        <v>60059</v>
      </c>
      <c r="H87" s="581">
        <f t="shared" si="36"/>
        <v>40000.280000001192</v>
      </c>
      <c r="I87" s="581">
        <f t="shared" si="36"/>
        <v>52428.654199999757</v>
      </c>
      <c r="J87" s="581">
        <f t="shared" si="36"/>
        <v>235999.08591799904</v>
      </c>
      <c r="K87" s="581">
        <f t="shared" si="36"/>
        <v>247799.7151822187</v>
      </c>
      <c r="L87" s="581">
        <f t="shared" si="36"/>
        <v>260189.30390838347</v>
      </c>
      <c r="M87" s="581">
        <f t="shared" si="36"/>
        <v>273198.79930953775</v>
      </c>
      <c r="N87" s="581">
        <f t="shared" si="36"/>
        <v>286859.06890097819</v>
      </c>
      <c r="O87" s="581">
        <f t="shared" si="36"/>
        <v>301201.58717705589</v>
      </c>
      <c r="P87" s="581">
        <f t="shared" si="36"/>
        <v>316262.41215466335</v>
      </c>
      <c r="Q87" s="581">
        <f t="shared" si="36"/>
        <v>332075.20730421692</v>
      </c>
      <c r="R87" s="581">
        <f t="shared" si="36"/>
        <v>348679.42607798707</v>
      </c>
      <c r="S87" s="581">
        <f t="shared" si="36"/>
        <v>366113.55292749871</v>
      </c>
      <c r="T87" s="581">
        <f t="shared" si="36"/>
        <v>384418.78503665701</v>
      </c>
      <c r="U87" s="581">
        <f t="shared" si="36"/>
        <v>403639.82279310375</v>
      </c>
      <c r="V87" s="1431"/>
      <c r="W87" s="1431"/>
      <c r="X87" s="1431"/>
      <c r="Y87" s="1431"/>
      <c r="Z87" s="1431"/>
      <c r="AA87" s="1431"/>
      <c r="AB87" s="1431"/>
      <c r="AC87" s="1431"/>
      <c r="AD87" s="1431"/>
      <c r="AE87" s="1431"/>
      <c r="AF87" s="1431"/>
      <c r="AG87" s="1431"/>
      <c r="AH87" s="1431"/>
      <c r="AI87" s="1431"/>
    </row>
    <row r="88" spans="1:35" hidden="1">
      <c r="A88" s="459" t="str">
        <f>A95</f>
        <v>146A</v>
      </c>
      <c r="B88" s="581" t="str">
        <f t="shared" ref="B88:U88" si="37">B95</f>
        <v>DÉFICIT O SUPERÁVIT PRIMARIO/INTERESES</v>
      </c>
      <c r="C88" s="581">
        <f t="shared" si="37"/>
        <v>208.35149670388805</v>
      </c>
      <c r="D88" s="581">
        <f t="shared" si="37"/>
        <v>0</v>
      </c>
      <c r="E88" s="581">
        <f t="shared" si="37"/>
        <v>0</v>
      </c>
      <c r="F88" s="581">
        <f t="shared" si="37"/>
        <v>0</v>
      </c>
      <c r="G88" s="581">
        <f t="shared" si="37"/>
        <v>6.0058999999999996</v>
      </c>
      <c r="H88" s="581">
        <f t="shared" si="37"/>
        <v>8.0000560000002388</v>
      </c>
      <c r="I88" s="581">
        <f t="shared" si="37"/>
        <v>7.0534984797524229</v>
      </c>
      <c r="J88" s="581">
        <f t="shared" si="37"/>
        <v>3.1052511304999872</v>
      </c>
      <c r="K88" s="581">
        <f t="shared" si="37"/>
        <v>3.1052595887496079</v>
      </c>
      <c r="L88" s="581">
        <f t="shared" si="37"/>
        <v>3.1052548503208435</v>
      </c>
      <c r="M88" s="581">
        <f t="shared" si="37"/>
        <v>3.105255193647813</v>
      </c>
      <c r="N88" s="581">
        <f t="shared" si="37"/>
        <v>3.1052587618596017</v>
      </c>
      <c r="O88" s="581">
        <f t="shared" si="37"/>
        <v>3.105254275461236</v>
      </c>
      <c r="P88" s="581">
        <f t="shared" si="37"/>
        <v>3.1052615964111672</v>
      </c>
      <c r="Q88" s="581">
        <f t="shared" si="37"/>
        <v>3.1052585530289041</v>
      </c>
      <c r="R88" s="581">
        <f t="shared" si="37"/>
        <v>3.105262635515178</v>
      </c>
      <c r="S88" s="581">
        <f t="shared" si="37"/>
        <v>3.1052639548058165</v>
      </c>
      <c r="T88" s="581">
        <f t="shared" si="37"/>
        <v>3.1052603558426295</v>
      </c>
      <c r="U88" s="581">
        <f t="shared" si="37"/>
        <v>3.1052611136532557</v>
      </c>
      <c r="V88" s="1431"/>
      <c r="W88" s="1431"/>
      <c r="X88" s="1431"/>
      <c r="Y88" s="1431"/>
      <c r="Z88" s="1431"/>
      <c r="AA88" s="1431"/>
      <c r="AB88" s="1431"/>
      <c r="AC88" s="1431"/>
      <c r="AD88" s="1431"/>
      <c r="AE88" s="1431"/>
      <c r="AF88" s="1431"/>
      <c r="AG88" s="1431"/>
      <c r="AH88" s="1431"/>
      <c r="AI88" s="1431"/>
    </row>
    <row r="89" spans="1:35" hidden="1">
      <c r="A89" s="459" t="str">
        <f>A102</f>
        <v>147A</v>
      </c>
      <c r="B89" s="581" t="str">
        <f t="shared" ref="B89:U89" si="38">B102</f>
        <v>RESULTADO PRESUPUESTAL</v>
      </c>
      <c r="C89" s="581">
        <f t="shared" si="38"/>
        <v>0</v>
      </c>
      <c r="D89" s="581">
        <f t="shared" si="38"/>
        <v>0</v>
      </c>
      <c r="E89" s="581">
        <f t="shared" si="38"/>
        <v>0</v>
      </c>
      <c r="F89" s="581">
        <f t="shared" si="38"/>
        <v>0</v>
      </c>
      <c r="G89" s="581">
        <f t="shared" si="38"/>
        <v>0</v>
      </c>
      <c r="H89" s="581">
        <f t="shared" si="38"/>
        <v>0</v>
      </c>
      <c r="I89" s="581">
        <f t="shared" si="38"/>
        <v>0</v>
      </c>
      <c r="J89" s="581">
        <f t="shared" si="38"/>
        <v>0</v>
      </c>
      <c r="K89" s="581">
        <f t="shared" si="38"/>
        <v>0</v>
      </c>
      <c r="L89" s="581">
        <f t="shared" si="38"/>
        <v>0</v>
      </c>
      <c r="M89" s="581">
        <f t="shared" si="38"/>
        <v>0</v>
      </c>
      <c r="N89" s="581">
        <f t="shared" si="38"/>
        <v>0</v>
      </c>
      <c r="O89" s="581">
        <f t="shared" si="38"/>
        <v>0</v>
      </c>
      <c r="P89" s="581">
        <f t="shared" si="38"/>
        <v>0</v>
      </c>
      <c r="Q89" s="581">
        <f t="shared" si="38"/>
        <v>0</v>
      </c>
      <c r="R89" s="581">
        <f t="shared" si="38"/>
        <v>0</v>
      </c>
      <c r="S89" s="581">
        <f t="shared" si="38"/>
        <v>0</v>
      </c>
      <c r="T89" s="581">
        <f t="shared" si="38"/>
        <v>0</v>
      </c>
      <c r="U89" s="581">
        <f t="shared" si="38"/>
        <v>0</v>
      </c>
      <c r="V89" s="1431"/>
      <c r="W89" s="1431"/>
      <c r="X89" s="1431"/>
      <c r="Y89" s="1431"/>
      <c r="Z89" s="1431"/>
      <c r="AA89" s="1431"/>
      <c r="AB89" s="1431"/>
      <c r="AC89" s="1431"/>
      <c r="AD89" s="1431"/>
      <c r="AE89" s="1431"/>
      <c r="AF89" s="1431"/>
      <c r="AG89" s="1431"/>
      <c r="AH89" s="1431"/>
      <c r="AI89" s="1431"/>
    </row>
    <row r="90" spans="1:35" hidden="1">
      <c r="A90" s="459" t="str">
        <f t="shared" ref="A90:P92" si="39">A103</f>
        <v>148A</v>
      </c>
      <c r="B90" s="581" t="str">
        <f t="shared" si="39"/>
        <v>INGRESOS TOTALES</v>
      </c>
      <c r="C90" s="581">
        <f t="shared" si="39"/>
        <v>6706172.1200000001</v>
      </c>
      <c r="D90" s="581">
        <f t="shared" si="39"/>
        <v>0</v>
      </c>
      <c r="E90" s="581">
        <f t="shared" si="39"/>
        <v>0</v>
      </c>
      <c r="F90" s="581">
        <f t="shared" si="39"/>
        <v>0</v>
      </c>
      <c r="G90" s="581">
        <f t="shared" si="39"/>
        <v>6642691</v>
      </c>
      <c r="H90" s="581">
        <f t="shared" si="39"/>
        <v>6291226.4800000004</v>
      </c>
      <c r="I90" s="581">
        <f t="shared" si="39"/>
        <v>6706172.0992000001</v>
      </c>
      <c r="J90" s="581">
        <f t="shared" si="39"/>
        <v>6618634.5031679999</v>
      </c>
      <c r="K90" s="581">
        <f t="shared" si="39"/>
        <v>5957129.6032947199</v>
      </c>
      <c r="L90" s="581">
        <f t="shared" si="39"/>
        <v>6137684.3874265086</v>
      </c>
      <c r="M90" s="581">
        <f t="shared" si="39"/>
        <v>6383191.7629235703</v>
      </c>
      <c r="N90" s="581">
        <f t="shared" si="39"/>
        <v>6638519.433440512</v>
      </c>
      <c r="O90" s="581">
        <f t="shared" si="39"/>
        <v>7704060.2107781339</v>
      </c>
      <c r="P90" s="581">
        <f t="shared" si="39"/>
        <v>7180222.6192092588</v>
      </c>
      <c r="Q90" s="581">
        <f t="shared" ref="Q90:U92" si="40">Q103</f>
        <v>7467431.5239776298</v>
      </c>
      <c r="R90" s="581">
        <f t="shared" si="40"/>
        <v>7766128.7849367354</v>
      </c>
      <c r="S90" s="581">
        <f t="shared" si="40"/>
        <v>8076773.9363342058</v>
      </c>
      <c r="T90" s="581">
        <f t="shared" si="40"/>
        <v>8399844.893787574</v>
      </c>
      <c r="U90" s="581">
        <f t="shared" si="40"/>
        <v>8735838.6895390768</v>
      </c>
      <c r="V90" s="1431"/>
      <c r="W90" s="1431"/>
      <c r="X90" s="1431"/>
      <c r="Y90" s="1431"/>
      <c r="Z90" s="1431"/>
      <c r="AA90" s="1431"/>
      <c r="AB90" s="1431"/>
      <c r="AC90" s="1431"/>
      <c r="AD90" s="1431"/>
      <c r="AE90" s="1431"/>
      <c r="AF90" s="1431"/>
      <c r="AG90" s="1431"/>
      <c r="AH90" s="1431"/>
      <c r="AI90" s="1431"/>
    </row>
    <row r="91" spans="1:35" hidden="1">
      <c r="A91" s="459" t="str">
        <f t="shared" si="39"/>
        <v>149A</v>
      </c>
      <c r="B91" s="581" t="str">
        <f t="shared" si="39"/>
        <v>GASTOS TOTALES</v>
      </c>
      <c r="C91" s="581">
        <f t="shared" si="39"/>
        <v>5209924.4450000003</v>
      </c>
      <c r="D91" s="581">
        <f t="shared" si="39"/>
        <v>0</v>
      </c>
      <c r="E91" s="581">
        <f t="shared" si="39"/>
        <v>0</v>
      </c>
      <c r="F91" s="581">
        <f t="shared" si="39"/>
        <v>0</v>
      </c>
      <c r="G91" s="581">
        <f t="shared" si="39"/>
        <v>6642691</v>
      </c>
      <c r="H91" s="581">
        <f t="shared" si="39"/>
        <v>6291226.1999999993</v>
      </c>
      <c r="I91" s="581">
        <f t="shared" si="39"/>
        <v>6706172.4450000003</v>
      </c>
      <c r="J91" s="581">
        <f t="shared" si="39"/>
        <v>6618635.4172500009</v>
      </c>
      <c r="K91" s="581">
        <f t="shared" si="39"/>
        <v>5957129.8881125012</v>
      </c>
      <c r="L91" s="581">
        <f t="shared" si="39"/>
        <v>6137685.0835181251</v>
      </c>
      <c r="M91" s="581">
        <f t="shared" si="39"/>
        <v>6383192.4636140335</v>
      </c>
      <c r="N91" s="581">
        <f t="shared" si="39"/>
        <v>6638519.8395395344</v>
      </c>
      <c r="O91" s="581">
        <f t="shared" si="39"/>
        <v>7704061.0723510776</v>
      </c>
      <c r="P91" s="581">
        <f t="shared" si="39"/>
        <v>7180222.7782420954</v>
      </c>
      <c r="Q91" s="581">
        <f t="shared" si="40"/>
        <v>7467432.016420288</v>
      </c>
      <c r="R91" s="581">
        <f t="shared" si="40"/>
        <v>7766128.8435929678</v>
      </c>
      <c r="S91" s="581">
        <f t="shared" si="40"/>
        <v>8076773.8423776366</v>
      </c>
      <c r="T91" s="581">
        <f t="shared" si="40"/>
        <v>8399845.2406703923</v>
      </c>
      <c r="U91" s="581">
        <f t="shared" si="40"/>
        <v>8735838.9552614242</v>
      </c>
      <c r="V91" s="1431"/>
      <c r="W91" s="1431"/>
      <c r="X91" s="1431"/>
      <c r="Y91" s="1431"/>
      <c r="Z91" s="1431"/>
      <c r="AA91" s="1431"/>
      <c r="AB91" s="1431"/>
      <c r="AC91" s="1431"/>
      <c r="AD91" s="1431"/>
      <c r="AE91" s="1431"/>
      <c r="AF91" s="1431"/>
      <c r="AG91" s="1431"/>
      <c r="AH91" s="1431"/>
      <c r="AI91" s="1431"/>
    </row>
    <row r="92" spans="1:35" hidden="1">
      <c r="A92" s="459" t="str">
        <f t="shared" si="39"/>
        <v>150A</v>
      </c>
      <c r="B92" s="581" t="str">
        <f t="shared" si="39"/>
        <v>DEFICIT O SUPERAVIT PRESUPUESTAL</v>
      </c>
      <c r="C92" s="581">
        <f t="shared" si="39"/>
        <v>1496247.6749999998</v>
      </c>
      <c r="D92" s="581">
        <f t="shared" si="39"/>
        <v>0</v>
      </c>
      <c r="E92" s="581">
        <f t="shared" si="39"/>
        <v>0</v>
      </c>
      <c r="F92" s="581">
        <f t="shared" si="39"/>
        <v>0</v>
      </c>
      <c r="G92" s="581">
        <f t="shared" si="39"/>
        <v>0</v>
      </c>
      <c r="H92" s="581">
        <f t="shared" si="39"/>
        <v>0.2800000011920929</v>
      </c>
      <c r="I92" s="581">
        <f t="shared" si="39"/>
        <v>-0.34580000024288893</v>
      </c>
      <c r="J92" s="581">
        <f t="shared" si="39"/>
        <v>-0.91408200096338987</v>
      </c>
      <c r="K92" s="581">
        <f t="shared" si="39"/>
        <v>-0.28481778129935265</v>
      </c>
      <c r="L92" s="581">
        <f t="shared" si="39"/>
        <v>-0.69609161652624607</v>
      </c>
      <c r="M92" s="581">
        <f t="shared" si="39"/>
        <v>-0.70069046318531036</v>
      </c>
      <c r="N92" s="581">
        <f t="shared" si="39"/>
        <v>-0.40609902236610651</v>
      </c>
      <c r="O92" s="581">
        <f t="shared" si="39"/>
        <v>-0.86157294362783432</v>
      </c>
      <c r="P92" s="581">
        <f t="shared" si="39"/>
        <v>-0.15903283655643463</v>
      </c>
      <c r="Q92" s="581">
        <f t="shared" si="40"/>
        <v>-0.4924426581710577</v>
      </c>
      <c r="R92" s="581">
        <f t="shared" si="40"/>
        <v>-5.8656232431530952E-2</v>
      </c>
      <c r="S92" s="581">
        <f t="shared" si="40"/>
        <v>9.3956569209694862E-2</v>
      </c>
      <c r="T92" s="581">
        <f t="shared" si="40"/>
        <v>-0.34688281826674938</v>
      </c>
      <c r="U92" s="581">
        <f t="shared" si="40"/>
        <v>-0.26572234742343426</v>
      </c>
      <c r="V92" s="1431"/>
      <c r="W92" s="1431"/>
      <c r="X92" s="1431"/>
      <c r="Y92" s="1431"/>
      <c r="Z92" s="1431"/>
      <c r="AA92" s="1431"/>
      <c r="AB92" s="1431"/>
      <c r="AC92" s="1431"/>
      <c r="AD92" s="1431"/>
      <c r="AE92" s="1431"/>
      <c r="AF92" s="1431"/>
      <c r="AG92" s="1431"/>
      <c r="AH92" s="1431"/>
      <c r="AI92" s="1431"/>
    </row>
    <row r="93" spans="1:35" ht="6" customHeight="1" thickBot="1">
      <c r="A93" s="459"/>
      <c r="B93" s="551"/>
      <c r="C93" s="582"/>
      <c r="D93" s="537"/>
      <c r="E93" s="583"/>
      <c r="G93" s="582"/>
      <c r="H93" s="582"/>
      <c r="I93" s="582"/>
      <c r="J93" s="582"/>
      <c r="K93" s="582"/>
      <c r="L93" s="582"/>
      <c r="M93" s="582"/>
      <c r="N93" s="582"/>
      <c r="O93" s="582"/>
      <c r="P93" s="582"/>
      <c r="Q93" s="582"/>
      <c r="R93" s="582"/>
      <c r="S93" s="582"/>
      <c r="T93" s="582"/>
      <c r="U93" s="582"/>
      <c r="V93" s="1431"/>
      <c r="W93" s="1431"/>
      <c r="X93" s="1431"/>
      <c r="Y93" s="1431"/>
      <c r="Z93" s="1431"/>
      <c r="AA93" s="1431"/>
      <c r="AB93" s="1431"/>
      <c r="AC93" s="1431"/>
      <c r="AD93" s="1431"/>
      <c r="AE93" s="1431"/>
      <c r="AF93" s="1431"/>
      <c r="AG93" s="1431"/>
      <c r="AH93" s="1431"/>
      <c r="AI93" s="1431"/>
    </row>
    <row r="94" spans="1:35" ht="12.75" thickBot="1">
      <c r="A94" s="603" t="s">
        <v>587</v>
      </c>
      <c r="B94" s="519" t="s">
        <v>588</v>
      </c>
      <c r="C94" s="533">
        <f>+(C26+C66)-(C46+C62+C63+C64+C74)</f>
        <v>1548676.6749999998</v>
      </c>
      <c r="G94" s="533">
        <f>+(G26+G66)-(G46+G62+G63+G64+G74)</f>
        <v>60059</v>
      </c>
      <c r="H94" s="533">
        <f t="shared" ref="H94:U94" si="41">+(H26+H66)-(H46+H62+H63+H64+H74)</f>
        <v>40000.280000001192</v>
      </c>
      <c r="I94" s="533">
        <f t="shared" si="41"/>
        <v>52428.654199999757</v>
      </c>
      <c r="J94" s="533">
        <f t="shared" si="41"/>
        <v>235999.08591799904</v>
      </c>
      <c r="K94" s="533">
        <f t="shared" si="41"/>
        <v>247799.7151822187</v>
      </c>
      <c r="L94" s="533">
        <f t="shared" si="41"/>
        <v>260189.30390838347</v>
      </c>
      <c r="M94" s="533">
        <f t="shared" si="41"/>
        <v>273198.79930953775</v>
      </c>
      <c r="N94" s="533">
        <f t="shared" si="41"/>
        <v>286859.06890097819</v>
      </c>
      <c r="O94" s="533">
        <f t="shared" si="41"/>
        <v>301201.58717705589</v>
      </c>
      <c r="P94" s="533">
        <f t="shared" si="41"/>
        <v>316262.41215466335</v>
      </c>
      <c r="Q94" s="533">
        <f t="shared" si="41"/>
        <v>332075.20730421692</v>
      </c>
      <c r="R94" s="533">
        <f t="shared" si="41"/>
        <v>348679.42607798707</v>
      </c>
      <c r="S94" s="533">
        <f t="shared" si="41"/>
        <v>366113.55292749871</v>
      </c>
      <c r="T94" s="533">
        <f t="shared" si="41"/>
        <v>384418.78503665701</v>
      </c>
      <c r="U94" s="533">
        <f t="shared" si="41"/>
        <v>403639.82279310375</v>
      </c>
      <c r="V94" s="1431">
        <f t="shared" ref="V94:AI94" si="42">+H94/G94-1</f>
        <v>-0.33398358281021678</v>
      </c>
      <c r="W94" s="1431">
        <f t="shared" si="42"/>
        <v>0.31070718004969455</v>
      </c>
      <c r="X94" s="1431">
        <f t="shared" si="42"/>
        <v>3.5013378565418174</v>
      </c>
      <c r="Y94" s="1431">
        <f t="shared" si="42"/>
        <v>5.0002860046330699E-2</v>
      </c>
      <c r="Z94" s="1431">
        <f t="shared" si="42"/>
        <v>4.9998397766737313E-2</v>
      </c>
      <c r="AA94" s="1431">
        <f t="shared" si="42"/>
        <v>5.0000116091378999E-2</v>
      </c>
      <c r="AB94" s="1431">
        <f t="shared" si="42"/>
        <v>5.0001206542504617E-2</v>
      </c>
      <c r="AC94" s="1431">
        <f t="shared" si="42"/>
        <v>4.9998482986879589E-2</v>
      </c>
      <c r="AD94" s="1431">
        <f t="shared" si="42"/>
        <v>5.0002475480828812E-2</v>
      </c>
      <c r="AE94" s="1431">
        <f t="shared" si="42"/>
        <v>4.9998970923615715E-2</v>
      </c>
      <c r="AF94" s="1431">
        <f t="shared" si="42"/>
        <v>5.0001380435965137E-2</v>
      </c>
      <c r="AG94" s="1431">
        <f t="shared" si="42"/>
        <v>5.0000446099197848E-2</v>
      </c>
      <c r="AH94" s="1431">
        <f t="shared" si="42"/>
        <v>4.9998783062759955E-2</v>
      </c>
      <c r="AI94" s="1431">
        <f t="shared" si="42"/>
        <v>5.0000256242977104E-2</v>
      </c>
    </row>
    <row r="95" spans="1:35" ht="12.75" thickBot="1">
      <c r="A95" s="603" t="s">
        <v>589</v>
      </c>
      <c r="B95" s="568" t="s">
        <v>590</v>
      </c>
      <c r="C95" s="584">
        <f>+C94/C59</f>
        <v>208.35149670388805</v>
      </c>
      <c r="G95" s="585">
        <f t="shared" ref="G95:U95" si="43">+G94/G59</f>
        <v>6.0058999999999996</v>
      </c>
      <c r="H95" s="585">
        <f t="shared" si="43"/>
        <v>8.0000560000002388</v>
      </c>
      <c r="I95" s="585">
        <f t="shared" si="43"/>
        <v>7.0534984797524229</v>
      </c>
      <c r="J95" s="585">
        <f t="shared" si="43"/>
        <v>3.1052511304999872</v>
      </c>
      <c r="K95" s="585">
        <f t="shared" si="43"/>
        <v>3.1052595887496079</v>
      </c>
      <c r="L95" s="585">
        <f t="shared" si="43"/>
        <v>3.1052548503208435</v>
      </c>
      <c r="M95" s="585">
        <f t="shared" si="43"/>
        <v>3.105255193647813</v>
      </c>
      <c r="N95" s="585">
        <f t="shared" si="43"/>
        <v>3.1052587618596017</v>
      </c>
      <c r="O95" s="585">
        <f t="shared" si="43"/>
        <v>3.105254275461236</v>
      </c>
      <c r="P95" s="585">
        <f t="shared" si="43"/>
        <v>3.1052615964111672</v>
      </c>
      <c r="Q95" s="585">
        <f t="shared" si="43"/>
        <v>3.1052585530289041</v>
      </c>
      <c r="R95" s="585">
        <f t="shared" si="43"/>
        <v>3.105262635515178</v>
      </c>
      <c r="S95" s="585">
        <f t="shared" si="43"/>
        <v>3.1052639548058165</v>
      </c>
      <c r="T95" s="585">
        <f t="shared" si="43"/>
        <v>3.1052603558426295</v>
      </c>
      <c r="U95" s="585">
        <f t="shared" si="43"/>
        <v>3.1052611136532557</v>
      </c>
      <c r="V95" s="1431"/>
      <c r="W95" s="1431"/>
      <c r="X95" s="1431"/>
      <c r="Y95" s="1431"/>
      <c r="Z95" s="1431"/>
      <c r="AA95" s="1431"/>
      <c r="AB95" s="1431"/>
      <c r="AC95" s="1431"/>
      <c r="AD95" s="1431"/>
      <c r="AE95" s="1431"/>
      <c r="AF95" s="1431"/>
      <c r="AG95" s="1431"/>
      <c r="AH95" s="1431"/>
      <c r="AI95" s="1431"/>
    </row>
    <row r="96" spans="1:35" ht="12.75" customHeight="1">
      <c r="A96" s="604"/>
      <c r="B96" s="586" t="s">
        <v>591</v>
      </c>
      <c r="C96" s="586"/>
      <c r="V96" s="1431"/>
      <c r="W96" s="1431"/>
      <c r="X96" s="1431"/>
      <c r="Y96" s="1431"/>
      <c r="Z96" s="1431"/>
      <c r="AA96" s="1431"/>
      <c r="AB96" s="1431"/>
      <c r="AC96" s="1431"/>
      <c r="AD96" s="1431"/>
      <c r="AE96" s="1431"/>
      <c r="AF96" s="1431"/>
      <c r="AG96" s="1431"/>
      <c r="AH96" s="1431"/>
      <c r="AI96" s="1431"/>
    </row>
    <row r="97" spans="1:35" ht="4.5" customHeight="1">
      <c r="A97" s="604"/>
      <c r="B97" s="587"/>
      <c r="C97" s="587"/>
      <c r="E97" s="588"/>
      <c r="F97" s="588"/>
      <c r="V97" s="1431"/>
      <c r="W97" s="1431"/>
      <c r="X97" s="1431"/>
      <c r="Y97" s="1431"/>
      <c r="Z97" s="1431"/>
      <c r="AA97" s="1431"/>
      <c r="AB97" s="1431"/>
      <c r="AC97" s="1431"/>
      <c r="AD97" s="1431"/>
      <c r="AE97" s="1431"/>
      <c r="AF97" s="1431"/>
      <c r="AG97" s="1431"/>
      <c r="AH97" s="1431"/>
      <c r="AI97" s="1431"/>
    </row>
    <row r="98" spans="1:35" ht="4.5" customHeight="1">
      <c r="A98" s="604"/>
      <c r="B98" s="587"/>
      <c r="C98" s="587"/>
      <c r="E98" s="588"/>
      <c r="F98" s="588"/>
      <c r="V98" s="1431"/>
      <c r="W98" s="1431"/>
      <c r="X98" s="1431"/>
      <c r="Y98" s="1431"/>
      <c r="Z98" s="1431"/>
      <c r="AA98" s="1431"/>
      <c r="AB98" s="1431"/>
      <c r="AC98" s="1431"/>
      <c r="AD98" s="1431"/>
      <c r="AE98" s="1431"/>
      <c r="AF98" s="1431"/>
      <c r="AG98" s="1431"/>
      <c r="AH98" s="1431"/>
      <c r="AI98" s="1431"/>
    </row>
    <row r="99" spans="1:35">
      <c r="A99" s="604"/>
      <c r="B99" s="524" t="s">
        <v>592</v>
      </c>
      <c r="V99" s="1431"/>
      <c r="W99" s="1431"/>
      <c r="X99" s="1431"/>
      <c r="Y99" s="1431"/>
      <c r="Z99" s="1431"/>
      <c r="AA99" s="1431"/>
      <c r="AB99" s="1431"/>
      <c r="AC99" s="1431"/>
      <c r="AD99" s="1431"/>
      <c r="AE99" s="1431"/>
      <c r="AF99" s="1431"/>
      <c r="AG99" s="1431"/>
      <c r="AH99" s="1431"/>
      <c r="AI99" s="1431"/>
    </row>
    <row r="100" spans="1:35" ht="4.5" customHeight="1">
      <c r="A100" s="604"/>
      <c r="B100" s="524"/>
      <c r="V100" s="1431"/>
      <c r="W100" s="1431"/>
      <c r="X100" s="1431"/>
      <c r="Y100" s="1431"/>
      <c r="Z100" s="1431"/>
      <c r="AA100" s="1431"/>
      <c r="AB100" s="1431"/>
      <c r="AC100" s="1431"/>
      <c r="AD100" s="1431"/>
      <c r="AE100" s="1431"/>
      <c r="AF100" s="1431"/>
      <c r="AG100" s="1431"/>
      <c r="AH100" s="1431"/>
      <c r="AI100" s="1431"/>
    </row>
    <row r="101" spans="1:35" ht="4.5" customHeight="1" thickBot="1">
      <c r="A101" s="604"/>
      <c r="B101" s="524"/>
      <c r="V101" s="1431"/>
      <c r="W101" s="1431"/>
      <c r="X101" s="1431"/>
      <c r="Y101" s="1431"/>
      <c r="Z101" s="1431"/>
      <c r="AA101" s="1431"/>
      <c r="AB101" s="1431"/>
      <c r="AC101" s="1431"/>
      <c r="AD101" s="1431"/>
      <c r="AE101" s="1431"/>
      <c r="AF101" s="1431"/>
      <c r="AG101" s="1431"/>
      <c r="AH101" s="1431"/>
      <c r="AI101" s="1431"/>
    </row>
    <row r="102" spans="1:35">
      <c r="A102" s="603" t="s">
        <v>593</v>
      </c>
      <c r="B102" s="589" t="s">
        <v>594</v>
      </c>
      <c r="C102" s="590"/>
      <c r="G102" s="605"/>
      <c r="H102" s="606"/>
      <c r="I102" s="606"/>
      <c r="J102" s="606"/>
      <c r="K102" s="606"/>
      <c r="L102" s="606"/>
      <c r="M102" s="606"/>
      <c r="N102" s="606"/>
      <c r="O102" s="606"/>
      <c r="P102" s="606"/>
      <c r="Q102" s="606"/>
      <c r="R102" s="606"/>
      <c r="S102" s="606"/>
      <c r="T102" s="606"/>
      <c r="U102" s="606"/>
      <c r="V102" s="1431"/>
      <c r="W102" s="1431"/>
      <c r="X102" s="1431"/>
      <c r="Y102" s="1431"/>
      <c r="Z102" s="1431"/>
      <c r="AA102" s="1431"/>
      <c r="AB102" s="1431"/>
      <c r="AC102" s="1431"/>
      <c r="AD102" s="1431"/>
      <c r="AE102" s="1431"/>
      <c r="AF102" s="1431"/>
      <c r="AG102" s="1431"/>
      <c r="AH102" s="1431"/>
      <c r="AI102" s="1431"/>
    </row>
    <row r="103" spans="1:35">
      <c r="A103" s="603" t="s">
        <v>595</v>
      </c>
      <c r="B103" s="591" t="s">
        <v>523</v>
      </c>
      <c r="C103" s="592">
        <f>+C25+C82+C85</f>
        <v>6706172.1200000001</v>
      </c>
      <c r="G103" s="593">
        <f t="shared" ref="G103:U103" si="44">+G25+G82+G85</f>
        <v>6642691</v>
      </c>
      <c r="H103" s="592">
        <f t="shared" si="44"/>
        <v>6291226.4800000004</v>
      </c>
      <c r="I103" s="592">
        <f t="shared" si="44"/>
        <v>6706172.0992000001</v>
      </c>
      <c r="J103" s="592">
        <f t="shared" si="44"/>
        <v>6618634.5031679999</v>
      </c>
      <c r="K103" s="592">
        <f t="shared" si="44"/>
        <v>5957129.6032947199</v>
      </c>
      <c r="L103" s="592">
        <f t="shared" si="44"/>
        <v>6137684.3874265086</v>
      </c>
      <c r="M103" s="592">
        <f t="shared" si="44"/>
        <v>6383191.7629235703</v>
      </c>
      <c r="N103" s="592">
        <f t="shared" si="44"/>
        <v>6638519.433440512</v>
      </c>
      <c r="O103" s="592">
        <f t="shared" si="44"/>
        <v>7704060.2107781339</v>
      </c>
      <c r="P103" s="592">
        <f t="shared" si="44"/>
        <v>7180222.6192092588</v>
      </c>
      <c r="Q103" s="592">
        <f t="shared" si="44"/>
        <v>7467431.5239776298</v>
      </c>
      <c r="R103" s="592">
        <f t="shared" si="44"/>
        <v>7766128.7849367354</v>
      </c>
      <c r="S103" s="592">
        <f t="shared" si="44"/>
        <v>8076773.9363342058</v>
      </c>
      <c r="T103" s="592">
        <f t="shared" si="44"/>
        <v>8399844.893787574</v>
      </c>
      <c r="U103" s="592">
        <f t="shared" si="44"/>
        <v>8735838.6895390768</v>
      </c>
      <c r="V103" s="1431">
        <f t="shared" ref="V103:AI105" si="45">+H103/G103-1</f>
        <v>-5.2909960737297479E-2</v>
      </c>
      <c r="W103" s="1431">
        <f t="shared" si="45"/>
        <v>6.5956236120114919E-2</v>
      </c>
      <c r="X103" s="1431">
        <f t="shared" si="45"/>
        <v>-1.3053288036321442E-2</v>
      </c>
      <c r="Y103" s="1431">
        <f t="shared" si="45"/>
        <v>-9.9945827127431164E-2</v>
      </c>
      <c r="Z103" s="1431">
        <f t="shared" si="45"/>
        <v>3.0309024002420415E-2</v>
      </c>
      <c r="AA103" s="1431">
        <f t="shared" si="45"/>
        <v>4.0000000000000258E-2</v>
      </c>
      <c r="AB103" s="1431">
        <f t="shared" si="45"/>
        <v>3.9999999999999813E-2</v>
      </c>
      <c r="AC103" s="1431">
        <f t="shared" si="45"/>
        <v>0.16050879838810528</v>
      </c>
      <c r="AD103" s="1431">
        <f t="shared" si="45"/>
        <v>-6.799500227633426E-2</v>
      </c>
      <c r="AE103" s="1431">
        <f t="shared" si="45"/>
        <v>4.0000000000000036E-2</v>
      </c>
      <c r="AF103" s="1431">
        <f t="shared" si="45"/>
        <v>4.0000000000000036E-2</v>
      </c>
      <c r="AG103" s="1431">
        <f t="shared" si="45"/>
        <v>4.0000000000000036E-2</v>
      </c>
      <c r="AH103" s="1431">
        <f t="shared" si="45"/>
        <v>4.0000000000000036E-2</v>
      </c>
      <c r="AI103" s="1431">
        <f t="shared" si="45"/>
        <v>4.0000000000000036E-2</v>
      </c>
    </row>
    <row r="104" spans="1:35">
      <c r="A104" s="603" t="s">
        <v>596</v>
      </c>
      <c r="B104" s="591" t="s">
        <v>597</v>
      </c>
      <c r="C104" s="592">
        <f>+C44+C83+C86</f>
        <v>5209924.4450000003</v>
      </c>
      <c r="G104" s="593">
        <f t="shared" ref="G104:U104" si="46">+G44+G83+G86</f>
        <v>6642691</v>
      </c>
      <c r="H104" s="592">
        <f t="shared" si="46"/>
        <v>6291226.1999999993</v>
      </c>
      <c r="I104" s="592">
        <f t="shared" si="46"/>
        <v>6706172.4450000003</v>
      </c>
      <c r="J104" s="592">
        <f t="shared" si="46"/>
        <v>6618635.4172500009</v>
      </c>
      <c r="K104" s="592">
        <f t="shared" si="46"/>
        <v>5957129.8881125012</v>
      </c>
      <c r="L104" s="592">
        <f t="shared" si="46"/>
        <v>6137685.0835181251</v>
      </c>
      <c r="M104" s="592">
        <f t="shared" si="46"/>
        <v>6383192.4636140335</v>
      </c>
      <c r="N104" s="592">
        <f t="shared" si="46"/>
        <v>6638519.8395395344</v>
      </c>
      <c r="O104" s="592">
        <f t="shared" si="46"/>
        <v>7704061.0723510776</v>
      </c>
      <c r="P104" s="592">
        <f t="shared" si="46"/>
        <v>7180222.7782420954</v>
      </c>
      <c r="Q104" s="592">
        <f t="shared" si="46"/>
        <v>7467432.016420288</v>
      </c>
      <c r="R104" s="592">
        <f t="shared" si="46"/>
        <v>7766128.8435929678</v>
      </c>
      <c r="S104" s="592">
        <f t="shared" si="46"/>
        <v>8076773.8423776366</v>
      </c>
      <c r="T104" s="592">
        <f t="shared" si="46"/>
        <v>8399845.2406703923</v>
      </c>
      <c r="U104" s="592">
        <f t="shared" si="46"/>
        <v>8735838.9552614242</v>
      </c>
      <c r="V104" s="1431">
        <f t="shared" si="45"/>
        <v>-5.2910002888889585E-2</v>
      </c>
      <c r="W104" s="1431">
        <f t="shared" si="45"/>
        <v>6.5956338527455971E-2</v>
      </c>
      <c r="X104" s="1431">
        <f t="shared" si="45"/>
        <v>-1.3053202623094728E-2</v>
      </c>
      <c r="Y104" s="1431">
        <f t="shared" si="45"/>
        <v>-9.9945908398796579E-2</v>
      </c>
      <c r="Z104" s="1431">
        <f t="shared" si="45"/>
        <v>3.030909159223194E-2</v>
      </c>
      <c r="AA104" s="1431">
        <f t="shared" si="45"/>
        <v>3.9999996212771283E-2</v>
      </c>
      <c r="AB104" s="1431">
        <f t="shared" si="45"/>
        <v>3.9999949458039641E-2</v>
      </c>
      <c r="AC104" s="1431">
        <f t="shared" si="45"/>
        <v>0.1605088571800446</v>
      </c>
      <c r="AD104" s="1431">
        <f t="shared" si="45"/>
        <v>-6.7995085863087557E-2</v>
      </c>
      <c r="AE104" s="1431">
        <f t="shared" si="45"/>
        <v>4.0000045548518326E-2</v>
      </c>
      <c r="AF104" s="1431">
        <f t="shared" si="45"/>
        <v>3.9999939271742946E-2</v>
      </c>
      <c r="AG104" s="1431">
        <f t="shared" si="45"/>
        <v>3.999998004680938E-2</v>
      </c>
      <c r="AH104" s="1431">
        <f t="shared" si="45"/>
        <v>4.000005504644033E-2</v>
      </c>
      <c r="AI104" s="1431">
        <f t="shared" si="45"/>
        <v>3.9999988686007848E-2</v>
      </c>
    </row>
    <row r="105" spans="1:35" ht="12.75" thickBot="1">
      <c r="A105" s="603" t="s">
        <v>598</v>
      </c>
      <c r="B105" s="594" t="s">
        <v>599</v>
      </c>
      <c r="C105" s="595">
        <f>+C103-C104</f>
        <v>1496247.6749999998</v>
      </c>
      <c r="G105" s="596">
        <f t="shared" ref="G105:U105" si="47">+G103-G104</f>
        <v>0</v>
      </c>
      <c r="H105" s="595">
        <f t="shared" si="47"/>
        <v>0.2800000011920929</v>
      </c>
      <c r="I105" s="595">
        <f t="shared" si="47"/>
        <v>-0.34580000024288893</v>
      </c>
      <c r="J105" s="595">
        <f t="shared" si="47"/>
        <v>-0.91408200096338987</v>
      </c>
      <c r="K105" s="595">
        <f t="shared" si="47"/>
        <v>-0.28481778129935265</v>
      </c>
      <c r="L105" s="595">
        <f t="shared" si="47"/>
        <v>-0.69609161652624607</v>
      </c>
      <c r="M105" s="595">
        <f t="shared" si="47"/>
        <v>-0.70069046318531036</v>
      </c>
      <c r="N105" s="595">
        <f t="shared" si="47"/>
        <v>-0.40609902236610651</v>
      </c>
      <c r="O105" s="595">
        <f t="shared" si="47"/>
        <v>-0.86157294362783432</v>
      </c>
      <c r="P105" s="595">
        <f t="shared" si="47"/>
        <v>-0.15903283655643463</v>
      </c>
      <c r="Q105" s="595">
        <f t="shared" si="47"/>
        <v>-0.4924426581710577</v>
      </c>
      <c r="R105" s="595">
        <f t="shared" si="47"/>
        <v>-5.8656232431530952E-2</v>
      </c>
      <c r="S105" s="595">
        <f t="shared" si="47"/>
        <v>9.3956569209694862E-2</v>
      </c>
      <c r="T105" s="595">
        <f t="shared" si="47"/>
        <v>-0.34688281826674938</v>
      </c>
      <c r="U105" s="595">
        <f t="shared" si="47"/>
        <v>-0.26572234742343426</v>
      </c>
      <c r="V105" s="1431" t="e">
        <f t="shared" si="45"/>
        <v>#DIV/0!</v>
      </c>
      <c r="W105" s="1431">
        <f t="shared" si="45"/>
        <v>-2.2349999956094795</v>
      </c>
      <c r="X105" s="1431">
        <f t="shared" si="45"/>
        <v>1.6433834595758858</v>
      </c>
      <c r="Y105" s="1431">
        <f t="shared" si="45"/>
        <v>-0.68841112613619893</v>
      </c>
      <c r="Z105" s="1431">
        <f t="shared" si="45"/>
        <v>1.4439893231056082</v>
      </c>
      <c r="AA105" s="1431">
        <f t="shared" si="45"/>
        <v>6.6066686480354964E-3</v>
      </c>
      <c r="AB105" s="1431">
        <f t="shared" si="45"/>
        <v>-0.42043021319286</v>
      </c>
      <c r="AC105" s="1431">
        <f t="shared" si="45"/>
        <v>1.1215833975859928</v>
      </c>
      <c r="AD105" s="1431">
        <f t="shared" si="45"/>
        <v>-0.81541570248620698</v>
      </c>
      <c r="AE105" s="1431">
        <f t="shared" si="45"/>
        <v>2.0964841527951288</v>
      </c>
      <c r="AF105" s="1431">
        <f t="shared" si="45"/>
        <v>-0.88088718258206666</v>
      </c>
      <c r="AG105" s="1431">
        <f t="shared" si="45"/>
        <v>-2.6018173229821704</v>
      </c>
      <c r="AH105" s="1431">
        <f t="shared" si="45"/>
        <v>-4.6919485373350192</v>
      </c>
      <c r="AI105" s="1431">
        <f t="shared" si="45"/>
        <v>-0.23397085865724121</v>
      </c>
    </row>
    <row r="106" spans="1:35" ht="3" customHeight="1">
      <c r="A106" s="604"/>
      <c r="B106" s="524"/>
    </row>
    <row r="107" spans="1:35" ht="3" customHeight="1" thickBot="1">
      <c r="A107" s="604"/>
    </row>
    <row r="108" spans="1:35" ht="12.75" thickBot="1">
      <c r="A108" s="604"/>
      <c r="B108" s="519" t="s">
        <v>600</v>
      </c>
      <c r="C108" s="597">
        <f>+C94/C26</f>
        <v>0.31104745009835605</v>
      </c>
      <c r="E108" s="588"/>
      <c r="F108" s="588"/>
      <c r="G108" s="597">
        <f t="shared" ref="G108:U108" si="48">+G94/G26</f>
        <v>9.3417372000826251E-3</v>
      </c>
      <c r="H108" s="597">
        <f t="shared" si="48"/>
        <v>6.5908135247821405E-3</v>
      </c>
      <c r="I108" s="597">
        <f t="shared" si="48"/>
        <v>1.0530150976154137E-2</v>
      </c>
      <c r="J108" s="597">
        <f t="shared" si="48"/>
        <v>4.2306041432053368E-2</v>
      </c>
      <c r="K108" s="597">
        <f t="shared" si="48"/>
        <v>4.3418312303289651E-2</v>
      </c>
      <c r="L108" s="597">
        <f t="shared" si="48"/>
        <v>4.4266271964625369E-2</v>
      </c>
      <c r="M108" s="597">
        <f t="shared" si="48"/>
        <v>4.4691914136335747E-2</v>
      </c>
      <c r="N108" s="597">
        <f t="shared" si="48"/>
        <v>4.5121695928698614E-2</v>
      </c>
      <c r="O108" s="597">
        <f t="shared" si="48"/>
        <v>4.555549257204692E-2</v>
      </c>
      <c r="P108" s="597">
        <f t="shared" si="48"/>
        <v>4.5993634588844021E-2</v>
      </c>
      <c r="Q108" s="597">
        <f t="shared" si="48"/>
        <v>4.6435835564733685E-2</v>
      </c>
      <c r="R108" s="597">
        <f t="shared" si="48"/>
        <v>4.6882395619872938E-2</v>
      </c>
      <c r="S108" s="597">
        <f t="shared" si="48"/>
        <v>4.7333207995255443E-2</v>
      </c>
      <c r="T108" s="597">
        <f t="shared" si="48"/>
        <v>4.7788279609110293E-2</v>
      </c>
      <c r="U108" s="597">
        <f t="shared" si="48"/>
        <v>4.8247794072093127E-2</v>
      </c>
    </row>
    <row r="109" spans="1:35" ht="12.75" thickBot="1">
      <c r="A109" s="604"/>
      <c r="B109" s="519" t="s">
        <v>601</v>
      </c>
      <c r="C109" s="598">
        <f>+C45/C26</f>
        <v>0.20462398089001088</v>
      </c>
      <c r="G109" s="598">
        <f t="shared" ref="G109:U109" si="49">+G45/G26</f>
        <v>0.15570054551925119</v>
      </c>
      <c r="H109" s="598">
        <f t="shared" si="49"/>
        <v>0.14506754383189852</v>
      </c>
      <c r="I109" s="598">
        <f t="shared" si="49"/>
        <v>0.18253279194876967</v>
      </c>
      <c r="J109" s="598">
        <f t="shared" si="49"/>
        <v>0.18315288442253508</v>
      </c>
      <c r="K109" s="598">
        <f t="shared" si="49"/>
        <v>0.18763881259770943</v>
      </c>
      <c r="L109" s="598">
        <f t="shared" si="49"/>
        <v>0.19097161664381657</v>
      </c>
      <c r="M109" s="598">
        <f t="shared" si="49"/>
        <v>0.18265402540049083</v>
      </c>
      <c r="N109" s="598">
        <f t="shared" si="49"/>
        <v>0.17628960234328553</v>
      </c>
      <c r="O109" s="598">
        <f t="shared" si="49"/>
        <v>0.17765262069700741</v>
      </c>
      <c r="P109" s="598">
        <f t="shared" si="49"/>
        <v>0.1790287449964382</v>
      </c>
      <c r="Q109" s="598">
        <f t="shared" si="49"/>
        <v>0.1804181012602866</v>
      </c>
      <c r="R109" s="598">
        <f t="shared" si="49"/>
        <v>0.18182081671897973</v>
      </c>
      <c r="S109" s="598">
        <f t="shared" si="49"/>
        <v>0.18323701982631407</v>
      </c>
      <c r="T109" s="598">
        <f t="shared" si="49"/>
        <v>0.18466684027121893</v>
      </c>
      <c r="U109" s="598">
        <f t="shared" si="49"/>
        <v>0.1861104089896326</v>
      </c>
    </row>
    <row r="110" spans="1:35" ht="12.75" thickBot="1">
      <c r="A110" s="604"/>
      <c r="B110" s="519" t="s">
        <v>602</v>
      </c>
      <c r="C110" s="598">
        <f>+C65/C26</f>
        <v>0.79537601910998912</v>
      </c>
      <c r="G110" s="598">
        <f t="shared" ref="G110:U110" si="50">+G65/G26</f>
        <v>0.84429945448074883</v>
      </c>
      <c r="H110" s="598">
        <f t="shared" si="50"/>
        <v>0.85493245616810154</v>
      </c>
      <c r="I110" s="598">
        <f t="shared" si="50"/>
        <v>0.8174672080512303</v>
      </c>
      <c r="J110" s="598">
        <f t="shared" si="50"/>
        <v>0.81684711557746492</v>
      </c>
      <c r="K110" s="598">
        <f t="shared" si="50"/>
        <v>0.81236118740229057</v>
      </c>
      <c r="L110" s="598">
        <f t="shared" si="50"/>
        <v>0.80902838335618354</v>
      </c>
      <c r="M110" s="598">
        <f t="shared" si="50"/>
        <v>0.81734597459950908</v>
      </c>
      <c r="N110" s="598">
        <f t="shared" si="50"/>
        <v>0.82371039765671439</v>
      </c>
      <c r="O110" s="598">
        <f t="shared" si="50"/>
        <v>0.82234737930299262</v>
      </c>
      <c r="P110" s="598">
        <f t="shared" si="50"/>
        <v>0.82097125500356183</v>
      </c>
      <c r="Q110" s="598">
        <f t="shared" si="50"/>
        <v>0.81958189873971343</v>
      </c>
      <c r="R110" s="598">
        <f t="shared" si="50"/>
        <v>0.81817918328102035</v>
      </c>
      <c r="S110" s="598">
        <f t="shared" si="50"/>
        <v>0.81676298017368598</v>
      </c>
      <c r="T110" s="598">
        <f t="shared" si="50"/>
        <v>0.81533315972878107</v>
      </c>
      <c r="U110" s="598">
        <f t="shared" si="50"/>
        <v>0.8138895910103674</v>
      </c>
    </row>
    <row r="111" spans="1:35" ht="12.75" thickBot="1">
      <c r="A111" s="604"/>
      <c r="B111" s="519" t="s">
        <v>603</v>
      </c>
      <c r="C111" s="599"/>
      <c r="G111" s="599">
        <v>0</v>
      </c>
      <c r="H111" s="599">
        <v>0</v>
      </c>
      <c r="I111" s="599">
        <v>0</v>
      </c>
      <c r="J111" s="599">
        <v>0</v>
      </c>
      <c r="K111" s="599">
        <v>0</v>
      </c>
      <c r="L111" s="599">
        <v>0</v>
      </c>
      <c r="M111" s="599">
        <v>0</v>
      </c>
      <c r="N111" s="599">
        <v>0</v>
      </c>
      <c r="O111" s="599">
        <v>0</v>
      </c>
      <c r="P111" s="599">
        <v>0</v>
      </c>
      <c r="Q111" s="599">
        <v>0</v>
      </c>
      <c r="R111" s="599">
        <v>0</v>
      </c>
      <c r="S111" s="599">
        <v>0</v>
      </c>
      <c r="T111" s="599">
        <v>0</v>
      </c>
      <c r="U111" s="599">
        <v>0</v>
      </c>
    </row>
    <row r="112" spans="1:35" ht="12.75" thickBot="1">
      <c r="A112" s="604"/>
      <c r="B112" s="519" t="s">
        <v>604</v>
      </c>
      <c r="C112" s="598">
        <f>+C111/C26</f>
        <v>0</v>
      </c>
      <c r="E112" s="588"/>
      <c r="F112" s="588"/>
      <c r="G112" s="598">
        <f t="shared" ref="G112:U112" si="51">+G111/G26</f>
        <v>0</v>
      </c>
      <c r="H112" s="598">
        <f t="shared" si="51"/>
        <v>0</v>
      </c>
      <c r="I112" s="598">
        <f t="shared" si="51"/>
        <v>0</v>
      </c>
      <c r="J112" s="598">
        <f t="shared" si="51"/>
        <v>0</v>
      </c>
      <c r="K112" s="598">
        <f t="shared" si="51"/>
        <v>0</v>
      </c>
      <c r="L112" s="598">
        <f t="shared" si="51"/>
        <v>0</v>
      </c>
      <c r="M112" s="598">
        <f t="shared" si="51"/>
        <v>0</v>
      </c>
      <c r="N112" s="598">
        <f t="shared" si="51"/>
        <v>0</v>
      </c>
      <c r="O112" s="598">
        <f t="shared" si="51"/>
        <v>0</v>
      </c>
      <c r="P112" s="598">
        <f t="shared" si="51"/>
        <v>0</v>
      </c>
      <c r="Q112" s="598">
        <f t="shared" si="51"/>
        <v>0</v>
      </c>
      <c r="R112" s="598">
        <f t="shared" si="51"/>
        <v>0</v>
      </c>
      <c r="S112" s="598">
        <f t="shared" si="51"/>
        <v>0</v>
      </c>
      <c r="T112" s="598">
        <f t="shared" si="51"/>
        <v>0</v>
      </c>
      <c r="U112" s="598">
        <f t="shared" si="51"/>
        <v>0</v>
      </c>
    </row>
    <row r="113" spans="1:21" ht="12.75" thickBot="1">
      <c r="A113" s="604"/>
      <c r="B113" s="519" t="s">
        <v>605</v>
      </c>
      <c r="C113" s="600">
        <f>+C78/C26</f>
        <v>0.30955455249493541</v>
      </c>
      <c r="G113" s="600">
        <f t="shared" ref="G113:U113" si="52">+G78/G26</f>
        <v>7.786310502987664E-3</v>
      </c>
      <c r="H113" s="600">
        <f t="shared" si="52"/>
        <v>5.7669676011058634E-3</v>
      </c>
      <c r="I113" s="600">
        <f t="shared" si="52"/>
        <v>9.0372533727334087E-3</v>
      </c>
      <c r="J113" s="600">
        <f t="shared" si="52"/>
        <v>2.8682009218838612E-2</v>
      </c>
      <c r="K113" s="600">
        <f t="shared" si="52"/>
        <v>2.943612786351054E-2</v>
      </c>
      <c r="L113" s="600">
        <f t="shared" si="52"/>
        <v>3.0010993702987147E-2</v>
      </c>
      <c r="M113" s="600">
        <f t="shared" si="52"/>
        <v>3.0299565891412396E-2</v>
      </c>
      <c r="N113" s="600">
        <f t="shared" si="52"/>
        <v>3.0590959719881978E-2</v>
      </c>
      <c r="O113" s="600">
        <f t="shared" si="52"/>
        <v>3.0885037745837805E-2</v>
      </c>
      <c r="P113" s="600">
        <f t="shared" si="52"/>
        <v>3.1182117696998281E-2</v>
      </c>
      <c r="Q113" s="600">
        <f t="shared" si="52"/>
        <v>3.1481900241235539E-2</v>
      </c>
      <c r="R113" s="600">
        <f t="shared" si="52"/>
        <v>3.1784672456725845E-2</v>
      </c>
      <c r="S113" s="600">
        <f t="shared" si="52"/>
        <v>3.209031441707804E-2</v>
      </c>
      <c r="T113" s="600">
        <f t="shared" si="52"/>
        <v>3.2398819746527488E-2</v>
      </c>
      <c r="U113" s="600">
        <f t="shared" si="52"/>
        <v>3.2710358633908247E-2</v>
      </c>
    </row>
    <row r="114" spans="1:21" s="524" customFormat="1">
      <c r="A114" s="604"/>
      <c r="B114" s="1270"/>
      <c r="E114" s="522"/>
      <c r="F114" s="522"/>
    </row>
    <row r="115" spans="1:21" s="524" customFormat="1" ht="9.75" customHeight="1">
      <c r="A115" s="1271"/>
      <c r="B115" s="1272"/>
      <c r="C115" s="1273"/>
      <c r="D115" s="1273"/>
      <c r="E115" s="1274"/>
      <c r="F115" s="1274"/>
      <c r="G115" s="1273"/>
      <c r="H115" s="1273"/>
      <c r="I115" s="1273"/>
      <c r="J115" s="1273"/>
      <c r="K115" s="1273"/>
      <c r="L115" s="1273"/>
      <c r="M115" s="1273"/>
      <c r="N115" s="1273"/>
      <c r="O115" s="1273"/>
      <c r="P115" s="1273"/>
      <c r="Q115" s="1273"/>
      <c r="R115" s="1273"/>
      <c r="S115" s="1273"/>
      <c r="T115" s="1273"/>
      <c r="U115" s="1273"/>
    </row>
    <row r="116" spans="1:21" s="524" customFormat="1">
      <c r="A116" s="604"/>
      <c r="B116" s="1270" t="str">
        <f>"RESUMEN DEL ESTADO ACTUAL DEL MUNICIPIO DE: "&amp;" " &amp;Ingresos!$B$8</f>
        <v>RESUMEN DEL ESTADO ACTUAL DEL MUNICIPIO DE:  MUNICIPIO DE CUNDAY</v>
      </c>
      <c r="E116" s="522"/>
      <c r="F116" s="522"/>
    </row>
    <row r="117" spans="1:21" s="524" customFormat="1" ht="12.75" thickBot="1">
      <c r="A117" s="604"/>
      <c r="B117" s="1270"/>
      <c r="E117" s="522"/>
      <c r="F117" s="522"/>
      <c r="G117" s="1303" t="s">
        <v>606</v>
      </c>
      <c r="H117" s="1303"/>
      <c r="I117" s="1301"/>
      <c r="J117" s="1301"/>
    </row>
    <row r="118" spans="1:21" s="522" customFormat="1" ht="13.5" thickBot="1">
      <c r="A118" s="1247"/>
      <c r="B118" s="1305" t="s">
        <v>607</v>
      </c>
      <c r="C118" s="1300">
        <f>+Ingresos!B12</f>
        <v>6</v>
      </c>
      <c r="D118" s="523"/>
      <c r="F118" s="1250"/>
      <c r="G118" s="1302">
        <f>+C118</f>
        <v>6</v>
      </c>
      <c r="H118" s="1302">
        <f>+G118</f>
        <v>6</v>
      </c>
      <c r="I118" s="1302">
        <f t="shared" ref="I118:U118" si="53">+H118</f>
        <v>6</v>
      </c>
      <c r="J118" s="1302">
        <f t="shared" si="53"/>
        <v>6</v>
      </c>
      <c r="K118" s="1302">
        <f t="shared" si="53"/>
        <v>6</v>
      </c>
      <c r="L118" s="1302">
        <f t="shared" si="53"/>
        <v>6</v>
      </c>
      <c r="M118" s="1302">
        <f t="shared" si="53"/>
        <v>6</v>
      </c>
      <c r="N118" s="1302">
        <f t="shared" si="53"/>
        <v>6</v>
      </c>
      <c r="O118" s="1302">
        <f t="shared" si="53"/>
        <v>6</v>
      </c>
      <c r="P118" s="1302">
        <f t="shared" si="53"/>
        <v>6</v>
      </c>
      <c r="Q118" s="1302">
        <f t="shared" si="53"/>
        <v>6</v>
      </c>
      <c r="R118" s="1302">
        <f t="shared" si="53"/>
        <v>6</v>
      </c>
      <c r="S118" s="1302">
        <f t="shared" si="53"/>
        <v>6</v>
      </c>
      <c r="T118" s="1302">
        <f t="shared" si="53"/>
        <v>6</v>
      </c>
      <c r="U118" s="1302">
        <f t="shared" si="53"/>
        <v>6</v>
      </c>
    </row>
    <row r="119" spans="1:21" s="524" customFormat="1" ht="12.75" thickBot="1">
      <c r="A119" s="604"/>
      <c r="B119" s="1270"/>
      <c r="E119" s="522"/>
      <c r="F119" s="522"/>
      <c r="G119" s="1328">
        <f>YEAR(Ingresos!$I$21)</f>
        <v>2009</v>
      </c>
      <c r="H119" s="1328">
        <f>+G119+1</f>
        <v>2010</v>
      </c>
      <c r="I119" s="1328">
        <f t="shared" ref="I119:U119" si="54">+H119+1</f>
        <v>2011</v>
      </c>
      <c r="J119" s="1328">
        <f t="shared" si="54"/>
        <v>2012</v>
      </c>
      <c r="K119" s="1328">
        <f t="shared" si="54"/>
        <v>2013</v>
      </c>
      <c r="L119" s="1328">
        <f t="shared" si="54"/>
        <v>2014</v>
      </c>
      <c r="M119" s="1328">
        <f t="shared" si="54"/>
        <v>2015</v>
      </c>
      <c r="N119" s="1328">
        <f t="shared" si="54"/>
        <v>2016</v>
      </c>
      <c r="O119" s="1328">
        <f t="shared" si="54"/>
        <v>2017</v>
      </c>
      <c r="P119" s="1328">
        <f t="shared" si="54"/>
        <v>2018</v>
      </c>
      <c r="Q119" s="1328">
        <f t="shared" si="54"/>
        <v>2019</v>
      </c>
      <c r="R119" s="1328">
        <f t="shared" si="54"/>
        <v>2020</v>
      </c>
      <c r="S119" s="1328">
        <f t="shared" si="54"/>
        <v>2021</v>
      </c>
      <c r="T119" s="1328">
        <f t="shared" si="54"/>
        <v>2022</v>
      </c>
      <c r="U119" s="1328">
        <f t="shared" si="54"/>
        <v>2023</v>
      </c>
    </row>
    <row r="120" spans="1:21" s="524" customFormat="1" ht="33.75" customHeight="1" thickBot="1">
      <c r="A120" s="604"/>
      <c r="B120" s="1299" t="s">
        <v>608</v>
      </c>
      <c r="C120" s="1298" t="str">
        <f>"AÑO             "&amp;" " &amp;Ingresos!$B$10</f>
        <v>AÑO              2011</v>
      </c>
      <c r="E120" s="522"/>
      <c r="F120" s="522"/>
      <c r="G120" s="1222" t="str">
        <f>+G23</f>
        <v>Escenario Financiero Año 2009</v>
      </c>
      <c r="H120" s="1222" t="str">
        <f t="shared" ref="H120:U120" si="55">+H23</f>
        <v>Escenario Financiero Año 2010</v>
      </c>
      <c r="I120" s="1222" t="str">
        <f t="shared" si="55"/>
        <v>Escenario Financiero Año 2011</v>
      </c>
      <c r="J120" s="1222" t="str">
        <f t="shared" si="55"/>
        <v>Escenario Financiero Año 2012</v>
      </c>
      <c r="K120" s="1222" t="str">
        <f t="shared" si="55"/>
        <v>Escenario Financiero Año 2013</v>
      </c>
      <c r="L120" s="1222" t="str">
        <f t="shared" si="55"/>
        <v>Escenario Financiero Año 2014</v>
      </c>
      <c r="M120" s="1222" t="str">
        <f t="shared" si="55"/>
        <v>Escenario Financiero Año 2015</v>
      </c>
      <c r="N120" s="1222" t="str">
        <f t="shared" si="55"/>
        <v>Escenario Financiero Año 2016</v>
      </c>
      <c r="O120" s="1222" t="str">
        <f t="shared" si="55"/>
        <v>Escenario Financiero Año 2017</v>
      </c>
      <c r="P120" s="1222" t="str">
        <f t="shared" si="55"/>
        <v>Escenario Financiero Año 2018</v>
      </c>
      <c r="Q120" s="1222" t="str">
        <f t="shared" si="55"/>
        <v>Escenario Financiero Año 2019</v>
      </c>
      <c r="R120" s="1222" t="str">
        <f t="shared" si="55"/>
        <v>Escenario Financiero Año 2020</v>
      </c>
      <c r="S120" s="1222" t="str">
        <f t="shared" si="55"/>
        <v>Escenario Financiero Año 2021</v>
      </c>
      <c r="T120" s="1222" t="str">
        <f t="shared" si="55"/>
        <v>Escenario Financiero Año 2022</v>
      </c>
      <c r="U120" s="1222" t="str">
        <f t="shared" si="55"/>
        <v>Escenario Financiero Año 2023</v>
      </c>
    </row>
    <row r="121" spans="1:21" ht="12.75">
      <c r="A121" s="604"/>
      <c r="B121" s="1275" t="s">
        <v>609</v>
      </c>
      <c r="C121" s="1249">
        <f>+'Ley 617'!F25</f>
        <v>2736608</v>
      </c>
      <c r="F121" s="1250"/>
      <c r="G121" s="1249">
        <f>+'Ley 617'!P25</f>
        <v>3524136</v>
      </c>
      <c r="H121" s="1249">
        <f>+'Ley 617'!Q25</f>
        <v>3351539</v>
      </c>
      <c r="I121" s="1249">
        <f>+'Ley 617'!R25</f>
        <v>2901584</v>
      </c>
      <c r="J121" s="1249">
        <f>+'Ley 617'!S25</f>
        <v>3187378.6799999997</v>
      </c>
      <c r="K121" s="1249">
        <f>+'Ley 617'!T25</f>
        <v>3220623.5472000004</v>
      </c>
      <c r="L121" s="1249">
        <f>+'Ley 617'!U25</f>
        <v>3291718.0890879999</v>
      </c>
      <c r="M121" s="1249">
        <f>+'Ley 617'!V25</f>
        <v>3423386.8126515206</v>
      </c>
      <c r="N121" s="1249">
        <f>+'Ley 617'!W25</f>
        <v>3560322.2851575818</v>
      </c>
      <c r="O121" s="1249">
        <f>+'Ley 617'!X25</f>
        <v>3702735.1765638846</v>
      </c>
      <c r="P121" s="1249">
        <f>+'Ley 617'!Y25</f>
        <v>3850844.5836264398</v>
      </c>
      <c r="Q121" s="1249">
        <f>+'Ley 617'!Z25</f>
        <v>4004878.3669714979</v>
      </c>
      <c r="R121" s="1249">
        <f>+'Ley 617'!AA25</f>
        <v>4165073.5016503576</v>
      </c>
      <c r="S121" s="1249">
        <f>+'Ley 617'!AB25</f>
        <v>4331676.441716373</v>
      </c>
      <c r="T121" s="1249">
        <f>+'Ley 617'!AC25</f>
        <v>4504943.4993850272</v>
      </c>
      <c r="U121" s="1249">
        <f>+'Ley 617'!AD25</f>
        <v>4685141.2393604284</v>
      </c>
    </row>
    <row r="122" spans="1:21" ht="13.5" customHeight="1">
      <c r="A122" s="604"/>
      <c r="B122" s="1276" t="s">
        <v>610</v>
      </c>
      <c r="C122" s="1251">
        <f>+'Ley 617'!F92+Gastos!J222</f>
        <v>998429</v>
      </c>
      <c r="F122" s="1250"/>
      <c r="G122" s="1251">
        <f>+'Ley 617'!P92+'Gastos Proyecciones'!D222</f>
        <v>924030</v>
      </c>
      <c r="H122" s="1251">
        <f>+'Ley 617'!Q92+'Gastos Proyecciones'!E222</f>
        <v>846622.85</v>
      </c>
      <c r="I122" s="1251">
        <f>+'Ley 617'!R92+'Gastos Proyecciones'!F222</f>
        <v>800247</v>
      </c>
      <c r="J122" s="1251">
        <f>+'Ley 617'!S92+'Gastos Proyecciones'!G222</f>
        <v>839505.3</v>
      </c>
      <c r="K122" s="1251">
        <f>+'Ley 617'!T92+'Gastos Proyecciones'!H222</f>
        <v>879603.76500000013</v>
      </c>
      <c r="L122" s="1251">
        <f>+'Ley 617'!U92+'Gastos Proyecciones'!I222</f>
        <v>921632.08125000005</v>
      </c>
      <c r="M122" s="1251">
        <f>+'Ley 617'!V92+'Gastos Proyecciones'!J222</f>
        <v>965683.73843250028</v>
      </c>
      <c r="N122" s="1251">
        <f>+'Ley 617'!W92+'Gastos Proyecciones'!K222</f>
        <v>1011856.7805989253</v>
      </c>
      <c r="O122" s="1251">
        <f>+'Ley 617'!X92+'Gastos Proyecciones'!L222</f>
        <v>1060254.0290834636</v>
      </c>
      <c r="P122" s="1251">
        <f>+'Ley 617'!Y92+'Gastos Proyecciones'!M222</f>
        <v>1110983.3163704122</v>
      </c>
      <c r="Q122" s="1251">
        <f>+'Ley 617'!Z92+'Gastos Proyecciones'!N222</f>
        <v>1164157.7314550199</v>
      </c>
      <c r="R122" s="1251">
        <f>+'Ley 617'!AA92+'Gastos Proyecciones'!O222</f>
        <v>1219895.8772645008</v>
      </c>
      <c r="S122" s="1251">
        <f>+'Ley 617'!AB92+'Gastos Proyecciones'!P222</f>
        <v>1278322.1407339256</v>
      </c>
      <c r="T122" s="1251">
        <f>+'Ley 617'!AC92+'Gastos Proyecciones'!Q222</f>
        <v>1339566.9761610692</v>
      </c>
      <c r="U122" s="1251">
        <f>+'Ley 617'!AD92+'Gastos Proyecciones'!R222</f>
        <v>1403767.202495188</v>
      </c>
    </row>
    <row r="123" spans="1:21" s="522" customFormat="1" ht="12.75">
      <c r="A123" s="1247"/>
      <c r="B123" s="1276" t="s">
        <v>611</v>
      </c>
      <c r="C123" s="1252">
        <f>+C122/C121</f>
        <v>0.36484180416047896</v>
      </c>
      <c r="D123" s="523"/>
      <c r="F123" s="1250"/>
      <c r="G123" s="1252">
        <f>+G122/G121</f>
        <v>0.2622004372135468</v>
      </c>
      <c r="H123" s="1252">
        <f t="shared" ref="H123:P123" si="56">+H122/H121</f>
        <v>0.252607190308691</v>
      </c>
      <c r="I123" s="1252">
        <f t="shared" si="56"/>
        <v>0.27579659937468637</v>
      </c>
      <c r="J123" s="1252">
        <f t="shared" si="56"/>
        <v>0.26338423647861009</v>
      </c>
      <c r="K123" s="1252">
        <f t="shared" si="56"/>
        <v>0.27311598269991061</v>
      </c>
      <c r="L123" s="1252">
        <f t="shared" si="56"/>
        <v>0.27998511911004703</v>
      </c>
      <c r="M123" s="1252">
        <f t="shared" si="56"/>
        <v>0.28208431920801491</v>
      </c>
      <c r="N123" s="1252">
        <f t="shared" si="56"/>
        <v>0.28420370392230937</v>
      </c>
      <c r="O123" s="1252">
        <f t="shared" si="56"/>
        <v>0.28634346733577981</v>
      </c>
      <c r="P123" s="1252">
        <f t="shared" si="56"/>
        <v>0.28850380539745663</v>
      </c>
      <c r="Q123" s="1252">
        <f>+Q122/Q121</f>
        <v>0.29068491594049578</v>
      </c>
      <c r="R123" s="1252">
        <f>+R122/R121</f>
        <v>0.29288699870029483</v>
      </c>
      <c r="S123" s="1252">
        <f>+S122/S121</f>
        <v>0.29511025533278434</v>
      </c>
      <c r="T123" s="1252">
        <f>+T122/T121</f>
        <v>0.29735488943289395</v>
      </c>
      <c r="U123" s="1252">
        <f>+U122/U121</f>
        <v>0.2996211065531969</v>
      </c>
    </row>
    <row r="124" spans="1:21" s="522" customFormat="1" ht="12.75">
      <c r="A124" s="1247"/>
      <c r="B124" s="1276" t="s">
        <v>612</v>
      </c>
      <c r="C124" s="1251">
        <f>+'Ley 617'!F92</f>
        <v>818968</v>
      </c>
      <c r="D124" s="523"/>
      <c r="F124" s="1250"/>
      <c r="G124" s="1251">
        <f>+'Ley 617'!P92</f>
        <v>760843</v>
      </c>
      <c r="H124" s="1251">
        <f>+'Ley 617'!Q92</f>
        <v>671337.85</v>
      </c>
      <c r="I124" s="1251">
        <f>+'Ley 617'!R92</f>
        <v>620786</v>
      </c>
      <c r="J124" s="1251">
        <f>+'Ley 617'!S92</f>
        <v>651825.30000000005</v>
      </c>
      <c r="K124" s="1251">
        <f>+'Ley 617'!T92</f>
        <v>684416.56500000018</v>
      </c>
      <c r="L124" s="1251">
        <f>+'Ley 617'!U92</f>
        <v>718637.39325000008</v>
      </c>
      <c r="M124" s="1251">
        <f>+'Ley 617'!V92</f>
        <v>754569.26291250018</v>
      </c>
      <c r="N124" s="1251">
        <f>+'Ley 617'!W92</f>
        <v>792297.72605812526</v>
      </c>
      <c r="O124" s="1251">
        <f>+'Ley 617'!X92</f>
        <v>831912.61236103147</v>
      </c>
      <c r="P124" s="1251">
        <f>+'Ley 617'!Y92</f>
        <v>873508.24297908298</v>
      </c>
      <c r="Q124" s="1251">
        <f>+'Ley 617'!Z92</f>
        <v>917183.65512803732</v>
      </c>
      <c r="R124" s="1251">
        <f>+'Ley 617'!AA92</f>
        <v>963042.83788443904</v>
      </c>
      <c r="S124" s="1251">
        <f>+'Ley 617'!AB92</f>
        <v>1011194.9797786612</v>
      </c>
      <c r="T124" s="1251">
        <f>+'Ley 617'!AC92</f>
        <v>1061754.7287675943</v>
      </c>
      <c r="U124" s="1251">
        <f>+'Ley 617'!AD92</f>
        <v>1114842.4652059739</v>
      </c>
    </row>
    <row r="125" spans="1:21" s="522" customFormat="1" ht="12.75">
      <c r="A125" s="1247"/>
      <c r="B125" s="1295" t="s">
        <v>613</v>
      </c>
      <c r="C125" s="1296">
        <f>+C124/C121</f>
        <v>0.29926390626644372</v>
      </c>
      <c r="D125" s="523"/>
      <c r="E125" s="588"/>
      <c r="F125" s="1253"/>
      <c r="G125" s="1296">
        <f>+G124/G121</f>
        <v>0.21589490303438913</v>
      </c>
      <c r="H125" s="1296">
        <f t="shared" ref="H125:P125" si="57">+H124/H121</f>
        <v>0.20030733642067122</v>
      </c>
      <c r="I125" s="1296">
        <f t="shared" si="57"/>
        <v>0.2139472784520455</v>
      </c>
      <c r="J125" s="1296">
        <f t="shared" si="57"/>
        <v>0.20450199535123956</v>
      </c>
      <c r="K125" s="1296">
        <f t="shared" si="57"/>
        <v>0.2125105759706159</v>
      </c>
      <c r="L125" s="1296">
        <f t="shared" si="57"/>
        <v>0.21831681018865898</v>
      </c>
      <c r="M125" s="1296">
        <f t="shared" si="57"/>
        <v>0.22041601028662683</v>
      </c>
      <c r="N125" s="1296">
        <f t="shared" si="57"/>
        <v>0.22253539500092132</v>
      </c>
      <c r="O125" s="1296">
        <f t="shared" si="57"/>
        <v>0.22467515841439173</v>
      </c>
      <c r="P125" s="1296">
        <f t="shared" si="57"/>
        <v>0.22683549647606857</v>
      </c>
      <c r="Q125" s="1296">
        <f>+Q124/Q121</f>
        <v>0.2290166070191077</v>
      </c>
      <c r="R125" s="1296">
        <f>+R124/R121</f>
        <v>0.23121868977890678</v>
      </c>
      <c r="S125" s="1296">
        <f>+S124/S121</f>
        <v>0.23344194641139626</v>
      </c>
      <c r="T125" s="1296">
        <f>+T124/T121</f>
        <v>0.2356865805115059</v>
      </c>
      <c r="U125" s="1296">
        <f>+U124/U121</f>
        <v>0.23795279763180882</v>
      </c>
    </row>
    <row r="126" spans="1:21" s="522" customFormat="1" ht="12.75" thickBot="1">
      <c r="A126" s="1247"/>
      <c r="B126" s="1277" t="s">
        <v>614</v>
      </c>
      <c r="C126" s="1323">
        <f>+IF(C120&gt;=2004,VLOOKUP((2004*10)+C118,$D$228:$E$234,2),IF(C120&lt;2001,VLOOKUP((2001*10)+C118,$D$207:$E$213,2),IF(OR(C120=2001,C120=2002,C120=2003,C120=2004),VLOOKUP((C120*10)+C118,$D$207:$E$234,2))))</f>
        <v>0.8</v>
      </c>
      <c r="D126" s="523"/>
      <c r="E126" s="588"/>
      <c r="F126" s="1253"/>
      <c r="G126" s="1323">
        <f>+IF(G119&gt;=2004,VLOOKUP((2004*10)+G118,$D$228:$E$234,2),IF(G119&lt;2001,VLOOKUP((2001*10)+G118,$D$207:$E$213,2),IF(OR(G119=2001,G119=2002,G119=2003,G119=2004),VLOOKUP((G119*10)+G118,$D$207:$E$234,2))))</f>
        <v>0.8</v>
      </c>
      <c r="H126" s="1323">
        <f t="shared" ref="H126:U126" si="58">+IF(H119&gt;=2004,VLOOKUP((2004*10)+H118,$D$228:$E$234,2),IF(H119&lt;2001,VLOOKUP((2001*10)+H118,$D$207:$E$213,2),IF(OR(H119=2001,H119=2002,H119=2003,H119=2004),VLOOKUP((H119*10)+H118,$D$207:$E$234,2))))</f>
        <v>0.8</v>
      </c>
      <c r="I126" s="1323">
        <f t="shared" si="58"/>
        <v>0.8</v>
      </c>
      <c r="J126" s="1323">
        <f t="shared" si="58"/>
        <v>0.8</v>
      </c>
      <c r="K126" s="1323">
        <f t="shared" si="58"/>
        <v>0.8</v>
      </c>
      <c r="L126" s="1323">
        <f t="shared" si="58"/>
        <v>0.8</v>
      </c>
      <c r="M126" s="1323">
        <f t="shared" si="58"/>
        <v>0.8</v>
      </c>
      <c r="N126" s="1323">
        <f t="shared" si="58"/>
        <v>0.8</v>
      </c>
      <c r="O126" s="1323">
        <f t="shared" si="58"/>
        <v>0.8</v>
      </c>
      <c r="P126" s="1323">
        <f t="shared" si="58"/>
        <v>0.8</v>
      </c>
      <c r="Q126" s="1323">
        <f t="shared" si="58"/>
        <v>0.8</v>
      </c>
      <c r="R126" s="1323">
        <f t="shared" si="58"/>
        <v>0.8</v>
      </c>
      <c r="S126" s="1323">
        <f t="shared" si="58"/>
        <v>0.8</v>
      </c>
      <c r="T126" s="1323">
        <f t="shared" si="58"/>
        <v>0.8</v>
      </c>
      <c r="U126" s="1323">
        <f t="shared" si="58"/>
        <v>0.8</v>
      </c>
    </row>
    <row r="127" spans="1:21" s="522" customFormat="1" ht="13.5" thickBot="1">
      <c r="A127" s="1247"/>
      <c r="B127" s="1278"/>
      <c r="C127" s="1254"/>
      <c r="D127" s="523"/>
      <c r="F127" s="1250"/>
      <c r="G127" s="523"/>
      <c r="H127" s="523"/>
      <c r="I127" s="523"/>
      <c r="J127" s="523"/>
      <c r="K127" s="523"/>
      <c r="L127" s="523"/>
      <c r="M127" s="523"/>
      <c r="N127" s="523"/>
      <c r="O127" s="523"/>
      <c r="P127" s="523"/>
      <c r="Q127" s="523"/>
      <c r="R127" s="523"/>
      <c r="S127" s="523"/>
      <c r="T127" s="523"/>
      <c r="U127" s="523"/>
    </row>
    <row r="128" spans="1:21" s="522" customFormat="1" ht="33" customHeight="1" thickBot="1">
      <c r="A128" s="1247"/>
      <c r="B128" s="1297" t="s">
        <v>615</v>
      </c>
      <c r="C128" s="1298" t="str">
        <f>"VIGENCIA ACTUAL"&amp;" " &amp;'Capacidad de Pago'!D4</f>
        <v>VIGENCIA ACTUAL 2011</v>
      </c>
      <c r="D128" s="523"/>
      <c r="F128" s="1250"/>
      <c r="G128" s="1395" t="str">
        <f>"PROYECCION"&amp;" " &amp;'Capacidad de Pago'!G4</f>
        <v>PROYECCION 2012</v>
      </c>
      <c r="H128" s="1395" t="str">
        <f>"PROYECCION"&amp;" " &amp;'Capacidad de Pago'!H4</f>
        <v>PROYECCION 2013</v>
      </c>
      <c r="I128" s="1395" t="str">
        <f>"PROYECCION"&amp;" " &amp;'Capacidad de Pago'!I4</f>
        <v>PROYECCION 2014</v>
      </c>
      <c r="J128" s="1395" t="str">
        <f>"PROYECCION"&amp;" " &amp;'Capacidad de Pago'!J4</f>
        <v>PROYECCION 2015</v>
      </c>
      <c r="K128" s="1395" t="str">
        <f>"PROYECCION"&amp;" " &amp;'Capacidad de Pago'!K4</f>
        <v>PROYECCION 2016</v>
      </c>
      <c r="L128" s="1395" t="str">
        <f>"PROYECCION"&amp;" " &amp;'Capacidad de Pago'!L4</f>
        <v>PROYECCION 2017</v>
      </c>
      <c r="M128" s="1395" t="str">
        <f>"PROYECCION"&amp;" " &amp;'Capacidad de Pago'!M4</f>
        <v>PROYECCION 2018</v>
      </c>
      <c r="N128" s="1395" t="str">
        <f>"PROYECCION"&amp;" " &amp;'Capacidad de Pago'!N4</f>
        <v>PROYECCION 2019</v>
      </c>
      <c r="O128" s="1395" t="str">
        <f>"PROYECCION"&amp;" " &amp;'Capacidad de Pago'!O4</f>
        <v>PROYECCION 2020</v>
      </c>
      <c r="P128" s="1395" t="str">
        <f>"PROYECCION"&amp;" " &amp;'Capacidad de Pago'!P4</f>
        <v>PROYECCION 2021</v>
      </c>
      <c r="Q128" s="1395" t="str">
        <f>"PROYECCION"&amp;" " &amp;'Capacidad de Pago'!Q4</f>
        <v>PROYECCION 2022</v>
      </c>
      <c r="R128" s="1395" t="str">
        <f>"PROYECCION"&amp;" " &amp;'Capacidad de Pago'!R4</f>
        <v>PROYECCION 2023</v>
      </c>
      <c r="S128" s="1395" t="str">
        <f>"PROYECCION"&amp;" " &amp;'Capacidad de Pago'!S4</f>
        <v>PROYECCION 2024</v>
      </c>
      <c r="T128" s="1395" t="str">
        <f>"PROYECCION"&amp;" " &amp;'Capacidad de Pago'!T4</f>
        <v>PROYECCION 2025</v>
      </c>
      <c r="U128" s="1395" t="str">
        <f>"PROYECCION"&amp;" " &amp;'Capacidad de Pago'!U4</f>
        <v>PROYECCION 2026</v>
      </c>
    </row>
    <row r="129" spans="1:21" s="522" customFormat="1" ht="12.75">
      <c r="A129" s="1247"/>
      <c r="B129" s="1275" t="s">
        <v>616</v>
      </c>
      <c r="C129" s="1249">
        <f>+'Capacidad de Pago'!D50</f>
        <v>2491824.2999999998</v>
      </c>
      <c r="D129" s="523"/>
      <c r="F129" s="1250"/>
      <c r="G129" s="1249">
        <f>+'Capacidad de Pago'!G50</f>
        <v>2603956.3935000002</v>
      </c>
      <c r="H129" s="1249">
        <f>+'Capacidad de Pago'!H50</f>
        <v>2695094.8672724995</v>
      </c>
      <c r="I129" s="1249">
        <f>+'Capacidad de Pago'!I50</f>
        <v>2775947.7132906746</v>
      </c>
      <c r="J129" s="1249">
        <f>+'Capacidad de Pago'!J50</f>
        <v>2859226.1446893946</v>
      </c>
      <c r="K129" s="1249">
        <f>+'Capacidad de Pago'!K50</f>
        <v>2945002.9290300771</v>
      </c>
      <c r="L129" s="1249">
        <f>+'Capacidad de Pago'!L50</f>
        <v>3033353.016900979</v>
      </c>
      <c r="M129" s="1249">
        <f>+'Capacidad de Pago'!M50</f>
        <v>3124353.6074080085</v>
      </c>
      <c r="N129" s="1249">
        <f>+'Capacidad de Pago'!N50</f>
        <v>3218084.2156302487</v>
      </c>
      <c r="O129" s="1249">
        <f>+'Capacidad de Pago'!O50</f>
        <v>3314626.7420991561</v>
      </c>
      <c r="P129" s="1249">
        <f>+'Capacidad de Pago'!P50</f>
        <v>3414065.5443621306</v>
      </c>
      <c r="Q129" s="1249">
        <f>+'Capacidad de Pago'!Q50</f>
        <v>3516487.510692995</v>
      </c>
      <c r="R129" s="1249">
        <f>+'Capacidad de Pago'!R50</f>
        <v>3621982.1360137844</v>
      </c>
      <c r="S129" s="1249">
        <f>+'Capacidad de Pago'!S50</f>
        <v>3730641.6000941982</v>
      </c>
      <c r="T129" s="1249">
        <f>+'Capacidad de Pago'!T50</f>
        <v>3842560.8480970236</v>
      </c>
      <c r="U129" s="1249">
        <f>+'Capacidad de Pago'!U50</f>
        <v>3957837.6735399347</v>
      </c>
    </row>
    <row r="130" spans="1:21" s="522" customFormat="1" ht="12.75">
      <c r="A130" s="1247"/>
      <c r="B130" s="1276" t="s">
        <v>617</v>
      </c>
      <c r="C130" s="1251">
        <f>+'Capacidad de Pago'!D51</f>
        <v>903855.59250000003</v>
      </c>
      <c r="D130" s="523"/>
      <c r="F130" s="1250"/>
      <c r="G130" s="1251">
        <f>+'Capacidad de Pago'!G51</f>
        <v>944529.09416249988</v>
      </c>
      <c r="H130" s="1251">
        <f>+'Capacidad de Pago'!H51</f>
        <v>977587.61245818739</v>
      </c>
      <c r="I130" s="1251">
        <f>+'Capacidad de Pago'!I51</f>
        <v>1006915.240831933</v>
      </c>
      <c r="J130" s="1251">
        <f>+'Capacidad de Pago'!J51</f>
        <v>1037122.698056891</v>
      </c>
      <c r="K130" s="1251">
        <f>+'Capacidad de Pago'!K51</f>
        <v>1068236.3789985976</v>
      </c>
      <c r="L130" s="1251">
        <f>+'Capacidad de Pago'!L51</f>
        <v>1100283.4703685557</v>
      </c>
      <c r="M130" s="1251">
        <f>+'Capacidad de Pago'!M51</f>
        <v>1133291.9744796124</v>
      </c>
      <c r="N130" s="1251">
        <f>+'Capacidad de Pago'!N51</f>
        <v>1167290.7337140008</v>
      </c>
      <c r="O130" s="1251">
        <f>+'Capacidad de Pago'!O51</f>
        <v>1202309.455725421</v>
      </c>
      <c r="P130" s="1251">
        <f>+'Capacidad de Pago'!P51</f>
        <v>1238378.7393971835</v>
      </c>
      <c r="Q130" s="1251">
        <f>+'Capacidad de Pago'!Q51</f>
        <v>1275530.1015790992</v>
      </c>
      <c r="R130" s="1251">
        <f>+'Capacidad de Pago'!R51</f>
        <v>1313796.0046264722</v>
      </c>
      <c r="S130" s="1251">
        <f>+'Capacidad de Pago'!S51</f>
        <v>1353209.8847652664</v>
      </c>
      <c r="T130" s="1251">
        <f>+'Capacidad de Pago'!T51</f>
        <v>1393806.1813082243</v>
      </c>
      <c r="U130" s="1251">
        <f>+'Capacidad de Pago'!U51</f>
        <v>1435620.3667474713</v>
      </c>
    </row>
    <row r="131" spans="1:21" s="522" customFormat="1" ht="12.75">
      <c r="A131" s="1247"/>
      <c r="B131" s="1276" t="s">
        <v>618</v>
      </c>
      <c r="C131" s="1255">
        <f>+C129-C130</f>
        <v>1587968.7074999998</v>
      </c>
      <c r="D131" s="523"/>
      <c r="F131" s="1250"/>
      <c r="G131" s="1255">
        <f>+G129-G130</f>
        <v>1659427.2993375002</v>
      </c>
      <c r="H131" s="1255">
        <f t="shared" ref="H131:P131" si="59">+H129-H130</f>
        <v>1717507.2548143121</v>
      </c>
      <c r="I131" s="1255">
        <f t="shared" si="59"/>
        <v>1769032.4724587416</v>
      </c>
      <c r="J131" s="1255">
        <f t="shared" si="59"/>
        <v>1822103.4466325035</v>
      </c>
      <c r="K131" s="1255">
        <f t="shared" si="59"/>
        <v>1876766.5500314794</v>
      </c>
      <c r="L131" s="1255">
        <f t="shared" si="59"/>
        <v>1933069.5465324232</v>
      </c>
      <c r="M131" s="1255">
        <f t="shared" si="59"/>
        <v>1991061.6329283961</v>
      </c>
      <c r="N131" s="1255">
        <f t="shared" si="59"/>
        <v>2050793.4819162479</v>
      </c>
      <c r="O131" s="1255">
        <f t="shared" si="59"/>
        <v>2112317.2863737354</v>
      </c>
      <c r="P131" s="1255">
        <f t="shared" si="59"/>
        <v>2175686.804964947</v>
      </c>
      <c r="Q131" s="1255">
        <f>+Q129-Q130</f>
        <v>2240957.4091138961</v>
      </c>
      <c r="R131" s="1255">
        <f>+R129-R130</f>
        <v>2308186.131387312</v>
      </c>
      <c r="S131" s="1255">
        <f>+S129-S130</f>
        <v>2377431.7153289318</v>
      </c>
      <c r="T131" s="1255">
        <f>+T129-T130</f>
        <v>2448754.6667887992</v>
      </c>
      <c r="U131" s="1255">
        <f>+U129-U130</f>
        <v>2522217.3067924632</v>
      </c>
    </row>
    <row r="132" spans="1:21" s="522" customFormat="1" ht="12.75">
      <c r="A132" s="1247"/>
      <c r="B132" s="1276" t="s">
        <v>619</v>
      </c>
      <c r="C132" s="1251">
        <f>+'Capacidad de Pago'!D22</f>
        <v>23331</v>
      </c>
      <c r="D132" s="523"/>
      <c r="F132" s="1250"/>
      <c r="G132" s="1251">
        <f>+'Capacidad de Pago'!G22</f>
        <v>23331</v>
      </c>
      <c r="H132" s="1251">
        <f>+'Capacidad de Pago'!H22</f>
        <v>663331</v>
      </c>
      <c r="I132" s="1251">
        <f>+'Capacidad de Pago'!I22</f>
        <v>503331</v>
      </c>
      <c r="J132" s="1251">
        <f>+'Capacidad de Pago'!J22</f>
        <v>343331</v>
      </c>
      <c r="K132" s="1251">
        <f>+'Capacidad de Pago'!K22</f>
        <v>183331</v>
      </c>
      <c r="L132" s="1251">
        <f>+'Capacidad de Pago'!L22</f>
        <v>23331</v>
      </c>
      <c r="M132" s="1251">
        <f>+'Capacidad de Pago'!M22</f>
        <v>23331</v>
      </c>
      <c r="N132" s="1251">
        <f>+'Capacidad de Pago'!N22</f>
        <v>23331</v>
      </c>
      <c r="O132" s="1251">
        <f>+'Capacidad de Pago'!O22</f>
        <v>23331</v>
      </c>
      <c r="P132" s="1251">
        <f>+'Capacidad de Pago'!P22</f>
        <v>23331</v>
      </c>
      <c r="Q132" s="1251">
        <f>+'Capacidad de Pago'!Q22</f>
        <v>23331</v>
      </c>
      <c r="R132" s="1251">
        <f>+'Capacidad de Pago'!R22</f>
        <v>23331</v>
      </c>
      <c r="S132" s="1251">
        <f>+'Capacidad de Pago'!S22</f>
        <v>23331</v>
      </c>
      <c r="T132" s="1251">
        <f>+'Capacidad de Pago'!T22</f>
        <v>23331</v>
      </c>
      <c r="U132" s="1251">
        <f>+'Capacidad de Pago'!U22</f>
        <v>23331</v>
      </c>
    </row>
    <row r="133" spans="1:21" s="522" customFormat="1" ht="12.75">
      <c r="A133" s="1247"/>
      <c r="B133" s="1276" t="s">
        <v>620</v>
      </c>
      <c r="C133" s="1251">
        <f>+'Capacidad de Pago'!D23</f>
        <v>0</v>
      </c>
      <c r="D133" s="523"/>
      <c r="F133" s="1250"/>
      <c r="G133" s="1251">
        <f>+'Capacidad de Pago'!G23</f>
        <v>0</v>
      </c>
      <c r="H133" s="1251">
        <f>+'Capacidad de Pago'!H23</f>
        <v>0</v>
      </c>
      <c r="I133" s="1251">
        <f>+'Capacidad de Pago'!I23</f>
        <v>0</v>
      </c>
      <c r="J133" s="1251">
        <f>+'Capacidad de Pago'!J23</f>
        <v>0</v>
      </c>
      <c r="K133" s="1251">
        <f>+'Capacidad de Pago'!K23</f>
        <v>0</v>
      </c>
      <c r="L133" s="1251">
        <f>+'Capacidad de Pago'!L23</f>
        <v>0</v>
      </c>
      <c r="M133" s="1251">
        <f>+'Capacidad de Pago'!M23</f>
        <v>0</v>
      </c>
      <c r="N133" s="1251">
        <f>+'Capacidad de Pago'!N23</f>
        <v>0</v>
      </c>
      <c r="O133" s="1251">
        <f>+'Capacidad de Pago'!O23</f>
        <v>0</v>
      </c>
      <c r="P133" s="1251">
        <f>+'Capacidad de Pago'!P23</f>
        <v>0</v>
      </c>
      <c r="Q133" s="1251">
        <f>+'Capacidad de Pago'!Q23</f>
        <v>0</v>
      </c>
      <c r="R133" s="1251">
        <f>+'Capacidad de Pago'!R23</f>
        <v>0</v>
      </c>
      <c r="S133" s="1251">
        <f>+'Capacidad de Pago'!S23</f>
        <v>0</v>
      </c>
      <c r="T133" s="1251">
        <f>+'Capacidad de Pago'!T23</f>
        <v>0</v>
      </c>
      <c r="U133" s="1251">
        <f>+'Capacidad de Pago'!U23</f>
        <v>0</v>
      </c>
    </row>
    <row r="134" spans="1:21" s="522" customFormat="1" ht="12.75">
      <c r="A134" s="1247"/>
      <c r="B134" s="1276" t="s">
        <v>621</v>
      </c>
      <c r="C134" s="1251">
        <f>+C132+C133-C135-C136</f>
        <v>23331</v>
      </c>
      <c r="D134" s="523"/>
      <c r="F134" s="1250"/>
      <c r="G134" s="1251">
        <f>+'Capacidad de Pago'!G37</f>
        <v>663331</v>
      </c>
      <c r="H134" s="1251">
        <f>+'Capacidad de Pago'!H37</f>
        <v>503331</v>
      </c>
      <c r="I134" s="1251">
        <f>+'Capacidad de Pago'!I37</f>
        <v>343331</v>
      </c>
      <c r="J134" s="1251">
        <f>+'Capacidad de Pago'!J37</f>
        <v>183331</v>
      </c>
      <c r="K134" s="1251">
        <f>+'Capacidad de Pago'!K37</f>
        <v>23331</v>
      </c>
      <c r="L134" s="1251">
        <f>+'Capacidad de Pago'!L37</f>
        <v>23331</v>
      </c>
      <c r="M134" s="1251">
        <f>+'Capacidad de Pago'!M37</f>
        <v>23331</v>
      </c>
      <c r="N134" s="1251">
        <f>+'Capacidad de Pago'!N37</f>
        <v>23331</v>
      </c>
      <c r="O134" s="1251">
        <f>+'Capacidad de Pago'!O37</f>
        <v>23331</v>
      </c>
      <c r="P134" s="1251">
        <f>+'Capacidad de Pago'!P37</f>
        <v>23331</v>
      </c>
      <c r="Q134" s="1251">
        <f>+'Capacidad de Pago'!Q37</f>
        <v>23331</v>
      </c>
      <c r="R134" s="1251">
        <f>+'Capacidad de Pago'!R37</f>
        <v>23331</v>
      </c>
      <c r="S134" s="1251">
        <f>+'Capacidad de Pago'!S37</f>
        <v>23331</v>
      </c>
      <c r="T134" s="1251">
        <f>+'Capacidad de Pago'!T37</f>
        <v>23331</v>
      </c>
      <c r="U134" s="1251">
        <f>+'Capacidad de Pago'!U37</f>
        <v>23331</v>
      </c>
    </row>
    <row r="135" spans="1:21" s="522" customFormat="1" ht="12.75">
      <c r="A135" s="1247"/>
      <c r="B135" s="1276" t="s">
        <v>622</v>
      </c>
      <c r="C135" s="1251">
        <f>+'Capacidad de Pago'!D27</f>
        <v>0</v>
      </c>
      <c r="D135" s="523"/>
      <c r="F135" s="1250"/>
      <c r="G135" s="1251">
        <f>+'Capacidad de Pago'!G27</f>
        <v>0</v>
      </c>
      <c r="H135" s="1251">
        <f>+'Capacidad de Pago'!H27</f>
        <v>0</v>
      </c>
      <c r="I135" s="1251">
        <f>+'Capacidad de Pago'!I27</f>
        <v>0</v>
      </c>
      <c r="J135" s="1251">
        <f>+'Capacidad de Pago'!J27</f>
        <v>0</v>
      </c>
      <c r="K135" s="1251">
        <f>+'Capacidad de Pago'!K27</f>
        <v>0</v>
      </c>
      <c r="L135" s="1251">
        <f>+'Capacidad de Pago'!L27</f>
        <v>0</v>
      </c>
      <c r="M135" s="1251">
        <f>+'Capacidad de Pago'!M27</f>
        <v>0</v>
      </c>
      <c r="N135" s="1251">
        <f>+'Capacidad de Pago'!N27</f>
        <v>0</v>
      </c>
      <c r="O135" s="1251">
        <f>+'Capacidad de Pago'!O27</f>
        <v>0</v>
      </c>
      <c r="P135" s="1251">
        <f>+'Capacidad de Pago'!P27</f>
        <v>0</v>
      </c>
      <c r="Q135" s="1251">
        <f>+'Capacidad de Pago'!Q27</f>
        <v>0</v>
      </c>
      <c r="R135" s="1251">
        <f>+'Capacidad de Pago'!R27</f>
        <v>0</v>
      </c>
      <c r="S135" s="1251">
        <f>+'Capacidad de Pago'!S27</f>
        <v>0</v>
      </c>
      <c r="T135" s="1251">
        <f>+'Capacidad de Pago'!T27</f>
        <v>0</v>
      </c>
      <c r="U135" s="1251">
        <f>+'Capacidad de Pago'!U27</f>
        <v>0</v>
      </c>
    </row>
    <row r="136" spans="1:21" s="522" customFormat="1" ht="12.75">
      <c r="A136" s="1247"/>
      <c r="B136" s="1276" t="s">
        <v>623</v>
      </c>
      <c r="C136" s="1251">
        <f>+'Capacidad de Pago'!D28</f>
        <v>0</v>
      </c>
      <c r="D136" s="523"/>
      <c r="F136" s="1250"/>
      <c r="G136" s="1251">
        <f>+'Capacidad de Pago'!G28</f>
        <v>0</v>
      </c>
      <c r="H136" s="1251">
        <f>+'Capacidad de Pago'!H28</f>
        <v>0</v>
      </c>
      <c r="I136" s="1251">
        <f>+'Capacidad de Pago'!I28</f>
        <v>0</v>
      </c>
      <c r="J136" s="1251">
        <f>+'Capacidad de Pago'!J28</f>
        <v>0</v>
      </c>
      <c r="K136" s="1251">
        <f>+'Capacidad de Pago'!K28</f>
        <v>0</v>
      </c>
      <c r="L136" s="1251">
        <f>+'Capacidad de Pago'!L28</f>
        <v>0</v>
      </c>
      <c r="M136" s="1251">
        <f>+'Capacidad de Pago'!M28</f>
        <v>0</v>
      </c>
      <c r="N136" s="1251">
        <f>+'Capacidad de Pago'!N28</f>
        <v>0</v>
      </c>
      <c r="O136" s="1251">
        <f>+'Capacidad de Pago'!O28</f>
        <v>0</v>
      </c>
      <c r="P136" s="1251">
        <f>+'Capacidad de Pago'!P28</f>
        <v>0</v>
      </c>
      <c r="Q136" s="1251">
        <f>+'Capacidad de Pago'!Q28</f>
        <v>0</v>
      </c>
      <c r="R136" s="1251">
        <f>+'Capacidad de Pago'!R28</f>
        <v>0</v>
      </c>
      <c r="S136" s="1251">
        <f>+'Capacidad de Pago'!S28</f>
        <v>0</v>
      </c>
      <c r="T136" s="1251">
        <f>+'Capacidad de Pago'!T28</f>
        <v>0</v>
      </c>
      <c r="U136" s="1251">
        <f>+'Capacidad de Pago'!U28</f>
        <v>0</v>
      </c>
    </row>
    <row r="137" spans="1:21" s="522" customFormat="1" ht="12.75">
      <c r="A137" s="1247"/>
      <c r="B137" s="1276" t="s">
        <v>624</v>
      </c>
      <c r="C137" s="1251">
        <f>+'Capacidad de Pago'!D33</f>
        <v>0</v>
      </c>
      <c r="D137" s="523"/>
      <c r="F137" s="1250"/>
      <c r="G137" s="1251">
        <f>+'Capacidad de Pago'!G33</f>
        <v>800000</v>
      </c>
      <c r="H137" s="1251">
        <f>+'Capacidad de Pago'!H33</f>
        <v>0</v>
      </c>
      <c r="I137" s="1251">
        <f>+'Capacidad de Pago'!I33</f>
        <v>0</v>
      </c>
      <c r="J137" s="1251">
        <f>+'Capacidad de Pago'!J33</f>
        <v>0</v>
      </c>
      <c r="K137" s="1251">
        <f>+'Capacidad de Pago'!K33</f>
        <v>0</v>
      </c>
      <c r="L137" s="1251">
        <f>+'Capacidad de Pago'!L33</f>
        <v>0</v>
      </c>
      <c r="M137" s="1251">
        <f>+'Capacidad de Pago'!M33</f>
        <v>0</v>
      </c>
      <c r="N137" s="1251">
        <f>+'Capacidad de Pago'!N33</f>
        <v>0</v>
      </c>
      <c r="O137" s="1251">
        <f>+'Capacidad de Pago'!O33</f>
        <v>0</v>
      </c>
      <c r="P137" s="1251">
        <f>+'Capacidad de Pago'!P33</f>
        <v>0</v>
      </c>
      <c r="Q137" s="1251">
        <f>+'Capacidad de Pago'!Q33</f>
        <v>0</v>
      </c>
      <c r="R137" s="1251">
        <f>+'Capacidad de Pago'!R33</f>
        <v>0</v>
      </c>
      <c r="S137" s="1251">
        <f>+'Capacidad de Pago'!S33</f>
        <v>0</v>
      </c>
      <c r="T137" s="1251">
        <f>+'Capacidad de Pago'!T33</f>
        <v>0</v>
      </c>
      <c r="U137" s="1251">
        <f>+'Capacidad de Pago'!U33</f>
        <v>0</v>
      </c>
    </row>
    <row r="138" spans="1:21" s="522" customFormat="1" ht="12.75">
      <c r="A138" s="1247"/>
      <c r="B138" s="1276" t="s">
        <v>625</v>
      </c>
      <c r="C138" s="1251">
        <f>+'Capacidad de Pago'!D34</f>
        <v>0</v>
      </c>
      <c r="D138" s="523"/>
      <c r="F138" s="1250"/>
      <c r="G138" s="1251">
        <f>+'Capacidad de Pago'!G34</f>
        <v>160000</v>
      </c>
      <c r="H138" s="1251">
        <f>+'Capacidad de Pago'!H34</f>
        <v>160000</v>
      </c>
      <c r="I138" s="1251">
        <f>+'Capacidad de Pago'!I34</f>
        <v>160000</v>
      </c>
      <c r="J138" s="1251">
        <f>+'Capacidad de Pago'!J34</f>
        <v>160000</v>
      </c>
      <c r="K138" s="1251">
        <f>+'Capacidad de Pago'!K34</f>
        <v>160000</v>
      </c>
      <c r="L138" s="1251">
        <f>+'Capacidad de Pago'!L34</f>
        <v>0</v>
      </c>
      <c r="M138" s="1251">
        <f>+'Capacidad de Pago'!M34</f>
        <v>0</v>
      </c>
      <c r="N138" s="1251">
        <f>+'Capacidad de Pago'!N34</f>
        <v>0</v>
      </c>
      <c r="O138" s="1251">
        <f>+'Capacidad de Pago'!O34</f>
        <v>0</v>
      </c>
      <c r="P138" s="1251">
        <f>+'Capacidad de Pago'!P34</f>
        <v>0</v>
      </c>
      <c r="Q138" s="1251">
        <f>+'Capacidad de Pago'!Q34</f>
        <v>0</v>
      </c>
      <c r="R138" s="1251">
        <f>+'Capacidad de Pago'!R34</f>
        <v>0</v>
      </c>
      <c r="S138" s="1251">
        <f>+'Capacidad de Pago'!S34</f>
        <v>0</v>
      </c>
      <c r="T138" s="1251">
        <f>+'Capacidad de Pago'!T34</f>
        <v>0</v>
      </c>
      <c r="U138" s="1251">
        <f>+'Capacidad de Pago'!U34</f>
        <v>0</v>
      </c>
    </row>
    <row r="139" spans="1:21" s="522" customFormat="1" ht="12.75">
      <c r="A139" s="1247"/>
      <c r="B139" s="1276" t="s">
        <v>626</v>
      </c>
      <c r="C139" s="1251">
        <f>+'Capacidad de Pago'!D29</f>
        <v>0</v>
      </c>
      <c r="D139" s="523"/>
      <c r="F139" s="1250"/>
      <c r="G139" s="1251">
        <f>+'Capacidad de Pago'!G29</f>
        <v>0</v>
      </c>
      <c r="H139" s="1251">
        <f>+'Capacidad de Pago'!H29</f>
        <v>0</v>
      </c>
      <c r="I139" s="1251">
        <f>+'Capacidad de Pago'!I29</f>
        <v>0</v>
      </c>
      <c r="J139" s="1251">
        <f>+'Capacidad de Pago'!J29</f>
        <v>0</v>
      </c>
      <c r="K139" s="1251">
        <f>+'Capacidad de Pago'!K29</f>
        <v>0</v>
      </c>
      <c r="L139" s="1251">
        <f>+'Capacidad de Pago'!L29</f>
        <v>0</v>
      </c>
      <c r="M139" s="1251">
        <f>+'Capacidad de Pago'!M29</f>
        <v>0</v>
      </c>
      <c r="N139" s="1251">
        <f>+'Capacidad de Pago'!N29</f>
        <v>0</v>
      </c>
      <c r="O139" s="1251">
        <f>+'Capacidad de Pago'!O29</f>
        <v>0</v>
      </c>
      <c r="P139" s="1251">
        <f>+'Capacidad de Pago'!P29</f>
        <v>0</v>
      </c>
      <c r="Q139" s="1251">
        <f>+'Capacidad de Pago'!Q29</f>
        <v>0</v>
      </c>
      <c r="R139" s="1251">
        <f>+'Capacidad de Pago'!R29</f>
        <v>0</v>
      </c>
      <c r="S139" s="1251">
        <f>+'Capacidad de Pago'!S29</f>
        <v>0</v>
      </c>
      <c r="T139" s="1251">
        <f>+'Capacidad de Pago'!T29</f>
        <v>0</v>
      </c>
      <c r="U139" s="1251">
        <f>+'Capacidad de Pago'!U29</f>
        <v>0</v>
      </c>
    </row>
    <row r="140" spans="1:21" s="522" customFormat="1" ht="12.75">
      <c r="A140" s="1247"/>
      <c r="B140" s="1276" t="s">
        <v>627</v>
      </c>
      <c r="C140" s="1251">
        <f>+'Capacidad de Pago'!D35</f>
        <v>0</v>
      </c>
      <c r="D140" s="523"/>
      <c r="F140" s="1250"/>
      <c r="G140" s="1251">
        <f>+'Capacidad de Pago'!G35</f>
        <v>69070</v>
      </c>
      <c r="H140" s="1251">
        <f>+'Capacidad de Pago'!H35</f>
        <v>54810</v>
      </c>
      <c r="I140" s="1251">
        <f>+'Capacidad de Pago'!I35</f>
        <v>39690</v>
      </c>
      <c r="J140" s="1251">
        <f>+'Capacidad de Pago'!J35</f>
        <v>24570</v>
      </c>
      <c r="K140" s="1251">
        <f>+'Capacidad de Pago'!K35</f>
        <v>9450</v>
      </c>
      <c r="L140" s="1251">
        <f>+'Capacidad de Pago'!L35</f>
        <v>0</v>
      </c>
      <c r="M140" s="1251">
        <f>+'Capacidad de Pago'!M35</f>
        <v>0</v>
      </c>
      <c r="N140" s="1251">
        <f>+'Capacidad de Pago'!N35</f>
        <v>0</v>
      </c>
      <c r="O140" s="1251">
        <f>+'Capacidad de Pago'!O35</f>
        <v>0</v>
      </c>
      <c r="P140" s="1251">
        <f>+'Capacidad de Pago'!P35</f>
        <v>0</v>
      </c>
      <c r="Q140" s="1251">
        <f>+'Capacidad de Pago'!Q35</f>
        <v>0</v>
      </c>
      <c r="R140" s="1251">
        <f>+'Capacidad de Pago'!R35</f>
        <v>0</v>
      </c>
      <c r="S140" s="1251">
        <f>+'Capacidad de Pago'!S35</f>
        <v>0</v>
      </c>
      <c r="T140" s="1251">
        <f>+'Capacidad de Pago'!T35</f>
        <v>0</v>
      </c>
      <c r="U140" s="1251">
        <f>+'Capacidad de Pago'!U35</f>
        <v>0</v>
      </c>
    </row>
    <row r="141" spans="1:21" s="522" customFormat="1" ht="13.5" thickBot="1">
      <c r="A141" s="1247"/>
      <c r="B141" s="1280" t="s">
        <v>628</v>
      </c>
      <c r="C141" s="1256">
        <f>+C134+C137-C138</f>
        <v>23331</v>
      </c>
      <c r="D141" s="523"/>
      <c r="F141" s="1250"/>
      <c r="G141" s="1256">
        <f>+'Capacidad de Pago'!G37</f>
        <v>663331</v>
      </c>
      <c r="H141" s="1256">
        <f>+'Capacidad de Pago'!H37</f>
        <v>503331</v>
      </c>
      <c r="I141" s="1256">
        <f>+'Capacidad de Pago'!I37</f>
        <v>343331</v>
      </c>
      <c r="J141" s="1256">
        <f>+'Capacidad de Pago'!J37</f>
        <v>183331</v>
      </c>
      <c r="K141" s="1256">
        <f>+'Capacidad de Pago'!K37</f>
        <v>23331</v>
      </c>
      <c r="L141" s="1256">
        <f>+'Capacidad de Pago'!L37</f>
        <v>23331</v>
      </c>
      <c r="M141" s="1256">
        <f>+'Capacidad de Pago'!M37</f>
        <v>23331</v>
      </c>
      <c r="N141" s="1256">
        <f>+'Capacidad de Pago'!N37</f>
        <v>23331</v>
      </c>
      <c r="O141" s="1256">
        <f>+'Capacidad de Pago'!O37</f>
        <v>23331</v>
      </c>
      <c r="P141" s="1256">
        <f>+'Capacidad de Pago'!P37</f>
        <v>23331</v>
      </c>
      <c r="Q141" s="1256">
        <f>+'Capacidad de Pago'!Q37</f>
        <v>23331</v>
      </c>
      <c r="R141" s="1256">
        <f>+'Capacidad de Pago'!R37</f>
        <v>23331</v>
      </c>
      <c r="S141" s="1256">
        <f>+'Capacidad de Pago'!S37</f>
        <v>23331</v>
      </c>
      <c r="T141" s="1256">
        <f>+'Capacidad de Pago'!T37</f>
        <v>23331</v>
      </c>
      <c r="U141" s="1256">
        <f>+'Capacidad de Pago'!U37</f>
        <v>23331</v>
      </c>
    </row>
    <row r="142" spans="1:21" s="522" customFormat="1" ht="13.5" thickBot="1">
      <c r="A142" s="1247"/>
      <c r="B142" s="1279"/>
      <c r="C142" s="1"/>
      <c r="D142" s="523"/>
      <c r="E142" s="588"/>
      <c r="F142" s="1253"/>
      <c r="G142" s="523"/>
      <c r="H142" s="523"/>
      <c r="I142" s="523"/>
      <c r="J142" s="523"/>
      <c r="K142" s="523"/>
      <c r="L142" s="523"/>
      <c r="M142" s="523"/>
      <c r="N142" s="523"/>
      <c r="O142" s="523"/>
      <c r="P142" s="523"/>
      <c r="Q142" s="523"/>
      <c r="R142" s="523"/>
      <c r="S142" s="523"/>
      <c r="T142" s="523"/>
      <c r="U142" s="523"/>
    </row>
    <row r="143" spans="1:21" s="522" customFormat="1" ht="14.25" thickTop="1" thickBot="1">
      <c r="A143" s="1247"/>
      <c r="B143" s="1281" t="s">
        <v>629</v>
      </c>
      <c r="C143" s="1257">
        <f>IF(AND(C131&lt;0,(C139+C140)=0),-100%,(C139+C140)/C131)</f>
        <v>0</v>
      </c>
      <c r="D143" s="523"/>
      <c r="F143" s="1250"/>
      <c r="G143" s="1257">
        <f t="shared" ref="G143:P143" si="60">IF(AND(G131&lt;0,(G139+G140)=0),-100%,(G139+G140)/G131)</f>
        <v>4.1622793615348555E-2</v>
      </c>
      <c r="H143" s="1257">
        <f t="shared" si="60"/>
        <v>3.1912528955183816E-2</v>
      </c>
      <c r="I143" s="1257">
        <f t="shared" si="60"/>
        <v>2.2435992904548379E-2</v>
      </c>
      <c r="J143" s="1257">
        <f t="shared" si="60"/>
        <v>1.3484415522844613E-2</v>
      </c>
      <c r="K143" s="1257">
        <f t="shared" si="60"/>
        <v>5.035255983138389E-3</v>
      </c>
      <c r="L143" s="1257">
        <f t="shared" si="60"/>
        <v>0</v>
      </c>
      <c r="M143" s="1257">
        <f t="shared" si="60"/>
        <v>0</v>
      </c>
      <c r="N143" s="1257">
        <f t="shared" si="60"/>
        <v>0</v>
      </c>
      <c r="O143" s="1257">
        <f t="shared" si="60"/>
        <v>0</v>
      </c>
      <c r="P143" s="1257">
        <f t="shared" si="60"/>
        <v>0</v>
      </c>
      <c r="Q143" s="1257">
        <f>IF(AND(Q131&lt;0,(Q139+Q140)=0),-100%,(Q139+Q140)/Q131)</f>
        <v>0</v>
      </c>
      <c r="R143" s="1257">
        <f>IF(AND(R131&lt;0,(R139+R140)=0),-100%,(R139+R140)/R131)</f>
        <v>0</v>
      </c>
      <c r="S143" s="1257">
        <f>IF(AND(S131&lt;0,(S139+S140)=0),-100%,(S139+S140)/S131)</f>
        <v>0</v>
      </c>
      <c r="T143" s="1257">
        <f>IF(AND(T131&lt;0,(T139+T140)=0),-100%,(T139+T140)/T131)</f>
        <v>0</v>
      </c>
      <c r="U143" s="1257">
        <f>IF(AND(U131&lt;0,(U139+U140)=0),-100%,(U139+U140)/U131)</f>
        <v>0</v>
      </c>
    </row>
    <row r="144" spans="1:21" s="522" customFormat="1" ht="13.5" thickBot="1">
      <c r="A144" s="1247"/>
      <c r="B144" s="1282" t="s">
        <v>630</v>
      </c>
      <c r="C144" s="1258">
        <f>+C141/C129</f>
        <v>9.3630196960516037E-3</v>
      </c>
      <c r="D144" s="523"/>
      <c r="F144" s="1250"/>
      <c r="G144" s="1258">
        <f t="shared" ref="G144:U144" si="61">+G141/G129</f>
        <v>0.25473967292839766</v>
      </c>
      <c r="H144" s="1258">
        <f t="shared" si="61"/>
        <v>0.18675817542162551</v>
      </c>
      <c r="I144" s="1258">
        <f t="shared" si="61"/>
        <v>0.12368064367934627</v>
      </c>
      <c r="J144" s="1258">
        <f t="shared" si="61"/>
        <v>6.4119097518925264E-2</v>
      </c>
      <c r="K144" s="1258">
        <f t="shared" si="61"/>
        <v>7.9222332073143158E-3</v>
      </c>
      <c r="L144" s="1258">
        <f t="shared" si="61"/>
        <v>7.6914885507905987E-3</v>
      </c>
      <c r="M144" s="1258">
        <f t="shared" si="61"/>
        <v>7.4674646124180564E-3</v>
      </c>
      <c r="N144" s="1258">
        <f t="shared" si="61"/>
        <v>7.2499656431243269E-3</v>
      </c>
      <c r="O144" s="1258">
        <f t="shared" si="61"/>
        <v>7.0388015952663361E-3</v>
      </c>
      <c r="P144" s="1258">
        <f t="shared" si="61"/>
        <v>6.8337879565692596E-3</v>
      </c>
      <c r="Q144" s="1258">
        <f t="shared" si="61"/>
        <v>6.6347455889021927E-3</v>
      </c>
      <c r="R144" s="1258">
        <f t="shared" si="61"/>
        <v>6.4415005717497024E-3</v>
      </c>
      <c r="S144" s="1258">
        <f t="shared" si="61"/>
        <v>6.2538840502424286E-3</v>
      </c>
      <c r="T144" s="1258">
        <f t="shared" si="61"/>
        <v>6.0717320876140096E-3</v>
      </c>
      <c r="U144" s="1258">
        <f t="shared" si="61"/>
        <v>5.8948855219553486E-3</v>
      </c>
    </row>
    <row r="145" spans="1:21" s="522" customFormat="1" ht="13.5" thickTop="1">
      <c r="A145" s="1247"/>
      <c r="B145" s="1279"/>
      <c r="C145" s="1"/>
      <c r="D145" s="523"/>
      <c r="F145" s="1250"/>
      <c r="G145" s="523"/>
      <c r="H145" s="523"/>
      <c r="I145" s="523"/>
      <c r="J145" s="523"/>
      <c r="K145" s="523"/>
      <c r="L145" s="523"/>
      <c r="M145" s="523"/>
      <c r="N145" s="523"/>
      <c r="O145" s="523"/>
      <c r="P145" s="523"/>
      <c r="Q145" s="523"/>
      <c r="R145" s="523"/>
      <c r="S145" s="523"/>
      <c r="T145" s="523"/>
      <c r="U145" s="523"/>
    </row>
    <row r="146" spans="1:21" s="522" customFormat="1" ht="12.75">
      <c r="A146" s="1247"/>
      <c r="B146" s="1278" t="s">
        <v>631</v>
      </c>
      <c r="C146" s="1259" t="str">
        <f>IF(AND(C143&gt;=0,C143&lt;=40%),"VERDE","ROJO")</f>
        <v>VERDE</v>
      </c>
      <c r="D146" s="523"/>
      <c r="F146" s="1250"/>
      <c r="G146" s="1259" t="str">
        <f t="shared" ref="G146:P146" si="62">IF(AND(G143&gt;=0,G143&lt;=40%),"VERDE","ROJO")</f>
        <v>VERDE</v>
      </c>
      <c r="H146" s="1259" t="str">
        <f t="shared" si="62"/>
        <v>VERDE</v>
      </c>
      <c r="I146" s="1259" t="str">
        <f t="shared" si="62"/>
        <v>VERDE</v>
      </c>
      <c r="J146" s="1259" t="str">
        <f t="shared" si="62"/>
        <v>VERDE</v>
      </c>
      <c r="K146" s="1259" t="str">
        <f t="shared" si="62"/>
        <v>VERDE</v>
      </c>
      <c r="L146" s="1259" t="str">
        <f t="shared" si="62"/>
        <v>VERDE</v>
      </c>
      <c r="M146" s="1259" t="str">
        <f t="shared" si="62"/>
        <v>VERDE</v>
      </c>
      <c r="N146" s="1259" t="str">
        <f t="shared" si="62"/>
        <v>VERDE</v>
      </c>
      <c r="O146" s="1259" t="str">
        <f t="shared" si="62"/>
        <v>VERDE</v>
      </c>
      <c r="P146" s="1259" t="str">
        <f t="shared" si="62"/>
        <v>VERDE</v>
      </c>
      <c r="Q146" s="1259" t="str">
        <f>IF(AND(Q143&gt;=0,Q143&lt;=40%),"VERDE","ROJO")</f>
        <v>VERDE</v>
      </c>
      <c r="R146" s="1259" t="str">
        <f>IF(AND(R143&gt;=0,R143&lt;=40%),"VERDE","ROJO")</f>
        <v>VERDE</v>
      </c>
      <c r="S146" s="1259" t="str">
        <f>IF(AND(S143&gt;=0,S143&lt;=40%),"VERDE","ROJO")</f>
        <v>VERDE</v>
      </c>
      <c r="T146" s="1259" t="str">
        <f>IF(AND(T143&gt;=0,T143&lt;=40%),"VERDE","ROJO")</f>
        <v>VERDE</v>
      </c>
      <c r="U146" s="1259" t="str">
        <f>IF(AND(U143&gt;=0,U143&lt;=40%),"VERDE","ROJO")</f>
        <v>VERDE</v>
      </c>
    </row>
    <row r="147" spans="1:21" s="522" customFormat="1" ht="13.5" thickBot="1">
      <c r="A147" s="1247"/>
      <c r="B147" s="1278" t="s">
        <v>632</v>
      </c>
      <c r="C147" s="1259" t="str">
        <f>IF(C144&lt;=80%,"VERDE","ROJO")</f>
        <v>VERDE</v>
      </c>
      <c r="D147" s="523"/>
      <c r="F147" s="1250"/>
      <c r="G147" s="1259" t="str">
        <f t="shared" ref="G147:P147" si="63">IF(G144&lt;=80%,"VERDE","ROJO")</f>
        <v>VERDE</v>
      </c>
      <c r="H147" s="1259" t="str">
        <f t="shared" si="63"/>
        <v>VERDE</v>
      </c>
      <c r="I147" s="1259" t="str">
        <f t="shared" si="63"/>
        <v>VERDE</v>
      </c>
      <c r="J147" s="1259" t="str">
        <f t="shared" si="63"/>
        <v>VERDE</v>
      </c>
      <c r="K147" s="1259" t="str">
        <f t="shared" si="63"/>
        <v>VERDE</v>
      </c>
      <c r="L147" s="1259" t="str">
        <f t="shared" si="63"/>
        <v>VERDE</v>
      </c>
      <c r="M147" s="1259" t="str">
        <f t="shared" si="63"/>
        <v>VERDE</v>
      </c>
      <c r="N147" s="1259" t="str">
        <f t="shared" si="63"/>
        <v>VERDE</v>
      </c>
      <c r="O147" s="1259" t="str">
        <f t="shared" si="63"/>
        <v>VERDE</v>
      </c>
      <c r="P147" s="1259" t="str">
        <f t="shared" si="63"/>
        <v>VERDE</v>
      </c>
      <c r="Q147" s="1259" t="str">
        <f>IF(Q144&lt;=80%,"VERDE","ROJO")</f>
        <v>VERDE</v>
      </c>
      <c r="R147" s="1259" t="str">
        <f>IF(R144&lt;=80%,"VERDE","ROJO")</f>
        <v>VERDE</v>
      </c>
      <c r="S147" s="1259" t="str">
        <f>IF(S144&lt;=80%,"VERDE","ROJO")</f>
        <v>VERDE</v>
      </c>
      <c r="T147" s="1259" t="str">
        <f>IF(T144&lt;=80%,"VERDE","ROJO")</f>
        <v>VERDE</v>
      </c>
      <c r="U147" s="1259" t="str">
        <f>IF(U144&lt;=80%,"VERDE","ROJO")</f>
        <v>VERDE</v>
      </c>
    </row>
    <row r="148" spans="1:21" s="1263" customFormat="1" ht="15.75" thickBot="1">
      <c r="A148" s="1262"/>
      <c r="B148" s="1287" t="s">
        <v>633</v>
      </c>
      <c r="C148" s="1288" t="str">
        <f>IF(C143&lt;0,"AHORRO NEGATIVO",IF(C144&gt;0.8,"ROJO",IF(C143&gt;0.4,"ROJO",IF(C143&lt;=0.4,"VERDE"))))</f>
        <v>VERDE</v>
      </c>
      <c r="D148" s="185"/>
      <c r="F148" s="1264"/>
      <c r="G148" s="1288" t="str">
        <f t="shared" ref="G148:P148" si="64">IF(G143&lt;0,"AHORRO NEGATIVO",IF(G144&gt;0.8,"ROJO",IF(G143&gt;0.4,"ROJO",IF(G143&lt;=0.4,"VERDE"))))</f>
        <v>VERDE</v>
      </c>
      <c r="H148" s="1288" t="str">
        <f t="shared" si="64"/>
        <v>VERDE</v>
      </c>
      <c r="I148" s="1288" t="str">
        <f t="shared" si="64"/>
        <v>VERDE</v>
      </c>
      <c r="J148" s="1288" t="str">
        <f t="shared" si="64"/>
        <v>VERDE</v>
      </c>
      <c r="K148" s="1288" t="str">
        <f t="shared" si="64"/>
        <v>VERDE</v>
      </c>
      <c r="L148" s="1288" t="str">
        <f t="shared" si="64"/>
        <v>VERDE</v>
      </c>
      <c r="M148" s="1288" t="str">
        <f t="shared" si="64"/>
        <v>VERDE</v>
      </c>
      <c r="N148" s="1288" t="str">
        <f t="shared" si="64"/>
        <v>VERDE</v>
      </c>
      <c r="O148" s="1288" t="str">
        <f t="shared" si="64"/>
        <v>VERDE</v>
      </c>
      <c r="P148" s="1288" t="str">
        <f t="shared" si="64"/>
        <v>VERDE</v>
      </c>
      <c r="Q148" s="1288" t="str">
        <f>IF(Q143&lt;0,"AHORRO NEGATIVO",IF(Q144&gt;0.8,"ROJO",IF(Q143&gt;0.4,"ROJO",IF(Q143&lt;=0.4,"VERDE"))))</f>
        <v>VERDE</v>
      </c>
      <c r="R148" s="1288" t="str">
        <f>IF(R143&lt;0,"AHORRO NEGATIVO",IF(R144&gt;0.8,"ROJO",IF(R143&gt;0.4,"ROJO",IF(R143&lt;=0.4,"VERDE"))))</f>
        <v>VERDE</v>
      </c>
      <c r="S148" s="1288" t="str">
        <f>IF(S143&lt;0,"AHORRO NEGATIVO",IF(S144&gt;0.8,"ROJO",IF(S143&gt;0.4,"ROJO",IF(S143&lt;=0.4,"VERDE"))))</f>
        <v>VERDE</v>
      </c>
      <c r="T148" s="1288" t="str">
        <f>IF(T143&lt;0,"AHORRO NEGATIVO",IF(T144&gt;0.8,"ROJO",IF(T143&gt;0.4,"ROJO",IF(T143&lt;=0.4,"VERDE"))))</f>
        <v>VERDE</v>
      </c>
      <c r="U148" s="1288" t="str">
        <f>IF(U143&lt;0,"AHORRO NEGATIVO",IF(U144&gt;0.8,"ROJO",IF(U143&gt;0.4,"ROJO",IF(U143&lt;=0.4,"VERDE"))))</f>
        <v>VERDE</v>
      </c>
    </row>
    <row r="149" spans="1:21" s="522" customFormat="1" ht="13.5" thickBot="1">
      <c r="A149" s="1247"/>
      <c r="B149" s="1278"/>
      <c r="C149" s="1"/>
      <c r="D149" s="523"/>
      <c r="F149" s="1250"/>
      <c r="G149" s="523"/>
      <c r="H149" s="523"/>
      <c r="I149" s="523"/>
      <c r="J149" s="523"/>
      <c r="K149" s="523"/>
      <c r="L149" s="523"/>
      <c r="M149" s="523"/>
      <c r="N149" s="523"/>
      <c r="O149" s="523"/>
      <c r="P149" s="523"/>
      <c r="Q149" s="523"/>
      <c r="R149" s="523"/>
      <c r="S149" s="523"/>
      <c r="T149" s="523"/>
      <c r="U149" s="523"/>
    </row>
    <row r="150" spans="1:21" s="522" customFormat="1" ht="13.5" thickBot="1">
      <c r="A150" s="1247"/>
      <c r="B150" s="1283" t="s">
        <v>634</v>
      </c>
      <c r="C150" s="1260">
        <f>+C94/C59</f>
        <v>208.35149670388805</v>
      </c>
      <c r="D150" s="523"/>
      <c r="F150" s="1250"/>
      <c r="G150" s="1260">
        <f t="shared" ref="G150:P150" si="65">+G94/G59</f>
        <v>6.0058999999999996</v>
      </c>
      <c r="H150" s="1260">
        <f t="shared" si="65"/>
        <v>8.0000560000002388</v>
      </c>
      <c r="I150" s="1260">
        <f t="shared" si="65"/>
        <v>7.0534984797524229</v>
      </c>
      <c r="J150" s="1260">
        <f t="shared" si="65"/>
        <v>3.1052511304999872</v>
      </c>
      <c r="K150" s="1260">
        <f t="shared" si="65"/>
        <v>3.1052595887496079</v>
      </c>
      <c r="L150" s="1260">
        <f t="shared" si="65"/>
        <v>3.1052548503208435</v>
      </c>
      <c r="M150" s="1260">
        <f t="shared" si="65"/>
        <v>3.105255193647813</v>
      </c>
      <c r="N150" s="1260">
        <f t="shared" si="65"/>
        <v>3.1052587618596017</v>
      </c>
      <c r="O150" s="1260">
        <f t="shared" si="65"/>
        <v>3.105254275461236</v>
      </c>
      <c r="P150" s="1260">
        <f t="shared" si="65"/>
        <v>3.1052615964111672</v>
      </c>
      <c r="Q150" s="1260">
        <f>+Q94/Q59</f>
        <v>3.1052585530289041</v>
      </c>
      <c r="R150" s="1260">
        <f>+R94/R59</f>
        <v>3.105262635515178</v>
      </c>
      <c r="S150" s="1260">
        <f>+S94/S59</f>
        <v>3.1052639548058165</v>
      </c>
      <c r="T150" s="1260">
        <f>+T94/T59</f>
        <v>3.1052603558426295</v>
      </c>
      <c r="U150" s="1260">
        <f>+U94/U59</f>
        <v>3.1052611136532557</v>
      </c>
    </row>
    <row r="151" spans="1:21" s="522" customFormat="1" ht="13.5" thickBot="1">
      <c r="A151" s="1247"/>
      <c r="B151" s="1284"/>
      <c r="C151" s="15"/>
      <c r="D151" s="523"/>
      <c r="F151" s="1250"/>
      <c r="G151" s="523"/>
      <c r="H151" s="523"/>
      <c r="I151" s="523"/>
      <c r="J151" s="523"/>
      <c r="K151" s="523"/>
      <c r="L151" s="523"/>
      <c r="M151" s="523"/>
      <c r="N151" s="523"/>
      <c r="O151" s="523"/>
      <c r="P151" s="523"/>
      <c r="Q151" s="523"/>
      <c r="R151" s="523"/>
      <c r="S151" s="523"/>
      <c r="T151" s="523"/>
      <c r="U151" s="523"/>
    </row>
    <row r="152" spans="1:21" s="522" customFormat="1" ht="13.5" thickBot="1">
      <c r="A152" s="1247"/>
      <c r="B152" s="1285" t="s">
        <v>635</v>
      </c>
      <c r="C152" s="1261">
        <f>+C94/(C59+C83+C85)</f>
        <v>29.53855070666997</v>
      </c>
      <c r="D152" s="523"/>
      <c r="F152" s="1250"/>
      <c r="G152" s="1261">
        <f t="shared" ref="G152:P152" si="66">+G94/(G59+G83+G85)</f>
        <v>1</v>
      </c>
      <c r="H152" s="1261">
        <f t="shared" si="66"/>
        <v>1.0000070000000298</v>
      </c>
      <c r="I152" s="1261">
        <f t="shared" si="66"/>
        <v>0.99999340441358331</v>
      </c>
      <c r="J152" s="1261">
        <f t="shared" si="66"/>
        <v>0.99999612677118233</v>
      </c>
      <c r="K152" s="1261">
        <f t="shared" si="66"/>
        <v>0.99999885061428051</v>
      </c>
      <c r="L152" s="1261">
        <f t="shared" si="66"/>
        <v>0.99999732467959368</v>
      </c>
      <c r="M152" s="1261">
        <f t="shared" si="66"/>
        <v>0.99999743524251594</v>
      </c>
      <c r="N152" s="1261">
        <f t="shared" si="66"/>
        <v>0.99999858432766853</v>
      </c>
      <c r="O152" s="1261">
        <f t="shared" si="66"/>
        <v>0.99999713955531333</v>
      </c>
      <c r="P152" s="1261">
        <f t="shared" si="66"/>
        <v>0.99999949714935887</v>
      </c>
      <c r="Q152" s="1261">
        <f>+Q94/(Q59+Q83+Q85)</f>
        <v>0.99999851707710474</v>
      </c>
      <c r="R152" s="1261">
        <f>+R94/(R59+R83+R85)</f>
        <v>0.99999983177607432</v>
      </c>
      <c r="S152" s="1261">
        <f>+S94/(S59+S83+S85)</f>
        <v>1.0000002566323816</v>
      </c>
      <c r="T152" s="1261">
        <f>+T94/(T59+T83+T85)</f>
        <v>0.99999909764423656</v>
      </c>
      <c r="U152" s="1261">
        <f>+U94/(U59+U83+U85)</f>
        <v>0.99999934168494686</v>
      </c>
    </row>
    <row r="153" spans="1:21" s="522" customFormat="1" ht="13.5" thickBot="1">
      <c r="A153" s="1247"/>
      <c r="B153" s="1279"/>
      <c r="C153" s="1"/>
      <c r="D153" s="523"/>
      <c r="F153" s="1250"/>
      <c r="G153" s="523"/>
      <c r="H153" s="523"/>
      <c r="I153" s="523"/>
      <c r="J153" s="523"/>
      <c r="K153" s="523"/>
      <c r="L153" s="523"/>
      <c r="M153" s="523"/>
      <c r="N153" s="523"/>
      <c r="O153" s="523"/>
      <c r="P153" s="523"/>
      <c r="Q153" s="523"/>
      <c r="R153" s="523"/>
      <c r="S153" s="523"/>
      <c r="T153" s="523"/>
      <c r="U153" s="523"/>
    </row>
    <row r="154" spans="1:21" s="522" customFormat="1" ht="45" customHeight="1" thickBot="1">
      <c r="A154" s="1247"/>
      <c r="B154" s="1287" t="s">
        <v>636</v>
      </c>
      <c r="C154" s="1289" t="str">
        <f>IF(AND(C125&lt;=85%,C148="VERDE",C150&gt;=100%),"OK","REQUIERE AJUSTE")</f>
        <v>OK</v>
      </c>
      <c r="D154" s="123"/>
      <c r="E154" s="1290"/>
      <c r="F154" s="1291"/>
      <c r="G154" s="1292" t="str">
        <f t="shared" ref="G154:U154" si="67">IF(AND(G125&lt;=G126,G148="VERDE",G150&gt;=100%),"OK","REQUIERE AJUSTE")</f>
        <v>OK</v>
      </c>
      <c r="H154" s="1292" t="str">
        <f t="shared" si="67"/>
        <v>OK</v>
      </c>
      <c r="I154" s="1292" t="str">
        <f t="shared" si="67"/>
        <v>OK</v>
      </c>
      <c r="J154" s="1292" t="str">
        <f t="shared" si="67"/>
        <v>OK</v>
      </c>
      <c r="K154" s="1292" t="str">
        <f t="shared" si="67"/>
        <v>OK</v>
      </c>
      <c r="L154" s="1292" t="str">
        <f t="shared" si="67"/>
        <v>OK</v>
      </c>
      <c r="M154" s="1292" t="str">
        <f t="shared" si="67"/>
        <v>OK</v>
      </c>
      <c r="N154" s="1292" t="str">
        <f t="shared" si="67"/>
        <v>OK</v>
      </c>
      <c r="O154" s="1292" t="str">
        <f t="shared" si="67"/>
        <v>OK</v>
      </c>
      <c r="P154" s="1292" t="str">
        <f t="shared" si="67"/>
        <v>OK</v>
      </c>
      <c r="Q154" s="1292" t="str">
        <f t="shared" si="67"/>
        <v>OK</v>
      </c>
      <c r="R154" s="1292" t="str">
        <f t="shared" si="67"/>
        <v>OK</v>
      </c>
      <c r="S154" s="1292" t="str">
        <f t="shared" si="67"/>
        <v>OK</v>
      </c>
      <c r="T154" s="1292" t="str">
        <f t="shared" si="67"/>
        <v>OK</v>
      </c>
      <c r="U154" s="1292" t="str">
        <f t="shared" si="67"/>
        <v>OK</v>
      </c>
    </row>
    <row r="155" spans="1:21" s="522" customFormat="1" ht="12.75" thickBot="1">
      <c r="A155" s="1247"/>
      <c r="B155" s="1279"/>
      <c r="C155" s="523"/>
      <c r="D155" s="523"/>
      <c r="F155" s="1250"/>
      <c r="G155" s="523"/>
      <c r="H155" s="523"/>
      <c r="I155" s="523"/>
      <c r="J155" s="523"/>
      <c r="K155" s="523"/>
      <c r="L155" s="523"/>
      <c r="M155" s="523"/>
      <c r="N155" s="523"/>
      <c r="O155" s="523"/>
      <c r="P155" s="523"/>
      <c r="Q155" s="523"/>
      <c r="R155" s="523"/>
      <c r="S155" s="523"/>
      <c r="T155" s="523"/>
      <c r="U155" s="523"/>
    </row>
    <row r="156" spans="1:21" s="1263" customFormat="1" ht="45" customHeight="1" thickBot="1">
      <c r="A156" s="1262"/>
      <c r="B156" s="1286" t="s">
        <v>637</v>
      </c>
      <c r="C156" s="1293" t="str">
        <f>IF(AND(C125&lt;=85%,C148="VERDE",C152&gt;=100%),"OK","REQUIERE AJUSTE")</f>
        <v>OK</v>
      </c>
      <c r="D156" s="185"/>
      <c r="F156" s="1264"/>
      <c r="G156" s="1294" t="str">
        <f t="shared" ref="G156:U156" si="68">IF(AND(G125&lt;=G126,G148="VERDE",G152&gt;=100%),"OK","REQUIERE AJUSTE")</f>
        <v>OK</v>
      </c>
      <c r="H156" s="1294" t="str">
        <f t="shared" si="68"/>
        <v>OK</v>
      </c>
      <c r="I156" s="1294" t="str">
        <f t="shared" si="68"/>
        <v>REQUIERE AJUSTE</v>
      </c>
      <c r="J156" s="1294" t="str">
        <f t="shared" si="68"/>
        <v>REQUIERE AJUSTE</v>
      </c>
      <c r="K156" s="1294" t="str">
        <f t="shared" si="68"/>
        <v>REQUIERE AJUSTE</v>
      </c>
      <c r="L156" s="1294" t="str">
        <f t="shared" si="68"/>
        <v>REQUIERE AJUSTE</v>
      </c>
      <c r="M156" s="1294" t="str">
        <f t="shared" si="68"/>
        <v>REQUIERE AJUSTE</v>
      </c>
      <c r="N156" s="1294" t="str">
        <f t="shared" si="68"/>
        <v>REQUIERE AJUSTE</v>
      </c>
      <c r="O156" s="1294" t="str">
        <f t="shared" si="68"/>
        <v>REQUIERE AJUSTE</v>
      </c>
      <c r="P156" s="1294" t="str">
        <f t="shared" si="68"/>
        <v>REQUIERE AJUSTE</v>
      </c>
      <c r="Q156" s="1294" t="str">
        <f t="shared" si="68"/>
        <v>REQUIERE AJUSTE</v>
      </c>
      <c r="R156" s="1294" t="str">
        <f t="shared" si="68"/>
        <v>REQUIERE AJUSTE</v>
      </c>
      <c r="S156" s="1294" t="str">
        <f t="shared" si="68"/>
        <v>OK</v>
      </c>
      <c r="T156" s="1294" t="str">
        <f t="shared" si="68"/>
        <v>REQUIERE AJUSTE</v>
      </c>
      <c r="U156" s="1294" t="str">
        <f t="shared" si="68"/>
        <v>REQUIERE AJUSTE</v>
      </c>
    </row>
    <row r="157" spans="1:21" s="522" customFormat="1">
      <c r="A157" s="1247"/>
    </row>
    <row r="158" spans="1:21" s="522" customFormat="1" ht="12.75">
      <c r="A158" s="1247"/>
      <c r="B158" s="1248"/>
    </row>
    <row r="159" spans="1:21">
      <c r="A159" s="604"/>
    </row>
    <row r="160" spans="1:21">
      <c r="A160" s="604"/>
    </row>
    <row r="161" spans="1:6">
      <c r="A161" s="604"/>
    </row>
    <row r="162" spans="1:6">
      <c r="A162" s="604"/>
      <c r="E162" s="588"/>
      <c r="F162" s="588"/>
    </row>
    <row r="163" spans="1:6">
      <c r="A163" s="604"/>
    </row>
    <row r="164" spans="1:6">
      <c r="A164" s="604"/>
    </row>
    <row r="165" spans="1:6">
      <c r="A165" s="604"/>
    </row>
    <row r="166" spans="1:6">
      <c r="A166" s="604"/>
    </row>
    <row r="167" spans="1:6">
      <c r="A167" s="604"/>
    </row>
    <row r="168" spans="1:6">
      <c r="A168" s="604"/>
    </row>
    <row r="169" spans="1:6">
      <c r="A169" s="604"/>
    </row>
    <row r="170" spans="1:6">
      <c r="A170" s="604"/>
    </row>
    <row r="171" spans="1:6">
      <c r="A171" s="604"/>
    </row>
    <row r="172" spans="1:6">
      <c r="A172" s="604"/>
    </row>
    <row r="173" spans="1:6">
      <c r="A173" s="604"/>
    </row>
    <row r="174" spans="1:6">
      <c r="A174" s="604"/>
    </row>
    <row r="175" spans="1:6">
      <c r="A175" s="604"/>
    </row>
    <row r="176" spans="1:6">
      <c r="A176" s="604"/>
    </row>
    <row r="177" spans="1:6">
      <c r="A177" s="604"/>
    </row>
    <row r="178" spans="1:6">
      <c r="A178" s="604"/>
    </row>
    <row r="179" spans="1:6">
      <c r="A179" s="604"/>
    </row>
    <row r="180" spans="1:6">
      <c r="A180" s="604"/>
    </row>
    <row r="181" spans="1:6">
      <c r="A181" s="604"/>
    </row>
    <row r="182" spans="1:6">
      <c r="A182" s="604"/>
      <c r="E182" s="588"/>
      <c r="F182" s="588"/>
    </row>
    <row r="183" spans="1:6">
      <c r="A183" s="604"/>
      <c r="E183" s="588"/>
      <c r="F183" s="588"/>
    </row>
    <row r="184" spans="1:6">
      <c r="A184" s="604"/>
    </row>
    <row r="185" spans="1:6">
      <c r="A185" s="604"/>
    </row>
    <row r="186" spans="1:6">
      <c r="A186" s="604"/>
    </row>
    <row r="187" spans="1:6">
      <c r="A187" s="604"/>
    </row>
    <row r="188" spans="1:6">
      <c r="A188" s="604"/>
    </row>
    <row r="189" spans="1:6">
      <c r="A189" s="604"/>
    </row>
    <row r="190" spans="1:6">
      <c r="A190" s="604"/>
    </row>
    <row r="191" spans="1:6">
      <c r="A191" s="604"/>
    </row>
    <row r="192" spans="1:6">
      <c r="A192" s="604"/>
    </row>
    <row r="193" spans="1:6">
      <c r="A193" s="604"/>
    </row>
    <row r="194" spans="1:6">
      <c r="A194" s="604"/>
    </row>
    <row r="195" spans="1:6">
      <c r="A195" s="604"/>
    </row>
    <row r="196" spans="1:6">
      <c r="A196" s="604"/>
    </row>
    <row r="197" spans="1:6">
      <c r="A197" s="604"/>
    </row>
    <row r="198" spans="1:6">
      <c r="A198" s="604"/>
    </row>
    <row r="199" spans="1:6">
      <c r="A199" s="604"/>
    </row>
    <row r="200" spans="1:6">
      <c r="A200" s="604"/>
    </row>
    <row r="201" spans="1:6">
      <c r="A201" s="604"/>
    </row>
    <row r="202" spans="1:6">
      <c r="A202" s="604"/>
    </row>
    <row r="203" spans="1:6">
      <c r="A203" s="604"/>
      <c r="E203" s="588"/>
      <c r="F203" s="588"/>
    </row>
    <row r="204" spans="1:6">
      <c r="A204" s="604"/>
    </row>
    <row r="205" spans="1:6" ht="12.75" customHeight="1">
      <c r="A205" s="604"/>
    </row>
    <row r="206" spans="1:6" s="1380" customFormat="1">
      <c r="A206" s="1379"/>
      <c r="E206" s="1381"/>
      <c r="F206" s="1381"/>
    </row>
    <row r="207" spans="1:6" hidden="1">
      <c r="A207" s="604"/>
      <c r="D207" s="523">
        <f>+'Cuadros para Informe Municipios'!E89</f>
        <v>20010</v>
      </c>
      <c r="E207" s="523">
        <f>+'Cuadros para Informe Municipios'!F89</f>
        <v>0.61</v>
      </c>
    </row>
    <row r="208" spans="1:6" hidden="1">
      <c r="A208" s="604"/>
      <c r="D208" s="523">
        <f>+'Cuadros para Informe Municipios'!E90</f>
        <v>20011</v>
      </c>
      <c r="E208" s="522">
        <f>+'Cuadros para Informe Municipios'!F90</f>
        <v>0.8</v>
      </c>
    </row>
    <row r="209" spans="1:6" hidden="1">
      <c r="A209" s="604"/>
      <c r="D209" s="523">
        <f>+'Cuadros para Informe Municipios'!E91</f>
        <v>20012</v>
      </c>
      <c r="E209" s="522">
        <f>+'Cuadros para Informe Municipios'!F91</f>
        <v>0.85</v>
      </c>
    </row>
    <row r="210" spans="1:6" hidden="1">
      <c r="A210" s="604"/>
      <c r="D210" s="523">
        <f>+'Cuadros para Informe Municipios'!E92</f>
        <v>20013</v>
      </c>
      <c r="E210" s="522">
        <f>+'Cuadros para Informe Municipios'!F92</f>
        <v>0.85</v>
      </c>
    </row>
    <row r="211" spans="1:6" hidden="1">
      <c r="A211" s="604"/>
      <c r="D211" s="523">
        <f>+'Cuadros para Informe Municipios'!E93</f>
        <v>20014</v>
      </c>
      <c r="E211" s="522">
        <f>+'Cuadros para Informe Municipios'!F93</f>
        <v>0.95</v>
      </c>
    </row>
    <row r="212" spans="1:6" hidden="1">
      <c r="A212" s="604"/>
      <c r="D212" s="523">
        <f>+'Cuadros para Informe Municipios'!E94</f>
        <v>20015</v>
      </c>
      <c r="E212" s="522">
        <f>+'Cuadros para Informe Municipios'!F94</f>
        <v>0.95</v>
      </c>
    </row>
    <row r="213" spans="1:6" hidden="1">
      <c r="A213" s="604"/>
      <c r="D213" s="523">
        <f>+'Cuadros para Informe Municipios'!E95</f>
        <v>20016</v>
      </c>
      <c r="E213" s="522">
        <f>+'Cuadros para Informe Municipios'!F95</f>
        <v>0.95</v>
      </c>
    </row>
    <row r="214" spans="1:6" hidden="1">
      <c r="A214" s="604"/>
      <c r="D214" s="523">
        <f>+'Cuadros para Informe Municipios'!E96</f>
        <v>20020</v>
      </c>
      <c r="E214" s="522">
        <f>+'Cuadros para Informe Municipios'!F96</f>
        <v>0.56999999999999995</v>
      </c>
    </row>
    <row r="215" spans="1:6" hidden="1">
      <c r="A215" s="604"/>
      <c r="D215" s="523">
        <f>+'Cuadros para Informe Municipios'!E97</f>
        <v>20021</v>
      </c>
      <c r="E215" s="522">
        <f>+'Cuadros para Informe Municipios'!F97</f>
        <v>0.75</v>
      </c>
    </row>
    <row r="216" spans="1:6" hidden="1">
      <c r="A216" s="604"/>
      <c r="D216" s="523">
        <f>+'Cuadros para Informe Municipios'!E98</f>
        <v>20022</v>
      </c>
      <c r="E216" s="522">
        <f>+'Cuadros para Informe Municipios'!F98</f>
        <v>0.8</v>
      </c>
    </row>
    <row r="217" spans="1:6" hidden="1">
      <c r="A217" s="604"/>
      <c r="D217" s="523">
        <f>+'Cuadros para Informe Municipios'!E99</f>
        <v>20023</v>
      </c>
      <c r="E217" s="522">
        <f>+'Cuadros para Informe Municipios'!F99</f>
        <v>0.8</v>
      </c>
    </row>
    <row r="218" spans="1:6" hidden="1">
      <c r="A218" s="604"/>
      <c r="D218" s="523">
        <f>+'Cuadros para Informe Municipios'!E100</f>
        <v>20024</v>
      </c>
      <c r="E218" s="522">
        <f>+'Cuadros para Informe Municipios'!F100</f>
        <v>0.9</v>
      </c>
    </row>
    <row r="219" spans="1:6" hidden="1">
      <c r="A219" s="604"/>
      <c r="D219" s="523">
        <f>+'Cuadros para Informe Municipios'!E101</f>
        <v>20025</v>
      </c>
      <c r="E219" s="522">
        <f>+'Cuadros para Informe Municipios'!F101</f>
        <v>0.9</v>
      </c>
    </row>
    <row r="220" spans="1:6" hidden="1">
      <c r="A220" s="604"/>
      <c r="D220" s="523">
        <f>+'Cuadros para Informe Municipios'!E102</f>
        <v>20026</v>
      </c>
      <c r="E220" s="522">
        <f>+'Cuadros para Informe Municipios'!F102</f>
        <v>0.9</v>
      </c>
    </row>
    <row r="221" spans="1:6" hidden="1">
      <c r="A221" s="604"/>
      <c r="D221" s="523">
        <f>+'Cuadros para Informe Municipios'!E103</f>
        <v>20030</v>
      </c>
      <c r="E221" s="522">
        <f>+'Cuadros para Informe Municipios'!F103</f>
        <v>0.54</v>
      </c>
    </row>
    <row r="222" spans="1:6" hidden="1">
      <c r="A222" s="604"/>
      <c r="D222" s="523">
        <f>+'Cuadros para Informe Municipios'!E104</f>
        <v>20031</v>
      </c>
      <c r="E222" s="522">
        <f>+'Cuadros para Informe Municipios'!F104</f>
        <v>0.7</v>
      </c>
    </row>
    <row r="223" spans="1:6" hidden="1">
      <c r="A223" s="604"/>
      <c r="D223" s="523">
        <f>+'Cuadros para Informe Municipios'!E105</f>
        <v>20032</v>
      </c>
      <c r="E223" s="588">
        <f>+'Cuadros para Informe Municipios'!F105</f>
        <v>0.75</v>
      </c>
      <c r="F223" s="588"/>
    </row>
    <row r="224" spans="1:6" hidden="1">
      <c r="A224" s="604"/>
      <c r="D224" s="523">
        <f>+'Cuadros para Informe Municipios'!E106</f>
        <v>20033</v>
      </c>
      <c r="E224" s="522">
        <f>+'Cuadros para Informe Municipios'!F106</f>
        <v>0.75</v>
      </c>
    </row>
    <row r="225" spans="1:6" hidden="1">
      <c r="A225" s="604"/>
      <c r="D225" s="523">
        <f>+'Cuadros para Informe Municipios'!E107</f>
        <v>20034</v>
      </c>
      <c r="E225" s="522">
        <f>+'Cuadros para Informe Municipios'!F107</f>
        <v>0.85</v>
      </c>
    </row>
    <row r="226" spans="1:6" hidden="1">
      <c r="A226" s="604"/>
      <c r="D226" s="523">
        <f>+'Cuadros para Informe Municipios'!E108</f>
        <v>20035</v>
      </c>
      <c r="E226" s="522">
        <f>+'Cuadros para Informe Municipios'!F108</f>
        <v>0.85</v>
      </c>
    </row>
    <row r="227" spans="1:6" hidden="1">
      <c r="A227" s="604"/>
      <c r="D227" s="523">
        <f>+'Cuadros para Informe Municipios'!E109</f>
        <v>20036</v>
      </c>
      <c r="E227" s="522">
        <f>+'Cuadros para Informe Municipios'!F109</f>
        <v>0.85</v>
      </c>
    </row>
    <row r="228" spans="1:6" hidden="1">
      <c r="A228" s="604"/>
      <c r="D228" s="523">
        <f>+'Cuadros para Informe Municipios'!E110</f>
        <v>20040</v>
      </c>
      <c r="E228" s="522">
        <f>+'Cuadros para Informe Municipios'!F110</f>
        <v>0.5</v>
      </c>
    </row>
    <row r="229" spans="1:6" hidden="1">
      <c r="A229" s="604"/>
      <c r="D229" s="523">
        <f>+'Cuadros para Informe Municipios'!E111</f>
        <v>20041</v>
      </c>
      <c r="E229" s="522">
        <f>+'Cuadros para Informe Municipios'!F111</f>
        <v>0.65</v>
      </c>
    </row>
    <row r="230" spans="1:6" hidden="1">
      <c r="A230" s="604"/>
      <c r="D230" s="523">
        <f>+'Cuadros para Informe Municipios'!E112</f>
        <v>20042</v>
      </c>
      <c r="E230" s="522">
        <f>+'Cuadros para Informe Municipios'!F112</f>
        <v>0.7</v>
      </c>
    </row>
    <row r="231" spans="1:6" hidden="1">
      <c r="A231" s="604"/>
      <c r="D231" s="523">
        <f>+'Cuadros para Informe Municipios'!E113</f>
        <v>20043</v>
      </c>
      <c r="E231" s="522">
        <f>+'Cuadros para Informe Municipios'!F113</f>
        <v>0.7</v>
      </c>
    </row>
    <row r="232" spans="1:6" hidden="1">
      <c r="A232" s="604"/>
      <c r="D232" s="523">
        <f>+'Cuadros para Informe Municipios'!E114</f>
        <v>20044</v>
      </c>
      <c r="E232" s="522">
        <f>+'Cuadros para Informe Municipios'!F114</f>
        <v>0.8</v>
      </c>
    </row>
    <row r="233" spans="1:6" hidden="1">
      <c r="A233" s="604"/>
      <c r="D233" s="523">
        <f>+'Cuadros para Informe Municipios'!E115</f>
        <v>20045</v>
      </c>
      <c r="E233" s="522">
        <f>+'Cuadros para Informe Municipios'!F115</f>
        <v>0.8</v>
      </c>
    </row>
    <row r="234" spans="1:6" hidden="1">
      <c r="A234" s="604"/>
      <c r="D234" s="523">
        <f>+'Cuadros para Informe Municipios'!E116</f>
        <v>20046</v>
      </c>
      <c r="E234" s="522">
        <f>+'Cuadros para Informe Municipios'!F116</f>
        <v>0.8</v>
      </c>
    </row>
    <row r="235" spans="1:6" s="1380" customFormat="1">
      <c r="A235" s="1379"/>
      <c r="E235" s="1381"/>
      <c r="F235" s="1381"/>
    </row>
    <row r="236" spans="1:6">
      <c r="A236" s="604"/>
    </row>
    <row r="237" spans="1:6">
      <c r="A237" s="604"/>
    </row>
    <row r="238" spans="1:6">
      <c r="A238" s="604"/>
    </row>
    <row r="239" spans="1:6">
      <c r="A239" s="604"/>
    </row>
    <row r="240" spans="1:6">
      <c r="A240" s="604"/>
    </row>
    <row r="241" spans="1:6">
      <c r="A241" s="604"/>
    </row>
    <row r="242" spans="1:6">
      <c r="A242" s="604"/>
    </row>
    <row r="243" spans="1:6">
      <c r="A243" s="604"/>
      <c r="E243" s="588"/>
      <c r="F243" s="588"/>
    </row>
    <row r="244" spans="1:6">
      <c r="A244" s="604"/>
      <c r="E244" s="588"/>
      <c r="F244" s="588"/>
    </row>
    <row r="245" spans="1:6">
      <c r="A245" s="604"/>
    </row>
    <row r="246" spans="1:6">
      <c r="A246" s="604"/>
    </row>
    <row r="247" spans="1:6">
      <c r="A247" s="604"/>
    </row>
    <row r="248" spans="1:6">
      <c r="A248" s="604"/>
    </row>
    <row r="249" spans="1:6">
      <c r="A249" s="604"/>
    </row>
    <row r="250" spans="1:6">
      <c r="A250" s="604"/>
    </row>
    <row r="251" spans="1:6">
      <c r="A251" s="604"/>
    </row>
    <row r="252" spans="1:6">
      <c r="A252" s="604"/>
    </row>
    <row r="253" spans="1:6">
      <c r="A253" s="604"/>
    </row>
    <row r="254" spans="1:6">
      <c r="A254" s="604"/>
    </row>
    <row r="255" spans="1:6">
      <c r="A255" s="604"/>
    </row>
    <row r="256" spans="1:6">
      <c r="A256" s="604"/>
    </row>
    <row r="257" spans="1:6">
      <c r="A257" s="604"/>
    </row>
    <row r="258" spans="1:6">
      <c r="A258" s="604"/>
    </row>
    <row r="259" spans="1:6">
      <c r="A259" s="604"/>
    </row>
    <row r="260" spans="1:6">
      <c r="A260" s="604"/>
    </row>
    <row r="261" spans="1:6">
      <c r="A261" s="604"/>
    </row>
    <row r="262" spans="1:6">
      <c r="A262" s="604"/>
    </row>
    <row r="263" spans="1:6">
      <c r="A263" s="604"/>
    </row>
    <row r="264" spans="1:6">
      <c r="A264" s="604"/>
      <c r="E264" s="588"/>
      <c r="F264" s="588"/>
    </row>
    <row r="265" spans="1:6">
      <c r="A265" s="604"/>
    </row>
    <row r="266" spans="1:6">
      <c r="A266" s="604"/>
    </row>
    <row r="267" spans="1:6">
      <c r="A267" s="604"/>
    </row>
    <row r="268" spans="1:6">
      <c r="A268" s="604"/>
    </row>
    <row r="269" spans="1:6">
      <c r="A269" s="604"/>
    </row>
    <row r="270" spans="1:6">
      <c r="A270" s="604"/>
    </row>
    <row r="271" spans="1:6">
      <c r="A271" s="604"/>
    </row>
    <row r="272" spans="1:6">
      <c r="A272" s="604"/>
    </row>
    <row r="273" spans="1:6">
      <c r="A273" s="604"/>
    </row>
    <row r="274" spans="1:6">
      <c r="A274" s="604"/>
    </row>
    <row r="275" spans="1:6">
      <c r="A275" s="604"/>
    </row>
    <row r="276" spans="1:6">
      <c r="A276" s="604"/>
    </row>
    <row r="277" spans="1:6">
      <c r="A277" s="604"/>
    </row>
    <row r="278" spans="1:6">
      <c r="A278" s="604"/>
    </row>
    <row r="279" spans="1:6">
      <c r="A279" s="604"/>
    </row>
    <row r="280" spans="1:6">
      <c r="A280" s="604"/>
    </row>
    <row r="281" spans="1:6">
      <c r="A281" s="604"/>
    </row>
    <row r="282" spans="1:6">
      <c r="A282" s="604"/>
    </row>
    <row r="283" spans="1:6">
      <c r="A283" s="604"/>
    </row>
    <row r="284" spans="1:6">
      <c r="A284" s="604"/>
      <c r="E284" s="588"/>
      <c r="F284" s="588"/>
    </row>
    <row r="285" spans="1:6">
      <c r="A285" s="604"/>
    </row>
    <row r="286" spans="1:6">
      <c r="A286" s="604"/>
    </row>
    <row r="287" spans="1:6">
      <c r="A287" s="604"/>
    </row>
    <row r="288" spans="1:6">
      <c r="A288" s="604"/>
    </row>
    <row r="289" spans="1:1">
      <c r="A289" s="604"/>
    </row>
    <row r="290" spans="1:1">
      <c r="A290" s="604"/>
    </row>
    <row r="291" spans="1:1">
      <c r="A291" s="604"/>
    </row>
    <row r="292" spans="1:1">
      <c r="A292" s="604"/>
    </row>
    <row r="293" spans="1:1">
      <c r="A293" s="604"/>
    </row>
    <row r="294" spans="1:1">
      <c r="A294" s="604"/>
    </row>
    <row r="295" spans="1:1">
      <c r="A295" s="604"/>
    </row>
    <row r="296" spans="1:1">
      <c r="A296" s="604"/>
    </row>
    <row r="297" spans="1:1">
      <c r="A297" s="604"/>
    </row>
    <row r="298" spans="1:1">
      <c r="A298" s="604"/>
    </row>
    <row r="299" spans="1:1">
      <c r="A299" s="604"/>
    </row>
    <row r="300" spans="1:1">
      <c r="A300" s="604"/>
    </row>
    <row r="301" spans="1:1">
      <c r="A301" s="604"/>
    </row>
    <row r="302" spans="1:1">
      <c r="A302" s="604"/>
    </row>
    <row r="303" spans="1:1">
      <c r="A303" s="604"/>
    </row>
    <row r="304" spans="1:1">
      <c r="A304" s="604"/>
    </row>
    <row r="305" spans="1:6">
      <c r="A305" s="604"/>
      <c r="E305" s="588"/>
      <c r="F305" s="588"/>
    </row>
    <row r="306" spans="1:6">
      <c r="A306" s="604"/>
      <c r="E306" s="588"/>
      <c r="F306" s="588"/>
    </row>
    <row r="307" spans="1:6">
      <c r="A307" s="604"/>
    </row>
    <row r="308" spans="1:6">
      <c r="A308" s="604"/>
    </row>
    <row r="309" spans="1:6">
      <c r="A309" s="604"/>
    </row>
    <row r="310" spans="1:6">
      <c r="A310" s="604"/>
    </row>
    <row r="311" spans="1:6">
      <c r="A311" s="604"/>
      <c r="E311" s="588"/>
      <c r="F311" s="588"/>
    </row>
    <row r="312" spans="1:6">
      <c r="A312" s="604"/>
    </row>
    <row r="313" spans="1:6">
      <c r="A313" s="604"/>
    </row>
    <row r="314" spans="1:6">
      <c r="A314" s="604"/>
    </row>
  </sheetData>
  <sheetProtection password="95B1" sheet="1" objects="1" scenarios="1"/>
  <phoneticPr fontId="34" type="noConversion"/>
  <printOptions horizontalCentered="1" verticalCentered="1" gridLines="1"/>
  <pageMargins left="0.19685039370078741" right="0" top="0.31496062992125984" bottom="0.31496062992125984" header="0.15748031496062992" footer="0.19685039370078741"/>
  <pageSetup paperSize="5" scale="55" fitToWidth="3" orientation="landscape" horizontalDpi="4294967293" verticalDpi="144" r:id="rId1"/>
  <headerFooter alignWithMargins="0">
    <oddHeader>&amp;C&amp;"Arial,Negrita"&amp;12&amp;F</oddHeader>
    <oddFooter>&amp;L&amp;"Arial,Negrita"&amp;F &amp;A&amp;R&amp;"Arial,Negrita"Página &amp;P de &amp;N</oddFooter>
  </headerFooter>
  <legacyDrawing r:id="rId2"/>
</worksheet>
</file>

<file path=xl/worksheets/sheet4.xml><?xml version="1.0" encoding="utf-8"?>
<worksheet xmlns="http://schemas.openxmlformats.org/spreadsheetml/2006/main" xmlns:r="http://schemas.openxmlformats.org/officeDocument/2006/relationships">
  <sheetPr codeName="Hoja4"/>
  <dimension ref="A1:CD413"/>
  <sheetViews>
    <sheetView view="pageBreakPreview" topLeftCell="B7" zoomScale="60" zoomScaleNormal="57" workbookViewId="0">
      <pane xSplit="2" ySplit="18" topLeftCell="D46" activePane="bottomRight" state="frozen"/>
      <selection activeCell="B7" sqref="B7"/>
      <selection pane="topRight" activeCell="D7" sqref="D7"/>
      <selection pane="bottomLeft" activeCell="B25" sqref="B25"/>
      <selection pane="bottomRight" activeCell="A7" sqref="A7"/>
    </sheetView>
  </sheetViews>
  <sheetFormatPr baseColWidth="10" defaultRowHeight="12.75"/>
  <cols>
    <col min="1" max="1" width="12" style="1" customWidth="1"/>
    <col min="2" max="2" width="0.42578125" style="1" customWidth="1"/>
    <col min="3" max="3" width="33.5703125" style="1" customWidth="1"/>
    <col min="4" max="6" width="14.42578125" style="1" customWidth="1"/>
    <col min="7" max="7" width="16.42578125" style="1" customWidth="1"/>
    <col min="8" max="8" width="14.42578125" style="1" customWidth="1"/>
    <col min="9" max="9" width="14.85546875" style="1" customWidth="1"/>
    <col min="10" max="10" width="15.7109375" style="1" customWidth="1"/>
    <col min="11" max="11" width="13.85546875" style="1" customWidth="1"/>
    <col min="12" max="12" width="15" style="1" customWidth="1"/>
    <col min="13" max="13" width="15.7109375" style="1" customWidth="1"/>
    <col min="14" max="14" width="14.5703125" style="1" customWidth="1"/>
    <col min="15" max="15" width="1.42578125" style="438" customWidth="1"/>
    <col min="16" max="21" width="13.5703125" style="10" bestFit="1" customWidth="1"/>
    <col min="22" max="22" width="14" style="10" customWidth="1"/>
    <col min="23" max="24" width="13.42578125" style="10" customWidth="1"/>
    <col min="25" max="25" width="13.5703125" style="10" customWidth="1"/>
    <col min="26" max="26" width="13.5703125" style="10" bestFit="1" customWidth="1"/>
    <col min="27" max="29" width="13.5703125" style="10" customWidth="1"/>
    <col min="30" max="30" width="13.5703125" style="10" bestFit="1" customWidth="1"/>
    <col min="31" max="45" width="16.42578125" style="1" customWidth="1"/>
    <col min="46" max="82" width="11.42578125" style="438"/>
    <col min="83" max="16384" width="11.42578125" style="10"/>
  </cols>
  <sheetData>
    <row r="1" spans="1:45" s="455" customFormat="1" ht="14.25" hidden="1" customHeight="1">
      <c r="A1" s="1059" t="s">
        <v>638</v>
      </c>
      <c r="B1" s="607"/>
      <c r="C1" s="607"/>
    </row>
    <row r="2" spans="1:45" s="454" customFormat="1" hidden="1">
      <c r="A2" s="624"/>
      <c r="B2" s="624"/>
      <c r="C2" s="624"/>
    </row>
    <row r="3" spans="1:45" s="455" customFormat="1" ht="15" hidden="1">
      <c r="A3" s="448" t="s">
        <v>1224</v>
      </c>
      <c r="B3" s="448"/>
      <c r="C3" s="448"/>
    </row>
    <row r="4" spans="1:45" s="455" customFormat="1" ht="15" hidden="1">
      <c r="A4" s="448" t="s">
        <v>1225</v>
      </c>
      <c r="B4" s="448"/>
      <c r="C4" s="448"/>
    </row>
    <row r="5" spans="1:45" s="454" customFormat="1" ht="13.5" hidden="1" thickBot="1">
      <c r="A5" s="625"/>
      <c r="B5" s="625"/>
      <c r="C5" s="625"/>
    </row>
    <row r="6" spans="1:45" s="454" customFormat="1" hidden="1">
      <c r="A6" s="626" t="s">
        <v>1226</v>
      </c>
      <c r="B6" s="627"/>
      <c r="C6" s="627"/>
      <c r="D6" s="628"/>
      <c r="E6" s="628"/>
      <c r="F6" s="628"/>
    </row>
    <row r="7" spans="1:45" s="454" customFormat="1" ht="13.5" thickBot="1">
      <c r="A7" s="451" t="s">
        <v>639</v>
      </c>
      <c r="B7" s="629"/>
      <c r="C7" s="1167" t="str">
        <f>+Ingresos!B8</f>
        <v>MUNICIPIO DE CUNDAY</v>
      </c>
      <c r="D7" s="628"/>
      <c r="E7" s="628"/>
      <c r="F7" s="628"/>
      <c r="O7" s="1385"/>
      <c r="AE7" s="1414"/>
      <c r="AF7" s="1414"/>
      <c r="AG7" s="1414"/>
      <c r="AH7" s="1414"/>
      <c r="AI7" s="1414"/>
      <c r="AJ7" s="1414"/>
      <c r="AK7" s="1414"/>
      <c r="AL7" s="1414"/>
      <c r="AM7" s="1414"/>
      <c r="AN7" s="1414"/>
      <c r="AO7" s="1414"/>
      <c r="AP7" s="1414"/>
      <c r="AQ7" s="1414"/>
      <c r="AR7" s="1414"/>
      <c r="AS7" s="1414"/>
    </row>
    <row r="8" spans="1:45" s="454" customFormat="1" ht="13.5" hidden="1" thickBot="1">
      <c r="A8" s="451" t="s">
        <v>1228</v>
      </c>
      <c r="B8" s="629"/>
      <c r="C8" s="1167">
        <f>+Ingresos!B10</f>
        <v>2011</v>
      </c>
      <c r="O8" s="1385"/>
    </row>
    <row r="9" spans="1:45" s="454" customFormat="1" ht="13.5" hidden="1" thickBot="1">
      <c r="A9" s="451" t="s">
        <v>1230</v>
      </c>
      <c r="B9" s="629"/>
      <c r="C9" s="1167">
        <f>+Ingresos!B12</f>
        <v>6</v>
      </c>
      <c r="O9" s="1385"/>
    </row>
    <row r="10" spans="1:45" s="454" customFormat="1" ht="13.5" hidden="1" thickBot="1">
      <c r="A10" s="515" t="s">
        <v>1231</v>
      </c>
      <c r="B10" s="630"/>
      <c r="C10" s="516"/>
      <c r="D10" s="628"/>
      <c r="E10" s="628"/>
      <c r="F10" s="628"/>
      <c r="O10" s="1385"/>
    </row>
    <row r="11" spans="1:45" s="454" customFormat="1" ht="13.5" hidden="1" thickBot="1">
      <c r="A11" s="1168"/>
      <c r="B11" s="631"/>
      <c r="C11" s="1168"/>
      <c r="O11" s="1385"/>
    </row>
    <row r="12" spans="1:45" s="454" customFormat="1" ht="13.5" hidden="1" thickBot="1">
      <c r="A12" s="451" t="s">
        <v>101</v>
      </c>
      <c r="B12" s="629"/>
      <c r="C12" s="451"/>
      <c r="O12" s="1385"/>
    </row>
    <row r="13" spans="1:45" s="454" customFormat="1" ht="13.5" hidden="1" thickBot="1">
      <c r="A13" s="1169"/>
      <c r="B13" s="625"/>
      <c r="C13" s="1169"/>
      <c r="O13" s="1385"/>
    </row>
    <row r="14" spans="1:45" s="454" customFormat="1" ht="13.5" hidden="1" thickBot="1">
      <c r="A14" s="511" t="s">
        <v>1233</v>
      </c>
      <c r="B14" s="627"/>
      <c r="C14" s="512"/>
      <c r="O14" s="1385"/>
    </row>
    <row r="15" spans="1:45" s="454" customFormat="1" ht="13.5" hidden="1" thickBot="1">
      <c r="A15" s="513" t="s">
        <v>1234</v>
      </c>
      <c r="B15" s="629"/>
      <c r="C15" s="451"/>
      <c r="O15" s="1385"/>
    </row>
    <row r="16" spans="1:45" s="454" customFormat="1" ht="13.5" hidden="1" thickBot="1">
      <c r="A16" s="515" t="s">
        <v>1235</v>
      </c>
      <c r="B16" s="630"/>
      <c r="C16" s="516"/>
      <c r="O16" s="1385"/>
    </row>
    <row r="17" spans="1:45" s="454" customFormat="1" ht="13.5" hidden="1" thickBot="1">
      <c r="A17" s="1168"/>
      <c r="B17" s="631"/>
      <c r="C17" s="1168"/>
      <c r="O17" s="1385"/>
    </row>
    <row r="18" spans="1:45" s="454" customFormat="1" ht="13.5" hidden="1" thickBot="1">
      <c r="A18" s="1059" t="s">
        <v>640</v>
      </c>
      <c r="B18" s="632"/>
      <c r="C18" s="1059"/>
      <c r="I18" s="633"/>
      <c r="O18" s="1385"/>
    </row>
    <row r="19" spans="1:45" ht="13.5" hidden="1" thickBot="1">
      <c r="A19" s="610"/>
      <c r="B19" s="610"/>
      <c r="C19" s="610"/>
      <c r="D19" s="438"/>
      <c r="E19" s="438"/>
      <c r="F19" s="438"/>
      <c r="G19" s="438"/>
      <c r="H19" s="438"/>
      <c r="I19" s="441"/>
      <c r="J19" s="438"/>
      <c r="K19" s="438"/>
      <c r="L19" s="438"/>
      <c r="M19" s="438"/>
      <c r="N19" s="438"/>
      <c r="O19" s="1386"/>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row>
    <row r="20" spans="1:45" ht="13.5" hidden="1" thickBot="1">
      <c r="A20" s="610"/>
      <c r="B20" s="608"/>
      <c r="C20" s="1170"/>
      <c r="D20" s="441"/>
      <c r="E20" s="438"/>
      <c r="F20" s="438"/>
      <c r="G20" s="438"/>
      <c r="H20" s="438"/>
      <c r="I20" s="441"/>
      <c r="J20" s="438"/>
      <c r="K20" s="438"/>
      <c r="L20" s="438"/>
      <c r="M20" s="438"/>
      <c r="N20" s="438"/>
      <c r="O20" s="1386"/>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row>
    <row r="21" spans="1:45" ht="15" hidden="1" customHeight="1" thickBot="1">
      <c r="A21" s="611"/>
      <c r="B21" s="611"/>
      <c r="C21" s="611"/>
      <c r="D21" s="438"/>
      <c r="E21" s="438"/>
      <c r="F21" s="438"/>
      <c r="G21" s="438"/>
      <c r="H21" s="438"/>
      <c r="I21" s="438"/>
      <c r="J21" s="438"/>
      <c r="K21" s="438"/>
      <c r="L21" s="438"/>
      <c r="M21" s="438"/>
      <c r="N21" s="438"/>
      <c r="O21" s="1386"/>
      <c r="P21" s="441"/>
      <c r="Q21" s="441"/>
      <c r="R21" s="441"/>
      <c r="S21" s="441"/>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row>
    <row r="22" spans="1:45" ht="13.5" customHeight="1">
      <c r="A22" s="1170" t="str">
        <f>+A8</f>
        <v>Vigencia fiscal:</v>
      </c>
      <c r="B22" s="450"/>
      <c r="C22" s="1170">
        <f>+C8</f>
        <v>2011</v>
      </c>
      <c r="D22" s="612" t="s">
        <v>641</v>
      </c>
      <c r="E22" s="613"/>
      <c r="F22" s="613"/>
      <c r="G22" s="612" t="s">
        <v>642</v>
      </c>
      <c r="H22" s="613"/>
      <c r="I22" s="613"/>
      <c r="J22" s="613"/>
      <c r="K22" s="614"/>
      <c r="L22" s="612" t="s">
        <v>643</v>
      </c>
      <c r="M22" s="613"/>
      <c r="N22" s="614"/>
      <c r="O22" s="1386"/>
      <c r="P22" s="441"/>
      <c r="Q22" s="441"/>
      <c r="R22" s="441"/>
      <c r="S22" s="441"/>
      <c r="T22" s="438"/>
      <c r="U22" s="438"/>
      <c r="V22" s="438"/>
      <c r="W22" s="438"/>
      <c r="X22" s="438"/>
      <c r="Y22" s="438"/>
      <c r="Z22" s="438"/>
      <c r="AA22" s="438"/>
      <c r="AB22" s="438"/>
      <c r="AC22" s="438"/>
      <c r="AD22" s="438"/>
      <c r="AE22" s="1440" t="s">
        <v>208</v>
      </c>
      <c r="AF22" s="1440" t="s">
        <v>208</v>
      </c>
      <c r="AG22" s="1440" t="s">
        <v>208</v>
      </c>
      <c r="AH22" s="1440" t="s">
        <v>208</v>
      </c>
      <c r="AI22" s="1440" t="s">
        <v>208</v>
      </c>
      <c r="AJ22" s="1440" t="s">
        <v>208</v>
      </c>
      <c r="AK22" s="1440" t="s">
        <v>208</v>
      </c>
      <c r="AL22" s="1440" t="s">
        <v>208</v>
      </c>
      <c r="AM22" s="1440" t="s">
        <v>208</v>
      </c>
      <c r="AN22" s="1440" t="s">
        <v>208</v>
      </c>
      <c r="AO22" s="1440" t="s">
        <v>208</v>
      </c>
      <c r="AP22" s="1440" t="s">
        <v>208</v>
      </c>
      <c r="AQ22" s="1440" t="s">
        <v>208</v>
      </c>
      <c r="AR22" s="1440" t="s">
        <v>208</v>
      </c>
      <c r="AS22" s="1440" t="s">
        <v>208</v>
      </c>
    </row>
    <row r="23" spans="1:45" ht="32.25" customHeight="1" thickBot="1">
      <c r="A23" s="1169" t="str">
        <f>+A9</f>
        <v>Categoría:</v>
      </c>
      <c r="B23" s="609"/>
      <c r="C23" s="1171">
        <f>+C9</f>
        <v>6</v>
      </c>
      <c r="D23" s="615"/>
      <c r="E23" s="616"/>
      <c r="F23" s="616"/>
      <c r="G23" s="615"/>
      <c r="H23" s="616"/>
      <c r="I23" s="616"/>
      <c r="J23" s="616"/>
      <c r="K23" s="617"/>
      <c r="L23" s="615"/>
      <c r="M23" s="616"/>
      <c r="N23" s="617"/>
      <c r="O23" s="1386"/>
      <c r="P23" s="438"/>
      <c r="Q23" s="438"/>
      <c r="R23" s="438"/>
      <c r="S23" s="438"/>
      <c r="T23" s="438"/>
      <c r="U23" s="438"/>
      <c r="V23" s="438"/>
      <c r="W23" s="438"/>
      <c r="X23" s="438"/>
      <c r="Y23" s="438"/>
      <c r="Z23" s="438"/>
      <c r="AA23" s="438"/>
      <c r="AB23" s="438"/>
      <c r="AC23" s="438"/>
      <c r="AD23" s="438"/>
      <c r="AE23" s="1441"/>
      <c r="AF23" s="1441"/>
      <c r="AG23" s="1441"/>
      <c r="AH23" s="1441"/>
      <c r="AI23" s="1441"/>
      <c r="AJ23" s="1441"/>
      <c r="AK23" s="1441"/>
      <c r="AL23" s="1441"/>
      <c r="AM23" s="1441"/>
      <c r="AN23" s="1441"/>
      <c r="AO23" s="1441"/>
      <c r="AP23" s="1441"/>
      <c r="AQ23" s="1441"/>
      <c r="AR23" s="1441"/>
      <c r="AS23" s="1441"/>
    </row>
    <row r="24" spans="1:45" ht="45.75" customHeight="1" thickBot="1">
      <c r="A24" s="453" t="s">
        <v>644</v>
      </c>
      <c r="B24" s="618"/>
      <c r="C24" s="619" t="s">
        <v>1241</v>
      </c>
      <c r="D24" s="620" t="str">
        <f>+Ingresos!C25</f>
        <v>Escenario Financiero Año 2011</v>
      </c>
      <c r="E24" s="620" t="s">
        <v>645</v>
      </c>
      <c r="F24" s="453" t="s">
        <v>646</v>
      </c>
      <c r="G24" s="1058" t="s">
        <v>647</v>
      </c>
      <c r="H24" s="1057" t="s">
        <v>648</v>
      </c>
      <c r="I24" s="621" t="s">
        <v>649</v>
      </c>
      <c r="J24" s="622" t="s">
        <v>645</v>
      </c>
      <c r="K24" s="620" t="s">
        <v>646</v>
      </c>
      <c r="L24" s="620" t="s">
        <v>649</v>
      </c>
      <c r="M24" s="620" t="s">
        <v>645</v>
      </c>
      <c r="N24" s="453" t="s">
        <v>646</v>
      </c>
      <c r="O24" s="1386"/>
      <c r="P24" s="623" t="str">
        <f>+'Ingresos Proyecciones'!C22</f>
        <v>Escenario Financiero Año 2009</v>
      </c>
      <c r="Q24" s="623" t="str">
        <f>+'Ingresos Proyecciones'!D22</f>
        <v>Escenario Financiero Año 2010</v>
      </c>
      <c r="R24" s="623" t="str">
        <f>+'Ingresos Proyecciones'!E22</f>
        <v>Escenario Financiero Año 2011</v>
      </c>
      <c r="S24" s="623" t="str">
        <f>+'Ingresos Proyecciones'!F22</f>
        <v>Escenario Financiero Año 2012</v>
      </c>
      <c r="T24" s="623" t="str">
        <f>+'Ingresos Proyecciones'!G22</f>
        <v>Escenario Financiero Año 2013</v>
      </c>
      <c r="U24" s="623" t="str">
        <f>+'Ingresos Proyecciones'!H22</f>
        <v>Escenario Financiero Año 2014</v>
      </c>
      <c r="V24" s="623" t="str">
        <f>+'Ingresos Proyecciones'!I22</f>
        <v>Escenario Financiero Año 2015</v>
      </c>
      <c r="W24" s="623" t="str">
        <f>+'Ingresos Proyecciones'!J22</f>
        <v>Escenario Financiero Año 2016</v>
      </c>
      <c r="X24" s="623" t="str">
        <f>+'Ingresos Proyecciones'!K22</f>
        <v>Escenario Financiero Año 2017</v>
      </c>
      <c r="Y24" s="623" t="str">
        <f>+'Ingresos Proyecciones'!L22</f>
        <v>Escenario Financiero Año 2018</v>
      </c>
      <c r="Z24" s="623" t="str">
        <f>+'Ingresos Proyecciones'!M22</f>
        <v>Escenario Financiero Año 2019</v>
      </c>
      <c r="AA24" s="623" t="str">
        <f>+'Ingresos Proyecciones'!N22</f>
        <v>Escenario Financiero Año 2020</v>
      </c>
      <c r="AB24" s="623" t="str">
        <f>+'Ingresos Proyecciones'!O22</f>
        <v>Escenario Financiero Año 2021</v>
      </c>
      <c r="AC24" s="623" t="str">
        <f>+'Ingresos Proyecciones'!P22</f>
        <v>Escenario Financiero Año 2022</v>
      </c>
      <c r="AD24" s="453" t="str">
        <f>+'Ingresos Proyecciones'!Q22</f>
        <v>Escenario Financiero Año 2023</v>
      </c>
      <c r="AE24" s="1058" t="str">
        <f>+P24</f>
        <v>Escenario Financiero Año 2009</v>
      </c>
      <c r="AF24" s="1058" t="str">
        <f t="shared" ref="AF24:AS24" si="0">+Q24</f>
        <v>Escenario Financiero Año 2010</v>
      </c>
      <c r="AG24" s="1058" t="str">
        <f t="shared" si="0"/>
        <v>Escenario Financiero Año 2011</v>
      </c>
      <c r="AH24" s="1058" t="str">
        <f t="shared" si="0"/>
        <v>Escenario Financiero Año 2012</v>
      </c>
      <c r="AI24" s="1058" t="str">
        <f t="shared" si="0"/>
        <v>Escenario Financiero Año 2013</v>
      </c>
      <c r="AJ24" s="1058" t="str">
        <f t="shared" si="0"/>
        <v>Escenario Financiero Año 2014</v>
      </c>
      <c r="AK24" s="1058" t="str">
        <f t="shared" si="0"/>
        <v>Escenario Financiero Año 2015</v>
      </c>
      <c r="AL24" s="1058" t="str">
        <f t="shared" si="0"/>
        <v>Escenario Financiero Año 2016</v>
      </c>
      <c r="AM24" s="1058" t="str">
        <f t="shared" si="0"/>
        <v>Escenario Financiero Año 2017</v>
      </c>
      <c r="AN24" s="1058" t="str">
        <f t="shared" si="0"/>
        <v>Escenario Financiero Año 2018</v>
      </c>
      <c r="AO24" s="1058" t="str">
        <f t="shared" si="0"/>
        <v>Escenario Financiero Año 2019</v>
      </c>
      <c r="AP24" s="1058" t="str">
        <f t="shared" si="0"/>
        <v>Escenario Financiero Año 2020</v>
      </c>
      <c r="AQ24" s="1058" t="str">
        <f t="shared" si="0"/>
        <v>Escenario Financiero Año 2021</v>
      </c>
      <c r="AR24" s="1058" t="str">
        <f t="shared" si="0"/>
        <v>Escenario Financiero Año 2022</v>
      </c>
      <c r="AS24" s="1058" t="str">
        <f t="shared" si="0"/>
        <v>Escenario Financiero Año 2023</v>
      </c>
    </row>
    <row r="25" spans="1:45" ht="12.75" customHeight="1">
      <c r="A25" s="1060" t="str">
        <f>+Ingresos!A28</f>
        <v>11</v>
      </c>
      <c r="B25" s="1061"/>
      <c r="C25" s="1062" t="s">
        <v>1255</v>
      </c>
      <c r="D25" s="1063">
        <f>+D26+D47+D85</f>
        <v>2836608</v>
      </c>
      <c r="E25" s="1064">
        <f>+E26+E47+E85</f>
        <v>2736608</v>
      </c>
      <c r="F25" s="1064">
        <f>+F26+F47+F85</f>
        <v>2736608</v>
      </c>
      <c r="G25" s="1065"/>
      <c r="H25" s="1066"/>
      <c r="I25" s="1064">
        <f>+I26+I47+I85</f>
        <v>2373303.12</v>
      </c>
      <c r="J25" s="1064">
        <f>+J26+J47+J85</f>
        <v>2473303.12</v>
      </c>
      <c r="K25" s="1064">
        <f>+K26+K47+K85</f>
        <v>2473303.12</v>
      </c>
      <c r="L25" s="1064">
        <f>+Ingresos!C28</f>
        <v>4978908.12</v>
      </c>
      <c r="M25" s="1064">
        <f>+Ingresos!E28</f>
        <v>4978908.12</v>
      </c>
      <c r="N25" s="1064">
        <f>+Ingresos!H28</f>
        <v>4978908.12</v>
      </c>
      <c r="O25" s="1387"/>
      <c r="P25" s="1063">
        <f>+P26+P47+P85</f>
        <v>3524136</v>
      </c>
      <c r="Q25" s="1064">
        <f t="shared" ref="Q25:AD25" si="1">+Q26+Q47+Q85</f>
        <v>3351539</v>
      </c>
      <c r="R25" s="1064">
        <f t="shared" si="1"/>
        <v>2901584</v>
      </c>
      <c r="S25" s="1064">
        <f t="shared" si="1"/>
        <v>3187378.6799999997</v>
      </c>
      <c r="T25" s="1064">
        <f t="shared" si="1"/>
        <v>3220623.5472000004</v>
      </c>
      <c r="U25" s="1064">
        <f t="shared" si="1"/>
        <v>3291718.0890879999</v>
      </c>
      <c r="V25" s="1064">
        <f t="shared" si="1"/>
        <v>3423386.8126515206</v>
      </c>
      <c r="W25" s="1064">
        <f t="shared" si="1"/>
        <v>3560322.2851575818</v>
      </c>
      <c r="X25" s="1064">
        <f t="shared" si="1"/>
        <v>3702735.1765638846</v>
      </c>
      <c r="Y25" s="1064">
        <f t="shared" si="1"/>
        <v>3850844.5836264398</v>
      </c>
      <c r="Z25" s="1064">
        <f t="shared" si="1"/>
        <v>4004878.3669714979</v>
      </c>
      <c r="AA25" s="1064">
        <f t="shared" si="1"/>
        <v>4165073.5016503576</v>
      </c>
      <c r="AB25" s="1064">
        <f t="shared" si="1"/>
        <v>4331676.441716373</v>
      </c>
      <c r="AC25" s="1064">
        <f t="shared" si="1"/>
        <v>4504943.4993850272</v>
      </c>
      <c r="AD25" s="1064">
        <f t="shared" si="1"/>
        <v>4685141.2393604284</v>
      </c>
      <c r="AE25" s="1065"/>
      <c r="AF25" s="1065"/>
      <c r="AG25" s="1065"/>
      <c r="AH25" s="1065"/>
      <c r="AI25" s="1065"/>
      <c r="AJ25" s="1065"/>
      <c r="AK25" s="1065"/>
      <c r="AL25" s="1065"/>
      <c r="AM25" s="1065"/>
      <c r="AN25" s="1065"/>
      <c r="AO25" s="1065"/>
      <c r="AP25" s="1065"/>
      <c r="AQ25" s="1065"/>
      <c r="AR25" s="1065"/>
      <c r="AS25" s="1065"/>
    </row>
    <row r="26" spans="1:45" ht="12.75" customHeight="1">
      <c r="A26" s="1067" t="str">
        <f>+Ingresos!A29</f>
        <v>111</v>
      </c>
      <c r="B26" s="1068"/>
      <c r="C26" s="1069" t="s">
        <v>1257</v>
      </c>
      <c r="D26" s="1070">
        <f>+D27+D29+D30+D31+D32+D33+D34+D35+D36+D37+D39+D45+D46+D28+D38</f>
        <v>432970</v>
      </c>
      <c r="E26" s="1071">
        <f>+E27+E29+E30+E31+E32+E33+E34+E35+E36+E37+E39+E45+E46+E28+E38</f>
        <v>332970</v>
      </c>
      <c r="F26" s="1071">
        <f>+F27+F29+F30+F31+F32+F33+F34+F35+F36+F37+F39+F45+F46+F28+F38</f>
        <v>332970</v>
      </c>
      <c r="G26" s="1072"/>
      <c r="H26" s="1073"/>
      <c r="I26" s="1071">
        <f>SUM(I27:I39)+I45+I46</f>
        <v>170016</v>
      </c>
      <c r="J26" s="1071">
        <f>SUM(J27:J39)+J45+J46</f>
        <v>170016</v>
      </c>
      <c r="K26" s="1071">
        <f>SUM(K27:K39)+K45+K46</f>
        <v>170016</v>
      </c>
      <c r="L26" s="1071">
        <f>+Ingresos!C29</f>
        <v>602986</v>
      </c>
      <c r="M26" s="1071">
        <f>+Ingresos!E29</f>
        <v>502986</v>
      </c>
      <c r="N26" s="1071">
        <f>+Ingresos!H29</f>
        <v>502986</v>
      </c>
      <c r="O26" s="1388"/>
      <c r="P26" s="1070">
        <f>+P27+P29+P30+P31+P32+P33+P34+P35+P36+P37+P39+P45+P46+P28+P38</f>
        <v>303158</v>
      </c>
      <c r="Q26" s="1071">
        <f t="shared" ref="Q26:AD26" si="2">+Q27+Q29+Q30+Q31+Q32+Q33+Q34+Q35+Q36+Q37+Q39+Q45+Q46+Q28+Q38</f>
        <v>487564</v>
      </c>
      <c r="R26" s="1071">
        <f t="shared" si="2"/>
        <v>497946</v>
      </c>
      <c r="S26" s="1071">
        <f t="shared" si="2"/>
        <v>464801.88000000006</v>
      </c>
      <c r="T26" s="1071">
        <f t="shared" si="2"/>
        <v>483393.95520000003</v>
      </c>
      <c r="U26" s="1071">
        <f t="shared" si="2"/>
        <v>502729.71340799995</v>
      </c>
      <c r="V26" s="1071">
        <f t="shared" si="2"/>
        <v>522838.90194432001</v>
      </c>
      <c r="W26" s="1071">
        <f t="shared" si="2"/>
        <v>543752.45802209282</v>
      </c>
      <c r="X26" s="1071">
        <f t="shared" si="2"/>
        <v>565502.55634297652</v>
      </c>
      <c r="Y26" s="1071">
        <f t="shared" si="2"/>
        <v>588122.65859669563</v>
      </c>
      <c r="Z26" s="1071">
        <f t="shared" si="2"/>
        <v>611647.5649405634</v>
      </c>
      <c r="AA26" s="1071">
        <f t="shared" si="2"/>
        <v>636113.467538186</v>
      </c>
      <c r="AB26" s="1071">
        <f t="shared" si="2"/>
        <v>661558.0062397134</v>
      </c>
      <c r="AC26" s="1071">
        <f t="shared" si="2"/>
        <v>688020.3264893021</v>
      </c>
      <c r="AD26" s="1071">
        <f t="shared" si="2"/>
        <v>715541.13954887423</v>
      </c>
      <c r="AE26" s="1072"/>
      <c r="AF26" s="1072"/>
      <c r="AG26" s="1072"/>
      <c r="AH26" s="1072"/>
      <c r="AI26" s="1072"/>
      <c r="AJ26" s="1072"/>
      <c r="AK26" s="1072"/>
      <c r="AL26" s="1072"/>
      <c r="AM26" s="1072"/>
      <c r="AN26" s="1072"/>
      <c r="AO26" s="1072"/>
      <c r="AP26" s="1072"/>
      <c r="AQ26" s="1072"/>
      <c r="AR26" s="1072"/>
      <c r="AS26" s="1072"/>
    </row>
    <row r="27" spans="1:45" ht="12.75" customHeight="1">
      <c r="A27" s="1067" t="str">
        <f>+Ingresos!A30</f>
        <v>1110103</v>
      </c>
      <c r="B27" s="1068"/>
      <c r="C27" s="1074" t="s">
        <v>1259</v>
      </c>
      <c r="D27" s="1075">
        <f>+L27-I27</f>
        <v>375912</v>
      </c>
      <c r="E27" s="1076">
        <f>+M27-J27</f>
        <v>275912</v>
      </c>
      <c r="F27" s="1076">
        <f>+N27-K27</f>
        <v>275912</v>
      </c>
      <c r="G27" s="1077"/>
      <c r="H27" s="1078"/>
      <c r="I27" s="1076">
        <f>+$G27*L27</f>
        <v>0</v>
      </c>
      <c r="J27" s="1076">
        <f>+$G27*M27</f>
        <v>0</v>
      </c>
      <c r="K27" s="1076">
        <f>+$G27*N27</f>
        <v>0</v>
      </c>
      <c r="L27" s="1076">
        <f>+Ingresos!C30</f>
        <v>375912</v>
      </c>
      <c r="M27" s="1076">
        <f>+Ingresos!E30</f>
        <v>275912</v>
      </c>
      <c r="N27" s="1076">
        <f>+Ingresos!H30</f>
        <v>275912</v>
      </c>
      <c r="O27" s="1389"/>
      <c r="P27" s="1075">
        <f>+'Ingresos Proyecciones'!C27-('Ingresos Proyecciones'!C27*'Ley 617'!AE27)</f>
        <v>184253</v>
      </c>
      <c r="Q27" s="1075">
        <f>+'Ingresos Proyecciones'!D27-('Ingresos Proyecciones'!D27*'Ley 617'!AF27)</f>
        <v>310512</v>
      </c>
      <c r="R27" s="1075">
        <f>+'Ingresos Proyecciones'!E27-('Ingresos Proyecciones'!E27*'Ley 617'!AG27)</f>
        <v>375912</v>
      </c>
      <c r="S27" s="1075">
        <f>+'Ingresos Proyecciones'!F27-('Ingresos Proyecciones'!F27*'Ley 617'!AH27)</f>
        <v>342244</v>
      </c>
      <c r="T27" s="1075">
        <f>+'Ingresos Proyecciones'!G27-('Ingresos Proyecciones'!G27*'Ley 617'!AI27)</f>
        <v>355933.76</v>
      </c>
      <c r="U27" s="1075">
        <f>+'Ingresos Proyecciones'!H27-('Ingresos Proyecciones'!H27*'Ley 617'!AJ27)</f>
        <v>370171.11040000001</v>
      </c>
      <c r="V27" s="1075">
        <f>+'Ingresos Proyecciones'!I27-('Ingresos Proyecciones'!I27*'Ley 617'!AK27)</f>
        <v>384977.95481600001</v>
      </c>
      <c r="W27" s="1075">
        <f>+'Ingresos Proyecciones'!J27-('Ingresos Proyecciones'!J27*'Ley 617'!AL27)</f>
        <v>400377.07300864003</v>
      </c>
      <c r="X27" s="1075">
        <f>+'Ingresos Proyecciones'!K27-('Ingresos Proyecciones'!K27*'Ley 617'!AM27)</f>
        <v>416392.15592898562</v>
      </c>
      <c r="Y27" s="1075">
        <f>+'Ingresos Proyecciones'!L27-('Ingresos Proyecciones'!L27*'Ley 617'!AN27)</f>
        <v>433047.84216614504</v>
      </c>
      <c r="Z27" s="1075">
        <f>+'Ingresos Proyecciones'!M27-('Ingresos Proyecciones'!M27*'Ley 617'!AO27)</f>
        <v>450369.75585279084</v>
      </c>
      <c r="AA27" s="1075">
        <f>+'Ingresos Proyecciones'!N27-('Ingresos Proyecciones'!N27*'Ley 617'!AP27)</f>
        <v>468384.5460869025</v>
      </c>
      <c r="AB27" s="1075">
        <f>+'Ingresos Proyecciones'!O27-('Ingresos Proyecciones'!O27*'Ley 617'!AQ27)</f>
        <v>487119.92793037859</v>
      </c>
      <c r="AC27" s="1075">
        <f>+'Ingresos Proyecciones'!P27-('Ingresos Proyecciones'!P27*'Ley 617'!AR27)</f>
        <v>506604.72504759376</v>
      </c>
      <c r="AD27" s="1075">
        <f>+'Ingresos Proyecciones'!Q27-('Ingresos Proyecciones'!Q27*'Ley 617'!AS27)</f>
        <v>526868.91404949757</v>
      </c>
      <c r="AE27" s="1077"/>
      <c r="AF27" s="1077"/>
      <c r="AG27" s="1077"/>
      <c r="AH27" s="1077"/>
      <c r="AI27" s="1077"/>
      <c r="AJ27" s="1077"/>
      <c r="AK27" s="1077"/>
      <c r="AL27" s="1077"/>
      <c r="AM27" s="1077"/>
      <c r="AN27" s="1077"/>
      <c r="AO27" s="1077"/>
      <c r="AP27" s="1077"/>
      <c r="AQ27" s="1077"/>
      <c r="AR27" s="1077"/>
      <c r="AS27" s="1077"/>
    </row>
    <row r="28" spans="1:45" ht="12.75" customHeight="1">
      <c r="A28" s="1067" t="str">
        <f>+Ingresos!A31</f>
        <v>1110105</v>
      </c>
      <c r="B28" s="1068"/>
      <c r="C28" s="1074" t="s">
        <v>1261</v>
      </c>
      <c r="D28" s="1075">
        <f t="shared" ref="D28:D38" si="3">+L28-I28</f>
        <v>0</v>
      </c>
      <c r="E28" s="1076">
        <f t="shared" ref="E28:E38" si="4">+M28-J28</f>
        <v>0</v>
      </c>
      <c r="F28" s="1076">
        <f t="shared" ref="F28:F38" si="5">+N28-K28</f>
        <v>0</v>
      </c>
      <c r="G28" s="1077">
        <v>1</v>
      </c>
      <c r="H28" s="1078"/>
      <c r="I28" s="1076">
        <f t="shared" ref="I28:I38" si="6">+$G28*L28</f>
        <v>60785</v>
      </c>
      <c r="J28" s="1076">
        <f t="shared" ref="J28:J38" si="7">+$G28*M28</f>
        <v>60785</v>
      </c>
      <c r="K28" s="1076">
        <f t="shared" ref="K28:K38" si="8">+$G28*N28</f>
        <v>60785</v>
      </c>
      <c r="L28" s="1076">
        <f>+Ingresos!C31</f>
        <v>60785</v>
      </c>
      <c r="M28" s="1076">
        <f>+Ingresos!E31</f>
        <v>60785</v>
      </c>
      <c r="N28" s="1076">
        <f>+Ingresos!H31</f>
        <v>60785</v>
      </c>
      <c r="O28" s="1389"/>
      <c r="P28" s="1075">
        <f>+'Ingresos Proyecciones'!C28-('Ingresos Proyecciones'!C28*'Ley 617'!AE28)</f>
        <v>30358</v>
      </c>
      <c r="Q28" s="1075">
        <f>+'Ingresos Proyecciones'!D28-('Ingresos Proyecciones'!D28*'Ley 617'!AF28)</f>
        <v>117986</v>
      </c>
      <c r="R28" s="1075">
        <f>+'Ingresos Proyecciones'!E28-('Ingresos Proyecciones'!E28*'Ley 617'!AG28)</f>
        <v>60785</v>
      </c>
      <c r="S28" s="1075">
        <f>+'Ingresos Proyecciones'!F28-('Ingresos Proyecciones'!F28*'Ley 617'!AH28)</f>
        <v>63216.4</v>
      </c>
      <c r="T28" s="1075">
        <f>+'Ingresos Proyecciones'!G28-('Ingresos Proyecciones'!G28*'Ley 617'!AI28)</f>
        <v>65745.055999999997</v>
      </c>
      <c r="U28" s="1075">
        <f>+'Ingresos Proyecciones'!H28-('Ingresos Proyecciones'!H28*'Ley 617'!AJ28)</f>
        <v>68374.858240000001</v>
      </c>
      <c r="V28" s="1075">
        <f>+'Ingresos Proyecciones'!I28-('Ingresos Proyecciones'!I28*'Ley 617'!AK28)</f>
        <v>71109.8525696</v>
      </c>
      <c r="W28" s="1075">
        <f>+'Ingresos Proyecciones'!J28-('Ingresos Proyecciones'!J28*'Ley 617'!AL28)</f>
        <v>73954.246672384004</v>
      </c>
      <c r="X28" s="1075">
        <f>+'Ingresos Proyecciones'!K28-('Ingresos Proyecciones'!K28*'Ley 617'!AM28)</f>
        <v>76912.416539279366</v>
      </c>
      <c r="Y28" s="1075">
        <f>+'Ingresos Proyecciones'!L28-('Ingresos Proyecciones'!L28*'Ley 617'!AN28)</f>
        <v>79988.91320085054</v>
      </c>
      <c r="Z28" s="1075">
        <f>+'Ingresos Proyecciones'!M28-('Ingresos Proyecciones'!M28*'Ley 617'!AO28)</f>
        <v>83188.469728884564</v>
      </c>
      <c r="AA28" s="1075">
        <f>+'Ingresos Proyecciones'!N28-('Ingresos Proyecciones'!N28*'Ley 617'!AP28)</f>
        <v>86516.008518039947</v>
      </c>
      <c r="AB28" s="1075">
        <f>+'Ingresos Proyecciones'!O28-('Ingresos Proyecciones'!O28*'Ley 617'!AQ28)</f>
        <v>89976.648858761546</v>
      </c>
      <c r="AC28" s="1075">
        <f>+'Ingresos Proyecciones'!P28-('Ingresos Proyecciones'!P28*'Ley 617'!AR28)</f>
        <v>93575.714813112005</v>
      </c>
      <c r="AD28" s="1075">
        <f>+'Ingresos Proyecciones'!Q28-('Ingresos Proyecciones'!Q28*'Ley 617'!AS28)</f>
        <v>97318.743405636487</v>
      </c>
      <c r="AE28" s="1077"/>
      <c r="AF28" s="1077"/>
      <c r="AG28" s="1077"/>
      <c r="AH28" s="1077"/>
      <c r="AI28" s="1077"/>
      <c r="AJ28" s="1077"/>
      <c r="AK28" s="1077"/>
      <c r="AL28" s="1077"/>
      <c r="AM28" s="1077"/>
      <c r="AN28" s="1077"/>
      <c r="AO28" s="1077"/>
      <c r="AP28" s="1077"/>
      <c r="AQ28" s="1077"/>
      <c r="AR28" s="1077"/>
      <c r="AS28" s="1077"/>
    </row>
    <row r="29" spans="1:45" ht="12.75" customHeight="1">
      <c r="A29" s="1067" t="str">
        <f>+Ingresos!A32</f>
        <v>307A</v>
      </c>
      <c r="B29" s="1068"/>
      <c r="C29" s="1074" t="s">
        <v>1263</v>
      </c>
      <c r="D29" s="1075">
        <f t="shared" si="3"/>
        <v>0</v>
      </c>
      <c r="E29" s="1076">
        <f t="shared" si="4"/>
        <v>0</v>
      </c>
      <c r="F29" s="1076">
        <f t="shared" si="5"/>
        <v>0</v>
      </c>
      <c r="G29" s="1077"/>
      <c r="H29" s="1078"/>
      <c r="I29" s="1076">
        <f t="shared" si="6"/>
        <v>0</v>
      </c>
      <c r="J29" s="1076">
        <f t="shared" si="7"/>
        <v>0</v>
      </c>
      <c r="K29" s="1076">
        <f t="shared" si="8"/>
        <v>0</v>
      </c>
      <c r="L29" s="1076">
        <f>+Ingresos!C32</f>
        <v>0</v>
      </c>
      <c r="M29" s="1076">
        <f>+Ingresos!E32</f>
        <v>0</v>
      </c>
      <c r="N29" s="1076">
        <f>+Ingresos!H32</f>
        <v>0</v>
      </c>
      <c r="O29" s="1389"/>
      <c r="P29" s="1075">
        <f>+'Ingresos Proyecciones'!C29-('Ingresos Proyecciones'!C29*'Ley 617'!AE29)</f>
        <v>0</v>
      </c>
      <c r="Q29" s="1075">
        <f>+'Ingresos Proyecciones'!D29-('Ingresos Proyecciones'!D29*'Ley 617'!AF29)</f>
        <v>0</v>
      </c>
      <c r="R29" s="1075">
        <f>+'Ingresos Proyecciones'!E29-('Ingresos Proyecciones'!E29*'Ley 617'!AG29)</f>
        <v>0</v>
      </c>
      <c r="S29" s="1075">
        <f>+'Ingresos Proyecciones'!F29-('Ingresos Proyecciones'!F29*'Ley 617'!AH29)</f>
        <v>0</v>
      </c>
      <c r="T29" s="1075">
        <f>+'Ingresos Proyecciones'!G29-('Ingresos Proyecciones'!G29*'Ley 617'!AI29)</f>
        <v>0</v>
      </c>
      <c r="U29" s="1075">
        <f>+'Ingresos Proyecciones'!H29-('Ingresos Proyecciones'!H29*'Ley 617'!AJ29)</f>
        <v>0</v>
      </c>
      <c r="V29" s="1075">
        <f>+'Ingresos Proyecciones'!I29-('Ingresos Proyecciones'!I29*'Ley 617'!AK29)</f>
        <v>0</v>
      </c>
      <c r="W29" s="1075">
        <f>+'Ingresos Proyecciones'!J29-('Ingresos Proyecciones'!J29*'Ley 617'!AL29)</f>
        <v>0</v>
      </c>
      <c r="X29" s="1075">
        <f>+'Ingresos Proyecciones'!K29-('Ingresos Proyecciones'!K29*'Ley 617'!AM29)</f>
        <v>0</v>
      </c>
      <c r="Y29" s="1075">
        <f>+'Ingresos Proyecciones'!L29-('Ingresos Proyecciones'!L29*'Ley 617'!AN29)</f>
        <v>0</v>
      </c>
      <c r="Z29" s="1075">
        <f>+'Ingresos Proyecciones'!M29-('Ingresos Proyecciones'!M29*'Ley 617'!AO29)</f>
        <v>0</v>
      </c>
      <c r="AA29" s="1075">
        <f>+'Ingresos Proyecciones'!N29-('Ingresos Proyecciones'!N29*'Ley 617'!AP29)</f>
        <v>0</v>
      </c>
      <c r="AB29" s="1075">
        <f>+'Ingresos Proyecciones'!O29-('Ingresos Proyecciones'!O29*'Ley 617'!AQ29)</f>
        <v>0</v>
      </c>
      <c r="AC29" s="1075">
        <f>+'Ingresos Proyecciones'!P29-('Ingresos Proyecciones'!P29*'Ley 617'!AR29)</f>
        <v>0</v>
      </c>
      <c r="AD29" s="1075">
        <f>+'Ingresos Proyecciones'!Q29-('Ingresos Proyecciones'!Q29*'Ley 617'!AS29)</f>
        <v>0</v>
      </c>
      <c r="AE29" s="1077"/>
      <c r="AF29" s="1077"/>
      <c r="AG29" s="1077"/>
      <c r="AH29" s="1077"/>
      <c r="AI29" s="1077"/>
      <c r="AJ29" s="1077"/>
      <c r="AK29" s="1077"/>
      <c r="AL29" s="1077"/>
      <c r="AM29" s="1077"/>
      <c r="AN29" s="1077"/>
      <c r="AO29" s="1077"/>
      <c r="AP29" s="1077"/>
      <c r="AQ29" s="1077"/>
      <c r="AR29" s="1077"/>
      <c r="AS29" s="1077"/>
    </row>
    <row r="30" spans="1:45" ht="12.75" customHeight="1">
      <c r="A30" s="1067" t="str">
        <f>+Ingresos!A33</f>
        <v>1110205</v>
      </c>
      <c r="B30" s="1068"/>
      <c r="C30" s="1074" t="s">
        <v>1265</v>
      </c>
      <c r="D30" s="1075">
        <f t="shared" si="3"/>
        <v>42779</v>
      </c>
      <c r="E30" s="1076">
        <f t="shared" si="4"/>
        <v>42779</v>
      </c>
      <c r="F30" s="1076">
        <f t="shared" si="5"/>
        <v>42779</v>
      </c>
      <c r="G30" s="1077"/>
      <c r="H30" s="1078"/>
      <c r="I30" s="1076">
        <f t="shared" si="6"/>
        <v>0</v>
      </c>
      <c r="J30" s="1076">
        <f t="shared" si="7"/>
        <v>0</v>
      </c>
      <c r="K30" s="1076">
        <f t="shared" si="8"/>
        <v>0</v>
      </c>
      <c r="L30" s="1076">
        <f>+Ingresos!C33</f>
        <v>42779</v>
      </c>
      <c r="M30" s="1076">
        <f>+Ingresos!E33</f>
        <v>42779</v>
      </c>
      <c r="N30" s="1076">
        <f>+Ingresos!H33</f>
        <v>42779</v>
      </c>
      <c r="O30" s="1389"/>
      <c r="P30" s="1075">
        <f>+'Ingresos Proyecciones'!C30-('Ingresos Proyecciones'!C30*'Ley 617'!AE30)</f>
        <v>69578</v>
      </c>
      <c r="Q30" s="1075">
        <f>+'Ingresos Proyecciones'!D30-('Ingresos Proyecciones'!D30*'Ley 617'!AF30)</f>
        <v>31883</v>
      </c>
      <c r="R30" s="1075">
        <f>+'Ingresos Proyecciones'!E30-('Ingresos Proyecciones'!E30*'Ley 617'!AG30)</f>
        <v>42779</v>
      </c>
      <c r="S30" s="1075">
        <f>+'Ingresos Proyecciones'!F30-('Ingresos Proyecciones'!F30*'Ley 617'!AH30)</f>
        <v>44490.16</v>
      </c>
      <c r="T30" s="1075">
        <f>+'Ingresos Proyecciones'!G30-('Ingresos Proyecciones'!G30*'Ley 617'!AI30)</f>
        <v>46269.766400000008</v>
      </c>
      <c r="U30" s="1075">
        <f>+'Ingresos Proyecciones'!H30-('Ingresos Proyecciones'!H30*'Ley 617'!AJ30)</f>
        <v>48120.557056000012</v>
      </c>
      <c r="V30" s="1075">
        <f>+'Ingresos Proyecciones'!I30-('Ingresos Proyecciones'!I30*'Ley 617'!AK30)</f>
        <v>50045.379338240018</v>
      </c>
      <c r="W30" s="1075">
        <f>+'Ingresos Proyecciones'!J30-('Ingresos Proyecciones'!J30*'Ley 617'!AL30)</f>
        <v>52047.194511769623</v>
      </c>
      <c r="X30" s="1075">
        <f>+'Ingresos Proyecciones'!K30-('Ingresos Proyecciones'!K30*'Ley 617'!AM30)</f>
        <v>54129.082292240411</v>
      </c>
      <c r="Y30" s="1075">
        <f>+'Ingresos Proyecciones'!L30-('Ingresos Proyecciones'!L30*'Ley 617'!AN30)</f>
        <v>56294.245583930031</v>
      </c>
      <c r="Z30" s="1075">
        <f>+'Ingresos Proyecciones'!M30-('Ingresos Proyecciones'!M30*'Ley 617'!AO30)</f>
        <v>58546.015407287232</v>
      </c>
      <c r="AA30" s="1075">
        <f>+'Ingresos Proyecciones'!N30-('Ingresos Proyecciones'!N30*'Ley 617'!AP30)</f>
        <v>60887.856023578723</v>
      </c>
      <c r="AB30" s="1075">
        <f>+'Ingresos Proyecciones'!O30-('Ingresos Proyecciones'!O30*'Ley 617'!AQ30)</f>
        <v>63323.370264521873</v>
      </c>
      <c r="AC30" s="1075">
        <f>+'Ingresos Proyecciones'!P30-('Ingresos Proyecciones'!P30*'Ley 617'!AR30)</f>
        <v>65856.305075102748</v>
      </c>
      <c r="AD30" s="1075">
        <f>+'Ingresos Proyecciones'!Q30-('Ingresos Proyecciones'!Q30*'Ley 617'!AS30)</f>
        <v>68490.557278106862</v>
      </c>
      <c r="AE30" s="1077"/>
      <c r="AF30" s="1077"/>
      <c r="AG30" s="1077"/>
      <c r="AH30" s="1077"/>
      <c r="AI30" s="1077"/>
      <c r="AJ30" s="1077"/>
      <c r="AK30" s="1077"/>
      <c r="AL30" s="1077"/>
      <c r="AM30" s="1077"/>
      <c r="AN30" s="1077"/>
      <c r="AO30" s="1077"/>
      <c r="AP30" s="1077"/>
      <c r="AQ30" s="1077"/>
      <c r="AR30" s="1077"/>
      <c r="AS30" s="1077"/>
    </row>
    <row r="31" spans="1:45" ht="12.75" customHeight="1">
      <c r="A31" s="1067" t="str">
        <f>+Ingresos!A34</f>
        <v>1110216</v>
      </c>
      <c r="B31" s="1068"/>
      <c r="C31" s="1074" t="s">
        <v>1267</v>
      </c>
      <c r="D31" s="1075">
        <f t="shared" si="3"/>
        <v>0</v>
      </c>
      <c r="E31" s="1076">
        <f t="shared" si="4"/>
        <v>0</v>
      </c>
      <c r="F31" s="1076">
        <f t="shared" si="5"/>
        <v>0</v>
      </c>
      <c r="G31" s="1077">
        <v>1</v>
      </c>
      <c r="H31" s="1078"/>
      <c r="I31" s="1076">
        <f t="shared" si="6"/>
        <v>42951</v>
      </c>
      <c r="J31" s="1076">
        <f t="shared" si="7"/>
        <v>42951</v>
      </c>
      <c r="K31" s="1076">
        <f t="shared" si="8"/>
        <v>42951</v>
      </c>
      <c r="L31" s="1076">
        <f>+Ingresos!C34</f>
        <v>42951</v>
      </c>
      <c r="M31" s="1076">
        <f>+Ingresos!E34</f>
        <v>42951</v>
      </c>
      <c r="N31" s="1076">
        <f>+Ingresos!H34</f>
        <v>42951</v>
      </c>
      <c r="O31" s="1389"/>
      <c r="P31" s="1075">
        <f>+'Ingresos Proyecciones'!C31-('Ingresos Proyecciones'!C31*'Ley 617'!AE31)</f>
        <v>0</v>
      </c>
      <c r="Q31" s="1075">
        <f>+'Ingresos Proyecciones'!D31-('Ingresos Proyecciones'!D31*'Ley 617'!AF31)</f>
        <v>0</v>
      </c>
      <c r="R31" s="1075">
        <f>+'Ingresos Proyecciones'!E31-('Ingresos Proyecciones'!E31*'Ley 617'!AG31)</f>
        <v>0</v>
      </c>
      <c r="S31" s="1075">
        <f>+'Ingresos Proyecciones'!F31-('Ingresos Proyecciones'!F31*'Ley 617'!AH31)</f>
        <v>0</v>
      </c>
      <c r="T31" s="1075">
        <f>+'Ingresos Proyecciones'!G31-('Ingresos Proyecciones'!G31*'Ley 617'!AI31)</f>
        <v>0</v>
      </c>
      <c r="U31" s="1075">
        <f>+'Ingresos Proyecciones'!H31-('Ingresos Proyecciones'!H31*'Ley 617'!AJ31)</f>
        <v>0</v>
      </c>
      <c r="V31" s="1075">
        <f>+'Ingresos Proyecciones'!I31-('Ingresos Proyecciones'!I31*'Ley 617'!AK31)</f>
        <v>0</v>
      </c>
      <c r="W31" s="1075">
        <f>+'Ingresos Proyecciones'!J31-('Ingresos Proyecciones'!J31*'Ley 617'!AL31)</f>
        <v>0</v>
      </c>
      <c r="X31" s="1075">
        <f>+'Ingresos Proyecciones'!K31-('Ingresos Proyecciones'!K31*'Ley 617'!AM31)</f>
        <v>0</v>
      </c>
      <c r="Y31" s="1075">
        <f>+'Ingresos Proyecciones'!L31-('Ingresos Proyecciones'!L31*'Ley 617'!AN31)</f>
        <v>0</v>
      </c>
      <c r="Z31" s="1075">
        <f>+'Ingresos Proyecciones'!M31-('Ingresos Proyecciones'!M31*'Ley 617'!AO31)</f>
        <v>0</v>
      </c>
      <c r="AA31" s="1075">
        <f>+'Ingresos Proyecciones'!N31-('Ingresos Proyecciones'!N31*'Ley 617'!AP31)</f>
        <v>0</v>
      </c>
      <c r="AB31" s="1075">
        <f>+'Ingresos Proyecciones'!O31-('Ingresos Proyecciones'!O31*'Ley 617'!AQ31)</f>
        <v>0</v>
      </c>
      <c r="AC31" s="1075">
        <f>+'Ingresos Proyecciones'!P31-('Ingresos Proyecciones'!P31*'Ley 617'!AR31)</f>
        <v>0</v>
      </c>
      <c r="AD31" s="1075">
        <f>+'Ingresos Proyecciones'!Q31-('Ingresos Proyecciones'!Q31*'Ley 617'!AS31)</f>
        <v>0</v>
      </c>
      <c r="AE31" s="1077">
        <v>1</v>
      </c>
      <c r="AF31" s="1077">
        <v>1</v>
      </c>
      <c r="AG31" s="1077">
        <v>1</v>
      </c>
      <c r="AH31" s="1077">
        <v>1</v>
      </c>
      <c r="AI31" s="1077">
        <v>1</v>
      </c>
      <c r="AJ31" s="1077">
        <v>1</v>
      </c>
      <c r="AK31" s="1077">
        <v>1</v>
      </c>
      <c r="AL31" s="1077">
        <v>1</v>
      </c>
      <c r="AM31" s="1077">
        <v>1</v>
      </c>
      <c r="AN31" s="1077">
        <v>1</v>
      </c>
      <c r="AO31" s="1077">
        <v>1</v>
      </c>
      <c r="AP31" s="1077">
        <v>1</v>
      </c>
      <c r="AQ31" s="1077">
        <v>1</v>
      </c>
      <c r="AR31" s="1077">
        <v>1</v>
      </c>
      <c r="AS31" s="1077">
        <v>1</v>
      </c>
    </row>
    <row r="32" spans="1:45" ht="12.75" customHeight="1">
      <c r="A32" s="1067" t="str">
        <f>+Ingresos!A35</f>
        <v>1110208</v>
      </c>
      <c r="B32" s="1068"/>
      <c r="C32" s="1074" t="s">
        <v>1269</v>
      </c>
      <c r="D32" s="1075">
        <f t="shared" si="3"/>
        <v>0</v>
      </c>
      <c r="E32" s="1076">
        <f t="shared" si="4"/>
        <v>0</v>
      </c>
      <c r="F32" s="1076">
        <f t="shared" si="5"/>
        <v>0</v>
      </c>
      <c r="G32" s="1077"/>
      <c r="H32" s="1078"/>
      <c r="I32" s="1076">
        <f t="shared" si="6"/>
        <v>0</v>
      </c>
      <c r="J32" s="1076">
        <f t="shared" si="7"/>
        <v>0</v>
      </c>
      <c r="K32" s="1076">
        <f t="shared" si="8"/>
        <v>0</v>
      </c>
      <c r="L32" s="1076">
        <f>+Ingresos!C35</f>
        <v>0</v>
      </c>
      <c r="M32" s="1076">
        <f>+Ingresos!E35</f>
        <v>0</v>
      </c>
      <c r="N32" s="1076">
        <f>+Ingresos!H35</f>
        <v>0</v>
      </c>
      <c r="O32" s="1389"/>
      <c r="P32" s="1075">
        <f>+'Ingresos Proyecciones'!C32-('Ingresos Proyecciones'!C32*'Ley 617'!AE32)</f>
        <v>0</v>
      </c>
      <c r="Q32" s="1075">
        <f>+'Ingresos Proyecciones'!D32-('Ingresos Proyecciones'!D32*'Ley 617'!AF32)</f>
        <v>0</v>
      </c>
      <c r="R32" s="1075">
        <f>+'Ingresos Proyecciones'!E32-('Ingresos Proyecciones'!E32*'Ley 617'!AG32)</f>
        <v>0</v>
      </c>
      <c r="S32" s="1075">
        <f>+'Ingresos Proyecciones'!F32-('Ingresos Proyecciones'!F32*'Ley 617'!AH32)</f>
        <v>0</v>
      </c>
      <c r="T32" s="1075">
        <f>+'Ingresos Proyecciones'!G32-('Ingresos Proyecciones'!G32*'Ley 617'!AI32)</f>
        <v>0</v>
      </c>
      <c r="U32" s="1075">
        <f>+'Ingresos Proyecciones'!H32-('Ingresos Proyecciones'!H32*'Ley 617'!AJ32)</f>
        <v>0</v>
      </c>
      <c r="V32" s="1075">
        <f>+'Ingresos Proyecciones'!I32-('Ingresos Proyecciones'!I32*'Ley 617'!AK32)</f>
        <v>0</v>
      </c>
      <c r="W32" s="1075">
        <f>+'Ingresos Proyecciones'!J32-('Ingresos Proyecciones'!J32*'Ley 617'!AL32)</f>
        <v>0</v>
      </c>
      <c r="X32" s="1075">
        <f>+'Ingresos Proyecciones'!K32-('Ingresos Proyecciones'!K32*'Ley 617'!AM32)</f>
        <v>0</v>
      </c>
      <c r="Y32" s="1075">
        <f>+'Ingresos Proyecciones'!L32-('Ingresos Proyecciones'!L32*'Ley 617'!AN32)</f>
        <v>0</v>
      </c>
      <c r="Z32" s="1075">
        <f>+'Ingresos Proyecciones'!M32-('Ingresos Proyecciones'!M32*'Ley 617'!AO32)</f>
        <v>0</v>
      </c>
      <c r="AA32" s="1075">
        <f>+'Ingresos Proyecciones'!N32-('Ingresos Proyecciones'!N32*'Ley 617'!AP32)</f>
        <v>0</v>
      </c>
      <c r="AB32" s="1075">
        <f>+'Ingresos Proyecciones'!O32-('Ingresos Proyecciones'!O32*'Ley 617'!AQ32)</f>
        <v>0</v>
      </c>
      <c r="AC32" s="1075">
        <f>+'Ingresos Proyecciones'!P32-('Ingresos Proyecciones'!P32*'Ley 617'!AR32)</f>
        <v>0</v>
      </c>
      <c r="AD32" s="1075">
        <f>+'Ingresos Proyecciones'!Q32-('Ingresos Proyecciones'!Q32*'Ley 617'!AS32)</f>
        <v>0</v>
      </c>
      <c r="AE32" s="1077"/>
      <c r="AF32" s="1077"/>
      <c r="AG32" s="1077"/>
      <c r="AH32" s="1077"/>
      <c r="AI32" s="1077"/>
      <c r="AJ32" s="1077"/>
      <c r="AK32" s="1077"/>
      <c r="AL32" s="1077"/>
      <c r="AM32" s="1077"/>
      <c r="AN32" s="1077"/>
      <c r="AO32" s="1077"/>
      <c r="AP32" s="1077"/>
      <c r="AQ32" s="1077"/>
      <c r="AR32" s="1077"/>
      <c r="AS32" s="1077"/>
    </row>
    <row r="33" spans="1:45" ht="12.75" customHeight="1">
      <c r="A33" s="1067" t="str">
        <f>+Ingresos!A36</f>
        <v>1110211</v>
      </c>
      <c r="B33" s="1068"/>
      <c r="C33" s="1074" t="s">
        <v>1271</v>
      </c>
      <c r="D33" s="1075">
        <f t="shared" si="3"/>
        <v>0</v>
      </c>
      <c r="E33" s="1076">
        <f t="shared" si="4"/>
        <v>0</v>
      </c>
      <c r="F33" s="1076">
        <f t="shared" si="5"/>
        <v>0</v>
      </c>
      <c r="G33" s="1077">
        <v>1</v>
      </c>
      <c r="H33" s="1078"/>
      <c r="I33" s="1076">
        <f t="shared" si="6"/>
        <v>0</v>
      </c>
      <c r="J33" s="1076">
        <f t="shared" si="7"/>
        <v>0</v>
      </c>
      <c r="K33" s="1076">
        <f t="shared" si="8"/>
        <v>0</v>
      </c>
      <c r="L33" s="1076">
        <f>+Ingresos!C36</f>
        <v>0</v>
      </c>
      <c r="M33" s="1076">
        <f>+Ingresos!E36</f>
        <v>0</v>
      </c>
      <c r="N33" s="1076">
        <f>+Ingresos!H36</f>
        <v>0</v>
      </c>
      <c r="O33" s="1389"/>
      <c r="P33" s="1075">
        <f>+'Ingresos Proyecciones'!C33-('Ingresos Proyecciones'!C33*'Ley 617'!AE33)</f>
        <v>0</v>
      </c>
      <c r="Q33" s="1075">
        <f>+'Ingresos Proyecciones'!D33-('Ingresos Proyecciones'!D33*'Ley 617'!AF33)</f>
        <v>0</v>
      </c>
      <c r="R33" s="1075">
        <f>+'Ingresos Proyecciones'!E33-('Ingresos Proyecciones'!E33*'Ley 617'!AG33)</f>
        <v>0</v>
      </c>
      <c r="S33" s="1075">
        <f>+'Ingresos Proyecciones'!F33-('Ingresos Proyecciones'!F33*'Ley 617'!AH33)</f>
        <v>0</v>
      </c>
      <c r="T33" s="1075">
        <f>+'Ingresos Proyecciones'!G33-('Ingresos Proyecciones'!G33*'Ley 617'!AI33)</f>
        <v>0</v>
      </c>
      <c r="U33" s="1075">
        <f>+'Ingresos Proyecciones'!H33-('Ingresos Proyecciones'!H33*'Ley 617'!AJ33)</f>
        <v>0</v>
      </c>
      <c r="V33" s="1075">
        <f>+'Ingresos Proyecciones'!I33-('Ingresos Proyecciones'!I33*'Ley 617'!AK33)</f>
        <v>0</v>
      </c>
      <c r="W33" s="1075">
        <f>+'Ingresos Proyecciones'!J33-('Ingresos Proyecciones'!J33*'Ley 617'!AL33)</f>
        <v>0</v>
      </c>
      <c r="X33" s="1075">
        <f>+'Ingresos Proyecciones'!K33-('Ingresos Proyecciones'!K33*'Ley 617'!AM33)</f>
        <v>0</v>
      </c>
      <c r="Y33" s="1075">
        <f>+'Ingresos Proyecciones'!L33-('Ingresos Proyecciones'!L33*'Ley 617'!AN33)</f>
        <v>0</v>
      </c>
      <c r="Z33" s="1075">
        <f>+'Ingresos Proyecciones'!M33-('Ingresos Proyecciones'!M33*'Ley 617'!AO33)</f>
        <v>0</v>
      </c>
      <c r="AA33" s="1075">
        <f>+'Ingresos Proyecciones'!N33-('Ingresos Proyecciones'!N33*'Ley 617'!AP33)</f>
        <v>0</v>
      </c>
      <c r="AB33" s="1075">
        <f>+'Ingresos Proyecciones'!O33-('Ingresos Proyecciones'!O33*'Ley 617'!AQ33)</f>
        <v>0</v>
      </c>
      <c r="AC33" s="1075">
        <f>+'Ingresos Proyecciones'!P33-('Ingresos Proyecciones'!P33*'Ley 617'!AR33)</f>
        <v>0</v>
      </c>
      <c r="AD33" s="1075">
        <f>+'Ingresos Proyecciones'!Q33-('Ingresos Proyecciones'!Q33*'Ley 617'!AS33)</f>
        <v>0</v>
      </c>
      <c r="AE33" s="1077"/>
      <c r="AF33" s="1077"/>
      <c r="AG33" s="1077"/>
      <c r="AH33" s="1077"/>
      <c r="AI33" s="1077"/>
      <c r="AJ33" s="1077"/>
      <c r="AK33" s="1077"/>
      <c r="AL33" s="1077"/>
      <c r="AM33" s="1077"/>
      <c r="AN33" s="1077"/>
      <c r="AO33" s="1077"/>
      <c r="AP33" s="1077"/>
      <c r="AQ33" s="1077"/>
      <c r="AR33" s="1077"/>
      <c r="AS33" s="1077"/>
    </row>
    <row r="34" spans="1:45" ht="12.75" customHeight="1">
      <c r="A34" s="1067" t="str">
        <f>+Ingresos!A37</f>
        <v>1110206</v>
      </c>
      <c r="B34" s="1068"/>
      <c r="C34" s="1074" t="s">
        <v>1273</v>
      </c>
      <c r="D34" s="1075">
        <f t="shared" si="3"/>
        <v>4658</v>
      </c>
      <c r="E34" s="1076">
        <f t="shared" si="4"/>
        <v>4658</v>
      </c>
      <c r="F34" s="1076">
        <f t="shared" si="5"/>
        <v>4658</v>
      </c>
      <c r="G34" s="1077"/>
      <c r="H34" s="1078"/>
      <c r="I34" s="1076">
        <f t="shared" si="6"/>
        <v>0</v>
      </c>
      <c r="J34" s="1076">
        <f t="shared" si="7"/>
        <v>0</v>
      </c>
      <c r="K34" s="1076">
        <f t="shared" si="8"/>
        <v>0</v>
      </c>
      <c r="L34" s="1076">
        <f>+Ingresos!C37</f>
        <v>4658</v>
      </c>
      <c r="M34" s="1076">
        <f>+Ingresos!E37</f>
        <v>4658</v>
      </c>
      <c r="N34" s="1076">
        <f>+Ingresos!H37</f>
        <v>4658</v>
      </c>
      <c r="O34" s="1389"/>
      <c r="P34" s="1075">
        <f>+'Ingresos Proyecciones'!C34-('Ingresos Proyecciones'!C34*'Ley 617'!AE34)</f>
        <v>2747</v>
      </c>
      <c r="Q34" s="1075">
        <f>+'Ingresos Proyecciones'!D34-('Ingresos Proyecciones'!D34*'Ley 617'!AF34)</f>
        <v>4615</v>
      </c>
      <c r="R34" s="1075">
        <f>+'Ingresos Proyecciones'!E34-('Ingresos Proyecciones'!E34*'Ley 617'!AG34)</f>
        <v>4658</v>
      </c>
      <c r="S34" s="1075">
        <f>+'Ingresos Proyecciones'!F34-('Ingresos Proyecciones'!F34*'Ley 617'!AH34)</f>
        <v>4844.3200000000006</v>
      </c>
      <c r="T34" s="1075">
        <f>+'Ingresos Proyecciones'!G34-('Ingresos Proyecciones'!G34*'Ley 617'!AI34)</f>
        <v>5038.0928000000013</v>
      </c>
      <c r="U34" s="1075">
        <f>+'Ingresos Proyecciones'!H34-('Ingresos Proyecciones'!H34*'Ley 617'!AJ34)</f>
        <v>5239.6165120000014</v>
      </c>
      <c r="V34" s="1075">
        <f>+'Ingresos Proyecciones'!I34-('Ingresos Proyecciones'!I34*'Ley 617'!AK34)</f>
        <v>5449.2011724800013</v>
      </c>
      <c r="W34" s="1075">
        <f>+'Ingresos Proyecciones'!J34-('Ingresos Proyecciones'!J34*'Ley 617'!AL34)</f>
        <v>5667.1692193792014</v>
      </c>
      <c r="X34" s="1075">
        <f>+'Ingresos Proyecciones'!K34-('Ingresos Proyecciones'!K34*'Ley 617'!AM34)</f>
        <v>5893.8559881543697</v>
      </c>
      <c r="Y34" s="1075">
        <f>+'Ingresos Proyecciones'!L34-('Ingresos Proyecciones'!L34*'Ley 617'!AN34)</f>
        <v>6129.610227680545</v>
      </c>
      <c r="Z34" s="1075">
        <f>+'Ingresos Proyecciones'!M34-('Ingresos Proyecciones'!M34*'Ley 617'!AO34)</f>
        <v>6374.7946367877666</v>
      </c>
      <c r="AA34" s="1075">
        <f>+'Ingresos Proyecciones'!N34-('Ingresos Proyecciones'!N34*'Ley 617'!AP34)</f>
        <v>6629.786422259278</v>
      </c>
      <c r="AB34" s="1075">
        <f>+'Ingresos Proyecciones'!O34-('Ingresos Proyecciones'!O34*'Ley 617'!AQ34)</f>
        <v>6894.9778791496492</v>
      </c>
      <c r="AC34" s="1075">
        <f>+'Ingresos Proyecciones'!P34-('Ingresos Proyecciones'!P34*'Ley 617'!AR34)</f>
        <v>7170.7769943156354</v>
      </c>
      <c r="AD34" s="1075">
        <f>+'Ingresos Proyecciones'!Q34-('Ingresos Proyecciones'!Q34*'Ley 617'!AS34)</f>
        <v>7457.6080740882608</v>
      </c>
      <c r="AE34" s="1077"/>
      <c r="AF34" s="1077"/>
      <c r="AG34" s="1077"/>
      <c r="AH34" s="1077"/>
      <c r="AI34" s="1077"/>
      <c r="AJ34" s="1077"/>
      <c r="AK34" s="1077"/>
      <c r="AL34" s="1077"/>
      <c r="AM34" s="1077"/>
      <c r="AN34" s="1077"/>
      <c r="AO34" s="1077"/>
      <c r="AP34" s="1077"/>
      <c r="AQ34" s="1077"/>
      <c r="AR34" s="1077"/>
      <c r="AS34" s="1077"/>
    </row>
    <row r="35" spans="1:45" ht="12.75" customHeight="1">
      <c r="A35" s="1067" t="str">
        <f>+Ingresos!A38</f>
        <v>1110212</v>
      </c>
      <c r="B35" s="1068"/>
      <c r="C35" s="1074" t="s">
        <v>1275</v>
      </c>
      <c r="D35" s="1075">
        <f t="shared" si="3"/>
        <v>400</v>
      </c>
      <c r="E35" s="1076">
        <f t="shared" si="4"/>
        <v>400</v>
      </c>
      <c r="F35" s="1076">
        <f t="shared" si="5"/>
        <v>400</v>
      </c>
      <c r="G35" s="1077"/>
      <c r="H35" s="1078"/>
      <c r="I35" s="1076">
        <f t="shared" si="6"/>
        <v>0</v>
      </c>
      <c r="J35" s="1076">
        <f t="shared" si="7"/>
        <v>0</v>
      </c>
      <c r="K35" s="1076">
        <f t="shared" si="8"/>
        <v>0</v>
      </c>
      <c r="L35" s="1076">
        <f>+Ingresos!C38</f>
        <v>400</v>
      </c>
      <c r="M35" s="1076">
        <f>+Ingresos!E38</f>
        <v>400</v>
      </c>
      <c r="N35" s="1076">
        <f>+Ingresos!H38</f>
        <v>400</v>
      </c>
      <c r="O35" s="1389"/>
      <c r="P35" s="1075">
        <f>+'Ingresos Proyecciones'!C35-('Ingresos Proyecciones'!C35*'Ley 617'!AE35)</f>
        <v>584</v>
      </c>
      <c r="Q35" s="1075">
        <f>+'Ingresos Proyecciones'!D35-('Ingresos Proyecciones'!D35*'Ley 617'!AF35)</f>
        <v>993</v>
      </c>
      <c r="R35" s="1075">
        <f>+'Ingresos Proyecciones'!E35-('Ingresos Proyecciones'!E35*'Ley 617'!AG35)</f>
        <v>400</v>
      </c>
      <c r="S35" s="1075">
        <f>+'Ingresos Proyecciones'!F35-('Ingresos Proyecciones'!F35*'Ley 617'!AH35)</f>
        <v>416</v>
      </c>
      <c r="T35" s="1075">
        <f>+'Ingresos Proyecciones'!G35-('Ingresos Proyecciones'!G35*'Ley 617'!AI35)</f>
        <v>432.64</v>
      </c>
      <c r="U35" s="1075">
        <f>+'Ingresos Proyecciones'!H35-('Ingresos Proyecciones'!H35*'Ley 617'!AJ35)</f>
        <v>449.94560000000001</v>
      </c>
      <c r="V35" s="1075">
        <f>+'Ingresos Proyecciones'!I35-('Ingresos Proyecciones'!I35*'Ley 617'!AK35)</f>
        <v>467.94342400000005</v>
      </c>
      <c r="W35" s="1075">
        <f>+'Ingresos Proyecciones'!J35-('Ingresos Proyecciones'!J35*'Ley 617'!AL35)</f>
        <v>486.66116096000007</v>
      </c>
      <c r="X35" s="1075">
        <f>+'Ingresos Proyecciones'!K35-('Ingresos Proyecciones'!K35*'Ley 617'!AM35)</f>
        <v>506.12760739840007</v>
      </c>
      <c r="Y35" s="1075">
        <f>+'Ingresos Proyecciones'!L35-('Ingresos Proyecciones'!L35*'Ley 617'!AN35)</f>
        <v>526.37271169433609</v>
      </c>
      <c r="Z35" s="1075">
        <f>+'Ingresos Proyecciones'!M35-('Ingresos Proyecciones'!M35*'Ley 617'!AO35)</f>
        <v>547.42762016210952</v>
      </c>
      <c r="AA35" s="1075">
        <f>+'Ingresos Proyecciones'!N35-('Ingresos Proyecciones'!N35*'Ley 617'!AP35)</f>
        <v>569.32472496859396</v>
      </c>
      <c r="AB35" s="1075">
        <f>+'Ingresos Proyecciones'!O35-('Ingresos Proyecciones'!O35*'Ley 617'!AQ35)</f>
        <v>592.09771396733777</v>
      </c>
      <c r="AC35" s="1075">
        <f>+'Ingresos Proyecciones'!P35-('Ingresos Proyecciones'!P35*'Ley 617'!AR35)</f>
        <v>615.78162252603136</v>
      </c>
      <c r="AD35" s="1075">
        <f>+'Ingresos Proyecciones'!Q35-('Ingresos Proyecciones'!Q35*'Ley 617'!AS35)</f>
        <v>640.41288742707263</v>
      </c>
      <c r="AE35" s="1077"/>
      <c r="AF35" s="1077"/>
      <c r="AG35" s="1077"/>
      <c r="AH35" s="1077"/>
      <c r="AI35" s="1077"/>
      <c r="AJ35" s="1077"/>
      <c r="AK35" s="1077"/>
      <c r="AL35" s="1077"/>
      <c r="AM35" s="1077"/>
      <c r="AN35" s="1077"/>
      <c r="AO35" s="1077"/>
      <c r="AP35" s="1077"/>
      <c r="AQ35" s="1077"/>
      <c r="AR35" s="1077"/>
      <c r="AS35" s="1077"/>
    </row>
    <row r="36" spans="1:45" ht="12.75" customHeight="1">
      <c r="A36" s="1067" t="str">
        <f>+Ingresos!A39</f>
        <v>1110207</v>
      </c>
      <c r="B36" s="1068"/>
      <c r="C36" s="1074" t="s">
        <v>1277</v>
      </c>
      <c r="D36" s="1075">
        <f t="shared" si="3"/>
        <v>0</v>
      </c>
      <c r="E36" s="1076">
        <f t="shared" si="4"/>
        <v>0</v>
      </c>
      <c r="F36" s="1076">
        <f t="shared" si="5"/>
        <v>0</v>
      </c>
      <c r="G36" s="1077"/>
      <c r="H36" s="1078"/>
      <c r="I36" s="1076">
        <f t="shared" si="6"/>
        <v>0</v>
      </c>
      <c r="J36" s="1076">
        <f t="shared" si="7"/>
        <v>0</v>
      </c>
      <c r="K36" s="1076">
        <f t="shared" si="8"/>
        <v>0</v>
      </c>
      <c r="L36" s="1076">
        <f>+Ingresos!C39</f>
        <v>0</v>
      </c>
      <c r="M36" s="1076">
        <f>+Ingresos!E39</f>
        <v>0</v>
      </c>
      <c r="N36" s="1076">
        <f>+Ingresos!H39</f>
        <v>0</v>
      </c>
      <c r="O36" s="1389"/>
      <c r="P36" s="1075">
        <f>+'Ingresos Proyecciones'!C36-('Ingresos Proyecciones'!C36*'Ley 617'!AE36)</f>
        <v>0</v>
      </c>
      <c r="Q36" s="1075">
        <f>+'Ingresos Proyecciones'!D36-('Ingresos Proyecciones'!D36*'Ley 617'!AF36)</f>
        <v>0</v>
      </c>
      <c r="R36" s="1075">
        <f>+'Ingresos Proyecciones'!E36-('Ingresos Proyecciones'!E36*'Ley 617'!AG36)</f>
        <v>0</v>
      </c>
      <c r="S36" s="1075">
        <f>+'Ingresos Proyecciones'!F36-('Ingresos Proyecciones'!F36*'Ley 617'!AH36)</f>
        <v>0</v>
      </c>
      <c r="T36" s="1075">
        <f>+'Ingresos Proyecciones'!G36-('Ingresos Proyecciones'!G36*'Ley 617'!AI36)</f>
        <v>0</v>
      </c>
      <c r="U36" s="1075">
        <f>+'Ingresos Proyecciones'!H36-('Ingresos Proyecciones'!H36*'Ley 617'!AJ36)</f>
        <v>0</v>
      </c>
      <c r="V36" s="1075">
        <f>+'Ingresos Proyecciones'!I36-('Ingresos Proyecciones'!I36*'Ley 617'!AK36)</f>
        <v>0</v>
      </c>
      <c r="W36" s="1075">
        <f>+'Ingresos Proyecciones'!J36-('Ingresos Proyecciones'!J36*'Ley 617'!AL36)</f>
        <v>0</v>
      </c>
      <c r="X36" s="1075">
        <f>+'Ingresos Proyecciones'!K36-('Ingresos Proyecciones'!K36*'Ley 617'!AM36)</f>
        <v>0</v>
      </c>
      <c r="Y36" s="1075">
        <f>+'Ingresos Proyecciones'!L36-('Ingresos Proyecciones'!L36*'Ley 617'!AN36)</f>
        <v>0</v>
      </c>
      <c r="Z36" s="1075">
        <f>+'Ingresos Proyecciones'!M36-('Ingresos Proyecciones'!M36*'Ley 617'!AO36)</f>
        <v>0</v>
      </c>
      <c r="AA36" s="1075">
        <f>+'Ingresos Proyecciones'!N36-('Ingresos Proyecciones'!N36*'Ley 617'!AP36)</f>
        <v>0</v>
      </c>
      <c r="AB36" s="1075">
        <f>+'Ingresos Proyecciones'!O36-('Ingresos Proyecciones'!O36*'Ley 617'!AQ36)</f>
        <v>0</v>
      </c>
      <c r="AC36" s="1075">
        <f>+'Ingresos Proyecciones'!P36-('Ingresos Proyecciones'!P36*'Ley 617'!AR36)</f>
        <v>0</v>
      </c>
      <c r="AD36" s="1075">
        <f>+'Ingresos Proyecciones'!Q36-('Ingresos Proyecciones'!Q36*'Ley 617'!AS36)</f>
        <v>0</v>
      </c>
      <c r="AE36" s="1077"/>
      <c r="AF36" s="1077"/>
      <c r="AG36" s="1077"/>
      <c r="AH36" s="1077"/>
      <c r="AI36" s="1077"/>
      <c r="AJ36" s="1077"/>
      <c r="AK36" s="1077"/>
      <c r="AL36" s="1077"/>
      <c r="AM36" s="1077"/>
      <c r="AN36" s="1077"/>
      <c r="AO36" s="1077"/>
      <c r="AP36" s="1077"/>
      <c r="AQ36" s="1077"/>
      <c r="AR36" s="1077"/>
      <c r="AS36" s="1077"/>
    </row>
    <row r="37" spans="1:45" ht="12.75" customHeight="1">
      <c r="A37" s="1067" t="str">
        <f>+Ingresos!A40</f>
        <v>1120103</v>
      </c>
      <c r="B37" s="1068"/>
      <c r="C37" s="1074" t="s">
        <v>1279</v>
      </c>
      <c r="D37" s="1075">
        <f t="shared" si="3"/>
        <v>0</v>
      </c>
      <c r="E37" s="1076">
        <f t="shared" si="4"/>
        <v>0</v>
      </c>
      <c r="F37" s="1076">
        <f t="shared" si="5"/>
        <v>0</v>
      </c>
      <c r="G37" s="1077">
        <v>1</v>
      </c>
      <c r="H37" s="1078"/>
      <c r="I37" s="1076">
        <f t="shared" si="6"/>
        <v>0</v>
      </c>
      <c r="J37" s="1076">
        <f t="shared" si="7"/>
        <v>0</v>
      </c>
      <c r="K37" s="1076">
        <f t="shared" si="8"/>
        <v>0</v>
      </c>
      <c r="L37" s="1076">
        <f>+Ingresos!C40</f>
        <v>0</v>
      </c>
      <c r="M37" s="1076">
        <f>+Ingresos!E40</f>
        <v>0</v>
      </c>
      <c r="N37" s="1076">
        <f>+Ingresos!H40</f>
        <v>0</v>
      </c>
      <c r="O37" s="1389"/>
      <c r="P37" s="1075">
        <f>+'Ingresos Proyecciones'!C37-('Ingresos Proyecciones'!C37*'Ley 617'!AE37)</f>
        <v>0</v>
      </c>
      <c r="Q37" s="1075">
        <f>+'Ingresos Proyecciones'!D37-('Ingresos Proyecciones'!D37*'Ley 617'!AF37)</f>
        <v>17</v>
      </c>
      <c r="R37" s="1075">
        <f>+'Ingresos Proyecciones'!E37-('Ingresos Proyecciones'!E37*'Ley 617'!AG37)</f>
        <v>0</v>
      </c>
      <c r="S37" s="1075">
        <f>+'Ingresos Proyecciones'!F37-('Ingresos Proyecciones'!F37*'Ley 617'!AH37)</f>
        <v>0</v>
      </c>
      <c r="T37" s="1075">
        <f>+'Ingresos Proyecciones'!G37-('Ingresos Proyecciones'!G37*'Ley 617'!AI37)</f>
        <v>0</v>
      </c>
      <c r="U37" s="1075">
        <f>+'Ingresos Proyecciones'!H37-('Ingresos Proyecciones'!H37*'Ley 617'!AJ37)</f>
        <v>0</v>
      </c>
      <c r="V37" s="1075">
        <f>+'Ingresos Proyecciones'!I37-('Ingresos Proyecciones'!I37*'Ley 617'!AK37)</f>
        <v>0</v>
      </c>
      <c r="W37" s="1075">
        <f>+'Ingresos Proyecciones'!J37-('Ingresos Proyecciones'!J37*'Ley 617'!AL37)</f>
        <v>0</v>
      </c>
      <c r="X37" s="1075">
        <f>+'Ingresos Proyecciones'!K37-('Ingresos Proyecciones'!K37*'Ley 617'!AM37)</f>
        <v>0</v>
      </c>
      <c r="Y37" s="1075">
        <f>+'Ingresos Proyecciones'!L37-('Ingresos Proyecciones'!L37*'Ley 617'!AN37)</f>
        <v>0</v>
      </c>
      <c r="Z37" s="1075">
        <f>+'Ingresos Proyecciones'!M37-('Ingresos Proyecciones'!M37*'Ley 617'!AO37)</f>
        <v>0</v>
      </c>
      <c r="AA37" s="1075">
        <f>+'Ingresos Proyecciones'!N37-('Ingresos Proyecciones'!N37*'Ley 617'!AP37)</f>
        <v>0</v>
      </c>
      <c r="AB37" s="1075">
        <f>+'Ingresos Proyecciones'!O37-('Ingresos Proyecciones'!O37*'Ley 617'!AQ37)</f>
        <v>0</v>
      </c>
      <c r="AC37" s="1075">
        <f>+'Ingresos Proyecciones'!P37-('Ingresos Proyecciones'!P37*'Ley 617'!AR37)</f>
        <v>0</v>
      </c>
      <c r="AD37" s="1075">
        <f>+'Ingresos Proyecciones'!Q37-('Ingresos Proyecciones'!Q37*'Ley 617'!AS37)</f>
        <v>0</v>
      </c>
      <c r="AE37" s="1077"/>
      <c r="AF37" s="1077"/>
      <c r="AG37" s="1077"/>
      <c r="AH37" s="1077"/>
      <c r="AI37" s="1077"/>
      <c r="AJ37" s="1077"/>
      <c r="AK37" s="1077"/>
      <c r="AL37" s="1077"/>
      <c r="AM37" s="1077"/>
      <c r="AN37" s="1077"/>
      <c r="AO37" s="1077"/>
      <c r="AP37" s="1077"/>
      <c r="AQ37" s="1077"/>
      <c r="AR37" s="1077"/>
      <c r="AS37" s="1077"/>
    </row>
    <row r="38" spans="1:45" ht="12.75" customHeight="1">
      <c r="A38" s="1067" t="str">
        <f>+Ingresos!A41</f>
        <v>11205020810</v>
      </c>
      <c r="B38" s="1068"/>
      <c r="C38" s="1074" t="s">
        <v>1281</v>
      </c>
      <c r="D38" s="1075">
        <f t="shared" si="3"/>
        <v>0</v>
      </c>
      <c r="E38" s="1076">
        <f t="shared" si="4"/>
        <v>0</v>
      </c>
      <c r="F38" s="1076">
        <f t="shared" si="5"/>
        <v>0</v>
      </c>
      <c r="G38" s="1077"/>
      <c r="H38" s="1078"/>
      <c r="I38" s="1076">
        <f t="shared" si="6"/>
        <v>0</v>
      </c>
      <c r="J38" s="1076">
        <f t="shared" si="7"/>
        <v>0</v>
      </c>
      <c r="K38" s="1076">
        <f t="shared" si="8"/>
        <v>0</v>
      </c>
      <c r="L38" s="1076">
        <f>+Ingresos!C41</f>
        <v>0</v>
      </c>
      <c r="M38" s="1076">
        <f>+Ingresos!E41</f>
        <v>0</v>
      </c>
      <c r="N38" s="1076">
        <f>+Ingresos!H41</f>
        <v>0</v>
      </c>
      <c r="O38" s="1389"/>
      <c r="P38" s="1075">
        <f>+'Ingresos Proyecciones'!C38-('Ingresos Proyecciones'!C38*'Ley 617'!AE38)</f>
        <v>0</v>
      </c>
      <c r="Q38" s="1075">
        <f>+'Ingresos Proyecciones'!D38-('Ingresos Proyecciones'!D38*'Ley 617'!AF38)</f>
        <v>0</v>
      </c>
      <c r="R38" s="1075">
        <f>+'Ingresos Proyecciones'!E38-('Ingresos Proyecciones'!E38*'Ley 617'!AG38)</f>
        <v>0</v>
      </c>
      <c r="S38" s="1075">
        <f>+'Ingresos Proyecciones'!F38-('Ingresos Proyecciones'!F38*'Ley 617'!AH38)</f>
        <v>0</v>
      </c>
      <c r="T38" s="1075">
        <f>+'Ingresos Proyecciones'!G38-('Ingresos Proyecciones'!G38*'Ley 617'!AI38)</f>
        <v>0</v>
      </c>
      <c r="U38" s="1075">
        <f>+'Ingresos Proyecciones'!H38-('Ingresos Proyecciones'!H38*'Ley 617'!AJ38)</f>
        <v>0</v>
      </c>
      <c r="V38" s="1075">
        <f>+'Ingresos Proyecciones'!I38-('Ingresos Proyecciones'!I38*'Ley 617'!AK38)</f>
        <v>0</v>
      </c>
      <c r="W38" s="1075">
        <f>+'Ingresos Proyecciones'!J38-('Ingresos Proyecciones'!J38*'Ley 617'!AL38)</f>
        <v>0</v>
      </c>
      <c r="X38" s="1075">
        <f>+'Ingresos Proyecciones'!K38-('Ingresos Proyecciones'!K38*'Ley 617'!AM38)</f>
        <v>0</v>
      </c>
      <c r="Y38" s="1075">
        <f>+'Ingresos Proyecciones'!L38-('Ingresos Proyecciones'!L38*'Ley 617'!AN38)</f>
        <v>0</v>
      </c>
      <c r="Z38" s="1075">
        <f>+'Ingresos Proyecciones'!M38-('Ingresos Proyecciones'!M38*'Ley 617'!AO38)</f>
        <v>0</v>
      </c>
      <c r="AA38" s="1075">
        <f>+'Ingresos Proyecciones'!N38-('Ingresos Proyecciones'!N38*'Ley 617'!AP38)</f>
        <v>0</v>
      </c>
      <c r="AB38" s="1075">
        <f>+'Ingresos Proyecciones'!O38-('Ingresos Proyecciones'!O38*'Ley 617'!AQ38)</f>
        <v>0</v>
      </c>
      <c r="AC38" s="1075">
        <f>+'Ingresos Proyecciones'!P38-('Ingresos Proyecciones'!P38*'Ley 617'!AR38)</f>
        <v>0</v>
      </c>
      <c r="AD38" s="1075">
        <f>+'Ingresos Proyecciones'!Q38-('Ingresos Proyecciones'!Q38*'Ley 617'!AS38)</f>
        <v>0</v>
      </c>
      <c r="AE38" s="1077"/>
      <c r="AF38" s="1077"/>
      <c r="AG38" s="1077"/>
      <c r="AH38" s="1077"/>
      <c r="AI38" s="1077"/>
      <c r="AJ38" s="1077"/>
      <c r="AK38" s="1077"/>
      <c r="AL38" s="1077"/>
      <c r="AM38" s="1077"/>
      <c r="AN38" s="1077"/>
      <c r="AO38" s="1077"/>
      <c r="AP38" s="1077"/>
      <c r="AQ38" s="1077"/>
      <c r="AR38" s="1077"/>
      <c r="AS38" s="1077"/>
    </row>
    <row r="39" spans="1:45" ht="12.75" customHeight="1">
      <c r="A39" s="1067" t="str">
        <f>+Ingresos!A42</f>
        <v>1110217</v>
      </c>
      <c r="B39" s="1068"/>
      <c r="C39" s="1074" t="s">
        <v>1283</v>
      </c>
      <c r="D39" s="1079">
        <f>SUM(D40:D44)</f>
        <v>0</v>
      </c>
      <c r="E39" s="1080">
        <f>SUM(E40:E44)</f>
        <v>0</v>
      </c>
      <c r="F39" s="1080">
        <f>SUM(F40:F44)</f>
        <v>0</v>
      </c>
      <c r="G39" s="1101"/>
      <c r="H39" s="1081"/>
      <c r="I39" s="1080">
        <f>SUM(I40:I44)</f>
        <v>62089</v>
      </c>
      <c r="J39" s="1080">
        <f>SUM(J40:J44)</f>
        <v>62089</v>
      </c>
      <c r="K39" s="1080">
        <f>SUM(K40:K44)</f>
        <v>62089</v>
      </c>
      <c r="L39" s="1071">
        <f>+Ingresos!C42</f>
        <v>62089</v>
      </c>
      <c r="M39" s="1071">
        <f>+Ingresos!E42</f>
        <v>62089</v>
      </c>
      <c r="N39" s="1071">
        <f>+Ingresos!H42</f>
        <v>62089</v>
      </c>
      <c r="O39" s="1388"/>
      <c r="P39" s="1079">
        <f>SUM(P40:P44)</f>
        <v>0</v>
      </c>
      <c r="Q39" s="1080">
        <f t="shared" ref="Q39:AD39" si="9">SUM(Q40:Q44)</f>
        <v>0</v>
      </c>
      <c r="R39" s="1080">
        <f t="shared" si="9"/>
        <v>0</v>
      </c>
      <c r="S39" s="1080">
        <f t="shared" si="9"/>
        <v>0</v>
      </c>
      <c r="T39" s="1080">
        <f t="shared" si="9"/>
        <v>0</v>
      </c>
      <c r="U39" s="1080">
        <f t="shared" si="9"/>
        <v>0</v>
      </c>
      <c r="V39" s="1080">
        <f t="shared" si="9"/>
        <v>0</v>
      </c>
      <c r="W39" s="1080">
        <f t="shared" si="9"/>
        <v>0</v>
      </c>
      <c r="X39" s="1080">
        <f t="shared" si="9"/>
        <v>0</v>
      </c>
      <c r="Y39" s="1080">
        <f t="shared" si="9"/>
        <v>0</v>
      </c>
      <c r="Z39" s="1080">
        <f t="shared" si="9"/>
        <v>0</v>
      </c>
      <c r="AA39" s="1080">
        <f t="shared" si="9"/>
        <v>0</v>
      </c>
      <c r="AB39" s="1080">
        <f t="shared" si="9"/>
        <v>0</v>
      </c>
      <c r="AC39" s="1080">
        <f t="shared" si="9"/>
        <v>0</v>
      </c>
      <c r="AD39" s="1080">
        <f t="shared" si="9"/>
        <v>0</v>
      </c>
      <c r="AE39" s="1101"/>
      <c r="AF39" s="1101"/>
      <c r="AG39" s="1101"/>
      <c r="AH39" s="1101"/>
      <c r="AI39" s="1101"/>
      <c r="AJ39" s="1101"/>
      <c r="AK39" s="1101"/>
      <c r="AL39" s="1101"/>
      <c r="AM39" s="1101"/>
      <c r="AN39" s="1101"/>
      <c r="AO39" s="1101"/>
      <c r="AP39" s="1101"/>
      <c r="AQ39" s="1101"/>
      <c r="AR39" s="1101"/>
      <c r="AS39" s="1101"/>
    </row>
    <row r="40" spans="1:45" ht="12.75" customHeight="1">
      <c r="A40" s="1067" t="str">
        <f>+Ingresos!A43</f>
        <v>111021701</v>
      </c>
      <c r="B40" s="1068"/>
      <c r="C40" s="1074" t="s">
        <v>1285</v>
      </c>
      <c r="D40" s="1075">
        <f t="shared" ref="D40:D46" si="10">+L40-I40</f>
        <v>0</v>
      </c>
      <c r="E40" s="1076">
        <f t="shared" ref="E40:E46" si="11">+M40-J40</f>
        <v>0</v>
      </c>
      <c r="F40" s="1076">
        <f t="shared" ref="F40:F46" si="12">+N40-K40</f>
        <v>0</v>
      </c>
      <c r="G40" s="1077"/>
      <c r="H40" s="1078"/>
      <c r="I40" s="1076">
        <f t="shared" ref="I40:I46" si="13">+$G40*L40</f>
        <v>0</v>
      </c>
      <c r="J40" s="1076">
        <f t="shared" ref="J40:J46" si="14">+$G40*M40</f>
        <v>0</v>
      </c>
      <c r="K40" s="1076">
        <f t="shared" ref="K40:K46" si="15">+$G40*N40</f>
        <v>0</v>
      </c>
      <c r="L40" s="1076">
        <f>+Ingresos!C43</f>
        <v>0</v>
      </c>
      <c r="M40" s="1076">
        <f>+Ingresos!E43</f>
        <v>0</v>
      </c>
      <c r="N40" s="1076">
        <f>+Ingresos!H43</f>
        <v>0</v>
      </c>
      <c r="O40" s="1389"/>
      <c r="P40" s="1075">
        <f>+'Ingresos Proyecciones'!C40-('Ingresos Proyecciones'!C40*'Ley 617'!AE40)</f>
        <v>0</v>
      </c>
      <c r="Q40" s="1075">
        <f>+'Ingresos Proyecciones'!D40-('Ingresos Proyecciones'!D40*'Ley 617'!AF40)</f>
        <v>0</v>
      </c>
      <c r="R40" s="1075">
        <f>+'Ingresos Proyecciones'!E40-('Ingresos Proyecciones'!E40*'Ley 617'!AG40)</f>
        <v>0</v>
      </c>
      <c r="S40" s="1075">
        <f>+'Ingresos Proyecciones'!F40-('Ingresos Proyecciones'!F40*'Ley 617'!AH40)</f>
        <v>0</v>
      </c>
      <c r="T40" s="1075">
        <f>+'Ingresos Proyecciones'!G40-('Ingresos Proyecciones'!G40*'Ley 617'!AI40)</f>
        <v>0</v>
      </c>
      <c r="U40" s="1075">
        <f>+'Ingresos Proyecciones'!H40-('Ingresos Proyecciones'!H40*'Ley 617'!AJ40)</f>
        <v>0</v>
      </c>
      <c r="V40" s="1075">
        <f>+'Ingresos Proyecciones'!I40-('Ingresos Proyecciones'!I40*'Ley 617'!AK40)</f>
        <v>0</v>
      </c>
      <c r="W40" s="1075">
        <f>+'Ingresos Proyecciones'!J40-('Ingresos Proyecciones'!J40*'Ley 617'!AL40)</f>
        <v>0</v>
      </c>
      <c r="X40" s="1075">
        <f>+'Ingresos Proyecciones'!K40-('Ingresos Proyecciones'!K40*'Ley 617'!AM40)</f>
        <v>0</v>
      </c>
      <c r="Y40" s="1075">
        <f>+'Ingresos Proyecciones'!L40-('Ingresos Proyecciones'!L40*'Ley 617'!AN40)</f>
        <v>0</v>
      </c>
      <c r="Z40" s="1075">
        <f>+'Ingresos Proyecciones'!M40-('Ingresos Proyecciones'!M40*'Ley 617'!AO40)</f>
        <v>0</v>
      </c>
      <c r="AA40" s="1075">
        <f>+'Ingresos Proyecciones'!N40-('Ingresos Proyecciones'!N40*'Ley 617'!AP40)</f>
        <v>0</v>
      </c>
      <c r="AB40" s="1075">
        <f>+'Ingresos Proyecciones'!O40-('Ingresos Proyecciones'!O40*'Ley 617'!AQ40)</f>
        <v>0</v>
      </c>
      <c r="AC40" s="1075">
        <f>+'Ingresos Proyecciones'!P40-('Ingresos Proyecciones'!P40*'Ley 617'!AR40)</f>
        <v>0</v>
      </c>
      <c r="AD40" s="1075">
        <f>+'Ingresos Proyecciones'!Q40-('Ingresos Proyecciones'!Q40*'Ley 617'!AS40)</f>
        <v>0</v>
      </c>
      <c r="AE40" s="1077"/>
      <c r="AF40" s="1077"/>
      <c r="AG40" s="1077"/>
      <c r="AH40" s="1077"/>
      <c r="AI40" s="1077"/>
      <c r="AJ40" s="1077"/>
      <c r="AK40" s="1077"/>
      <c r="AL40" s="1077"/>
      <c r="AM40" s="1077"/>
      <c r="AN40" s="1077"/>
      <c r="AO40" s="1077"/>
      <c r="AP40" s="1077"/>
      <c r="AQ40" s="1077"/>
      <c r="AR40" s="1077"/>
      <c r="AS40" s="1077"/>
    </row>
    <row r="41" spans="1:45" ht="12.75" customHeight="1">
      <c r="A41" s="1067" t="str">
        <f>+Ingresos!A44</f>
        <v>111021702</v>
      </c>
      <c r="B41" s="1068"/>
      <c r="C41" s="1074" t="s">
        <v>1287</v>
      </c>
      <c r="D41" s="1075">
        <f t="shared" si="10"/>
        <v>0</v>
      </c>
      <c r="E41" s="1076">
        <f t="shared" si="11"/>
        <v>0</v>
      </c>
      <c r="F41" s="1076">
        <f t="shared" si="12"/>
        <v>0</v>
      </c>
      <c r="G41" s="1077"/>
      <c r="H41" s="1078"/>
      <c r="I41" s="1076">
        <f t="shared" si="13"/>
        <v>0</v>
      </c>
      <c r="J41" s="1076">
        <f t="shared" si="14"/>
        <v>0</v>
      </c>
      <c r="K41" s="1076">
        <f t="shared" si="15"/>
        <v>0</v>
      </c>
      <c r="L41" s="1076">
        <f>+Ingresos!C44</f>
        <v>0</v>
      </c>
      <c r="M41" s="1076">
        <f>+Ingresos!E44</f>
        <v>0</v>
      </c>
      <c r="N41" s="1076">
        <f>+Ingresos!H44</f>
        <v>0</v>
      </c>
      <c r="O41" s="1389"/>
      <c r="P41" s="1075">
        <f>+'Ingresos Proyecciones'!C41-('Ingresos Proyecciones'!C41*'Ley 617'!AE41)</f>
        <v>0</v>
      </c>
      <c r="Q41" s="1075">
        <f>+'Ingresos Proyecciones'!D41-('Ingresos Proyecciones'!D41*'Ley 617'!AF41)</f>
        <v>0</v>
      </c>
      <c r="R41" s="1075">
        <f>+'Ingresos Proyecciones'!E41-('Ingresos Proyecciones'!E41*'Ley 617'!AG41)</f>
        <v>0</v>
      </c>
      <c r="S41" s="1075">
        <f>+'Ingresos Proyecciones'!F41-('Ingresos Proyecciones'!F41*'Ley 617'!AH41)</f>
        <v>0</v>
      </c>
      <c r="T41" s="1075">
        <f>+'Ingresos Proyecciones'!G41-('Ingresos Proyecciones'!G41*'Ley 617'!AI41)</f>
        <v>0</v>
      </c>
      <c r="U41" s="1075">
        <f>+'Ingresos Proyecciones'!H41-('Ingresos Proyecciones'!H41*'Ley 617'!AJ41)</f>
        <v>0</v>
      </c>
      <c r="V41" s="1075">
        <f>+'Ingresos Proyecciones'!I41-('Ingresos Proyecciones'!I41*'Ley 617'!AK41)</f>
        <v>0</v>
      </c>
      <c r="W41" s="1075">
        <f>+'Ingresos Proyecciones'!J41-('Ingresos Proyecciones'!J41*'Ley 617'!AL41)</f>
        <v>0</v>
      </c>
      <c r="X41" s="1075">
        <f>+'Ingresos Proyecciones'!K41-('Ingresos Proyecciones'!K41*'Ley 617'!AM41)</f>
        <v>0</v>
      </c>
      <c r="Y41" s="1075">
        <f>+'Ingresos Proyecciones'!L41-('Ingresos Proyecciones'!L41*'Ley 617'!AN41)</f>
        <v>0</v>
      </c>
      <c r="Z41" s="1075">
        <f>+'Ingresos Proyecciones'!M41-('Ingresos Proyecciones'!M41*'Ley 617'!AO41)</f>
        <v>0</v>
      </c>
      <c r="AA41" s="1075">
        <f>+'Ingresos Proyecciones'!N41-('Ingresos Proyecciones'!N41*'Ley 617'!AP41)</f>
        <v>0</v>
      </c>
      <c r="AB41" s="1075">
        <f>+'Ingresos Proyecciones'!O41-('Ingresos Proyecciones'!O41*'Ley 617'!AQ41)</f>
        <v>0</v>
      </c>
      <c r="AC41" s="1075">
        <f>+'Ingresos Proyecciones'!P41-('Ingresos Proyecciones'!P41*'Ley 617'!AR41)</f>
        <v>0</v>
      </c>
      <c r="AD41" s="1075">
        <f>+'Ingresos Proyecciones'!Q41-('Ingresos Proyecciones'!Q41*'Ley 617'!AS41)</f>
        <v>0</v>
      </c>
      <c r="AE41" s="1077"/>
      <c r="AF41" s="1077"/>
      <c r="AG41" s="1077"/>
      <c r="AH41" s="1077"/>
      <c r="AI41" s="1077"/>
      <c r="AJ41" s="1077"/>
      <c r="AK41" s="1077"/>
      <c r="AL41" s="1077"/>
      <c r="AM41" s="1077"/>
      <c r="AN41" s="1077"/>
      <c r="AO41" s="1077"/>
      <c r="AP41" s="1077"/>
      <c r="AQ41" s="1077"/>
      <c r="AR41" s="1077"/>
      <c r="AS41" s="1077"/>
    </row>
    <row r="42" spans="1:45" ht="12.75" customHeight="1">
      <c r="A42" s="1067" t="str">
        <f>+Ingresos!A45</f>
        <v>111021703</v>
      </c>
      <c r="B42" s="1068"/>
      <c r="C42" s="1074" t="s">
        <v>1289</v>
      </c>
      <c r="D42" s="1075">
        <f t="shared" si="10"/>
        <v>0</v>
      </c>
      <c r="E42" s="1076">
        <f t="shared" si="11"/>
        <v>0</v>
      </c>
      <c r="F42" s="1076">
        <f t="shared" si="12"/>
        <v>0</v>
      </c>
      <c r="G42" s="1077"/>
      <c r="H42" s="1078"/>
      <c r="I42" s="1076">
        <f t="shared" si="13"/>
        <v>0</v>
      </c>
      <c r="J42" s="1076">
        <f t="shared" si="14"/>
        <v>0</v>
      </c>
      <c r="K42" s="1076">
        <f t="shared" si="15"/>
        <v>0</v>
      </c>
      <c r="L42" s="1076">
        <f>+Ingresos!C45</f>
        <v>0</v>
      </c>
      <c r="M42" s="1076">
        <f>+Ingresos!E45</f>
        <v>0</v>
      </c>
      <c r="N42" s="1076">
        <f>+Ingresos!H45</f>
        <v>0</v>
      </c>
      <c r="O42" s="1389"/>
      <c r="P42" s="1075">
        <f>+'Ingresos Proyecciones'!C42-('Ingresos Proyecciones'!C42*'Ley 617'!AE42)</f>
        <v>0</v>
      </c>
      <c r="Q42" s="1075">
        <f>+'Ingresos Proyecciones'!D42-('Ingresos Proyecciones'!D42*'Ley 617'!AF42)</f>
        <v>0</v>
      </c>
      <c r="R42" s="1075">
        <f>+'Ingresos Proyecciones'!E42-('Ingresos Proyecciones'!E42*'Ley 617'!AG42)</f>
        <v>0</v>
      </c>
      <c r="S42" s="1075">
        <f>+'Ingresos Proyecciones'!F42-('Ingresos Proyecciones'!F42*'Ley 617'!AH42)</f>
        <v>0</v>
      </c>
      <c r="T42" s="1075">
        <f>+'Ingresos Proyecciones'!G42-('Ingresos Proyecciones'!G42*'Ley 617'!AI42)</f>
        <v>0</v>
      </c>
      <c r="U42" s="1075">
        <f>+'Ingresos Proyecciones'!H42-('Ingresos Proyecciones'!H42*'Ley 617'!AJ42)</f>
        <v>0</v>
      </c>
      <c r="V42" s="1075">
        <f>+'Ingresos Proyecciones'!I42-('Ingresos Proyecciones'!I42*'Ley 617'!AK42)</f>
        <v>0</v>
      </c>
      <c r="W42" s="1075">
        <f>+'Ingresos Proyecciones'!J42-('Ingresos Proyecciones'!J42*'Ley 617'!AL42)</f>
        <v>0</v>
      </c>
      <c r="X42" s="1075">
        <f>+'Ingresos Proyecciones'!K42-('Ingresos Proyecciones'!K42*'Ley 617'!AM42)</f>
        <v>0</v>
      </c>
      <c r="Y42" s="1075">
        <f>+'Ingresos Proyecciones'!L42-('Ingresos Proyecciones'!L42*'Ley 617'!AN42)</f>
        <v>0</v>
      </c>
      <c r="Z42" s="1075">
        <f>+'Ingresos Proyecciones'!M42-('Ingresos Proyecciones'!M42*'Ley 617'!AO42)</f>
        <v>0</v>
      </c>
      <c r="AA42" s="1075">
        <f>+'Ingresos Proyecciones'!N42-('Ingresos Proyecciones'!N42*'Ley 617'!AP42)</f>
        <v>0</v>
      </c>
      <c r="AB42" s="1075">
        <f>+'Ingresos Proyecciones'!O42-('Ingresos Proyecciones'!O42*'Ley 617'!AQ42)</f>
        <v>0</v>
      </c>
      <c r="AC42" s="1075">
        <f>+'Ingresos Proyecciones'!P42-('Ingresos Proyecciones'!P42*'Ley 617'!AR42)</f>
        <v>0</v>
      </c>
      <c r="AD42" s="1075">
        <f>+'Ingresos Proyecciones'!Q42-('Ingresos Proyecciones'!Q42*'Ley 617'!AS42)</f>
        <v>0</v>
      </c>
      <c r="AE42" s="1077"/>
      <c r="AF42" s="1077"/>
      <c r="AG42" s="1077"/>
      <c r="AH42" s="1077"/>
      <c r="AI42" s="1077"/>
      <c r="AJ42" s="1077"/>
      <c r="AK42" s="1077"/>
      <c r="AL42" s="1077"/>
      <c r="AM42" s="1077"/>
      <c r="AN42" s="1077"/>
      <c r="AO42" s="1077"/>
      <c r="AP42" s="1077"/>
      <c r="AQ42" s="1077"/>
      <c r="AR42" s="1077"/>
      <c r="AS42" s="1077"/>
    </row>
    <row r="43" spans="1:45" ht="12.75" customHeight="1">
      <c r="A43" s="1067" t="str">
        <f>+Ingresos!A46</f>
        <v>111021704</v>
      </c>
      <c r="B43" s="1068"/>
      <c r="C43" s="1074" t="s">
        <v>1291</v>
      </c>
      <c r="D43" s="1075">
        <f t="shared" si="10"/>
        <v>0</v>
      </c>
      <c r="E43" s="1076">
        <f t="shared" si="11"/>
        <v>0</v>
      </c>
      <c r="F43" s="1076">
        <f t="shared" si="12"/>
        <v>0</v>
      </c>
      <c r="G43" s="1077"/>
      <c r="H43" s="1078"/>
      <c r="I43" s="1076">
        <f t="shared" si="13"/>
        <v>0</v>
      </c>
      <c r="J43" s="1076">
        <f t="shared" si="14"/>
        <v>0</v>
      </c>
      <c r="K43" s="1076">
        <f t="shared" si="15"/>
        <v>0</v>
      </c>
      <c r="L43" s="1076">
        <f>+Ingresos!C46</f>
        <v>0</v>
      </c>
      <c r="M43" s="1076">
        <f>+Ingresos!E46</f>
        <v>0</v>
      </c>
      <c r="N43" s="1076">
        <f>+Ingresos!H46</f>
        <v>0</v>
      </c>
      <c r="O43" s="1389"/>
      <c r="P43" s="1075">
        <f>+'Ingresos Proyecciones'!C43-('Ingresos Proyecciones'!C43*'Ley 617'!AE43)</f>
        <v>0</v>
      </c>
      <c r="Q43" s="1075">
        <f>+'Ingresos Proyecciones'!D43-('Ingresos Proyecciones'!D43*'Ley 617'!AF43)</f>
        <v>0</v>
      </c>
      <c r="R43" s="1075">
        <f>+'Ingresos Proyecciones'!E43-('Ingresos Proyecciones'!E43*'Ley 617'!AG43)</f>
        <v>0</v>
      </c>
      <c r="S43" s="1075">
        <f>+'Ingresos Proyecciones'!F43-('Ingresos Proyecciones'!F43*'Ley 617'!AH43)</f>
        <v>0</v>
      </c>
      <c r="T43" s="1075">
        <f>+'Ingresos Proyecciones'!G43-('Ingresos Proyecciones'!G43*'Ley 617'!AI43)</f>
        <v>0</v>
      </c>
      <c r="U43" s="1075">
        <f>+'Ingresos Proyecciones'!H43-('Ingresos Proyecciones'!H43*'Ley 617'!AJ43)</f>
        <v>0</v>
      </c>
      <c r="V43" s="1075">
        <f>+'Ingresos Proyecciones'!I43-('Ingresos Proyecciones'!I43*'Ley 617'!AK43)</f>
        <v>0</v>
      </c>
      <c r="W43" s="1075">
        <f>+'Ingresos Proyecciones'!J43-('Ingresos Proyecciones'!J43*'Ley 617'!AL43)</f>
        <v>0</v>
      </c>
      <c r="X43" s="1075">
        <f>+'Ingresos Proyecciones'!K43-('Ingresos Proyecciones'!K43*'Ley 617'!AM43)</f>
        <v>0</v>
      </c>
      <c r="Y43" s="1075">
        <f>+'Ingresos Proyecciones'!L43-('Ingresos Proyecciones'!L43*'Ley 617'!AN43)</f>
        <v>0</v>
      </c>
      <c r="Z43" s="1075">
        <f>+'Ingresos Proyecciones'!M43-('Ingresos Proyecciones'!M43*'Ley 617'!AO43)</f>
        <v>0</v>
      </c>
      <c r="AA43" s="1075">
        <f>+'Ingresos Proyecciones'!N43-('Ingresos Proyecciones'!N43*'Ley 617'!AP43)</f>
        <v>0</v>
      </c>
      <c r="AB43" s="1075">
        <f>+'Ingresos Proyecciones'!O43-('Ingresos Proyecciones'!O43*'Ley 617'!AQ43)</f>
        <v>0</v>
      </c>
      <c r="AC43" s="1075">
        <f>+'Ingresos Proyecciones'!P43-('Ingresos Proyecciones'!P43*'Ley 617'!AR43)</f>
        <v>0</v>
      </c>
      <c r="AD43" s="1075">
        <f>+'Ingresos Proyecciones'!Q43-('Ingresos Proyecciones'!Q43*'Ley 617'!AS43)</f>
        <v>0</v>
      </c>
      <c r="AE43" s="1077"/>
      <c r="AF43" s="1077"/>
      <c r="AG43" s="1077"/>
      <c r="AH43" s="1077"/>
      <c r="AI43" s="1077"/>
      <c r="AJ43" s="1077"/>
      <c r="AK43" s="1077"/>
      <c r="AL43" s="1077"/>
      <c r="AM43" s="1077"/>
      <c r="AN43" s="1077"/>
      <c r="AO43" s="1077"/>
      <c r="AP43" s="1077"/>
      <c r="AQ43" s="1077"/>
      <c r="AR43" s="1077"/>
      <c r="AS43" s="1077"/>
    </row>
    <row r="44" spans="1:45" ht="12.75" customHeight="1">
      <c r="A44" s="1067" t="str">
        <f>+Ingresos!A47</f>
        <v>111021798</v>
      </c>
      <c r="B44" s="1068"/>
      <c r="C44" s="1074" t="s">
        <v>1293</v>
      </c>
      <c r="D44" s="1075">
        <f t="shared" si="10"/>
        <v>0</v>
      </c>
      <c r="E44" s="1076">
        <f t="shared" si="11"/>
        <v>0</v>
      </c>
      <c r="F44" s="1076">
        <f t="shared" si="12"/>
        <v>0</v>
      </c>
      <c r="G44" s="1077">
        <v>1</v>
      </c>
      <c r="H44" s="1078" t="s">
        <v>1374</v>
      </c>
      <c r="I44" s="1076">
        <f t="shared" si="13"/>
        <v>62089</v>
      </c>
      <c r="J44" s="1076">
        <f t="shared" si="14"/>
        <v>62089</v>
      </c>
      <c r="K44" s="1076">
        <f t="shared" si="15"/>
        <v>62089</v>
      </c>
      <c r="L44" s="1076">
        <f>+Ingresos!C47</f>
        <v>62089</v>
      </c>
      <c r="M44" s="1076">
        <f>+Ingresos!E47</f>
        <v>62089</v>
      </c>
      <c r="N44" s="1076">
        <f>+Ingresos!H47</f>
        <v>62089</v>
      </c>
      <c r="O44" s="1389"/>
      <c r="P44" s="1075">
        <f>+'Ingresos Proyecciones'!C44-('Ingresos Proyecciones'!C44*'Ley 617'!AE44)</f>
        <v>0</v>
      </c>
      <c r="Q44" s="1075">
        <f>+'Ingresos Proyecciones'!D44-('Ingresos Proyecciones'!D44*'Ley 617'!AF44)</f>
        <v>0</v>
      </c>
      <c r="R44" s="1075">
        <f>+'Ingresos Proyecciones'!E44-('Ingresos Proyecciones'!E44*'Ley 617'!AG44)</f>
        <v>0</v>
      </c>
      <c r="S44" s="1075">
        <f>+'Ingresos Proyecciones'!F44-('Ingresos Proyecciones'!F44*'Ley 617'!AH44)</f>
        <v>0</v>
      </c>
      <c r="T44" s="1075">
        <f>+'Ingresos Proyecciones'!G44-('Ingresos Proyecciones'!G44*'Ley 617'!AI44)</f>
        <v>0</v>
      </c>
      <c r="U44" s="1075">
        <f>+'Ingresos Proyecciones'!H44-('Ingresos Proyecciones'!H44*'Ley 617'!AJ44)</f>
        <v>0</v>
      </c>
      <c r="V44" s="1075">
        <f>+'Ingresos Proyecciones'!I44-('Ingresos Proyecciones'!I44*'Ley 617'!AK44)</f>
        <v>0</v>
      </c>
      <c r="W44" s="1075">
        <f>+'Ingresos Proyecciones'!J44-('Ingresos Proyecciones'!J44*'Ley 617'!AL44)</f>
        <v>0</v>
      </c>
      <c r="X44" s="1075">
        <f>+'Ingresos Proyecciones'!K44-('Ingresos Proyecciones'!K44*'Ley 617'!AM44)</f>
        <v>0</v>
      </c>
      <c r="Y44" s="1075">
        <f>+'Ingresos Proyecciones'!L44-('Ingresos Proyecciones'!L44*'Ley 617'!AN44)</f>
        <v>0</v>
      </c>
      <c r="Z44" s="1075">
        <f>+'Ingresos Proyecciones'!M44-('Ingresos Proyecciones'!M44*'Ley 617'!AO44)</f>
        <v>0</v>
      </c>
      <c r="AA44" s="1075">
        <f>+'Ingresos Proyecciones'!N44-('Ingresos Proyecciones'!N44*'Ley 617'!AP44)</f>
        <v>0</v>
      </c>
      <c r="AB44" s="1075">
        <f>+'Ingresos Proyecciones'!O44-('Ingresos Proyecciones'!O44*'Ley 617'!AQ44)</f>
        <v>0</v>
      </c>
      <c r="AC44" s="1075">
        <f>+'Ingresos Proyecciones'!P44-('Ingresos Proyecciones'!P44*'Ley 617'!AR44)</f>
        <v>0</v>
      </c>
      <c r="AD44" s="1075">
        <f>+'Ingresos Proyecciones'!Q44-('Ingresos Proyecciones'!Q44*'Ley 617'!AS44)</f>
        <v>0</v>
      </c>
      <c r="AE44" s="1077">
        <v>1</v>
      </c>
      <c r="AF44" s="1077">
        <v>1</v>
      </c>
      <c r="AG44" s="1077">
        <v>1</v>
      </c>
      <c r="AH44" s="1077">
        <v>1</v>
      </c>
      <c r="AI44" s="1077">
        <v>1</v>
      </c>
      <c r="AJ44" s="1077">
        <v>1</v>
      </c>
      <c r="AK44" s="1077">
        <v>1</v>
      </c>
      <c r="AL44" s="1077">
        <v>1</v>
      </c>
      <c r="AM44" s="1077">
        <v>1</v>
      </c>
      <c r="AN44" s="1077">
        <v>1</v>
      </c>
      <c r="AO44" s="1077">
        <v>1</v>
      </c>
      <c r="AP44" s="1077">
        <v>1</v>
      </c>
      <c r="AQ44" s="1077">
        <v>1</v>
      </c>
      <c r="AR44" s="1077">
        <v>1</v>
      </c>
      <c r="AS44" s="1077">
        <v>1</v>
      </c>
    </row>
    <row r="45" spans="1:45" ht="12.75" customHeight="1">
      <c r="A45" s="1067" t="str">
        <f>+Ingresos!A48</f>
        <v>1110215</v>
      </c>
      <c r="B45" s="1068"/>
      <c r="C45" s="1074" t="s">
        <v>1295</v>
      </c>
      <c r="D45" s="1075">
        <f t="shared" si="10"/>
        <v>0</v>
      </c>
      <c r="E45" s="1076">
        <f t="shared" si="11"/>
        <v>0</v>
      </c>
      <c r="F45" s="1076">
        <f t="shared" si="12"/>
        <v>0</v>
      </c>
      <c r="G45" s="1077">
        <v>1</v>
      </c>
      <c r="H45" s="1082" t="s">
        <v>1374</v>
      </c>
      <c r="I45" s="1076">
        <f t="shared" si="13"/>
        <v>4191</v>
      </c>
      <c r="J45" s="1076">
        <f t="shared" si="14"/>
        <v>4191</v>
      </c>
      <c r="K45" s="1076">
        <f t="shared" si="15"/>
        <v>4191</v>
      </c>
      <c r="L45" s="1076">
        <f>+Ingresos!C48</f>
        <v>4191</v>
      </c>
      <c r="M45" s="1076">
        <f>+Ingresos!E48</f>
        <v>4191</v>
      </c>
      <c r="N45" s="1076">
        <f>+Ingresos!H48</f>
        <v>4191</v>
      </c>
      <c r="O45" s="1389"/>
      <c r="P45" s="1075">
        <f>+'Ingresos Proyecciones'!C45-('Ingresos Proyecciones'!C45*'Ley 617'!AE45)</f>
        <v>0</v>
      </c>
      <c r="Q45" s="1075">
        <f>+'Ingresos Proyecciones'!D45-('Ingresos Proyecciones'!D45*'Ley 617'!AF45)</f>
        <v>0</v>
      </c>
      <c r="R45" s="1075">
        <f>+'Ingresos Proyecciones'!E45-('Ingresos Proyecciones'!E45*'Ley 617'!AG45)</f>
        <v>4191</v>
      </c>
      <c r="S45" s="1075">
        <f>+'Ingresos Proyecciones'!F45-('Ingresos Proyecciones'!F45*'Ley 617'!AH45)</f>
        <v>0</v>
      </c>
      <c r="T45" s="1075">
        <f>+'Ingresos Proyecciones'!G45-('Ingresos Proyecciones'!G45*'Ley 617'!AI45)</f>
        <v>0</v>
      </c>
      <c r="U45" s="1075">
        <f>+'Ingresos Proyecciones'!H45-('Ingresos Proyecciones'!H45*'Ley 617'!AJ45)</f>
        <v>0</v>
      </c>
      <c r="V45" s="1075">
        <f>+'Ingresos Proyecciones'!I45-('Ingresos Proyecciones'!I45*'Ley 617'!AK45)</f>
        <v>0</v>
      </c>
      <c r="W45" s="1075">
        <f>+'Ingresos Proyecciones'!J45-('Ingresos Proyecciones'!J45*'Ley 617'!AL45)</f>
        <v>0</v>
      </c>
      <c r="X45" s="1075">
        <f>+'Ingresos Proyecciones'!K45-('Ingresos Proyecciones'!K45*'Ley 617'!AM45)</f>
        <v>0</v>
      </c>
      <c r="Y45" s="1075">
        <f>+'Ingresos Proyecciones'!L45-('Ingresos Proyecciones'!L45*'Ley 617'!AN45)</f>
        <v>0</v>
      </c>
      <c r="Z45" s="1075">
        <f>+'Ingresos Proyecciones'!M45-('Ingresos Proyecciones'!M45*'Ley 617'!AO45)</f>
        <v>0</v>
      </c>
      <c r="AA45" s="1075">
        <f>+'Ingresos Proyecciones'!N45-('Ingresos Proyecciones'!N45*'Ley 617'!AP45)</f>
        <v>0</v>
      </c>
      <c r="AB45" s="1075">
        <f>+'Ingresos Proyecciones'!O45-('Ingresos Proyecciones'!O45*'Ley 617'!AQ45)</f>
        <v>0</v>
      </c>
      <c r="AC45" s="1075">
        <f>+'Ingresos Proyecciones'!P45-('Ingresos Proyecciones'!P45*'Ley 617'!AR45)</f>
        <v>0</v>
      </c>
      <c r="AD45" s="1075">
        <f>+'Ingresos Proyecciones'!Q45-('Ingresos Proyecciones'!Q45*'Ley 617'!AS45)</f>
        <v>0</v>
      </c>
      <c r="AE45" s="1077">
        <v>1</v>
      </c>
      <c r="AF45" s="1077">
        <v>1</v>
      </c>
      <c r="AG45" s="1077"/>
      <c r="AH45" s="1077">
        <v>1</v>
      </c>
      <c r="AI45" s="1077">
        <v>1</v>
      </c>
      <c r="AJ45" s="1077">
        <v>1</v>
      </c>
      <c r="AK45" s="1077">
        <v>1</v>
      </c>
      <c r="AL45" s="1077">
        <v>1</v>
      </c>
      <c r="AM45" s="1077">
        <v>1</v>
      </c>
      <c r="AN45" s="1077">
        <v>1</v>
      </c>
      <c r="AO45" s="1077">
        <v>1</v>
      </c>
      <c r="AP45" s="1077">
        <v>1</v>
      </c>
      <c r="AQ45" s="1077">
        <v>1</v>
      </c>
      <c r="AR45" s="1077">
        <v>1</v>
      </c>
      <c r="AS45" s="1077">
        <v>1</v>
      </c>
    </row>
    <row r="46" spans="1:45" ht="12.75" customHeight="1">
      <c r="A46" s="1067" t="str">
        <f>+Ingresos!A49</f>
        <v>308A</v>
      </c>
      <c r="B46" s="1068"/>
      <c r="C46" s="1074" t="s">
        <v>1297</v>
      </c>
      <c r="D46" s="1075">
        <f t="shared" si="10"/>
        <v>9221</v>
      </c>
      <c r="E46" s="1076">
        <f t="shared" si="11"/>
        <v>9221</v>
      </c>
      <c r="F46" s="1076">
        <f t="shared" si="12"/>
        <v>9221</v>
      </c>
      <c r="G46" s="1077"/>
      <c r="H46" s="1082"/>
      <c r="I46" s="1076">
        <f t="shared" si="13"/>
        <v>0</v>
      </c>
      <c r="J46" s="1076">
        <f t="shared" si="14"/>
        <v>0</v>
      </c>
      <c r="K46" s="1076">
        <f t="shared" si="15"/>
        <v>0</v>
      </c>
      <c r="L46" s="1076">
        <f>+Ingresos!C49</f>
        <v>9221</v>
      </c>
      <c r="M46" s="1076">
        <f>+Ingresos!E49</f>
        <v>9221</v>
      </c>
      <c r="N46" s="1076">
        <f>+Ingresos!H49</f>
        <v>9221</v>
      </c>
      <c r="O46" s="1389"/>
      <c r="P46" s="1075">
        <f>+'Ingresos Proyecciones'!C46-('Ingresos Proyecciones'!C46*'Ley 617'!AE46)</f>
        <v>15638</v>
      </c>
      <c r="Q46" s="1075">
        <f>+'Ingresos Proyecciones'!D46-('Ingresos Proyecciones'!D46*'Ley 617'!AF46)</f>
        <v>21558</v>
      </c>
      <c r="R46" s="1075">
        <f>+'Ingresos Proyecciones'!E46-('Ingresos Proyecciones'!E46*'Ley 617'!AG46)</f>
        <v>9221</v>
      </c>
      <c r="S46" s="1075">
        <f>+'Ingresos Proyecciones'!F46-('Ingresos Proyecciones'!F46*'Ley 617'!AH46)</f>
        <v>9591</v>
      </c>
      <c r="T46" s="1075">
        <f>+'Ingresos Proyecciones'!G46-('Ingresos Proyecciones'!G46*'Ley 617'!AI46)</f>
        <v>9974.6400000000012</v>
      </c>
      <c r="U46" s="1075">
        <f>+'Ingresos Proyecciones'!H46-('Ingresos Proyecciones'!H46*'Ley 617'!AJ46)</f>
        <v>10373.625600000001</v>
      </c>
      <c r="V46" s="1075">
        <f>+'Ingresos Proyecciones'!I46-('Ingresos Proyecciones'!I46*'Ley 617'!AK46)</f>
        <v>10788.570624000002</v>
      </c>
      <c r="W46" s="1075">
        <f>+'Ingresos Proyecciones'!J46-('Ingresos Proyecciones'!J46*'Ley 617'!AL46)</f>
        <v>11220.113448960003</v>
      </c>
      <c r="X46" s="1075">
        <f>+'Ingresos Proyecciones'!K46-('Ingresos Proyecciones'!K46*'Ley 617'!AM46)</f>
        <v>11668.917986918403</v>
      </c>
      <c r="Y46" s="1075">
        <f>+'Ingresos Proyecciones'!L46-('Ingresos Proyecciones'!L46*'Ley 617'!AN46)</f>
        <v>12135.674706395139</v>
      </c>
      <c r="Z46" s="1075">
        <f>+'Ingresos Proyecciones'!M46-('Ingresos Proyecciones'!M46*'Ley 617'!AO46)</f>
        <v>12621.101694650944</v>
      </c>
      <c r="AA46" s="1075">
        <f>+'Ingresos Proyecciones'!N46-('Ingresos Proyecciones'!N46*'Ley 617'!AP46)</f>
        <v>13125.945762436982</v>
      </c>
      <c r="AB46" s="1075">
        <f>+'Ingresos Proyecciones'!O46-('Ingresos Proyecciones'!O46*'Ley 617'!AQ46)</f>
        <v>13650.983592934463</v>
      </c>
      <c r="AC46" s="1075">
        <f>+'Ingresos Proyecciones'!P46-('Ingresos Proyecciones'!P46*'Ley 617'!AR46)</f>
        <v>14197.022936651842</v>
      </c>
      <c r="AD46" s="1075">
        <f>+'Ingresos Proyecciones'!Q46-('Ingresos Proyecciones'!Q46*'Ley 617'!AS46)</f>
        <v>14764.903854117916</v>
      </c>
      <c r="AE46" s="1077"/>
      <c r="AF46" s="1077"/>
      <c r="AG46" s="1077"/>
      <c r="AH46" s="1077"/>
      <c r="AI46" s="1077"/>
      <c r="AJ46" s="1077"/>
      <c r="AK46" s="1077"/>
      <c r="AL46" s="1077"/>
      <c r="AM46" s="1077"/>
      <c r="AN46" s="1077"/>
      <c r="AO46" s="1077"/>
      <c r="AP46" s="1077"/>
      <c r="AQ46" s="1077"/>
      <c r="AR46" s="1077"/>
      <c r="AS46" s="1077"/>
    </row>
    <row r="47" spans="1:45" ht="12.75" customHeight="1">
      <c r="A47" s="1067" t="str">
        <f>+Ingresos!A50</f>
        <v>112</v>
      </c>
      <c r="B47" s="1068"/>
      <c r="C47" s="1074" t="s">
        <v>1299</v>
      </c>
      <c r="D47" s="1070">
        <f>SUM(D48:D51)+D54+D83+D79</f>
        <v>2172635</v>
      </c>
      <c r="E47" s="1071">
        <f>SUM(E48:E51)+E54+E83+E79</f>
        <v>2172635</v>
      </c>
      <c r="F47" s="1071">
        <f>SUM(F48:F51)+F54+F83+F79</f>
        <v>2172635</v>
      </c>
      <c r="G47" s="1101"/>
      <c r="H47" s="1083"/>
      <c r="I47" s="1071">
        <f>SUM(I48:I51)+I54+I83+I79</f>
        <v>2203287.12</v>
      </c>
      <c r="J47" s="1071">
        <f>SUM(J48:J51)+J54+J83+J79</f>
        <v>2303287.12</v>
      </c>
      <c r="K47" s="1071">
        <f>SUM(K48:K51)+K54+K83+K79</f>
        <v>2303287.12</v>
      </c>
      <c r="L47" s="1071">
        <f>+Ingresos!C50</f>
        <v>4375922.12</v>
      </c>
      <c r="M47" s="1071">
        <f>+Ingresos!E50</f>
        <v>4475922.12</v>
      </c>
      <c r="N47" s="1071">
        <f>+Ingresos!H50</f>
        <v>4475922.12</v>
      </c>
      <c r="O47" s="1390"/>
      <c r="P47" s="1070">
        <f>SUM(P48:P51)+P54+P83+P79</f>
        <v>3007403</v>
      </c>
      <c r="Q47" s="1071">
        <f t="shared" ref="Q47:AD47" si="16">SUM(Q48:Q51)+Q54+Q83+Q79</f>
        <v>2641857</v>
      </c>
      <c r="R47" s="1071">
        <f t="shared" si="16"/>
        <v>2172635</v>
      </c>
      <c r="S47" s="1071">
        <f t="shared" si="16"/>
        <v>2482333.6799999997</v>
      </c>
      <c r="T47" s="1071">
        <f t="shared" si="16"/>
        <v>2487376.7472000001</v>
      </c>
      <c r="U47" s="1071">
        <f t="shared" si="16"/>
        <v>2529141.4170880001</v>
      </c>
      <c r="V47" s="1071">
        <f t="shared" si="16"/>
        <v>2630307.0737715205</v>
      </c>
      <c r="W47" s="1071">
        <f t="shared" si="16"/>
        <v>2735519.3567223814</v>
      </c>
      <c r="X47" s="1071">
        <f t="shared" si="16"/>
        <v>2844940.1309912764</v>
      </c>
      <c r="Y47" s="1071">
        <f t="shared" si="16"/>
        <v>2958737.7362309271</v>
      </c>
      <c r="Z47" s="1071">
        <f t="shared" si="16"/>
        <v>3077087.245680165</v>
      </c>
      <c r="AA47" s="1071">
        <f t="shared" si="16"/>
        <v>3200170.7355073714</v>
      </c>
      <c r="AB47" s="1071">
        <f t="shared" si="16"/>
        <v>3328177.5649276669</v>
      </c>
      <c r="AC47" s="1071">
        <f t="shared" si="16"/>
        <v>3461304.6675247732</v>
      </c>
      <c r="AD47" s="1071">
        <f t="shared" si="16"/>
        <v>3599756.8542257641</v>
      </c>
      <c r="AE47" s="1101"/>
      <c r="AF47" s="1101"/>
      <c r="AG47" s="1101"/>
      <c r="AH47" s="1101"/>
      <c r="AI47" s="1101"/>
      <c r="AJ47" s="1101"/>
      <c r="AK47" s="1101"/>
      <c r="AL47" s="1101"/>
      <c r="AM47" s="1101"/>
      <c r="AN47" s="1101"/>
      <c r="AO47" s="1101"/>
      <c r="AP47" s="1101"/>
      <c r="AQ47" s="1101"/>
      <c r="AR47" s="1101"/>
      <c r="AS47" s="1101"/>
    </row>
    <row r="48" spans="1:45" ht="12.75" customHeight="1">
      <c r="A48" s="1067" t="str">
        <f>+Ingresos!A51</f>
        <v>11201</v>
      </c>
      <c r="B48" s="1068"/>
      <c r="C48" s="1074" t="s">
        <v>1301</v>
      </c>
      <c r="D48" s="1075">
        <f t="shared" ref="D48:F50" si="17">+L48-I48</f>
        <v>6493</v>
      </c>
      <c r="E48" s="1076">
        <f t="shared" si="17"/>
        <v>6493</v>
      </c>
      <c r="F48" s="1076">
        <f t="shared" si="17"/>
        <v>6493</v>
      </c>
      <c r="G48" s="1077"/>
      <c r="H48" s="1082"/>
      <c r="I48" s="1076">
        <f t="shared" ref="I48:K50" si="18">+$G48*L48</f>
        <v>0</v>
      </c>
      <c r="J48" s="1076">
        <f t="shared" si="18"/>
        <v>0</v>
      </c>
      <c r="K48" s="1076">
        <f t="shared" si="18"/>
        <v>0</v>
      </c>
      <c r="L48" s="1076">
        <f>+Ingresos!C51</f>
        <v>6493</v>
      </c>
      <c r="M48" s="1076">
        <f>+Ingresos!E51</f>
        <v>6493</v>
      </c>
      <c r="N48" s="1076">
        <f>+Ingresos!H51</f>
        <v>6493</v>
      </c>
      <c r="O48" s="1389"/>
      <c r="P48" s="1075">
        <f>+'Ingresos Proyecciones'!C48-('Ingresos Proyecciones'!C48*'Ley 617'!AE48)</f>
        <v>26581</v>
      </c>
      <c r="Q48" s="1075">
        <f>+'Ingresos Proyecciones'!D48-('Ingresos Proyecciones'!D48*'Ley 617'!AF48)</f>
        <v>0</v>
      </c>
      <c r="R48" s="1075">
        <f>+'Ingresos Proyecciones'!E48-('Ingresos Proyecciones'!E48*'Ley 617'!AG48)</f>
        <v>6493</v>
      </c>
      <c r="S48" s="1075">
        <f>+'Ingresos Proyecciones'!F48-('Ingresos Proyecciones'!F48*'Ley 617'!AH48)</f>
        <v>6752.72</v>
      </c>
      <c r="T48" s="1075">
        <f>+'Ingresos Proyecciones'!G48-('Ingresos Proyecciones'!G48*'Ley 617'!AI48)</f>
        <v>7022.8288000000002</v>
      </c>
      <c r="U48" s="1075">
        <f>+'Ingresos Proyecciones'!H48-('Ingresos Proyecciones'!H48*'Ley 617'!AJ48)</f>
        <v>7303.7419520000003</v>
      </c>
      <c r="V48" s="1075">
        <f>+'Ingresos Proyecciones'!I48-('Ingresos Proyecciones'!I48*'Ley 617'!AK48)</f>
        <v>7595.8916300800001</v>
      </c>
      <c r="W48" s="1075">
        <f>+'Ingresos Proyecciones'!J48-('Ingresos Proyecciones'!J48*'Ley 617'!AL48)</f>
        <v>7899.7272952832</v>
      </c>
      <c r="X48" s="1075">
        <f>+'Ingresos Proyecciones'!K48-('Ingresos Proyecciones'!K48*'Ley 617'!AM48)</f>
        <v>8215.7163870945278</v>
      </c>
      <c r="Y48" s="1075">
        <f>+'Ingresos Proyecciones'!L48-('Ingresos Proyecciones'!L48*'Ley 617'!AN48)</f>
        <v>8544.3450425783085</v>
      </c>
      <c r="Z48" s="1075">
        <f>+'Ingresos Proyecciones'!M48-('Ingresos Proyecciones'!M48*'Ley 617'!AO48)</f>
        <v>8886.1188442814419</v>
      </c>
      <c r="AA48" s="1075">
        <f>+'Ingresos Proyecciones'!N48-('Ingresos Proyecciones'!N48*'Ley 617'!AP48)</f>
        <v>9241.5635980527004</v>
      </c>
      <c r="AB48" s="1075">
        <f>+'Ingresos Proyecciones'!O48-('Ingresos Proyecciones'!O48*'Ley 617'!AQ48)</f>
        <v>9611.2261419748083</v>
      </c>
      <c r="AC48" s="1075">
        <f>+'Ingresos Proyecciones'!P48-('Ingresos Proyecciones'!P48*'Ley 617'!AR48)</f>
        <v>9995.6751876538019</v>
      </c>
      <c r="AD48" s="1075">
        <f>+'Ingresos Proyecciones'!Q48-('Ingresos Proyecciones'!Q48*'Ley 617'!AS48)</f>
        <v>10395.502195159954</v>
      </c>
      <c r="AE48" s="1077"/>
      <c r="AF48" s="1077"/>
      <c r="AG48" s="1077"/>
      <c r="AH48" s="1077"/>
      <c r="AI48" s="1077"/>
      <c r="AJ48" s="1077"/>
      <c r="AK48" s="1077"/>
      <c r="AL48" s="1077"/>
      <c r="AM48" s="1077"/>
      <c r="AN48" s="1077"/>
      <c r="AO48" s="1077"/>
      <c r="AP48" s="1077"/>
      <c r="AQ48" s="1077"/>
      <c r="AR48" s="1077"/>
      <c r="AS48" s="1077"/>
    </row>
    <row r="49" spans="1:82" ht="12.75" customHeight="1">
      <c r="A49" s="1067" t="str">
        <f>+Ingresos!A52</f>
        <v>11202</v>
      </c>
      <c r="B49" s="1068"/>
      <c r="C49" s="1074" t="s">
        <v>1303</v>
      </c>
      <c r="D49" s="1075">
        <f t="shared" si="17"/>
        <v>26815</v>
      </c>
      <c r="E49" s="1076">
        <f t="shared" si="17"/>
        <v>16815</v>
      </c>
      <c r="F49" s="1076">
        <f t="shared" si="17"/>
        <v>16815</v>
      </c>
      <c r="G49" s="1077"/>
      <c r="H49" s="1082"/>
      <c r="I49" s="1076">
        <f t="shared" si="18"/>
        <v>0</v>
      </c>
      <c r="J49" s="1076">
        <f t="shared" si="18"/>
        <v>0</v>
      </c>
      <c r="K49" s="1076">
        <f t="shared" si="18"/>
        <v>0</v>
      </c>
      <c r="L49" s="1076">
        <f>+Ingresos!C52</f>
        <v>26815</v>
      </c>
      <c r="M49" s="1076">
        <f>+Ingresos!E52</f>
        <v>16815</v>
      </c>
      <c r="N49" s="1076">
        <f>+Ingresos!H52</f>
        <v>16815</v>
      </c>
      <c r="O49" s="1389"/>
      <c r="P49" s="1075">
        <f>+'Ingresos Proyecciones'!C49-('Ingresos Proyecciones'!C49*'Ley 617'!AE49)</f>
        <v>15969</v>
      </c>
      <c r="Q49" s="1075">
        <f>+'Ingresos Proyecciones'!D49-('Ingresos Proyecciones'!D49*'Ley 617'!AF49)</f>
        <v>26919</v>
      </c>
      <c r="R49" s="1075">
        <f>+'Ingresos Proyecciones'!E49-('Ingresos Proyecciones'!E49*'Ley 617'!AG49)</f>
        <v>26815</v>
      </c>
      <c r="S49" s="1075">
        <f>+'Ingresos Proyecciones'!F49-('Ingresos Proyecciones'!F49*'Ley 617'!AH49)</f>
        <v>27887.600000000002</v>
      </c>
      <c r="T49" s="1075">
        <f>+'Ingresos Proyecciones'!G49-('Ingresos Proyecciones'!G49*'Ley 617'!AI49)</f>
        <v>29003.104000000003</v>
      </c>
      <c r="U49" s="1075">
        <f>+'Ingresos Proyecciones'!H49-('Ingresos Proyecciones'!H49*'Ley 617'!AJ49)</f>
        <v>30163.228160000002</v>
      </c>
      <c r="V49" s="1075">
        <f>+'Ingresos Proyecciones'!I49-('Ingresos Proyecciones'!I49*'Ley 617'!AK49)</f>
        <v>31369.757286400003</v>
      </c>
      <c r="W49" s="1075">
        <f>+'Ingresos Proyecciones'!J49-('Ingresos Proyecciones'!J49*'Ley 617'!AL49)</f>
        <v>32624.547577856003</v>
      </c>
      <c r="X49" s="1075">
        <f>+'Ingresos Proyecciones'!K49-('Ingresos Proyecciones'!K49*'Ley 617'!AM49)</f>
        <v>33929.529480970246</v>
      </c>
      <c r="Y49" s="1075">
        <f>+'Ingresos Proyecciones'!L49-('Ingresos Proyecciones'!L49*'Ley 617'!AN49)</f>
        <v>35286.710660209057</v>
      </c>
      <c r="Z49" s="1075">
        <f>+'Ingresos Proyecciones'!M49-('Ingresos Proyecciones'!M49*'Ley 617'!AO49)</f>
        <v>36698.17908661742</v>
      </c>
      <c r="AA49" s="1075">
        <f>+'Ingresos Proyecciones'!N49-('Ingresos Proyecciones'!N49*'Ley 617'!AP49)</f>
        <v>38166.106250082121</v>
      </c>
      <c r="AB49" s="1075">
        <f>+'Ingresos Proyecciones'!O49-('Ingresos Proyecciones'!O49*'Ley 617'!AQ49)</f>
        <v>39692.750500085407</v>
      </c>
      <c r="AC49" s="1075">
        <f>+'Ingresos Proyecciones'!P49-('Ingresos Proyecciones'!P49*'Ley 617'!AR49)</f>
        <v>41280.460520088825</v>
      </c>
      <c r="AD49" s="1075">
        <f>+'Ingresos Proyecciones'!Q49-('Ingresos Proyecciones'!Q49*'Ley 617'!AS49)</f>
        <v>42931.67894089238</v>
      </c>
      <c r="AE49" s="1077"/>
      <c r="AF49" s="1077"/>
      <c r="AG49" s="1077"/>
      <c r="AH49" s="1077"/>
      <c r="AI49" s="1077"/>
      <c r="AJ49" s="1077"/>
      <c r="AK49" s="1077"/>
      <c r="AL49" s="1077"/>
      <c r="AM49" s="1077"/>
      <c r="AN49" s="1077"/>
      <c r="AO49" s="1077"/>
      <c r="AP49" s="1077"/>
      <c r="AQ49" s="1077"/>
      <c r="AR49" s="1077"/>
      <c r="AS49" s="1077"/>
    </row>
    <row r="50" spans="1:82" ht="12.75" customHeight="1">
      <c r="A50" s="1067" t="str">
        <f>+Ingresos!A53</f>
        <v>11203</v>
      </c>
      <c r="B50" s="1068"/>
      <c r="C50" s="1074" t="s">
        <v>1305</v>
      </c>
      <c r="D50" s="1075">
        <f t="shared" si="17"/>
        <v>500</v>
      </c>
      <c r="E50" s="1076">
        <f t="shared" si="17"/>
        <v>500</v>
      </c>
      <c r="F50" s="1076">
        <f t="shared" si="17"/>
        <v>500</v>
      </c>
      <c r="G50" s="1077"/>
      <c r="H50" s="1078"/>
      <c r="I50" s="1076">
        <f t="shared" si="18"/>
        <v>0</v>
      </c>
      <c r="J50" s="1076">
        <f t="shared" si="18"/>
        <v>0</v>
      </c>
      <c r="K50" s="1076">
        <f t="shared" si="18"/>
        <v>0</v>
      </c>
      <c r="L50" s="1076">
        <f>+Ingresos!C53</f>
        <v>500</v>
      </c>
      <c r="M50" s="1076">
        <f>+Ingresos!E53</f>
        <v>500</v>
      </c>
      <c r="N50" s="1076">
        <f>+Ingresos!H53</f>
        <v>500</v>
      </c>
      <c r="O50" s="1389"/>
      <c r="P50" s="1075">
        <f>+'Ingresos Proyecciones'!C50-('Ingresos Proyecciones'!C50*'Ley 617'!AE50)</f>
        <v>0</v>
      </c>
      <c r="Q50" s="1075">
        <f>+'Ingresos Proyecciones'!D50-('Ingresos Proyecciones'!D50*'Ley 617'!AF50)</f>
        <v>12380</v>
      </c>
      <c r="R50" s="1075">
        <f>+'Ingresos Proyecciones'!E50-('Ingresos Proyecciones'!E50*'Ley 617'!AG50)</f>
        <v>500</v>
      </c>
      <c r="S50" s="1075">
        <f>+'Ingresos Proyecciones'!F50-('Ingresos Proyecciones'!F50*'Ley 617'!AH50)</f>
        <v>520</v>
      </c>
      <c r="T50" s="1075">
        <f>+'Ingresos Proyecciones'!G50-('Ingresos Proyecciones'!G50*'Ley 617'!AI50)</f>
        <v>540.80000000000007</v>
      </c>
      <c r="U50" s="1075">
        <f>+'Ingresos Proyecciones'!H50-('Ingresos Proyecciones'!H50*'Ley 617'!AJ50)</f>
        <v>562.43200000000013</v>
      </c>
      <c r="V50" s="1075">
        <f>+'Ingresos Proyecciones'!I50-('Ingresos Proyecciones'!I50*'Ley 617'!AK50)</f>
        <v>584.92928000000018</v>
      </c>
      <c r="W50" s="1075">
        <f>+'Ingresos Proyecciones'!J50-('Ingresos Proyecciones'!J50*'Ley 617'!AL50)</f>
        <v>608.32645120000018</v>
      </c>
      <c r="X50" s="1075">
        <f>+'Ingresos Proyecciones'!K50-('Ingresos Proyecciones'!K50*'Ley 617'!AM50)</f>
        <v>632.65950924800018</v>
      </c>
      <c r="Y50" s="1075">
        <f>+'Ingresos Proyecciones'!L50-('Ingresos Proyecciones'!L50*'Ley 617'!AN50)</f>
        <v>657.9658896179202</v>
      </c>
      <c r="Z50" s="1075">
        <f>+'Ingresos Proyecciones'!M50-('Ingresos Proyecciones'!M50*'Ley 617'!AO50)</f>
        <v>684.28452520263704</v>
      </c>
      <c r="AA50" s="1075">
        <f>+'Ingresos Proyecciones'!N50-('Ingresos Proyecciones'!N50*'Ley 617'!AP50)</f>
        <v>711.6559062107425</v>
      </c>
      <c r="AB50" s="1075">
        <f>+'Ingresos Proyecciones'!O50-('Ingresos Proyecciones'!O50*'Ley 617'!AQ50)</f>
        <v>740.12214245917221</v>
      </c>
      <c r="AC50" s="1075">
        <f>+'Ingresos Proyecciones'!P50-('Ingresos Proyecciones'!P50*'Ley 617'!AR50)</f>
        <v>769.72702815753917</v>
      </c>
      <c r="AD50" s="1075">
        <f>+'Ingresos Proyecciones'!Q50-('Ingresos Proyecciones'!Q50*'Ley 617'!AS50)</f>
        <v>800.51610928384071</v>
      </c>
      <c r="AE50" s="1077"/>
      <c r="AF50" s="1077"/>
      <c r="AG50" s="1077"/>
      <c r="AH50" s="1077"/>
      <c r="AI50" s="1077"/>
      <c r="AJ50" s="1077"/>
      <c r="AK50" s="1077"/>
      <c r="AL50" s="1077"/>
      <c r="AM50" s="1077"/>
      <c r="AN50" s="1077"/>
      <c r="AO50" s="1077"/>
      <c r="AP50" s="1077"/>
      <c r="AQ50" s="1077"/>
      <c r="AR50" s="1077"/>
      <c r="AS50" s="1077"/>
    </row>
    <row r="51" spans="1:82" s="13" customFormat="1" ht="12.75" customHeight="1">
      <c r="A51" s="1067" t="str">
        <f>+Ingresos!A54</f>
        <v>11204</v>
      </c>
      <c r="B51" s="1068"/>
      <c r="C51" s="1074" t="s">
        <v>1307</v>
      </c>
      <c r="D51" s="1084">
        <f>SUM(D52:D53)</f>
        <v>0</v>
      </c>
      <c r="E51" s="1085">
        <f>SUM(E52:E53)</f>
        <v>0</v>
      </c>
      <c r="F51" s="1085">
        <f>SUM(F52:F53)</f>
        <v>0</v>
      </c>
      <c r="G51" s="1077"/>
      <c r="H51" s="1086"/>
      <c r="I51" s="1071">
        <f>SUM(I52:I53)</f>
        <v>0</v>
      </c>
      <c r="J51" s="1071">
        <f>SUM(J52:J53)</f>
        <v>0</v>
      </c>
      <c r="K51" s="1071">
        <f>SUM(K52:K53)</f>
        <v>0</v>
      </c>
      <c r="L51" s="1071">
        <f>+Ingresos!C54</f>
        <v>0</v>
      </c>
      <c r="M51" s="1071">
        <f>+Ingresos!E54</f>
        <v>0</v>
      </c>
      <c r="N51" s="1071">
        <f>+Ingresos!H54</f>
        <v>0</v>
      </c>
      <c r="O51" s="1390"/>
      <c r="P51" s="1084">
        <f>SUM(P52:P53)</f>
        <v>0</v>
      </c>
      <c r="Q51" s="1085">
        <f t="shared" ref="Q51:AD51" si="19">SUM(Q52:Q53)</f>
        <v>0</v>
      </c>
      <c r="R51" s="1085">
        <f t="shared" si="19"/>
        <v>0</v>
      </c>
      <c r="S51" s="1085">
        <f t="shared" si="19"/>
        <v>144000</v>
      </c>
      <c r="T51" s="1085">
        <f t="shared" si="19"/>
        <v>55510</v>
      </c>
      <c r="U51" s="1085">
        <f t="shared" si="19"/>
        <v>0</v>
      </c>
      <c r="V51" s="1085">
        <f t="shared" si="19"/>
        <v>0</v>
      </c>
      <c r="W51" s="1085">
        <f t="shared" si="19"/>
        <v>0</v>
      </c>
      <c r="X51" s="1085">
        <f t="shared" si="19"/>
        <v>0</v>
      </c>
      <c r="Y51" s="1085">
        <f t="shared" si="19"/>
        <v>0</v>
      </c>
      <c r="Z51" s="1085">
        <f t="shared" si="19"/>
        <v>0</v>
      </c>
      <c r="AA51" s="1085">
        <f t="shared" si="19"/>
        <v>0</v>
      </c>
      <c r="AB51" s="1085">
        <f t="shared" si="19"/>
        <v>0</v>
      </c>
      <c r="AC51" s="1085">
        <f t="shared" si="19"/>
        <v>0</v>
      </c>
      <c r="AD51" s="1085">
        <f t="shared" si="19"/>
        <v>0</v>
      </c>
      <c r="AE51" s="1077"/>
      <c r="AF51" s="1077"/>
      <c r="AG51" s="1077"/>
      <c r="AH51" s="1077"/>
      <c r="AI51" s="1077"/>
      <c r="AJ51" s="1077"/>
      <c r="AK51" s="1077"/>
      <c r="AL51" s="1077"/>
      <c r="AM51" s="1077"/>
      <c r="AN51" s="1077"/>
      <c r="AO51" s="1077"/>
      <c r="AP51" s="1077"/>
      <c r="AQ51" s="1077"/>
      <c r="AR51" s="1077"/>
      <c r="AS51" s="1077"/>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row>
    <row r="52" spans="1:82" ht="12.75" customHeight="1">
      <c r="A52" s="1067" t="str">
        <f>+Ingresos!A55</f>
        <v>1120401</v>
      </c>
      <c r="B52" s="1068"/>
      <c r="C52" s="1074" t="s">
        <v>1309</v>
      </c>
      <c r="D52" s="1075">
        <f t="shared" ref="D52:F53" si="20">+L52-I52</f>
        <v>0</v>
      </c>
      <c r="E52" s="1076">
        <f t="shared" si="20"/>
        <v>0</v>
      </c>
      <c r="F52" s="1076">
        <f t="shared" si="20"/>
        <v>0</v>
      </c>
      <c r="G52" s="1077"/>
      <c r="H52" s="1078"/>
      <c r="I52" s="1076">
        <f t="shared" ref="I52:K53" si="21">+$G52*L52</f>
        <v>0</v>
      </c>
      <c r="J52" s="1076">
        <f t="shared" si="21"/>
        <v>0</v>
      </c>
      <c r="K52" s="1076">
        <f t="shared" si="21"/>
        <v>0</v>
      </c>
      <c r="L52" s="1076">
        <f>+Ingresos!C55</f>
        <v>0</v>
      </c>
      <c r="M52" s="1076">
        <f>+Ingresos!E55</f>
        <v>0</v>
      </c>
      <c r="N52" s="1076">
        <f>+Ingresos!H55</f>
        <v>0</v>
      </c>
      <c r="O52" s="1389"/>
      <c r="P52" s="1075">
        <f>+'Ingresos Proyecciones'!C52-('Ingresos Proyecciones'!C52*'Ley 617'!AE52)</f>
        <v>0</v>
      </c>
      <c r="Q52" s="1075">
        <f>+'Ingresos Proyecciones'!D52-('Ingresos Proyecciones'!D52*'Ley 617'!AF52)</f>
        <v>0</v>
      </c>
      <c r="R52" s="1075">
        <f>+'Ingresos Proyecciones'!E52-('Ingresos Proyecciones'!E52*'Ley 617'!AG52)</f>
        <v>0</v>
      </c>
      <c r="S52" s="1075">
        <f>+'Ingresos Proyecciones'!F52-('Ingresos Proyecciones'!F52*'Ley 617'!AH52)</f>
        <v>0</v>
      </c>
      <c r="T52" s="1075">
        <f>+'Ingresos Proyecciones'!G52-('Ingresos Proyecciones'!G52*'Ley 617'!AI52)</f>
        <v>0</v>
      </c>
      <c r="U52" s="1075">
        <f>+'Ingresos Proyecciones'!H52-('Ingresos Proyecciones'!H52*'Ley 617'!AJ52)</f>
        <v>0</v>
      </c>
      <c r="V52" s="1075">
        <f>+'Ingresos Proyecciones'!I52-('Ingresos Proyecciones'!I52*'Ley 617'!AK52)</f>
        <v>0</v>
      </c>
      <c r="W52" s="1075">
        <f>+'Ingresos Proyecciones'!J52-('Ingresos Proyecciones'!J52*'Ley 617'!AL52)</f>
        <v>0</v>
      </c>
      <c r="X52" s="1075">
        <f>+'Ingresos Proyecciones'!K52-('Ingresos Proyecciones'!K52*'Ley 617'!AM52)</f>
        <v>0</v>
      </c>
      <c r="Y52" s="1075">
        <f>+'Ingresos Proyecciones'!L52-('Ingresos Proyecciones'!L52*'Ley 617'!AN52)</f>
        <v>0</v>
      </c>
      <c r="Z52" s="1075">
        <f>+'Ingresos Proyecciones'!M52-('Ingresos Proyecciones'!M52*'Ley 617'!AO52)</f>
        <v>0</v>
      </c>
      <c r="AA52" s="1075">
        <f>+'Ingresos Proyecciones'!N52-('Ingresos Proyecciones'!N52*'Ley 617'!AP52)</f>
        <v>0</v>
      </c>
      <c r="AB52" s="1075">
        <f>+'Ingresos Proyecciones'!O52-('Ingresos Proyecciones'!O52*'Ley 617'!AQ52)</f>
        <v>0</v>
      </c>
      <c r="AC52" s="1075">
        <f>+'Ingresos Proyecciones'!P52-('Ingresos Proyecciones'!P52*'Ley 617'!AR52)</f>
        <v>0</v>
      </c>
      <c r="AD52" s="1075">
        <f>+'Ingresos Proyecciones'!Q52-('Ingresos Proyecciones'!Q52*'Ley 617'!AS52)</f>
        <v>0</v>
      </c>
      <c r="AE52" s="1077"/>
      <c r="AF52" s="1077"/>
      <c r="AG52" s="1077"/>
      <c r="AH52" s="1077"/>
      <c r="AI52" s="1077"/>
      <c r="AJ52" s="1077"/>
      <c r="AK52" s="1077"/>
      <c r="AL52" s="1077"/>
      <c r="AM52" s="1077"/>
      <c r="AN52" s="1077"/>
      <c r="AO52" s="1077"/>
      <c r="AP52" s="1077"/>
      <c r="AQ52" s="1077"/>
      <c r="AR52" s="1077"/>
      <c r="AS52" s="1077"/>
    </row>
    <row r="53" spans="1:82" ht="12.75" customHeight="1">
      <c r="A53" s="1067" t="str">
        <f>+Ingresos!A56</f>
        <v>1120498</v>
      </c>
      <c r="B53" s="1068"/>
      <c r="C53" s="1074" t="s">
        <v>1311</v>
      </c>
      <c r="D53" s="1075">
        <f t="shared" si="20"/>
        <v>0</v>
      </c>
      <c r="E53" s="1076">
        <f t="shared" si="20"/>
        <v>0</v>
      </c>
      <c r="F53" s="1076">
        <f t="shared" si="20"/>
        <v>0</v>
      </c>
      <c r="G53" s="1077"/>
      <c r="H53" s="1078"/>
      <c r="I53" s="1076">
        <f t="shared" si="21"/>
        <v>0</v>
      </c>
      <c r="J53" s="1076">
        <f t="shared" si="21"/>
        <v>0</v>
      </c>
      <c r="K53" s="1076">
        <f t="shared" si="21"/>
        <v>0</v>
      </c>
      <c r="L53" s="1076">
        <f>+Ingresos!C56</f>
        <v>0</v>
      </c>
      <c r="M53" s="1076">
        <f>+Ingresos!E56</f>
        <v>0</v>
      </c>
      <c r="N53" s="1076">
        <f>+Ingresos!H56</f>
        <v>0</v>
      </c>
      <c r="O53" s="1389"/>
      <c r="P53" s="1075">
        <f>+'Ingresos Proyecciones'!C53-('Ingresos Proyecciones'!C53*'Ley 617'!AE53)</f>
        <v>0</v>
      </c>
      <c r="Q53" s="1075">
        <f>+'Ingresos Proyecciones'!D53-('Ingresos Proyecciones'!D53*'Ley 617'!AF53)</f>
        <v>0</v>
      </c>
      <c r="R53" s="1075">
        <f>+'Ingresos Proyecciones'!E53-('Ingresos Proyecciones'!E53*'Ley 617'!AG53)</f>
        <v>0</v>
      </c>
      <c r="S53" s="1075">
        <f>+'Ingresos Proyecciones'!F53-('Ingresos Proyecciones'!F53*'Ley 617'!AH53)</f>
        <v>144000</v>
      </c>
      <c r="T53" s="1075">
        <f>+'Ingresos Proyecciones'!G53-('Ingresos Proyecciones'!G53*'Ley 617'!AI53)</f>
        <v>55510</v>
      </c>
      <c r="U53" s="1075">
        <f>+'Ingresos Proyecciones'!H53-('Ingresos Proyecciones'!H53*'Ley 617'!AJ53)</f>
        <v>0</v>
      </c>
      <c r="V53" s="1075">
        <f>+'Ingresos Proyecciones'!I53-('Ingresos Proyecciones'!I53*'Ley 617'!AK53)</f>
        <v>0</v>
      </c>
      <c r="W53" s="1075">
        <f>+'Ingresos Proyecciones'!J53-('Ingresos Proyecciones'!J53*'Ley 617'!AL53)</f>
        <v>0</v>
      </c>
      <c r="X53" s="1075">
        <f>+'Ingresos Proyecciones'!K53-('Ingresos Proyecciones'!K53*'Ley 617'!AM53)</f>
        <v>0</v>
      </c>
      <c r="Y53" s="1075">
        <f>+'Ingresos Proyecciones'!L53-('Ingresos Proyecciones'!L53*'Ley 617'!AN53)</f>
        <v>0</v>
      </c>
      <c r="Z53" s="1075">
        <f>+'Ingresos Proyecciones'!M53-('Ingresos Proyecciones'!M53*'Ley 617'!AO53)</f>
        <v>0</v>
      </c>
      <c r="AA53" s="1075">
        <f>+'Ingresos Proyecciones'!N53-('Ingresos Proyecciones'!N53*'Ley 617'!AP53)</f>
        <v>0</v>
      </c>
      <c r="AB53" s="1075">
        <f>+'Ingresos Proyecciones'!O53-('Ingresos Proyecciones'!O53*'Ley 617'!AQ53)</f>
        <v>0</v>
      </c>
      <c r="AC53" s="1075">
        <f>+'Ingresos Proyecciones'!P53-('Ingresos Proyecciones'!P53*'Ley 617'!AR53)</f>
        <v>0</v>
      </c>
      <c r="AD53" s="1075">
        <f>+'Ingresos Proyecciones'!Q53-('Ingresos Proyecciones'!Q53*'Ley 617'!AS53)</f>
        <v>0</v>
      </c>
      <c r="AE53" s="1077"/>
      <c r="AF53" s="1077"/>
      <c r="AG53" s="1077"/>
      <c r="AH53" s="1077"/>
      <c r="AI53" s="1077"/>
      <c r="AJ53" s="1077"/>
      <c r="AK53" s="1077"/>
      <c r="AL53" s="1077"/>
      <c r="AM53" s="1077"/>
      <c r="AN53" s="1077"/>
      <c r="AO53" s="1077"/>
      <c r="AP53" s="1077"/>
      <c r="AQ53" s="1077"/>
      <c r="AR53" s="1077"/>
      <c r="AS53" s="1077"/>
    </row>
    <row r="54" spans="1:82" ht="12.75" customHeight="1">
      <c r="A54" s="1067" t="str">
        <f>+Ingresos!A57</f>
        <v>11205</v>
      </c>
      <c r="B54" s="1068"/>
      <c r="C54" s="1074" t="s">
        <v>1313</v>
      </c>
      <c r="D54" s="1087">
        <f>+D58+D55+D71+D75</f>
        <v>2097196</v>
      </c>
      <c r="E54" s="1088">
        <f>+E58+E55+E71+E75</f>
        <v>2148827</v>
      </c>
      <c r="F54" s="1088">
        <f>+F58+F55+F71+F75</f>
        <v>2148827</v>
      </c>
      <c r="G54" s="1101"/>
      <c r="H54" s="1073"/>
      <c r="I54" s="1071">
        <f>+I58+I55+I71+I75</f>
        <v>2185909.12</v>
      </c>
      <c r="J54" s="1071">
        <f>+J58+J55+J71+J75</f>
        <v>2285909.12</v>
      </c>
      <c r="K54" s="1071">
        <f>+K58+K55+K71+K75</f>
        <v>2285909.12</v>
      </c>
      <c r="L54" s="1071">
        <f>+Ingresos!C57</f>
        <v>4283105.12</v>
      </c>
      <c r="M54" s="1071">
        <f>+Ingresos!E57</f>
        <v>4434736.12</v>
      </c>
      <c r="N54" s="1071">
        <f>+Ingresos!H57</f>
        <v>4434736.12</v>
      </c>
      <c r="O54" s="1388"/>
      <c r="P54" s="1084">
        <f>+P58+P55+P71+P75</f>
        <v>2819125</v>
      </c>
      <c r="Q54" s="1085">
        <f t="shared" ref="Q54:AD54" si="22">+Q58+Q55+Q71+Q75</f>
        <v>2142076</v>
      </c>
      <c r="R54" s="1085">
        <f t="shared" si="22"/>
        <v>2097196</v>
      </c>
      <c r="S54" s="1085">
        <f t="shared" si="22"/>
        <v>2003173.3599999999</v>
      </c>
      <c r="T54" s="1085">
        <f t="shared" si="22"/>
        <v>2083300.0144000002</v>
      </c>
      <c r="U54" s="1085">
        <f t="shared" si="22"/>
        <v>2166632.0149759999</v>
      </c>
      <c r="V54" s="1085">
        <f t="shared" si="22"/>
        <v>2253297.2955750404</v>
      </c>
      <c r="W54" s="1085">
        <f t="shared" si="22"/>
        <v>2343429.1873980421</v>
      </c>
      <c r="X54" s="1085">
        <f t="shared" si="22"/>
        <v>2437166.3548939638</v>
      </c>
      <c r="Y54" s="1085">
        <f t="shared" si="22"/>
        <v>2534653.0090897218</v>
      </c>
      <c r="Z54" s="1085">
        <f t="shared" si="22"/>
        <v>2636039.1294533112</v>
      </c>
      <c r="AA54" s="1085">
        <f t="shared" si="22"/>
        <v>2741480.6946314438</v>
      </c>
      <c r="AB54" s="1085">
        <f t="shared" si="22"/>
        <v>2851139.9224167019</v>
      </c>
      <c r="AC54" s="1085">
        <f t="shared" si="22"/>
        <v>2965185.5193133699</v>
      </c>
      <c r="AD54" s="1085">
        <f t="shared" si="22"/>
        <v>3083792.9400859047</v>
      </c>
      <c r="AE54" s="1101"/>
      <c r="AF54" s="1101"/>
      <c r="AG54" s="1101"/>
      <c r="AH54" s="1101"/>
      <c r="AI54" s="1101"/>
      <c r="AJ54" s="1101"/>
      <c r="AK54" s="1101"/>
      <c r="AL54" s="1101"/>
      <c r="AM54" s="1101"/>
      <c r="AN54" s="1101"/>
      <c r="AO54" s="1101"/>
      <c r="AP54" s="1101"/>
      <c r="AQ54" s="1101"/>
      <c r="AR54" s="1101"/>
      <c r="AS54" s="1101"/>
    </row>
    <row r="55" spans="1:82" ht="12.75" customHeight="1">
      <c r="A55" s="1067" t="str">
        <f>+Ingresos!A58</f>
        <v>1120501</v>
      </c>
      <c r="B55" s="1068"/>
      <c r="C55" s="1074" t="s">
        <v>1315</v>
      </c>
      <c r="D55" s="1087">
        <f>+D56+D57</f>
        <v>872012</v>
      </c>
      <c r="E55" s="1088">
        <f>+E56+E57</f>
        <v>602012</v>
      </c>
      <c r="F55" s="1088">
        <f>+F56+F57</f>
        <v>602012</v>
      </c>
      <c r="G55" s="1101"/>
      <c r="H55" s="1081"/>
      <c r="I55" s="1071">
        <f>+I56+I57</f>
        <v>0</v>
      </c>
      <c r="J55" s="1071">
        <f>+J56+J57</f>
        <v>0</v>
      </c>
      <c r="K55" s="1071">
        <f>+K56+K57</f>
        <v>0</v>
      </c>
      <c r="L55" s="1071">
        <f>+Ingresos!C58</f>
        <v>872012</v>
      </c>
      <c r="M55" s="1071">
        <f>+Ingresos!E58</f>
        <v>602012</v>
      </c>
      <c r="N55" s="1071">
        <f>+Ingresos!H58</f>
        <v>602012</v>
      </c>
      <c r="O55" s="1388"/>
      <c r="P55" s="1084">
        <f>+P56+P57</f>
        <v>613684</v>
      </c>
      <c r="Q55" s="1085">
        <f t="shared" ref="Q55:AD55" si="23">+Q56+Q57</f>
        <v>676572</v>
      </c>
      <c r="R55" s="1085">
        <f t="shared" si="23"/>
        <v>872012</v>
      </c>
      <c r="S55" s="1085">
        <f t="shared" si="23"/>
        <v>728982</v>
      </c>
      <c r="T55" s="1085">
        <f t="shared" si="23"/>
        <v>758141</v>
      </c>
      <c r="U55" s="1085">
        <f t="shared" si="23"/>
        <v>788466.64</v>
      </c>
      <c r="V55" s="1085">
        <f t="shared" si="23"/>
        <v>820005.30560000008</v>
      </c>
      <c r="W55" s="1085">
        <f t="shared" si="23"/>
        <v>852805.5178240001</v>
      </c>
      <c r="X55" s="1085">
        <f t="shared" si="23"/>
        <v>886917.7385369601</v>
      </c>
      <c r="Y55" s="1085">
        <f t="shared" si="23"/>
        <v>922394.44807843852</v>
      </c>
      <c r="Z55" s="1085">
        <f t="shared" si="23"/>
        <v>959290.22600157605</v>
      </c>
      <c r="AA55" s="1085">
        <f t="shared" si="23"/>
        <v>997661.83504163916</v>
      </c>
      <c r="AB55" s="1085">
        <f t="shared" si="23"/>
        <v>1037568.3084433047</v>
      </c>
      <c r="AC55" s="1085">
        <f t="shared" si="23"/>
        <v>1079071.040781037</v>
      </c>
      <c r="AD55" s="1085">
        <f t="shared" si="23"/>
        <v>1122233.8824122786</v>
      </c>
      <c r="AE55" s="1101"/>
      <c r="AF55" s="1101"/>
      <c r="AG55" s="1101"/>
      <c r="AH55" s="1101"/>
      <c r="AI55" s="1101"/>
      <c r="AJ55" s="1101"/>
      <c r="AK55" s="1101"/>
      <c r="AL55" s="1101"/>
      <c r="AM55" s="1101"/>
      <c r="AN55" s="1101"/>
      <c r="AO55" s="1101"/>
      <c r="AP55" s="1101"/>
      <c r="AQ55" s="1101"/>
      <c r="AR55" s="1101"/>
      <c r="AS55" s="1101"/>
    </row>
    <row r="56" spans="1:82" ht="12.75" customHeight="1">
      <c r="A56" s="1067" t="str">
        <f>+Ingresos!A59</f>
        <v>1120501010101</v>
      </c>
      <c r="B56" s="1068"/>
      <c r="C56" s="1074" t="s">
        <v>1317</v>
      </c>
      <c r="D56" s="1075">
        <f t="shared" ref="D56:F57" si="24">+L56-I56</f>
        <v>872012</v>
      </c>
      <c r="E56" s="1076">
        <f t="shared" si="24"/>
        <v>602012</v>
      </c>
      <c r="F56" s="1076">
        <f t="shared" si="24"/>
        <v>602012</v>
      </c>
      <c r="G56" s="1077"/>
      <c r="H56" s="1078"/>
      <c r="I56" s="1076">
        <f t="shared" ref="I56:K57" si="25">+$G56*L56</f>
        <v>0</v>
      </c>
      <c r="J56" s="1076">
        <f t="shared" si="25"/>
        <v>0</v>
      </c>
      <c r="K56" s="1076">
        <f t="shared" si="25"/>
        <v>0</v>
      </c>
      <c r="L56" s="1071">
        <f>+Ingresos!C59</f>
        <v>872012</v>
      </c>
      <c r="M56" s="1071">
        <f>+Ingresos!E59</f>
        <v>602012</v>
      </c>
      <c r="N56" s="1076">
        <f>+Ingresos!H59</f>
        <v>602012</v>
      </c>
      <c r="O56" s="1388"/>
      <c r="P56" s="1075">
        <f>+'Ingresos Proyecciones'!C56-('Ingresos Proyecciones'!C56*'Ley 617'!AE56)</f>
        <v>613684</v>
      </c>
      <c r="Q56" s="1075">
        <f>+'Ingresos Proyecciones'!D56-('Ingresos Proyecciones'!D56*'Ley 617'!AF56)</f>
        <v>676572</v>
      </c>
      <c r="R56" s="1075">
        <f>+'Ingresos Proyecciones'!E56-('Ingresos Proyecciones'!E56*'Ley 617'!AG56)</f>
        <v>872012</v>
      </c>
      <c r="S56" s="1075">
        <f>+'Ingresos Proyecciones'!F56-('Ingresos Proyecciones'!F56*'Ley 617'!AH56)</f>
        <v>728982</v>
      </c>
      <c r="T56" s="1075">
        <f>+'Ingresos Proyecciones'!G56-('Ingresos Proyecciones'!G56*'Ley 617'!AI56)</f>
        <v>758141</v>
      </c>
      <c r="U56" s="1075">
        <f>+'Ingresos Proyecciones'!H56-('Ingresos Proyecciones'!H56*'Ley 617'!AJ56)</f>
        <v>788466.64</v>
      </c>
      <c r="V56" s="1075">
        <f>+'Ingresos Proyecciones'!I56-('Ingresos Proyecciones'!I56*'Ley 617'!AK56)</f>
        <v>820005.30560000008</v>
      </c>
      <c r="W56" s="1075">
        <f>+'Ingresos Proyecciones'!J56-('Ingresos Proyecciones'!J56*'Ley 617'!AL56)</f>
        <v>852805.5178240001</v>
      </c>
      <c r="X56" s="1075">
        <f>+'Ingresos Proyecciones'!K56-('Ingresos Proyecciones'!K56*'Ley 617'!AM56)</f>
        <v>886917.7385369601</v>
      </c>
      <c r="Y56" s="1075">
        <f>+'Ingresos Proyecciones'!L56-('Ingresos Proyecciones'!L56*'Ley 617'!AN56)</f>
        <v>922394.44807843852</v>
      </c>
      <c r="Z56" s="1075">
        <f>+'Ingresos Proyecciones'!M56-('Ingresos Proyecciones'!M56*'Ley 617'!AO56)</f>
        <v>959290.22600157605</v>
      </c>
      <c r="AA56" s="1075">
        <f>+'Ingresos Proyecciones'!N56-('Ingresos Proyecciones'!N56*'Ley 617'!AP56)</f>
        <v>997661.83504163916</v>
      </c>
      <c r="AB56" s="1075">
        <f>+'Ingresos Proyecciones'!O56-('Ingresos Proyecciones'!O56*'Ley 617'!AQ56)</f>
        <v>1037568.3084433047</v>
      </c>
      <c r="AC56" s="1075">
        <f>+'Ingresos Proyecciones'!P56-('Ingresos Proyecciones'!P56*'Ley 617'!AR56)</f>
        <v>1079071.040781037</v>
      </c>
      <c r="AD56" s="1075">
        <f>+'Ingresos Proyecciones'!Q56-('Ingresos Proyecciones'!Q56*'Ley 617'!AS56)</f>
        <v>1122233.8824122786</v>
      </c>
      <c r="AE56" s="1077"/>
      <c r="AF56" s="1077"/>
      <c r="AG56" s="1077"/>
      <c r="AH56" s="1077"/>
      <c r="AI56" s="1077"/>
      <c r="AJ56" s="1077"/>
      <c r="AK56" s="1077"/>
      <c r="AL56" s="1077"/>
      <c r="AM56" s="1077"/>
      <c r="AN56" s="1077"/>
      <c r="AO56" s="1077"/>
      <c r="AP56" s="1077"/>
      <c r="AQ56" s="1077"/>
      <c r="AR56" s="1077"/>
      <c r="AS56" s="1077"/>
    </row>
    <row r="57" spans="1:82" ht="12.75" customHeight="1">
      <c r="A57" s="1067" t="str">
        <f>+Ingresos!A60</f>
        <v>112050108</v>
      </c>
      <c r="B57" s="1068"/>
      <c r="C57" s="1074" t="s">
        <v>1319</v>
      </c>
      <c r="D57" s="1075">
        <f t="shared" si="24"/>
        <v>0</v>
      </c>
      <c r="E57" s="1076">
        <f t="shared" si="24"/>
        <v>0</v>
      </c>
      <c r="F57" s="1076">
        <f t="shared" si="24"/>
        <v>0</v>
      </c>
      <c r="G57" s="1077"/>
      <c r="H57" s="1078"/>
      <c r="I57" s="1076">
        <f t="shared" si="25"/>
        <v>0</v>
      </c>
      <c r="J57" s="1076">
        <f t="shared" si="25"/>
        <v>0</v>
      </c>
      <c r="K57" s="1076">
        <f t="shared" si="25"/>
        <v>0</v>
      </c>
      <c r="L57" s="1071">
        <f>+Ingresos!C60</f>
        <v>0</v>
      </c>
      <c r="M57" s="1071">
        <f>+Ingresos!E60</f>
        <v>0</v>
      </c>
      <c r="N57" s="1076">
        <f>+Ingresos!H60</f>
        <v>0</v>
      </c>
      <c r="O57" s="1388"/>
      <c r="P57" s="1075">
        <f>+'Ingresos Proyecciones'!C57-('Ingresos Proyecciones'!C57*'Ley 617'!AE57)</f>
        <v>0</v>
      </c>
      <c r="Q57" s="1075">
        <f>+'Ingresos Proyecciones'!D57-('Ingresos Proyecciones'!D57*'Ley 617'!AF57)</f>
        <v>0</v>
      </c>
      <c r="R57" s="1075">
        <f>+'Ingresos Proyecciones'!E57-('Ingresos Proyecciones'!E57*'Ley 617'!AG57)</f>
        <v>0</v>
      </c>
      <c r="S57" s="1075">
        <f>+'Ingresos Proyecciones'!F57-('Ingresos Proyecciones'!F57*'Ley 617'!AH57)</f>
        <v>0</v>
      </c>
      <c r="T57" s="1075">
        <f>+'Ingresos Proyecciones'!G57-('Ingresos Proyecciones'!G57*'Ley 617'!AI57)</f>
        <v>0</v>
      </c>
      <c r="U57" s="1075">
        <f>+'Ingresos Proyecciones'!H57-('Ingresos Proyecciones'!H57*'Ley 617'!AJ57)</f>
        <v>0</v>
      </c>
      <c r="V57" s="1075">
        <f>+'Ingresos Proyecciones'!I57-('Ingresos Proyecciones'!I57*'Ley 617'!AK57)</f>
        <v>0</v>
      </c>
      <c r="W57" s="1075">
        <f>+'Ingresos Proyecciones'!J57-('Ingresos Proyecciones'!J57*'Ley 617'!AL57)</f>
        <v>0</v>
      </c>
      <c r="X57" s="1075">
        <f>+'Ingresos Proyecciones'!K57-('Ingresos Proyecciones'!K57*'Ley 617'!AM57)</f>
        <v>0</v>
      </c>
      <c r="Y57" s="1075">
        <f>+'Ingresos Proyecciones'!L57-('Ingresos Proyecciones'!L57*'Ley 617'!AN57)</f>
        <v>0</v>
      </c>
      <c r="Z57" s="1075">
        <f>+'Ingresos Proyecciones'!M57-('Ingresos Proyecciones'!M57*'Ley 617'!AO57)</f>
        <v>0</v>
      </c>
      <c r="AA57" s="1075">
        <f>+'Ingresos Proyecciones'!N57-('Ingresos Proyecciones'!N57*'Ley 617'!AP57)</f>
        <v>0</v>
      </c>
      <c r="AB57" s="1075">
        <f>+'Ingresos Proyecciones'!O57-('Ingresos Proyecciones'!O57*'Ley 617'!AQ57)</f>
        <v>0</v>
      </c>
      <c r="AC57" s="1075">
        <f>+'Ingresos Proyecciones'!P57-('Ingresos Proyecciones'!P57*'Ley 617'!AR57)</f>
        <v>0</v>
      </c>
      <c r="AD57" s="1075">
        <f>+'Ingresos Proyecciones'!Q57-('Ingresos Proyecciones'!Q57*'Ley 617'!AS57)</f>
        <v>0</v>
      </c>
      <c r="AE57" s="1077"/>
      <c r="AF57" s="1077"/>
      <c r="AG57" s="1077"/>
      <c r="AH57" s="1077"/>
      <c r="AI57" s="1077"/>
      <c r="AJ57" s="1077"/>
      <c r="AK57" s="1077"/>
      <c r="AL57" s="1077"/>
      <c r="AM57" s="1077"/>
      <c r="AN57" s="1077"/>
      <c r="AO57" s="1077"/>
      <c r="AP57" s="1077"/>
      <c r="AQ57" s="1077"/>
      <c r="AR57" s="1077"/>
      <c r="AS57" s="1077"/>
    </row>
    <row r="58" spans="1:82" ht="12.75" customHeight="1">
      <c r="A58" s="1067" t="str">
        <f>+Ingresos!A61</f>
        <v>1120502</v>
      </c>
      <c r="B58" s="1068"/>
      <c r="C58" s="1074" t="s">
        <v>1321</v>
      </c>
      <c r="D58" s="1084">
        <f>+D59+D62+D68+D69+D70</f>
        <v>793451</v>
      </c>
      <c r="E58" s="1085">
        <f>+E59+E62+E68+E69+E70</f>
        <v>793451</v>
      </c>
      <c r="F58" s="1085">
        <f>+F59+F62+F68+F69+F70</f>
        <v>793451</v>
      </c>
      <c r="G58" s="1101"/>
      <c r="H58" s="1081"/>
      <c r="I58" s="1071">
        <f>+I59+I62+I68+I69+I70</f>
        <v>2078033.12</v>
      </c>
      <c r="J58" s="1071">
        <f>+J59+J62+J68+J69+J70</f>
        <v>2078033.12</v>
      </c>
      <c r="K58" s="1071">
        <f>+K59+K62+K68+K69+K70</f>
        <v>2078033.12</v>
      </c>
      <c r="L58" s="1071">
        <f>+Ingresos!C61</f>
        <v>2871484.12</v>
      </c>
      <c r="M58" s="1071">
        <f>+Ingresos!E61</f>
        <v>2871484.12</v>
      </c>
      <c r="N58" s="1071">
        <f>+Ingresos!H61</f>
        <v>2871484.12</v>
      </c>
      <c r="O58" s="1388"/>
      <c r="P58" s="1084">
        <f>+P59+P62+P68+P69+P70</f>
        <v>928545</v>
      </c>
      <c r="Q58" s="1085">
        <f t="shared" ref="Q58:AD58" si="26">+Q59+Q62+Q68+Q69+Q70</f>
        <v>884536</v>
      </c>
      <c r="R58" s="1085">
        <f t="shared" si="26"/>
        <v>793451</v>
      </c>
      <c r="S58" s="1085">
        <f t="shared" si="26"/>
        <v>825189.04</v>
      </c>
      <c r="T58" s="1085">
        <f t="shared" si="26"/>
        <v>858196.60160000005</v>
      </c>
      <c r="U58" s="1085">
        <f t="shared" si="26"/>
        <v>892524.46566400013</v>
      </c>
      <c r="V58" s="1085">
        <f t="shared" si="26"/>
        <v>928225.44429056009</v>
      </c>
      <c r="W58" s="1085">
        <f t="shared" si="26"/>
        <v>965354.4620621826</v>
      </c>
      <c r="X58" s="1085">
        <f t="shared" si="26"/>
        <v>1003968.6405446699</v>
      </c>
      <c r="Y58" s="1085">
        <f t="shared" si="26"/>
        <v>1044127.3861664569</v>
      </c>
      <c r="Z58" s="1085">
        <f t="shared" si="26"/>
        <v>1085892.4816131152</v>
      </c>
      <c r="AA58" s="1085">
        <f t="shared" si="26"/>
        <v>1129328.1808776399</v>
      </c>
      <c r="AB58" s="1085">
        <f t="shared" si="26"/>
        <v>1174501.3081127456</v>
      </c>
      <c r="AC58" s="1085">
        <f t="shared" si="26"/>
        <v>1221481.3604372554</v>
      </c>
      <c r="AD58" s="1085">
        <f t="shared" si="26"/>
        <v>1270340.6148547456</v>
      </c>
      <c r="AE58" s="1101"/>
      <c r="AF58" s="1101"/>
      <c r="AG58" s="1101"/>
      <c r="AH58" s="1101"/>
      <c r="AI58" s="1101"/>
      <c r="AJ58" s="1101"/>
      <c r="AK58" s="1101"/>
      <c r="AL58" s="1101"/>
      <c r="AM58" s="1101"/>
      <c r="AN58" s="1101"/>
      <c r="AO58" s="1101"/>
      <c r="AP58" s="1101"/>
      <c r="AQ58" s="1101"/>
      <c r="AR58" s="1101"/>
      <c r="AS58" s="1101"/>
    </row>
    <row r="59" spans="1:82" ht="12.75" customHeight="1">
      <c r="A59" s="1067" t="str">
        <f>+Ingresos!A62</f>
        <v>1120502010101</v>
      </c>
      <c r="B59" s="1068"/>
      <c r="C59" s="1074" t="s">
        <v>1323</v>
      </c>
      <c r="D59" s="1070">
        <f>SUM(D60:D61)</f>
        <v>0</v>
      </c>
      <c r="E59" s="1071">
        <f>SUM(E60:E61)</f>
        <v>0</v>
      </c>
      <c r="F59" s="1071">
        <f>SUM(F60:F61)</f>
        <v>0</v>
      </c>
      <c r="G59" s="1101"/>
      <c r="H59" s="1081"/>
      <c r="I59" s="1071">
        <f>SUM(I60:I61)</f>
        <v>306838</v>
      </c>
      <c r="J59" s="1071">
        <f>SUM(J60:J61)</f>
        <v>306838</v>
      </c>
      <c r="K59" s="1071">
        <f>SUM(K60:K61)</f>
        <v>306838</v>
      </c>
      <c r="L59" s="1071">
        <f>+Ingresos!C62</f>
        <v>306838</v>
      </c>
      <c r="M59" s="1071">
        <f>+Ingresos!E62</f>
        <v>306838</v>
      </c>
      <c r="N59" s="1071">
        <f>+Ingresos!H62</f>
        <v>306838</v>
      </c>
      <c r="O59" s="1388"/>
      <c r="P59" s="1070">
        <f>SUM(P60:P61)</f>
        <v>0</v>
      </c>
      <c r="Q59" s="1071">
        <f t="shared" ref="Q59:AD59" si="27">SUM(Q60:Q61)</f>
        <v>0</v>
      </c>
      <c r="R59" s="1071">
        <f t="shared" si="27"/>
        <v>0</v>
      </c>
      <c r="S59" s="1071">
        <f t="shared" si="27"/>
        <v>0</v>
      </c>
      <c r="T59" s="1071">
        <f t="shared" si="27"/>
        <v>0</v>
      </c>
      <c r="U59" s="1071">
        <f t="shared" si="27"/>
        <v>0</v>
      </c>
      <c r="V59" s="1071">
        <f t="shared" si="27"/>
        <v>0</v>
      </c>
      <c r="W59" s="1071">
        <f t="shared" si="27"/>
        <v>0</v>
      </c>
      <c r="X59" s="1071">
        <f t="shared" si="27"/>
        <v>0</v>
      </c>
      <c r="Y59" s="1071">
        <f t="shared" si="27"/>
        <v>0</v>
      </c>
      <c r="Z59" s="1071">
        <f t="shared" si="27"/>
        <v>0</v>
      </c>
      <c r="AA59" s="1071">
        <f t="shared" si="27"/>
        <v>0</v>
      </c>
      <c r="AB59" s="1071">
        <f t="shared" si="27"/>
        <v>0</v>
      </c>
      <c r="AC59" s="1071">
        <f t="shared" si="27"/>
        <v>0</v>
      </c>
      <c r="AD59" s="1071">
        <f t="shared" si="27"/>
        <v>0</v>
      </c>
      <c r="AE59" s="1101"/>
      <c r="AF59" s="1101"/>
      <c r="AG59" s="1101"/>
      <c r="AH59" s="1101"/>
      <c r="AI59" s="1101"/>
      <c r="AJ59" s="1101"/>
      <c r="AK59" s="1101"/>
      <c r="AL59" s="1101"/>
      <c r="AM59" s="1101"/>
      <c r="AN59" s="1101"/>
      <c r="AO59" s="1101"/>
      <c r="AP59" s="1101"/>
      <c r="AQ59" s="1101"/>
      <c r="AR59" s="1101"/>
      <c r="AS59" s="1101"/>
    </row>
    <row r="60" spans="1:82" ht="12.75" customHeight="1">
      <c r="A60" s="1067" t="str">
        <f>+Ingresos!A63</f>
        <v>112050201010101</v>
      </c>
      <c r="B60" s="1068"/>
      <c r="C60" s="1074" t="s">
        <v>1325</v>
      </c>
      <c r="D60" s="1075">
        <f t="shared" ref="D60:F61" si="28">+L60-I60</f>
        <v>0</v>
      </c>
      <c r="E60" s="1076">
        <f t="shared" si="28"/>
        <v>0</v>
      </c>
      <c r="F60" s="1076">
        <f t="shared" si="28"/>
        <v>0</v>
      </c>
      <c r="G60" s="1077">
        <v>1</v>
      </c>
      <c r="H60" s="1089" t="s">
        <v>1212</v>
      </c>
      <c r="I60" s="1076">
        <f t="shared" ref="I60:K61" si="29">+$G60*L60</f>
        <v>75761</v>
      </c>
      <c r="J60" s="1076">
        <f t="shared" si="29"/>
        <v>75761</v>
      </c>
      <c r="K60" s="1076">
        <f t="shared" si="29"/>
        <v>75761</v>
      </c>
      <c r="L60" s="1071">
        <f>+Ingresos!C63</f>
        <v>75761</v>
      </c>
      <c r="M60" s="1071">
        <f>+Ingresos!E63</f>
        <v>75761</v>
      </c>
      <c r="N60" s="1076">
        <f>+Ingresos!H63</f>
        <v>75761</v>
      </c>
      <c r="O60" s="1388"/>
      <c r="P60" s="1075">
        <f>+'Ingresos Proyecciones'!C60-('Ingresos Proyecciones'!C60*'Ley 617'!AE60)</f>
        <v>0</v>
      </c>
      <c r="Q60" s="1075">
        <f>+'Ingresos Proyecciones'!D60-('Ingresos Proyecciones'!D60*'Ley 617'!AF60)</f>
        <v>0</v>
      </c>
      <c r="R60" s="1075">
        <f>+'Ingresos Proyecciones'!E60-('Ingresos Proyecciones'!E60*'Ley 617'!AG60)</f>
        <v>0</v>
      </c>
      <c r="S60" s="1075">
        <f>+'Ingresos Proyecciones'!F60-('Ingresos Proyecciones'!F60*'Ley 617'!AH60)</f>
        <v>0</v>
      </c>
      <c r="T60" s="1075">
        <f>+'Ingresos Proyecciones'!G60-('Ingresos Proyecciones'!G60*'Ley 617'!AI60)</f>
        <v>0</v>
      </c>
      <c r="U60" s="1075">
        <f>+'Ingresos Proyecciones'!H60-('Ingresos Proyecciones'!H60*'Ley 617'!AJ60)</f>
        <v>0</v>
      </c>
      <c r="V60" s="1075">
        <f>+'Ingresos Proyecciones'!I60-('Ingresos Proyecciones'!I60*'Ley 617'!AK60)</f>
        <v>0</v>
      </c>
      <c r="W60" s="1075">
        <f>+'Ingresos Proyecciones'!J60-('Ingresos Proyecciones'!J60*'Ley 617'!AL60)</f>
        <v>0</v>
      </c>
      <c r="X60" s="1075">
        <f>+'Ingresos Proyecciones'!K60-('Ingresos Proyecciones'!K60*'Ley 617'!AM60)</f>
        <v>0</v>
      </c>
      <c r="Y60" s="1075">
        <f>+'Ingresos Proyecciones'!L60-('Ingresos Proyecciones'!L60*'Ley 617'!AN60)</f>
        <v>0</v>
      </c>
      <c r="Z60" s="1075">
        <f>+'Ingresos Proyecciones'!M60-('Ingresos Proyecciones'!M60*'Ley 617'!AO60)</f>
        <v>0</v>
      </c>
      <c r="AA60" s="1075">
        <f>+'Ingresos Proyecciones'!N60-('Ingresos Proyecciones'!N60*'Ley 617'!AP60)</f>
        <v>0</v>
      </c>
      <c r="AB60" s="1075">
        <f>+'Ingresos Proyecciones'!O60-('Ingresos Proyecciones'!O60*'Ley 617'!AQ60)</f>
        <v>0</v>
      </c>
      <c r="AC60" s="1075">
        <f>+'Ingresos Proyecciones'!P60-('Ingresos Proyecciones'!P60*'Ley 617'!AR60)</f>
        <v>0</v>
      </c>
      <c r="AD60" s="1075">
        <f>+'Ingresos Proyecciones'!Q60-('Ingresos Proyecciones'!Q60*'Ley 617'!AS60)</f>
        <v>0</v>
      </c>
      <c r="AE60" s="1077">
        <v>1</v>
      </c>
      <c r="AF60" s="1077">
        <v>1</v>
      </c>
      <c r="AG60" s="1077">
        <v>1</v>
      </c>
      <c r="AH60" s="1077">
        <v>1</v>
      </c>
      <c r="AI60" s="1077">
        <v>1</v>
      </c>
      <c r="AJ60" s="1077">
        <v>1</v>
      </c>
      <c r="AK60" s="1077">
        <v>1</v>
      </c>
      <c r="AL60" s="1077">
        <v>1</v>
      </c>
      <c r="AM60" s="1077">
        <v>1</v>
      </c>
      <c r="AN60" s="1077">
        <v>1</v>
      </c>
      <c r="AO60" s="1077">
        <v>1</v>
      </c>
      <c r="AP60" s="1077">
        <v>1</v>
      </c>
      <c r="AQ60" s="1077">
        <v>1</v>
      </c>
      <c r="AR60" s="1077">
        <v>1</v>
      </c>
      <c r="AS60" s="1077">
        <v>1</v>
      </c>
    </row>
    <row r="61" spans="1:82" ht="12.75" customHeight="1">
      <c r="A61" s="1067" t="str">
        <f>+Ingresos!A64</f>
        <v>112050201010102</v>
      </c>
      <c r="B61" s="1068"/>
      <c r="C61" s="1074" t="s">
        <v>1327</v>
      </c>
      <c r="D61" s="1075">
        <f t="shared" si="28"/>
        <v>0</v>
      </c>
      <c r="E61" s="1076">
        <f t="shared" si="28"/>
        <v>0</v>
      </c>
      <c r="F61" s="1076">
        <f t="shared" si="28"/>
        <v>0</v>
      </c>
      <c r="G61" s="1077">
        <v>1</v>
      </c>
      <c r="H61" s="1089" t="s">
        <v>1212</v>
      </c>
      <c r="I61" s="1076">
        <f t="shared" si="29"/>
        <v>231077</v>
      </c>
      <c r="J61" s="1076">
        <f t="shared" si="29"/>
        <v>231077</v>
      </c>
      <c r="K61" s="1076">
        <f t="shared" si="29"/>
        <v>231077</v>
      </c>
      <c r="L61" s="1071">
        <f>+Ingresos!C64</f>
        <v>231077</v>
      </c>
      <c r="M61" s="1071">
        <f>+Ingresos!E64</f>
        <v>231077</v>
      </c>
      <c r="N61" s="1076">
        <f>+Ingresos!H64</f>
        <v>231077</v>
      </c>
      <c r="O61" s="1388"/>
      <c r="P61" s="1075">
        <f>+'Ingresos Proyecciones'!C61-('Ingresos Proyecciones'!C61*'Ley 617'!AE61)</f>
        <v>0</v>
      </c>
      <c r="Q61" s="1075">
        <f>+'Ingresos Proyecciones'!D61-('Ingresos Proyecciones'!D61*'Ley 617'!AF61)</f>
        <v>0</v>
      </c>
      <c r="R61" s="1075">
        <f>+'Ingresos Proyecciones'!E61-('Ingresos Proyecciones'!E61*'Ley 617'!AG61)</f>
        <v>0</v>
      </c>
      <c r="S61" s="1075">
        <f>+'Ingresos Proyecciones'!F61-('Ingresos Proyecciones'!F61*'Ley 617'!AH61)</f>
        <v>0</v>
      </c>
      <c r="T61" s="1075">
        <f>+'Ingresos Proyecciones'!G61-('Ingresos Proyecciones'!G61*'Ley 617'!AI61)</f>
        <v>0</v>
      </c>
      <c r="U61" s="1075">
        <f>+'Ingresos Proyecciones'!H61-('Ingresos Proyecciones'!H61*'Ley 617'!AJ61)</f>
        <v>0</v>
      </c>
      <c r="V61" s="1075">
        <f>+'Ingresos Proyecciones'!I61-('Ingresos Proyecciones'!I61*'Ley 617'!AK61)</f>
        <v>0</v>
      </c>
      <c r="W61" s="1075">
        <f>+'Ingresos Proyecciones'!J61-('Ingresos Proyecciones'!J61*'Ley 617'!AL61)</f>
        <v>0</v>
      </c>
      <c r="X61" s="1075">
        <f>+'Ingresos Proyecciones'!K61-('Ingresos Proyecciones'!K61*'Ley 617'!AM61)</f>
        <v>0</v>
      </c>
      <c r="Y61" s="1075">
        <f>+'Ingresos Proyecciones'!L61-('Ingresos Proyecciones'!L61*'Ley 617'!AN61)</f>
        <v>0</v>
      </c>
      <c r="Z61" s="1075">
        <f>+'Ingresos Proyecciones'!M61-('Ingresos Proyecciones'!M61*'Ley 617'!AO61)</f>
        <v>0</v>
      </c>
      <c r="AA61" s="1075">
        <f>+'Ingresos Proyecciones'!N61-('Ingresos Proyecciones'!N61*'Ley 617'!AP61)</f>
        <v>0</v>
      </c>
      <c r="AB61" s="1075">
        <f>+'Ingresos Proyecciones'!O61-('Ingresos Proyecciones'!O61*'Ley 617'!AQ61)</f>
        <v>0</v>
      </c>
      <c r="AC61" s="1075">
        <f>+'Ingresos Proyecciones'!P61-('Ingresos Proyecciones'!P61*'Ley 617'!AR61)</f>
        <v>0</v>
      </c>
      <c r="AD61" s="1075">
        <f>+'Ingresos Proyecciones'!Q61-('Ingresos Proyecciones'!Q61*'Ley 617'!AS61)</f>
        <v>0</v>
      </c>
      <c r="AE61" s="1077">
        <v>1</v>
      </c>
      <c r="AF61" s="1077">
        <v>1</v>
      </c>
      <c r="AG61" s="1077">
        <v>1</v>
      </c>
      <c r="AH61" s="1077">
        <v>1</v>
      </c>
      <c r="AI61" s="1077">
        <v>1</v>
      </c>
      <c r="AJ61" s="1077">
        <v>1</v>
      </c>
      <c r="AK61" s="1077">
        <v>1</v>
      </c>
      <c r="AL61" s="1077">
        <v>1</v>
      </c>
      <c r="AM61" s="1077">
        <v>1</v>
      </c>
      <c r="AN61" s="1077">
        <v>1</v>
      </c>
      <c r="AO61" s="1077">
        <v>1</v>
      </c>
      <c r="AP61" s="1077">
        <v>1</v>
      </c>
      <c r="AQ61" s="1077">
        <v>1</v>
      </c>
      <c r="AR61" s="1077">
        <v>1</v>
      </c>
      <c r="AS61" s="1077">
        <v>1</v>
      </c>
    </row>
    <row r="62" spans="1:82" ht="12.75" customHeight="1">
      <c r="A62" s="1067" t="str">
        <f>+Ingresos!A65</f>
        <v>1120502010102</v>
      </c>
      <c r="B62" s="1068"/>
      <c r="C62" s="1074" t="s">
        <v>1329</v>
      </c>
      <c r="D62" s="1087">
        <f>SUM(D63:D67)</f>
        <v>0</v>
      </c>
      <c r="E62" s="1088">
        <f>SUM(E63:E67)</f>
        <v>0</v>
      </c>
      <c r="F62" s="1088">
        <f>SUM(F63:F67)</f>
        <v>0</v>
      </c>
      <c r="G62" s="1101"/>
      <c r="H62" s="1081"/>
      <c r="I62" s="1071">
        <f>SUM(I63:I67)</f>
        <v>1771195.12</v>
      </c>
      <c r="J62" s="1071">
        <f>SUM(J63:J67)</f>
        <v>1771195.12</v>
      </c>
      <c r="K62" s="1071">
        <f>SUM(K63:K67)</f>
        <v>1771195.12</v>
      </c>
      <c r="L62" s="1071">
        <f>+Ingresos!C65</f>
        <v>1771195.12</v>
      </c>
      <c r="M62" s="1071">
        <f>+Ingresos!E65</f>
        <v>1771195.12</v>
      </c>
      <c r="N62" s="1071">
        <f>+Ingresos!H65</f>
        <v>1771195.12</v>
      </c>
      <c r="O62" s="1388"/>
      <c r="P62" s="1084">
        <f>SUM(P63:P67)</f>
        <v>0</v>
      </c>
      <c r="Q62" s="1085">
        <f t="shared" ref="Q62:AD62" si="30">SUM(Q63:Q67)</f>
        <v>0</v>
      </c>
      <c r="R62" s="1085">
        <f t="shared" si="30"/>
        <v>0</v>
      </c>
      <c r="S62" s="1085">
        <f t="shared" si="30"/>
        <v>0</v>
      </c>
      <c r="T62" s="1085">
        <f t="shared" si="30"/>
        <v>0</v>
      </c>
      <c r="U62" s="1085">
        <f t="shared" si="30"/>
        <v>0</v>
      </c>
      <c r="V62" s="1085">
        <f t="shared" si="30"/>
        <v>0</v>
      </c>
      <c r="W62" s="1085">
        <f t="shared" si="30"/>
        <v>0</v>
      </c>
      <c r="X62" s="1085">
        <f t="shared" si="30"/>
        <v>0</v>
      </c>
      <c r="Y62" s="1085">
        <f t="shared" si="30"/>
        <v>0</v>
      </c>
      <c r="Z62" s="1085">
        <f t="shared" si="30"/>
        <v>0</v>
      </c>
      <c r="AA62" s="1085">
        <f t="shared" si="30"/>
        <v>0</v>
      </c>
      <c r="AB62" s="1085">
        <f t="shared" si="30"/>
        <v>0</v>
      </c>
      <c r="AC62" s="1085">
        <f t="shared" si="30"/>
        <v>0</v>
      </c>
      <c r="AD62" s="1085">
        <f t="shared" si="30"/>
        <v>0</v>
      </c>
      <c r="AE62" s="1101"/>
      <c r="AF62" s="1101"/>
      <c r="AG62" s="1101"/>
      <c r="AH62" s="1101"/>
      <c r="AI62" s="1101"/>
      <c r="AJ62" s="1101"/>
      <c r="AK62" s="1101"/>
      <c r="AL62" s="1101"/>
      <c r="AM62" s="1101"/>
      <c r="AN62" s="1101"/>
      <c r="AO62" s="1101"/>
      <c r="AP62" s="1101"/>
      <c r="AQ62" s="1101"/>
      <c r="AR62" s="1101"/>
      <c r="AS62" s="1101"/>
    </row>
    <row r="63" spans="1:82" ht="12.75" customHeight="1">
      <c r="A63" s="1067" t="str">
        <f>+Ingresos!A66</f>
        <v>112050201010201</v>
      </c>
      <c r="B63" s="1068"/>
      <c r="C63" s="1074" t="s">
        <v>1331</v>
      </c>
      <c r="D63" s="1075">
        <f t="shared" ref="D63:D70" si="31">+L63-I63</f>
        <v>0</v>
      </c>
      <c r="E63" s="1076">
        <f t="shared" ref="E63:E70" si="32">+M63-J63</f>
        <v>0</v>
      </c>
      <c r="F63" s="1076">
        <f t="shared" ref="F63:F70" si="33">+N63-K63</f>
        <v>0</v>
      </c>
      <c r="G63" s="1077">
        <v>1</v>
      </c>
      <c r="H63" s="1089" t="s">
        <v>1212</v>
      </c>
      <c r="I63" s="1076">
        <f t="shared" ref="I63:I70" si="34">+$G63*L63</f>
        <v>1493834</v>
      </c>
      <c r="J63" s="1076">
        <f t="shared" ref="J63:J70" si="35">+$G63*M63</f>
        <v>1493834</v>
      </c>
      <c r="K63" s="1076">
        <f t="shared" ref="K63:K70" si="36">+$G63*N63</f>
        <v>1493834</v>
      </c>
      <c r="L63" s="1071">
        <f>+Ingresos!C66</f>
        <v>1493834</v>
      </c>
      <c r="M63" s="1071">
        <f>+Ingresos!E66</f>
        <v>1493834</v>
      </c>
      <c r="N63" s="1076">
        <f>+Ingresos!H66</f>
        <v>1493834</v>
      </c>
      <c r="O63" s="1388"/>
      <c r="P63" s="1075">
        <f>+'Ingresos Proyecciones'!C63-('Ingresos Proyecciones'!C63*'Ley 617'!AE63)</f>
        <v>0</v>
      </c>
      <c r="Q63" s="1075">
        <f>+'Ingresos Proyecciones'!D63-('Ingresos Proyecciones'!D63*'Ley 617'!AF63)</f>
        <v>0</v>
      </c>
      <c r="R63" s="1075">
        <f>+'Ingresos Proyecciones'!E63-('Ingresos Proyecciones'!E63*'Ley 617'!AG63)</f>
        <v>0</v>
      </c>
      <c r="S63" s="1075">
        <f>+'Ingresos Proyecciones'!F63-('Ingresos Proyecciones'!F63*'Ley 617'!AH63)</f>
        <v>0</v>
      </c>
      <c r="T63" s="1075">
        <f>+'Ingresos Proyecciones'!G63-('Ingresos Proyecciones'!G63*'Ley 617'!AI63)</f>
        <v>0</v>
      </c>
      <c r="U63" s="1075">
        <f>+'Ingresos Proyecciones'!H63-('Ingresos Proyecciones'!H63*'Ley 617'!AJ63)</f>
        <v>0</v>
      </c>
      <c r="V63" s="1075">
        <f>+'Ingresos Proyecciones'!I63-('Ingresos Proyecciones'!I63*'Ley 617'!AK63)</f>
        <v>0</v>
      </c>
      <c r="W63" s="1075">
        <f>+'Ingresos Proyecciones'!J63-('Ingresos Proyecciones'!J63*'Ley 617'!AL63)</f>
        <v>0</v>
      </c>
      <c r="X63" s="1075">
        <f>+'Ingresos Proyecciones'!K63-('Ingresos Proyecciones'!K63*'Ley 617'!AM63)</f>
        <v>0</v>
      </c>
      <c r="Y63" s="1075">
        <f>+'Ingresos Proyecciones'!L63-('Ingresos Proyecciones'!L63*'Ley 617'!AN63)</f>
        <v>0</v>
      </c>
      <c r="Z63" s="1075">
        <f>+'Ingresos Proyecciones'!M63-('Ingresos Proyecciones'!M63*'Ley 617'!AO63)</f>
        <v>0</v>
      </c>
      <c r="AA63" s="1075">
        <f>+'Ingresos Proyecciones'!N63-('Ingresos Proyecciones'!N63*'Ley 617'!AP63)</f>
        <v>0</v>
      </c>
      <c r="AB63" s="1075">
        <f>+'Ingresos Proyecciones'!O63-('Ingresos Proyecciones'!O63*'Ley 617'!AQ63)</f>
        <v>0</v>
      </c>
      <c r="AC63" s="1075">
        <f>+'Ingresos Proyecciones'!P63-('Ingresos Proyecciones'!P63*'Ley 617'!AR63)</f>
        <v>0</v>
      </c>
      <c r="AD63" s="1075">
        <f>+'Ingresos Proyecciones'!Q63-('Ingresos Proyecciones'!Q63*'Ley 617'!AS63)</f>
        <v>0</v>
      </c>
      <c r="AE63" s="1077">
        <v>1</v>
      </c>
      <c r="AF63" s="1077">
        <v>1</v>
      </c>
      <c r="AG63" s="1077">
        <v>1</v>
      </c>
      <c r="AH63" s="1077">
        <v>1</v>
      </c>
      <c r="AI63" s="1077">
        <v>1</v>
      </c>
      <c r="AJ63" s="1077">
        <v>1</v>
      </c>
      <c r="AK63" s="1077">
        <v>1</v>
      </c>
      <c r="AL63" s="1077">
        <v>1</v>
      </c>
      <c r="AM63" s="1077">
        <v>1</v>
      </c>
      <c r="AN63" s="1077">
        <v>1</v>
      </c>
      <c r="AO63" s="1077">
        <v>1</v>
      </c>
      <c r="AP63" s="1077">
        <v>1</v>
      </c>
      <c r="AQ63" s="1077">
        <v>1</v>
      </c>
      <c r="AR63" s="1077">
        <v>1</v>
      </c>
      <c r="AS63" s="1077">
        <v>1</v>
      </c>
    </row>
    <row r="64" spans="1:82" ht="12.75" customHeight="1">
      <c r="A64" s="1067" t="str">
        <f>+Ingresos!A67</f>
        <v>112050201010202</v>
      </c>
      <c r="B64" s="1068"/>
      <c r="C64" s="1074" t="s">
        <v>1333</v>
      </c>
      <c r="D64" s="1075">
        <f t="shared" si="31"/>
        <v>0</v>
      </c>
      <c r="E64" s="1076">
        <f t="shared" si="32"/>
        <v>0</v>
      </c>
      <c r="F64" s="1076">
        <f t="shared" si="33"/>
        <v>0</v>
      </c>
      <c r="G64" s="1077">
        <v>1</v>
      </c>
      <c r="H64" s="1089" t="s">
        <v>1212</v>
      </c>
      <c r="I64" s="1076">
        <f t="shared" si="34"/>
        <v>9413</v>
      </c>
      <c r="J64" s="1076">
        <f t="shared" si="35"/>
        <v>9413</v>
      </c>
      <c r="K64" s="1076">
        <f t="shared" si="36"/>
        <v>9413</v>
      </c>
      <c r="L64" s="1071">
        <f>+Ingresos!C67</f>
        <v>9413</v>
      </c>
      <c r="M64" s="1071">
        <f>+Ingresos!E67</f>
        <v>9413</v>
      </c>
      <c r="N64" s="1076">
        <f>+Ingresos!H67</f>
        <v>9413</v>
      </c>
      <c r="O64" s="1388"/>
      <c r="P64" s="1075">
        <f>+'Ingresos Proyecciones'!C64-('Ingresos Proyecciones'!C64*'Ley 617'!AE64)</f>
        <v>0</v>
      </c>
      <c r="Q64" s="1075">
        <f>+'Ingresos Proyecciones'!D64-('Ingresos Proyecciones'!D64*'Ley 617'!AF64)</f>
        <v>0</v>
      </c>
      <c r="R64" s="1075">
        <f>+'Ingresos Proyecciones'!E64-('Ingresos Proyecciones'!E64*'Ley 617'!AG64)</f>
        <v>0</v>
      </c>
      <c r="S64" s="1075">
        <f>+'Ingresos Proyecciones'!F64-('Ingresos Proyecciones'!F64*'Ley 617'!AH64)</f>
        <v>0</v>
      </c>
      <c r="T64" s="1075">
        <f>+'Ingresos Proyecciones'!G64-('Ingresos Proyecciones'!G64*'Ley 617'!AI64)</f>
        <v>0</v>
      </c>
      <c r="U64" s="1075">
        <f>+'Ingresos Proyecciones'!H64-('Ingresos Proyecciones'!H64*'Ley 617'!AJ64)</f>
        <v>0</v>
      </c>
      <c r="V64" s="1075">
        <f>+'Ingresos Proyecciones'!I64-('Ingresos Proyecciones'!I64*'Ley 617'!AK64)</f>
        <v>0</v>
      </c>
      <c r="W64" s="1075">
        <f>+'Ingresos Proyecciones'!J64-('Ingresos Proyecciones'!J64*'Ley 617'!AL64)</f>
        <v>0</v>
      </c>
      <c r="X64" s="1075">
        <f>+'Ingresos Proyecciones'!K64-('Ingresos Proyecciones'!K64*'Ley 617'!AM64)</f>
        <v>0</v>
      </c>
      <c r="Y64" s="1075">
        <f>+'Ingresos Proyecciones'!L64-('Ingresos Proyecciones'!L64*'Ley 617'!AN64)</f>
        <v>0</v>
      </c>
      <c r="Z64" s="1075">
        <f>+'Ingresos Proyecciones'!M64-('Ingresos Proyecciones'!M64*'Ley 617'!AO64)</f>
        <v>0</v>
      </c>
      <c r="AA64" s="1075">
        <f>+'Ingresos Proyecciones'!N64-('Ingresos Proyecciones'!N64*'Ley 617'!AP64)</f>
        <v>0</v>
      </c>
      <c r="AB64" s="1075">
        <f>+'Ingresos Proyecciones'!O64-('Ingresos Proyecciones'!O64*'Ley 617'!AQ64)</f>
        <v>0</v>
      </c>
      <c r="AC64" s="1075">
        <f>+'Ingresos Proyecciones'!P64-('Ingresos Proyecciones'!P64*'Ley 617'!AR64)</f>
        <v>0</v>
      </c>
      <c r="AD64" s="1075">
        <f>+'Ingresos Proyecciones'!Q64-('Ingresos Proyecciones'!Q64*'Ley 617'!AS64)</f>
        <v>0</v>
      </c>
      <c r="AE64" s="1077">
        <v>1</v>
      </c>
      <c r="AF64" s="1077">
        <v>1</v>
      </c>
      <c r="AG64" s="1077">
        <v>1</v>
      </c>
      <c r="AH64" s="1077">
        <v>1</v>
      </c>
      <c r="AI64" s="1077">
        <v>1</v>
      </c>
      <c r="AJ64" s="1077">
        <v>1</v>
      </c>
      <c r="AK64" s="1077">
        <v>1</v>
      </c>
      <c r="AL64" s="1077">
        <v>1</v>
      </c>
      <c r="AM64" s="1077">
        <v>1</v>
      </c>
      <c r="AN64" s="1077">
        <v>1</v>
      </c>
      <c r="AO64" s="1077">
        <v>1</v>
      </c>
      <c r="AP64" s="1077">
        <v>1</v>
      </c>
      <c r="AQ64" s="1077">
        <v>1</v>
      </c>
      <c r="AR64" s="1077">
        <v>1</v>
      </c>
      <c r="AS64" s="1077">
        <v>1</v>
      </c>
    </row>
    <row r="65" spans="1:45" ht="12.75" customHeight="1">
      <c r="A65" s="1067" t="str">
        <f>+Ingresos!A68</f>
        <v>112050201010203</v>
      </c>
      <c r="B65" s="1068"/>
      <c r="C65" s="1074" t="s">
        <v>1335</v>
      </c>
      <c r="D65" s="1075">
        <f t="shared" si="31"/>
        <v>0</v>
      </c>
      <c r="E65" s="1076">
        <f t="shared" si="32"/>
        <v>0</v>
      </c>
      <c r="F65" s="1076">
        <f t="shared" si="33"/>
        <v>0</v>
      </c>
      <c r="G65" s="1077">
        <v>1</v>
      </c>
      <c r="H65" s="1089" t="s">
        <v>1212</v>
      </c>
      <c r="I65" s="1076">
        <f t="shared" si="34"/>
        <v>123147</v>
      </c>
      <c r="J65" s="1076">
        <f t="shared" si="35"/>
        <v>123147</v>
      </c>
      <c r="K65" s="1076">
        <f t="shared" si="36"/>
        <v>123147</v>
      </c>
      <c r="L65" s="1071">
        <f>+Ingresos!C68</f>
        <v>123147</v>
      </c>
      <c r="M65" s="1071">
        <f>+Ingresos!E68</f>
        <v>123147</v>
      </c>
      <c r="N65" s="1076">
        <f>+Ingresos!H68</f>
        <v>123147</v>
      </c>
      <c r="O65" s="1388"/>
      <c r="P65" s="1075">
        <f>+'Ingresos Proyecciones'!C65-('Ingresos Proyecciones'!C65*'Ley 617'!AE65)</f>
        <v>0</v>
      </c>
      <c r="Q65" s="1075">
        <f>+'Ingresos Proyecciones'!D65-('Ingresos Proyecciones'!D65*'Ley 617'!AF65)</f>
        <v>0</v>
      </c>
      <c r="R65" s="1075">
        <f>+'Ingresos Proyecciones'!E65-('Ingresos Proyecciones'!E65*'Ley 617'!AG65)</f>
        <v>0</v>
      </c>
      <c r="S65" s="1075">
        <f>+'Ingresos Proyecciones'!F65-('Ingresos Proyecciones'!F65*'Ley 617'!AH65)</f>
        <v>0</v>
      </c>
      <c r="T65" s="1075">
        <f>+'Ingresos Proyecciones'!G65-('Ingresos Proyecciones'!G65*'Ley 617'!AI65)</f>
        <v>0</v>
      </c>
      <c r="U65" s="1075">
        <f>+'Ingresos Proyecciones'!H65-('Ingresos Proyecciones'!H65*'Ley 617'!AJ65)</f>
        <v>0</v>
      </c>
      <c r="V65" s="1075">
        <f>+'Ingresos Proyecciones'!I65-('Ingresos Proyecciones'!I65*'Ley 617'!AK65)</f>
        <v>0</v>
      </c>
      <c r="W65" s="1075">
        <f>+'Ingresos Proyecciones'!J65-('Ingresos Proyecciones'!J65*'Ley 617'!AL65)</f>
        <v>0</v>
      </c>
      <c r="X65" s="1075">
        <f>+'Ingresos Proyecciones'!K65-('Ingresos Proyecciones'!K65*'Ley 617'!AM65)</f>
        <v>0</v>
      </c>
      <c r="Y65" s="1075">
        <f>+'Ingresos Proyecciones'!L65-('Ingresos Proyecciones'!L65*'Ley 617'!AN65)</f>
        <v>0</v>
      </c>
      <c r="Z65" s="1075">
        <f>+'Ingresos Proyecciones'!M65-('Ingresos Proyecciones'!M65*'Ley 617'!AO65)</f>
        <v>0</v>
      </c>
      <c r="AA65" s="1075">
        <f>+'Ingresos Proyecciones'!N65-('Ingresos Proyecciones'!N65*'Ley 617'!AP65)</f>
        <v>0</v>
      </c>
      <c r="AB65" s="1075">
        <f>+'Ingresos Proyecciones'!O65-('Ingresos Proyecciones'!O65*'Ley 617'!AQ65)</f>
        <v>0</v>
      </c>
      <c r="AC65" s="1075">
        <f>+'Ingresos Proyecciones'!P65-('Ingresos Proyecciones'!P65*'Ley 617'!AR65)</f>
        <v>0</v>
      </c>
      <c r="AD65" s="1075">
        <f>+'Ingresos Proyecciones'!Q65-('Ingresos Proyecciones'!Q65*'Ley 617'!AS65)</f>
        <v>0</v>
      </c>
      <c r="AE65" s="1077">
        <v>1</v>
      </c>
      <c r="AF65" s="1077">
        <v>1</v>
      </c>
      <c r="AG65" s="1077">
        <v>1</v>
      </c>
      <c r="AH65" s="1077">
        <v>1</v>
      </c>
      <c r="AI65" s="1077">
        <v>1</v>
      </c>
      <c r="AJ65" s="1077">
        <v>1</v>
      </c>
      <c r="AK65" s="1077">
        <v>1</v>
      </c>
      <c r="AL65" s="1077">
        <v>1</v>
      </c>
      <c r="AM65" s="1077">
        <v>1</v>
      </c>
      <c r="AN65" s="1077">
        <v>1</v>
      </c>
      <c r="AO65" s="1077">
        <v>1</v>
      </c>
      <c r="AP65" s="1077">
        <v>1</v>
      </c>
      <c r="AQ65" s="1077">
        <v>1</v>
      </c>
      <c r="AR65" s="1077">
        <v>1</v>
      </c>
      <c r="AS65" s="1077">
        <v>1</v>
      </c>
    </row>
    <row r="66" spans="1:45" ht="12.75" customHeight="1">
      <c r="A66" s="1067" t="str">
        <f>+Ingresos!A69</f>
        <v>112050201010204</v>
      </c>
      <c r="B66" s="1068"/>
      <c r="C66" s="1074" t="s">
        <v>1337</v>
      </c>
      <c r="D66" s="1075">
        <f t="shared" si="31"/>
        <v>0</v>
      </c>
      <c r="E66" s="1076">
        <f t="shared" si="32"/>
        <v>0</v>
      </c>
      <c r="F66" s="1076">
        <f t="shared" si="33"/>
        <v>0</v>
      </c>
      <c r="G66" s="1077">
        <v>1</v>
      </c>
      <c r="H66" s="1082" t="s">
        <v>1212</v>
      </c>
      <c r="I66" s="1076">
        <f t="shared" si="34"/>
        <v>73792</v>
      </c>
      <c r="J66" s="1076">
        <f t="shared" si="35"/>
        <v>73792</v>
      </c>
      <c r="K66" s="1076">
        <f t="shared" si="36"/>
        <v>73792</v>
      </c>
      <c r="L66" s="1071">
        <f>+Ingresos!C69</f>
        <v>73792</v>
      </c>
      <c r="M66" s="1071">
        <f>+Ingresos!E69</f>
        <v>73792</v>
      </c>
      <c r="N66" s="1076">
        <f>+Ingresos!H69</f>
        <v>73792</v>
      </c>
      <c r="O66" s="1388"/>
      <c r="P66" s="1075">
        <f>+'Ingresos Proyecciones'!C66-('Ingresos Proyecciones'!C66*'Ley 617'!AE66)</f>
        <v>0</v>
      </c>
      <c r="Q66" s="1075">
        <f>+'Ingresos Proyecciones'!D66-('Ingresos Proyecciones'!D66*'Ley 617'!AF66)</f>
        <v>0</v>
      </c>
      <c r="R66" s="1075">
        <f>+'Ingresos Proyecciones'!E66-('Ingresos Proyecciones'!E66*'Ley 617'!AG66)</f>
        <v>0</v>
      </c>
      <c r="S66" s="1075">
        <f>+'Ingresos Proyecciones'!F66-('Ingresos Proyecciones'!F66*'Ley 617'!AH66)</f>
        <v>0</v>
      </c>
      <c r="T66" s="1075">
        <f>+'Ingresos Proyecciones'!G66-('Ingresos Proyecciones'!G66*'Ley 617'!AI66)</f>
        <v>0</v>
      </c>
      <c r="U66" s="1075">
        <f>+'Ingresos Proyecciones'!H66-('Ingresos Proyecciones'!H66*'Ley 617'!AJ66)</f>
        <v>0</v>
      </c>
      <c r="V66" s="1075">
        <f>+'Ingresos Proyecciones'!I66-('Ingresos Proyecciones'!I66*'Ley 617'!AK66)</f>
        <v>0</v>
      </c>
      <c r="W66" s="1075">
        <f>+'Ingresos Proyecciones'!J66-('Ingresos Proyecciones'!J66*'Ley 617'!AL66)</f>
        <v>0</v>
      </c>
      <c r="X66" s="1075">
        <f>+'Ingresos Proyecciones'!K66-('Ingresos Proyecciones'!K66*'Ley 617'!AM66)</f>
        <v>0</v>
      </c>
      <c r="Y66" s="1075">
        <f>+'Ingresos Proyecciones'!L66-('Ingresos Proyecciones'!L66*'Ley 617'!AN66)</f>
        <v>0</v>
      </c>
      <c r="Z66" s="1075">
        <f>+'Ingresos Proyecciones'!M66-('Ingresos Proyecciones'!M66*'Ley 617'!AO66)</f>
        <v>0</v>
      </c>
      <c r="AA66" s="1075">
        <f>+'Ingresos Proyecciones'!N66-('Ingresos Proyecciones'!N66*'Ley 617'!AP66)</f>
        <v>0</v>
      </c>
      <c r="AB66" s="1075">
        <f>+'Ingresos Proyecciones'!O66-('Ingresos Proyecciones'!O66*'Ley 617'!AQ66)</f>
        <v>0</v>
      </c>
      <c r="AC66" s="1075">
        <f>+'Ingresos Proyecciones'!P66-('Ingresos Proyecciones'!P66*'Ley 617'!AR66)</f>
        <v>0</v>
      </c>
      <c r="AD66" s="1075">
        <f>+'Ingresos Proyecciones'!Q66-('Ingresos Proyecciones'!Q66*'Ley 617'!AS66)</f>
        <v>0</v>
      </c>
      <c r="AE66" s="1077">
        <v>1</v>
      </c>
      <c r="AF66" s="1077">
        <v>1</v>
      </c>
      <c r="AG66" s="1077">
        <v>1</v>
      </c>
      <c r="AH66" s="1077">
        <v>1</v>
      </c>
      <c r="AI66" s="1077">
        <v>1</v>
      </c>
      <c r="AJ66" s="1077">
        <v>1</v>
      </c>
      <c r="AK66" s="1077">
        <v>1</v>
      </c>
      <c r="AL66" s="1077">
        <v>1</v>
      </c>
      <c r="AM66" s="1077">
        <v>1</v>
      </c>
      <c r="AN66" s="1077">
        <v>1</v>
      </c>
      <c r="AO66" s="1077">
        <v>1</v>
      </c>
      <c r="AP66" s="1077">
        <v>1</v>
      </c>
      <c r="AQ66" s="1077">
        <v>1</v>
      </c>
      <c r="AR66" s="1077">
        <v>1</v>
      </c>
      <c r="AS66" s="1077">
        <v>1</v>
      </c>
    </row>
    <row r="67" spans="1:45" ht="12.75" customHeight="1">
      <c r="A67" s="1067" t="str">
        <f>+Ingresos!A70</f>
        <v>112050201010205</v>
      </c>
      <c r="B67" s="1068"/>
      <c r="C67" s="1074" t="s">
        <v>1339</v>
      </c>
      <c r="D67" s="1075">
        <f t="shared" si="31"/>
        <v>0</v>
      </c>
      <c r="E67" s="1076">
        <f t="shared" si="32"/>
        <v>0</v>
      </c>
      <c r="F67" s="1076">
        <f t="shared" si="33"/>
        <v>0</v>
      </c>
      <c r="G67" s="1077">
        <v>1</v>
      </c>
      <c r="H67" s="1089" t="s">
        <v>1212</v>
      </c>
      <c r="I67" s="1076">
        <f t="shared" si="34"/>
        <v>71009.119999999995</v>
      </c>
      <c r="J67" s="1076">
        <f t="shared" si="35"/>
        <v>71009.119999999995</v>
      </c>
      <c r="K67" s="1076">
        <f t="shared" si="36"/>
        <v>71009.119999999995</v>
      </c>
      <c r="L67" s="1071">
        <f>+Ingresos!C70</f>
        <v>71009.119999999995</v>
      </c>
      <c r="M67" s="1071">
        <f>+Ingresos!E70</f>
        <v>71009.119999999995</v>
      </c>
      <c r="N67" s="1076">
        <f>+Ingresos!H70</f>
        <v>71009.119999999995</v>
      </c>
      <c r="O67" s="1388"/>
      <c r="P67" s="1075">
        <f>+'Ingresos Proyecciones'!C67-('Ingresos Proyecciones'!C67*'Ley 617'!AE67)</f>
        <v>0</v>
      </c>
      <c r="Q67" s="1075">
        <f>+'Ingresos Proyecciones'!D67-('Ingresos Proyecciones'!D67*'Ley 617'!AF67)</f>
        <v>0</v>
      </c>
      <c r="R67" s="1075">
        <f>+'Ingresos Proyecciones'!E67-('Ingresos Proyecciones'!E67*'Ley 617'!AG67)</f>
        <v>0</v>
      </c>
      <c r="S67" s="1075">
        <f>+'Ingresos Proyecciones'!F67-('Ingresos Proyecciones'!F67*'Ley 617'!AH67)</f>
        <v>0</v>
      </c>
      <c r="T67" s="1075">
        <f>+'Ingresos Proyecciones'!G67-('Ingresos Proyecciones'!G67*'Ley 617'!AI67)</f>
        <v>0</v>
      </c>
      <c r="U67" s="1075">
        <f>+'Ingresos Proyecciones'!H67-('Ingresos Proyecciones'!H67*'Ley 617'!AJ67)</f>
        <v>0</v>
      </c>
      <c r="V67" s="1075">
        <f>+'Ingresos Proyecciones'!I67-('Ingresos Proyecciones'!I67*'Ley 617'!AK67)</f>
        <v>0</v>
      </c>
      <c r="W67" s="1075">
        <f>+'Ingresos Proyecciones'!J67-('Ingresos Proyecciones'!J67*'Ley 617'!AL67)</f>
        <v>0</v>
      </c>
      <c r="X67" s="1075">
        <f>+'Ingresos Proyecciones'!K67-('Ingresos Proyecciones'!K67*'Ley 617'!AM67)</f>
        <v>0</v>
      </c>
      <c r="Y67" s="1075">
        <f>+'Ingresos Proyecciones'!L67-('Ingresos Proyecciones'!L67*'Ley 617'!AN67)</f>
        <v>0</v>
      </c>
      <c r="Z67" s="1075">
        <f>+'Ingresos Proyecciones'!M67-('Ingresos Proyecciones'!M67*'Ley 617'!AO67)</f>
        <v>0</v>
      </c>
      <c r="AA67" s="1075">
        <f>+'Ingresos Proyecciones'!N67-('Ingresos Proyecciones'!N67*'Ley 617'!AP67)</f>
        <v>0</v>
      </c>
      <c r="AB67" s="1075">
        <f>+'Ingresos Proyecciones'!O67-('Ingresos Proyecciones'!O67*'Ley 617'!AQ67)</f>
        <v>0</v>
      </c>
      <c r="AC67" s="1075">
        <f>+'Ingresos Proyecciones'!P67-('Ingresos Proyecciones'!P67*'Ley 617'!AR67)</f>
        <v>0</v>
      </c>
      <c r="AD67" s="1075">
        <f>+'Ingresos Proyecciones'!Q67-('Ingresos Proyecciones'!Q67*'Ley 617'!AS67)</f>
        <v>0</v>
      </c>
      <c r="AE67" s="1077">
        <v>1</v>
      </c>
      <c r="AF67" s="1077">
        <v>1</v>
      </c>
      <c r="AG67" s="1077">
        <v>1</v>
      </c>
      <c r="AH67" s="1077">
        <v>1</v>
      </c>
      <c r="AI67" s="1077">
        <v>1</v>
      </c>
      <c r="AJ67" s="1077">
        <v>1</v>
      </c>
      <c r="AK67" s="1077">
        <v>1</v>
      </c>
      <c r="AL67" s="1077">
        <v>1</v>
      </c>
      <c r="AM67" s="1077">
        <v>1</v>
      </c>
      <c r="AN67" s="1077">
        <v>1</v>
      </c>
      <c r="AO67" s="1077">
        <v>1</v>
      </c>
      <c r="AP67" s="1077">
        <v>1</v>
      </c>
      <c r="AQ67" s="1077">
        <v>1</v>
      </c>
      <c r="AR67" s="1077">
        <v>1</v>
      </c>
      <c r="AS67" s="1077">
        <v>1</v>
      </c>
    </row>
    <row r="68" spans="1:45" ht="12.75" customHeight="1">
      <c r="A68" s="1067" t="str">
        <f>+Ingresos!A71</f>
        <v>1120502010103</v>
      </c>
      <c r="B68" s="1068"/>
      <c r="C68" s="1074" t="s">
        <v>1341</v>
      </c>
      <c r="D68" s="1075">
        <f t="shared" si="31"/>
        <v>752600</v>
      </c>
      <c r="E68" s="1076">
        <f t="shared" si="32"/>
        <v>752600</v>
      </c>
      <c r="F68" s="1076">
        <f t="shared" si="33"/>
        <v>752600</v>
      </c>
      <c r="G68" s="1077"/>
      <c r="H68" s="1089"/>
      <c r="I68" s="1076">
        <f t="shared" si="34"/>
        <v>0</v>
      </c>
      <c r="J68" s="1076">
        <f t="shared" si="35"/>
        <v>0</v>
      </c>
      <c r="K68" s="1076">
        <f t="shared" si="36"/>
        <v>0</v>
      </c>
      <c r="L68" s="1071">
        <f>+Ingresos!C71</f>
        <v>752600</v>
      </c>
      <c r="M68" s="1071">
        <f>+Ingresos!E71</f>
        <v>752600</v>
      </c>
      <c r="N68" s="1076">
        <f>+Ingresos!H71</f>
        <v>752600</v>
      </c>
      <c r="O68" s="1388"/>
      <c r="P68" s="1075">
        <f>+'Ingresos Proyecciones'!C68-('Ingresos Proyecciones'!C68*'Ley 617'!AE68)</f>
        <v>897093</v>
      </c>
      <c r="Q68" s="1075">
        <f>+'Ingresos Proyecciones'!D68-('Ingresos Proyecciones'!D68*'Ley 617'!AF68)</f>
        <v>847021</v>
      </c>
      <c r="R68" s="1075">
        <f>+'Ingresos Proyecciones'!E68-('Ingresos Proyecciones'!E68*'Ley 617'!AG68)</f>
        <v>752600</v>
      </c>
      <c r="S68" s="1075">
        <f>+'Ingresos Proyecciones'!F68-('Ingresos Proyecciones'!F68*'Ley 617'!AH68)</f>
        <v>782704</v>
      </c>
      <c r="T68" s="1075">
        <f>+'Ingresos Proyecciones'!G68-('Ingresos Proyecciones'!G68*'Ley 617'!AI68)</f>
        <v>814012.16</v>
      </c>
      <c r="U68" s="1075">
        <f>+'Ingresos Proyecciones'!H68-('Ingresos Proyecciones'!H68*'Ley 617'!AJ68)</f>
        <v>846572.64640000009</v>
      </c>
      <c r="V68" s="1075">
        <f>+'Ingresos Proyecciones'!I68-('Ingresos Proyecciones'!I68*'Ley 617'!AK68)</f>
        <v>880435.55225600011</v>
      </c>
      <c r="W68" s="1075">
        <f>+'Ingresos Proyecciones'!J68-('Ingresos Proyecciones'!J68*'Ley 617'!AL68)</f>
        <v>915652.97434624017</v>
      </c>
      <c r="X68" s="1075">
        <f>+'Ingresos Proyecciones'!K68-('Ingresos Proyecciones'!K68*'Ley 617'!AM68)</f>
        <v>952279.09332008986</v>
      </c>
      <c r="Y68" s="1075">
        <f>+'Ingresos Proyecciones'!L68-('Ingresos Proyecciones'!L68*'Ley 617'!AN68)</f>
        <v>990370.25705289352</v>
      </c>
      <c r="Z68" s="1075">
        <f>+'Ingresos Proyecciones'!M68-('Ingresos Proyecciones'!M68*'Ley 617'!AO68)</f>
        <v>1029985.0673350093</v>
      </c>
      <c r="AA68" s="1075">
        <f>+'Ingresos Proyecciones'!N68-('Ingresos Proyecciones'!N68*'Ley 617'!AP68)</f>
        <v>1071184.4700284097</v>
      </c>
      <c r="AB68" s="1075">
        <f>+'Ingresos Proyecciones'!O68-('Ingresos Proyecciones'!O68*'Ley 617'!AQ68)</f>
        <v>1114031.8488295462</v>
      </c>
      <c r="AC68" s="1075">
        <f>+'Ingresos Proyecciones'!P68-('Ingresos Proyecciones'!P68*'Ley 617'!AR68)</f>
        <v>1158593.1227827282</v>
      </c>
      <c r="AD68" s="1075">
        <f>+'Ingresos Proyecciones'!Q68-('Ingresos Proyecciones'!Q68*'Ley 617'!AS68)</f>
        <v>1204936.8476940372</v>
      </c>
      <c r="AE68" s="1077"/>
      <c r="AF68" s="1077"/>
      <c r="AG68" s="1077"/>
      <c r="AH68" s="1077"/>
      <c r="AI68" s="1077"/>
      <c r="AJ68" s="1077"/>
      <c r="AK68" s="1077"/>
      <c r="AL68" s="1077"/>
      <c r="AM68" s="1077"/>
      <c r="AN68" s="1077"/>
      <c r="AO68" s="1077"/>
      <c r="AP68" s="1077"/>
      <c r="AQ68" s="1077"/>
      <c r="AR68" s="1077"/>
      <c r="AS68" s="1077"/>
    </row>
    <row r="69" spans="1:45" ht="12.75" customHeight="1">
      <c r="A69" s="1067" t="str">
        <f>+Ingresos!A72</f>
        <v>6A</v>
      </c>
      <c r="B69" s="1068"/>
      <c r="C69" s="1074" t="s">
        <v>1343</v>
      </c>
      <c r="D69" s="1075">
        <f t="shared" si="31"/>
        <v>40851</v>
      </c>
      <c r="E69" s="1076">
        <f t="shared" si="32"/>
        <v>40851</v>
      </c>
      <c r="F69" s="1076">
        <f t="shared" si="33"/>
        <v>40851</v>
      </c>
      <c r="G69" s="1077"/>
      <c r="H69" s="1082"/>
      <c r="I69" s="1076">
        <f t="shared" si="34"/>
        <v>0</v>
      </c>
      <c r="J69" s="1076">
        <f t="shared" si="35"/>
        <v>0</v>
      </c>
      <c r="K69" s="1076">
        <f t="shared" si="36"/>
        <v>0</v>
      </c>
      <c r="L69" s="1071">
        <f>+Ingresos!C72</f>
        <v>40851</v>
      </c>
      <c r="M69" s="1071">
        <f>+Ingresos!E72</f>
        <v>40851</v>
      </c>
      <c r="N69" s="1076">
        <f>+Ingresos!H72</f>
        <v>40851</v>
      </c>
      <c r="O69" s="1388"/>
      <c r="P69" s="1075">
        <f>+'Ingresos Proyecciones'!C69-('Ingresos Proyecciones'!C69*'Ley 617'!AE69)</f>
        <v>31452</v>
      </c>
      <c r="Q69" s="1075">
        <f>+'Ingresos Proyecciones'!D69-('Ingresos Proyecciones'!D69*'Ley 617'!AF69)</f>
        <v>37515</v>
      </c>
      <c r="R69" s="1075">
        <f>+'Ingresos Proyecciones'!E69-('Ingresos Proyecciones'!E69*'Ley 617'!AG69)</f>
        <v>40851</v>
      </c>
      <c r="S69" s="1075">
        <f>+'Ingresos Proyecciones'!F69-('Ingresos Proyecciones'!F69*'Ley 617'!AH69)</f>
        <v>42485.04</v>
      </c>
      <c r="T69" s="1075">
        <f>+'Ingresos Proyecciones'!G69-('Ingresos Proyecciones'!G69*'Ley 617'!AI69)</f>
        <v>44184.441600000006</v>
      </c>
      <c r="U69" s="1075">
        <f>+'Ingresos Proyecciones'!H69-('Ingresos Proyecciones'!H69*'Ley 617'!AJ69)</f>
        <v>45951.819264000005</v>
      </c>
      <c r="V69" s="1075">
        <f>+'Ingresos Proyecciones'!I69-('Ingresos Proyecciones'!I69*'Ley 617'!AK69)</f>
        <v>47789.892034560005</v>
      </c>
      <c r="W69" s="1075">
        <f>+'Ingresos Proyecciones'!J69-('Ingresos Proyecciones'!J69*'Ley 617'!AL69)</f>
        <v>49701.487715942407</v>
      </c>
      <c r="X69" s="1075">
        <f>+'Ingresos Proyecciones'!K69-('Ingresos Proyecciones'!K69*'Ley 617'!AM69)</f>
        <v>51689.547224580107</v>
      </c>
      <c r="Y69" s="1075">
        <f>+'Ingresos Proyecciones'!L69-('Ingresos Proyecciones'!L69*'Ley 617'!AN69)</f>
        <v>53757.129113563315</v>
      </c>
      <c r="Z69" s="1075">
        <f>+'Ingresos Proyecciones'!M69-('Ingresos Proyecciones'!M69*'Ley 617'!AO69)</f>
        <v>55907.414278105847</v>
      </c>
      <c r="AA69" s="1075">
        <f>+'Ingresos Proyecciones'!N69-('Ingresos Proyecciones'!N69*'Ley 617'!AP69)</f>
        <v>58143.710849230083</v>
      </c>
      <c r="AB69" s="1075">
        <f>+'Ingresos Proyecciones'!O69-('Ingresos Proyecciones'!O69*'Ley 617'!AQ69)</f>
        <v>60469.459283199285</v>
      </c>
      <c r="AC69" s="1075">
        <f>+'Ingresos Proyecciones'!P69-('Ingresos Proyecciones'!P69*'Ley 617'!AR69)</f>
        <v>62888.237654527256</v>
      </c>
      <c r="AD69" s="1075">
        <f>+'Ingresos Proyecciones'!Q69-('Ingresos Proyecciones'!Q69*'Ley 617'!AS69)</f>
        <v>65403.767160708347</v>
      </c>
      <c r="AE69" s="1077"/>
      <c r="AF69" s="1077"/>
      <c r="AG69" s="1077"/>
      <c r="AH69" s="1077"/>
      <c r="AI69" s="1077"/>
      <c r="AJ69" s="1077"/>
      <c r="AK69" s="1077"/>
      <c r="AL69" s="1077"/>
      <c r="AM69" s="1077"/>
      <c r="AN69" s="1077"/>
      <c r="AO69" s="1077"/>
      <c r="AP69" s="1077"/>
      <c r="AQ69" s="1077"/>
      <c r="AR69" s="1077"/>
      <c r="AS69" s="1077"/>
    </row>
    <row r="70" spans="1:45" ht="12.75" customHeight="1">
      <c r="A70" s="1067" t="str">
        <f>+Ingresos!A73</f>
        <v>7A</v>
      </c>
      <c r="B70" s="1068"/>
      <c r="C70" s="1074" t="s">
        <v>1345</v>
      </c>
      <c r="D70" s="1075">
        <f t="shared" si="31"/>
        <v>0</v>
      </c>
      <c r="E70" s="1076">
        <f t="shared" si="32"/>
        <v>0</v>
      </c>
      <c r="F70" s="1076">
        <f t="shared" si="33"/>
        <v>0</v>
      </c>
      <c r="G70" s="1077"/>
      <c r="H70" s="1082"/>
      <c r="I70" s="1076">
        <f t="shared" si="34"/>
        <v>0</v>
      </c>
      <c r="J70" s="1076">
        <f t="shared" si="35"/>
        <v>0</v>
      </c>
      <c r="K70" s="1076">
        <f t="shared" si="36"/>
        <v>0</v>
      </c>
      <c r="L70" s="1071">
        <f>+Ingresos!C73</f>
        <v>0</v>
      </c>
      <c r="M70" s="1071">
        <f>+Ingresos!E73</f>
        <v>0</v>
      </c>
      <c r="N70" s="1076">
        <f>+Ingresos!H73</f>
        <v>0</v>
      </c>
      <c r="O70" s="1388"/>
      <c r="P70" s="1075">
        <f>+'Ingresos Proyecciones'!C70-('Ingresos Proyecciones'!C70*'Ley 617'!AE70)</f>
        <v>0</v>
      </c>
      <c r="Q70" s="1075">
        <f>+'Ingresos Proyecciones'!D70-('Ingresos Proyecciones'!D70*'Ley 617'!AF70)</f>
        <v>0</v>
      </c>
      <c r="R70" s="1075">
        <f>+'Ingresos Proyecciones'!E70-('Ingresos Proyecciones'!E70*'Ley 617'!AG70)</f>
        <v>0</v>
      </c>
      <c r="S70" s="1075">
        <f>+'Ingresos Proyecciones'!F70-('Ingresos Proyecciones'!F70*'Ley 617'!AH70)</f>
        <v>0</v>
      </c>
      <c r="T70" s="1075">
        <f>+'Ingresos Proyecciones'!G70-('Ingresos Proyecciones'!G70*'Ley 617'!AI70)</f>
        <v>0</v>
      </c>
      <c r="U70" s="1075">
        <f>+'Ingresos Proyecciones'!H70-('Ingresos Proyecciones'!H70*'Ley 617'!AJ70)</f>
        <v>0</v>
      </c>
      <c r="V70" s="1075">
        <f>+'Ingresos Proyecciones'!I70-('Ingresos Proyecciones'!I70*'Ley 617'!AK70)</f>
        <v>0</v>
      </c>
      <c r="W70" s="1075">
        <f>+'Ingresos Proyecciones'!J70-('Ingresos Proyecciones'!J70*'Ley 617'!AL70)</f>
        <v>0</v>
      </c>
      <c r="X70" s="1075">
        <f>+'Ingresos Proyecciones'!K70-('Ingresos Proyecciones'!K70*'Ley 617'!AM70)</f>
        <v>0</v>
      </c>
      <c r="Y70" s="1075">
        <f>+'Ingresos Proyecciones'!L70-('Ingresos Proyecciones'!L70*'Ley 617'!AN70)</f>
        <v>0</v>
      </c>
      <c r="Z70" s="1075">
        <f>+'Ingresos Proyecciones'!M70-('Ingresos Proyecciones'!M70*'Ley 617'!AO70)</f>
        <v>0</v>
      </c>
      <c r="AA70" s="1075">
        <f>+'Ingresos Proyecciones'!N70-('Ingresos Proyecciones'!N70*'Ley 617'!AP70)</f>
        <v>0</v>
      </c>
      <c r="AB70" s="1075">
        <f>+'Ingresos Proyecciones'!O70-('Ingresos Proyecciones'!O70*'Ley 617'!AQ70)</f>
        <v>0</v>
      </c>
      <c r="AC70" s="1075">
        <f>+'Ingresos Proyecciones'!P70-('Ingresos Proyecciones'!P70*'Ley 617'!AR70)</f>
        <v>0</v>
      </c>
      <c r="AD70" s="1075">
        <f>+'Ingresos Proyecciones'!Q70-('Ingresos Proyecciones'!Q70*'Ley 617'!AS70)</f>
        <v>0</v>
      </c>
      <c r="AE70" s="1077"/>
      <c r="AF70" s="1077"/>
      <c r="AG70" s="1077"/>
      <c r="AH70" s="1077"/>
      <c r="AI70" s="1077"/>
      <c r="AJ70" s="1077"/>
      <c r="AK70" s="1077"/>
      <c r="AL70" s="1077"/>
      <c r="AM70" s="1077"/>
      <c r="AN70" s="1077"/>
      <c r="AO70" s="1077"/>
      <c r="AP70" s="1077"/>
      <c r="AQ70" s="1077"/>
      <c r="AR70" s="1077"/>
      <c r="AS70" s="1077"/>
    </row>
    <row r="71" spans="1:45" ht="12.75" customHeight="1">
      <c r="A71" s="1067" t="str">
        <f>+Ingresos!A74</f>
        <v>1120502010198</v>
      </c>
      <c r="B71" s="1068"/>
      <c r="C71" s="1074" t="s">
        <v>1347</v>
      </c>
      <c r="D71" s="1075">
        <f>SUM(D72:D74)</f>
        <v>409434</v>
      </c>
      <c r="E71" s="1076">
        <f>SUM(E72:E74)</f>
        <v>509434</v>
      </c>
      <c r="F71" s="1076">
        <f>SUM(F72:F74)</f>
        <v>509434</v>
      </c>
      <c r="G71" s="1101"/>
      <c r="H71" s="1081"/>
      <c r="I71" s="1071">
        <f>SUM(I72:I74)</f>
        <v>107876</v>
      </c>
      <c r="J71" s="1071">
        <f>SUM(J72:J74)</f>
        <v>207876</v>
      </c>
      <c r="K71" s="1071">
        <f>SUM(K72:K74)</f>
        <v>207876</v>
      </c>
      <c r="L71" s="1071">
        <f>+Ingresos!C74</f>
        <v>517310</v>
      </c>
      <c r="M71" s="1071">
        <f>+Ingresos!E74</f>
        <v>717310</v>
      </c>
      <c r="N71" s="1071">
        <f>+Ingresos!H74</f>
        <v>717310</v>
      </c>
      <c r="O71" s="1388"/>
      <c r="P71" s="1070">
        <f>SUM(P72:P74)</f>
        <v>1260599</v>
      </c>
      <c r="Q71" s="1071">
        <f t="shared" ref="Q71:AD71" si="37">SUM(Q72:Q74)</f>
        <v>564074</v>
      </c>
      <c r="R71" s="1071">
        <f t="shared" si="37"/>
        <v>409434</v>
      </c>
      <c r="S71" s="1071">
        <f t="shared" si="37"/>
        <v>425811.36</v>
      </c>
      <c r="T71" s="1071">
        <f t="shared" si="37"/>
        <v>442843.81439999997</v>
      </c>
      <c r="U71" s="1071">
        <f t="shared" si="37"/>
        <v>460557.56697599997</v>
      </c>
      <c r="V71" s="1071">
        <f t="shared" si="37"/>
        <v>478979.86965503998</v>
      </c>
      <c r="W71" s="1071">
        <f t="shared" si="37"/>
        <v>498139.06444124161</v>
      </c>
      <c r="X71" s="1071">
        <f t="shared" si="37"/>
        <v>518064.62701889127</v>
      </c>
      <c r="Y71" s="1071">
        <f t="shared" si="37"/>
        <v>538787.21209964692</v>
      </c>
      <c r="Z71" s="1071">
        <f t="shared" si="37"/>
        <v>560338.7005836328</v>
      </c>
      <c r="AA71" s="1071">
        <f t="shared" si="37"/>
        <v>582752.2486069781</v>
      </c>
      <c r="AB71" s="1071">
        <f t="shared" si="37"/>
        <v>606062.33855125727</v>
      </c>
      <c r="AC71" s="1071">
        <f t="shared" si="37"/>
        <v>630304.83209330763</v>
      </c>
      <c r="AD71" s="1071">
        <f t="shared" si="37"/>
        <v>655517.02537703991</v>
      </c>
      <c r="AE71" s="1101"/>
      <c r="AF71" s="1101"/>
      <c r="AG71" s="1101"/>
      <c r="AH71" s="1101"/>
      <c r="AI71" s="1101"/>
      <c r="AJ71" s="1101"/>
      <c r="AK71" s="1101"/>
      <c r="AL71" s="1101"/>
      <c r="AM71" s="1101"/>
      <c r="AN71" s="1101"/>
      <c r="AO71" s="1101"/>
      <c r="AP71" s="1101"/>
      <c r="AQ71" s="1101"/>
      <c r="AR71" s="1101"/>
      <c r="AS71" s="1101"/>
    </row>
    <row r="72" spans="1:45" ht="12.75" customHeight="1">
      <c r="A72" s="1067" t="str">
        <f>+Ingresos!A75</f>
        <v>11205020102</v>
      </c>
      <c r="B72" s="1068"/>
      <c r="C72" s="1074" t="s">
        <v>1349</v>
      </c>
      <c r="D72" s="1075">
        <f t="shared" ref="D72:F74" si="38">+L72-I72</f>
        <v>0</v>
      </c>
      <c r="E72" s="1076">
        <f t="shared" si="38"/>
        <v>0</v>
      </c>
      <c r="F72" s="1076">
        <f t="shared" si="38"/>
        <v>0</v>
      </c>
      <c r="G72" s="1077">
        <v>1</v>
      </c>
      <c r="H72" s="1082"/>
      <c r="I72" s="1076">
        <f t="shared" ref="I72:K74" si="39">+$G72*L72</f>
        <v>0</v>
      </c>
      <c r="J72" s="1076">
        <f t="shared" si="39"/>
        <v>0</v>
      </c>
      <c r="K72" s="1076">
        <f t="shared" si="39"/>
        <v>0</v>
      </c>
      <c r="L72" s="1076">
        <f>+Ingresos!C75</f>
        <v>0</v>
      </c>
      <c r="M72" s="1076">
        <f>+Ingresos!E75</f>
        <v>0</v>
      </c>
      <c r="N72" s="1076">
        <f>+Ingresos!H75</f>
        <v>0</v>
      </c>
      <c r="O72" s="1388"/>
      <c r="P72" s="1075">
        <f>+'Ingresos Proyecciones'!C72-('Ingresos Proyecciones'!C72*'Ley 617'!AE72)</f>
        <v>0</v>
      </c>
      <c r="Q72" s="1075">
        <f>+'Ingresos Proyecciones'!D72-('Ingresos Proyecciones'!D72*'Ley 617'!AF72)</f>
        <v>0</v>
      </c>
      <c r="R72" s="1075">
        <f>+'Ingresos Proyecciones'!E72-('Ingresos Proyecciones'!E72*'Ley 617'!AG72)</f>
        <v>0</v>
      </c>
      <c r="S72" s="1075">
        <f>+'Ingresos Proyecciones'!F72-('Ingresos Proyecciones'!F72*'Ley 617'!AH72)</f>
        <v>0</v>
      </c>
      <c r="T72" s="1075">
        <f>+'Ingresos Proyecciones'!G72-('Ingresos Proyecciones'!G72*'Ley 617'!AI72)</f>
        <v>0</v>
      </c>
      <c r="U72" s="1075">
        <f>+'Ingresos Proyecciones'!H72-('Ingresos Proyecciones'!H72*'Ley 617'!AJ72)</f>
        <v>0</v>
      </c>
      <c r="V72" s="1075">
        <f>+'Ingresos Proyecciones'!I72-('Ingresos Proyecciones'!I72*'Ley 617'!AK72)</f>
        <v>0</v>
      </c>
      <c r="W72" s="1075">
        <f>+'Ingresos Proyecciones'!J72-('Ingresos Proyecciones'!J72*'Ley 617'!AL72)</f>
        <v>0</v>
      </c>
      <c r="X72" s="1075">
        <f>+'Ingresos Proyecciones'!K72-('Ingresos Proyecciones'!K72*'Ley 617'!AM72)</f>
        <v>0</v>
      </c>
      <c r="Y72" s="1075">
        <f>+'Ingresos Proyecciones'!L72-('Ingresos Proyecciones'!L72*'Ley 617'!AN72)</f>
        <v>0</v>
      </c>
      <c r="Z72" s="1075">
        <f>+'Ingresos Proyecciones'!M72-('Ingresos Proyecciones'!M72*'Ley 617'!AO72)</f>
        <v>0</v>
      </c>
      <c r="AA72" s="1075">
        <f>+'Ingresos Proyecciones'!N72-('Ingresos Proyecciones'!N72*'Ley 617'!AP72)</f>
        <v>0</v>
      </c>
      <c r="AB72" s="1075">
        <f>+'Ingresos Proyecciones'!O72-('Ingresos Proyecciones'!O72*'Ley 617'!AQ72)</f>
        <v>0</v>
      </c>
      <c r="AC72" s="1075">
        <f>+'Ingresos Proyecciones'!P72-('Ingresos Proyecciones'!P72*'Ley 617'!AR72)</f>
        <v>0</v>
      </c>
      <c r="AD72" s="1075">
        <f>+'Ingresos Proyecciones'!Q72-('Ingresos Proyecciones'!Q72*'Ley 617'!AS72)</f>
        <v>0</v>
      </c>
      <c r="AE72" s="1077">
        <v>1</v>
      </c>
      <c r="AF72" s="1077">
        <v>1</v>
      </c>
      <c r="AG72" s="1077">
        <v>1</v>
      </c>
      <c r="AH72" s="1077">
        <v>1</v>
      </c>
      <c r="AI72" s="1077">
        <v>1</v>
      </c>
      <c r="AJ72" s="1077">
        <v>1</v>
      </c>
      <c r="AK72" s="1077">
        <v>1</v>
      </c>
      <c r="AL72" s="1077">
        <v>1</v>
      </c>
      <c r="AM72" s="1077">
        <v>1</v>
      </c>
      <c r="AN72" s="1077">
        <v>1</v>
      </c>
      <c r="AO72" s="1077">
        <v>1</v>
      </c>
      <c r="AP72" s="1077">
        <v>1</v>
      </c>
      <c r="AQ72" s="1077">
        <v>1</v>
      </c>
      <c r="AR72" s="1077">
        <v>1</v>
      </c>
      <c r="AS72" s="1077">
        <v>1</v>
      </c>
    </row>
    <row r="73" spans="1:45" ht="12.75" customHeight="1">
      <c r="A73" s="1067" t="str">
        <f>+Ingresos!A76</f>
        <v>11205020103</v>
      </c>
      <c r="B73" s="1068"/>
      <c r="C73" s="1074" t="s">
        <v>1351</v>
      </c>
      <c r="D73" s="1075">
        <f t="shared" si="38"/>
        <v>0</v>
      </c>
      <c r="E73" s="1076">
        <f t="shared" si="38"/>
        <v>0</v>
      </c>
      <c r="F73" s="1076">
        <f t="shared" si="38"/>
        <v>0</v>
      </c>
      <c r="G73" s="1077">
        <v>1</v>
      </c>
      <c r="H73" s="1082"/>
      <c r="I73" s="1076">
        <f t="shared" si="39"/>
        <v>107876</v>
      </c>
      <c r="J73" s="1076">
        <f t="shared" si="39"/>
        <v>207876</v>
      </c>
      <c r="K73" s="1076">
        <f t="shared" si="39"/>
        <v>207876</v>
      </c>
      <c r="L73" s="1076">
        <f>+Ingresos!C76</f>
        <v>107876</v>
      </c>
      <c r="M73" s="1076">
        <f>+Ingresos!E76</f>
        <v>207876</v>
      </c>
      <c r="N73" s="1076">
        <f>+Ingresos!H76</f>
        <v>207876</v>
      </c>
      <c r="O73" s="1388"/>
      <c r="P73" s="1075">
        <f>+'Ingresos Proyecciones'!C73-('Ingresos Proyecciones'!C73*'Ley 617'!AE73)</f>
        <v>0</v>
      </c>
      <c r="Q73" s="1075">
        <f>+'Ingresos Proyecciones'!D73-('Ingresos Proyecciones'!D73*'Ley 617'!AF73)</f>
        <v>0</v>
      </c>
      <c r="R73" s="1075">
        <f>+'Ingresos Proyecciones'!E73-('Ingresos Proyecciones'!E73*'Ley 617'!AG73)</f>
        <v>0</v>
      </c>
      <c r="S73" s="1075">
        <f>+'Ingresos Proyecciones'!F73-('Ingresos Proyecciones'!F73*'Ley 617'!AH73)</f>
        <v>0</v>
      </c>
      <c r="T73" s="1075">
        <f>+'Ingresos Proyecciones'!G73-('Ingresos Proyecciones'!G73*'Ley 617'!AI73)</f>
        <v>0</v>
      </c>
      <c r="U73" s="1075">
        <f>+'Ingresos Proyecciones'!H73-('Ingresos Proyecciones'!H73*'Ley 617'!AJ73)</f>
        <v>0</v>
      </c>
      <c r="V73" s="1075">
        <f>+'Ingresos Proyecciones'!I73-('Ingresos Proyecciones'!I73*'Ley 617'!AK73)</f>
        <v>0</v>
      </c>
      <c r="W73" s="1075">
        <f>+'Ingresos Proyecciones'!J73-('Ingresos Proyecciones'!J73*'Ley 617'!AL73)</f>
        <v>0</v>
      </c>
      <c r="X73" s="1075">
        <f>+'Ingresos Proyecciones'!K73-('Ingresos Proyecciones'!K73*'Ley 617'!AM73)</f>
        <v>0</v>
      </c>
      <c r="Y73" s="1075">
        <f>+'Ingresos Proyecciones'!L73-('Ingresos Proyecciones'!L73*'Ley 617'!AN73)</f>
        <v>0</v>
      </c>
      <c r="Z73" s="1075">
        <f>+'Ingresos Proyecciones'!M73-('Ingresos Proyecciones'!M73*'Ley 617'!AO73)</f>
        <v>0</v>
      </c>
      <c r="AA73" s="1075">
        <f>+'Ingresos Proyecciones'!N73-('Ingresos Proyecciones'!N73*'Ley 617'!AP73)</f>
        <v>0</v>
      </c>
      <c r="AB73" s="1075">
        <f>+'Ingresos Proyecciones'!O73-('Ingresos Proyecciones'!O73*'Ley 617'!AQ73)</f>
        <v>0</v>
      </c>
      <c r="AC73" s="1075">
        <f>+'Ingresos Proyecciones'!P73-('Ingresos Proyecciones'!P73*'Ley 617'!AR73)</f>
        <v>0</v>
      </c>
      <c r="AD73" s="1075">
        <f>+'Ingresos Proyecciones'!Q73-('Ingresos Proyecciones'!Q73*'Ley 617'!AS73)</f>
        <v>0</v>
      </c>
      <c r="AE73" s="1077">
        <v>1</v>
      </c>
      <c r="AF73" s="1077">
        <v>1</v>
      </c>
      <c r="AG73" s="1077">
        <v>1</v>
      </c>
      <c r="AH73" s="1077">
        <v>1</v>
      </c>
      <c r="AI73" s="1077">
        <v>1</v>
      </c>
      <c r="AJ73" s="1077">
        <v>1</v>
      </c>
      <c r="AK73" s="1077">
        <v>1</v>
      </c>
      <c r="AL73" s="1077">
        <v>1</v>
      </c>
      <c r="AM73" s="1077">
        <v>1</v>
      </c>
      <c r="AN73" s="1077">
        <v>1</v>
      </c>
      <c r="AO73" s="1077">
        <v>1</v>
      </c>
      <c r="AP73" s="1077">
        <v>1</v>
      </c>
      <c r="AQ73" s="1077">
        <v>1</v>
      </c>
      <c r="AR73" s="1077">
        <v>1</v>
      </c>
      <c r="AS73" s="1077">
        <v>1</v>
      </c>
    </row>
    <row r="74" spans="1:45" ht="12.75" customHeight="1">
      <c r="A74" s="1067" t="str">
        <f>+Ingresos!A77</f>
        <v>11205020198</v>
      </c>
      <c r="B74" s="1068"/>
      <c r="C74" s="1074" t="s">
        <v>1353</v>
      </c>
      <c r="D74" s="1075">
        <f t="shared" si="38"/>
        <v>409434</v>
      </c>
      <c r="E74" s="1076">
        <f t="shared" si="38"/>
        <v>509434</v>
      </c>
      <c r="F74" s="1076">
        <f t="shared" si="38"/>
        <v>509434</v>
      </c>
      <c r="G74" s="1077"/>
      <c r="H74" s="1082"/>
      <c r="I74" s="1076">
        <f t="shared" si="39"/>
        <v>0</v>
      </c>
      <c r="J74" s="1076">
        <f t="shared" si="39"/>
        <v>0</v>
      </c>
      <c r="K74" s="1076">
        <f t="shared" si="39"/>
        <v>0</v>
      </c>
      <c r="L74" s="1076">
        <f>+Ingresos!C77</f>
        <v>409434</v>
      </c>
      <c r="M74" s="1076">
        <f>+Ingresos!E77</f>
        <v>509434</v>
      </c>
      <c r="N74" s="1076">
        <f>+Ingresos!H77</f>
        <v>509434</v>
      </c>
      <c r="O74" s="1388"/>
      <c r="P74" s="1075">
        <f>+'Ingresos Proyecciones'!C74-('Ingresos Proyecciones'!C74*'Ley 617'!AE74)</f>
        <v>1260599</v>
      </c>
      <c r="Q74" s="1075">
        <f>+'Ingresos Proyecciones'!D74-('Ingresos Proyecciones'!D74*'Ley 617'!AF74)</f>
        <v>564074</v>
      </c>
      <c r="R74" s="1075">
        <f>+'Ingresos Proyecciones'!E74-('Ingresos Proyecciones'!E74*'Ley 617'!AG74)</f>
        <v>409434</v>
      </c>
      <c r="S74" s="1075">
        <f>+'Ingresos Proyecciones'!F74-('Ingresos Proyecciones'!F74*'Ley 617'!AH74)</f>
        <v>425811.36</v>
      </c>
      <c r="T74" s="1075">
        <f>+'Ingresos Proyecciones'!G74-('Ingresos Proyecciones'!G74*'Ley 617'!AI74)</f>
        <v>442843.81439999997</v>
      </c>
      <c r="U74" s="1075">
        <f>+'Ingresos Proyecciones'!H74-('Ingresos Proyecciones'!H74*'Ley 617'!AJ74)</f>
        <v>460557.56697599997</v>
      </c>
      <c r="V74" s="1075">
        <f>+'Ingresos Proyecciones'!I74-('Ingresos Proyecciones'!I74*'Ley 617'!AK74)</f>
        <v>478979.86965503998</v>
      </c>
      <c r="W74" s="1075">
        <f>+'Ingresos Proyecciones'!J74-('Ingresos Proyecciones'!J74*'Ley 617'!AL74)</f>
        <v>498139.06444124161</v>
      </c>
      <c r="X74" s="1075">
        <f>+'Ingresos Proyecciones'!K74-('Ingresos Proyecciones'!K74*'Ley 617'!AM74)</f>
        <v>518064.62701889127</v>
      </c>
      <c r="Y74" s="1075">
        <f>+'Ingresos Proyecciones'!L74-('Ingresos Proyecciones'!L74*'Ley 617'!AN74)</f>
        <v>538787.21209964692</v>
      </c>
      <c r="Z74" s="1075">
        <f>+'Ingresos Proyecciones'!M74-('Ingresos Proyecciones'!M74*'Ley 617'!AO74)</f>
        <v>560338.7005836328</v>
      </c>
      <c r="AA74" s="1075">
        <f>+'Ingresos Proyecciones'!N74-('Ingresos Proyecciones'!N74*'Ley 617'!AP74)</f>
        <v>582752.2486069781</v>
      </c>
      <c r="AB74" s="1075">
        <f>+'Ingresos Proyecciones'!O74-('Ingresos Proyecciones'!O74*'Ley 617'!AQ74)</f>
        <v>606062.33855125727</v>
      </c>
      <c r="AC74" s="1075">
        <f>+'Ingresos Proyecciones'!P74-('Ingresos Proyecciones'!P74*'Ley 617'!AR74)</f>
        <v>630304.83209330763</v>
      </c>
      <c r="AD74" s="1075">
        <f>+'Ingresos Proyecciones'!Q74-('Ingresos Proyecciones'!Q74*'Ley 617'!AS74)</f>
        <v>655517.02537703991</v>
      </c>
      <c r="AE74" s="1077"/>
      <c r="AF74" s="1077"/>
      <c r="AG74" s="1077"/>
      <c r="AH74" s="1077"/>
      <c r="AI74" s="1077"/>
      <c r="AJ74" s="1077"/>
      <c r="AK74" s="1077"/>
      <c r="AL74" s="1077"/>
      <c r="AM74" s="1077"/>
      <c r="AN74" s="1077"/>
      <c r="AO74" s="1077"/>
      <c r="AP74" s="1077"/>
      <c r="AQ74" s="1077"/>
      <c r="AR74" s="1077"/>
      <c r="AS74" s="1077"/>
    </row>
    <row r="75" spans="1:45" ht="12.75" customHeight="1">
      <c r="A75" s="1067" t="str">
        <f>+Ingresos!A78</f>
        <v>112050202</v>
      </c>
      <c r="B75" s="1068"/>
      <c r="C75" s="1074" t="s">
        <v>1355</v>
      </c>
      <c r="D75" s="1075">
        <f>SUM(D76:D78)</f>
        <v>22299</v>
      </c>
      <c r="E75" s="1076">
        <f>SUM(E76:E78)</f>
        <v>243930</v>
      </c>
      <c r="F75" s="1076">
        <f>SUM(F76:F78)</f>
        <v>243930</v>
      </c>
      <c r="G75" s="1101"/>
      <c r="H75" s="1081"/>
      <c r="I75" s="1071">
        <f>SUM(I76:I78)</f>
        <v>0</v>
      </c>
      <c r="J75" s="1071">
        <f>SUM(J76:J78)</f>
        <v>0</v>
      </c>
      <c r="K75" s="1071">
        <f>SUM(K76:K78)</f>
        <v>0</v>
      </c>
      <c r="L75" s="1071">
        <f>+Ingresos!C78</f>
        <v>22299</v>
      </c>
      <c r="M75" s="1071">
        <f>+Ingresos!E78</f>
        <v>243930</v>
      </c>
      <c r="N75" s="1071">
        <f>+Ingresos!H78</f>
        <v>243930</v>
      </c>
      <c r="O75" s="1388"/>
      <c r="P75" s="1070">
        <f>SUM(P76:P78)</f>
        <v>16297</v>
      </c>
      <c r="Q75" s="1071">
        <f t="shared" ref="Q75:AD75" si="40">SUM(Q76:Q78)</f>
        <v>16894</v>
      </c>
      <c r="R75" s="1071">
        <f t="shared" si="40"/>
        <v>22299</v>
      </c>
      <c r="S75" s="1071">
        <f t="shared" si="40"/>
        <v>23190.959999999999</v>
      </c>
      <c r="T75" s="1071">
        <f t="shared" si="40"/>
        <v>24118.598399999999</v>
      </c>
      <c r="U75" s="1071">
        <f t="shared" si="40"/>
        <v>25083.342336000002</v>
      </c>
      <c r="V75" s="1071">
        <f t="shared" si="40"/>
        <v>26086.676029440001</v>
      </c>
      <c r="W75" s="1071">
        <f t="shared" si="40"/>
        <v>27130.143070617603</v>
      </c>
      <c r="X75" s="1071">
        <f t="shared" si="40"/>
        <v>28215.348793442306</v>
      </c>
      <c r="Y75" s="1071">
        <f t="shared" si="40"/>
        <v>29343.962745180001</v>
      </c>
      <c r="Z75" s="1071">
        <f t="shared" si="40"/>
        <v>30517.721254987202</v>
      </c>
      <c r="AA75" s="1071">
        <f t="shared" si="40"/>
        <v>31738.43010518669</v>
      </c>
      <c r="AB75" s="1071">
        <f t="shared" si="40"/>
        <v>33007.96730939416</v>
      </c>
      <c r="AC75" s="1071">
        <f t="shared" si="40"/>
        <v>34328.286001769928</v>
      </c>
      <c r="AD75" s="1071">
        <f t="shared" si="40"/>
        <v>35701.417441840727</v>
      </c>
      <c r="AE75" s="1101"/>
      <c r="AF75" s="1101"/>
      <c r="AG75" s="1101"/>
      <c r="AH75" s="1101"/>
      <c r="AI75" s="1101"/>
      <c r="AJ75" s="1101"/>
      <c r="AK75" s="1101"/>
      <c r="AL75" s="1101"/>
      <c r="AM75" s="1101"/>
      <c r="AN75" s="1101"/>
      <c r="AO75" s="1101"/>
      <c r="AP75" s="1101"/>
      <c r="AQ75" s="1101"/>
      <c r="AR75" s="1101"/>
      <c r="AS75" s="1101"/>
    </row>
    <row r="76" spans="1:45" ht="12.75" customHeight="1">
      <c r="A76" s="1067" t="str">
        <f>+Ingresos!A79</f>
        <v>1120501020101</v>
      </c>
      <c r="B76" s="1068"/>
      <c r="C76" s="1074" t="s">
        <v>1357</v>
      </c>
      <c r="D76" s="1075">
        <f t="shared" ref="D76:F78" si="41">+L76-I76</f>
        <v>3852</v>
      </c>
      <c r="E76" s="1076">
        <f t="shared" si="41"/>
        <v>3852</v>
      </c>
      <c r="F76" s="1076">
        <f t="shared" si="41"/>
        <v>3852</v>
      </c>
      <c r="G76" s="1077"/>
      <c r="H76" s="1082"/>
      <c r="I76" s="1076">
        <f t="shared" ref="I76:K78" si="42">+$G76*L76</f>
        <v>0</v>
      </c>
      <c r="J76" s="1076">
        <f t="shared" si="42"/>
        <v>0</v>
      </c>
      <c r="K76" s="1076">
        <f t="shared" si="42"/>
        <v>0</v>
      </c>
      <c r="L76" s="1076">
        <f>+Ingresos!C79</f>
        <v>3852</v>
      </c>
      <c r="M76" s="1076">
        <f>+Ingresos!E79</f>
        <v>3852</v>
      </c>
      <c r="N76" s="1076">
        <f>+Ingresos!H79</f>
        <v>3852</v>
      </c>
      <c r="O76" s="1388"/>
      <c r="P76" s="1075">
        <f>+'Ingresos Proyecciones'!C76-('Ingresos Proyecciones'!C76*'Ley 617'!AE76)</f>
        <v>0</v>
      </c>
      <c r="Q76" s="1075">
        <f>+'Ingresos Proyecciones'!D76-('Ingresos Proyecciones'!D76*'Ley 617'!AF76)</f>
        <v>0</v>
      </c>
      <c r="R76" s="1075">
        <f>+'Ingresos Proyecciones'!E76-('Ingresos Proyecciones'!E76*'Ley 617'!AG76)</f>
        <v>3852</v>
      </c>
      <c r="S76" s="1075">
        <f>+'Ingresos Proyecciones'!F76-('Ingresos Proyecciones'!F76*'Ley 617'!AH76)</f>
        <v>4006.08</v>
      </c>
      <c r="T76" s="1075">
        <f>+'Ingresos Proyecciones'!G76-('Ingresos Proyecciones'!G76*'Ley 617'!AI76)</f>
        <v>4166.3231999999998</v>
      </c>
      <c r="U76" s="1075">
        <f>+'Ingresos Proyecciones'!H76-('Ingresos Proyecciones'!H76*'Ley 617'!AJ76)</f>
        <v>4332.9761280000002</v>
      </c>
      <c r="V76" s="1075">
        <f>+'Ingresos Proyecciones'!I76-('Ingresos Proyecciones'!I76*'Ley 617'!AK76)</f>
        <v>4506.2951731200001</v>
      </c>
      <c r="W76" s="1075">
        <f>+'Ingresos Proyecciones'!J76-('Ingresos Proyecciones'!J76*'Ley 617'!AL76)</f>
        <v>4686.5469800448</v>
      </c>
      <c r="X76" s="1075">
        <f>+'Ingresos Proyecciones'!K76-('Ingresos Proyecciones'!K76*'Ley 617'!AM76)</f>
        <v>4874.0088592465918</v>
      </c>
      <c r="Y76" s="1075">
        <f>+'Ingresos Proyecciones'!L76-('Ingresos Proyecciones'!L76*'Ley 617'!AN76)</f>
        <v>5068.9692136164558</v>
      </c>
      <c r="Z76" s="1075">
        <f>+'Ingresos Proyecciones'!M76-('Ingresos Proyecciones'!M76*'Ley 617'!AO76)</f>
        <v>5271.7279821611146</v>
      </c>
      <c r="AA76" s="1075">
        <f>+'Ingresos Proyecciones'!N76-('Ingresos Proyecciones'!N76*'Ley 617'!AP76)</f>
        <v>5482.597101447559</v>
      </c>
      <c r="AB76" s="1075">
        <f>+'Ingresos Proyecciones'!O76-('Ingresos Proyecciones'!O76*'Ley 617'!AQ76)</f>
        <v>5701.9009855054619</v>
      </c>
      <c r="AC76" s="1075">
        <f>+'Ingresos Proyecciones'!P76-('Ingresos Proyecciones'!P76*'Ley 617'!AR76)</f>
        <v>5929.9770249256808</v>
      </c>
      <c r="AD76" s="1075">
        <f>+'Ingresos Proyecciones'!Q76-('Ingresos Proyecciones'!Q76*'Ley 617'!AS76)</f>
        <v>6167.1761059227083</v>
      </c>
      <c r="AE76" s="1077"/>
      <c r="AF76" s="1077"/>
      <c r="AG76" s="1077"/>
      <c r="AH76" s="1077"/>
      <c r="AI76" s="1077"/>
      <c r="AJ76" s="1077"/>
      <c r="AK76" s="1077"/>
      <c r="AL76" s="1077"/>
      <c r="AM76" s="1077"/>
      <c r="AN76" s="1077"/>
      <c r="AO76" s="1077"/>
      <c r="AP76" s="1077"/>
      <c r="AQ76" s="1077"/>
      <c r="AR76" s="1077"/>
      <c r="AS76" s="1077"/>
    </row>
    <row r="77" spans="1:45" ht="12.75" customHeight="1">
      <c r="A77" s="1067" t="str">
        <f>+Ingresos!A80</f>
        <v>11205020806</v>
      </c>
      <c r="B77" s="1068"/>
      <c r="C77" s="1074" t="s">
        <v>1359</v>
      </c>
      <c r="D77" s="1075">
        <f t="shared" si="41"/>
        <v>18447</v>
      </c>
      <c r="E77" s="1076">
        <f t="shared" si="41"/>
        <v>18447</v>
      </c>
      <c r="F77" s="1076">
        <f t="shared" si="41"/>
        <v>18447</v>
      </c>
      <c r="G77" s="1077"/>
      <c r="H77" s="1082"/>
      <c r="I77" s="1076">
        <f t="shared" si="42"/>
        <v>0</v>
      </c>
      <c r="J77" s="1076">
        <f t="shared" si="42"/>
        <v>0</v>
      </c>
      <c r="K77" s="1076">
        <f t="shared" si="42"/>
        <v>0</v>
      </c>
      <c r="L77" s="1076">
        <f>+Ingresos!C80</f>
        <v>18447</v>
      </c>
      <c r="M77" s="1076">
        <f>+Ingresos!E80</f>
        <v>18447</v>
      </c>
      <c r="N77" s="1076">
        <f>+Ingresos!H80</f>
        <v>18447</v>
      </c>
      <c r="O77" s="1388"/>
      <c r="P77" s="1075">
        <f>+'Ingresos Proyecciones'!C77-('Ingresos Proyecciones'!C77*'Ley 617'!AE77)</f>
        <v>16297</v>
      </c>
      <c r="Q77" s="1075">
        <f>+'Ingresos Proyecciones'!D77-('Ingresos Proyecciones'!D77*'Ley 617'!AF77)</f>
        <v>16894</v>
      </c>
      <c r="R77" s="1075">
        <f>+'Ingresos Proyecciones'!E77-('Ingresos Proyecciones'!E77*'Ley 617'!AG77)</f>
        <v>18447</v>
      </c>
      <c r="S77" s="1075">
        <f>+'Ingresos Proyecciones'!F77-('Ingresos Proyecciones'!F77*'Ley 617'!AH77)</f>
        <v>19184.88</v>
      </c>
      <c r="T77" s="1075">
        <f>+'Ingresos Proyecciones'!G77-('Ingresos Proyecciones'!G77*'Ley 617'!AI77)</f>
        <v>19952.2752</v>
      </c>
      <c r="U77" s="1075">
        <f>+'Ingresos Proyecciones'!H77-('Ingresos Proyecciones'!H77*'Ley 617'!AJ77)</f>
        <v>20750.366207999999</v>
      </c>
      <c r="V77" s="1075">
        <f>+'Ingresos Proyecciones'!I77-('Ingresos Proyecciones'!I77*'Ley 617'!AK77)</f>
        <v>21580.38085632</v>
      </c>
      <c r="W77" s="1075">
        <f>+'Ingresos Proyecciones'!J77-('Ingresos Proyecciones'!J77*'Ley 617'!AL77)</f>
        <v>22443.596090572802</v>
      </c>
      <c r="X77" s="1075">
        <f>+'Ingresos Proyecciones'!K77-('Ingresos Proyecciones'!K77*'Ley 617'!AM77)</f>
        <v>23341.339934195716</v>
      </c>
      <c r="Y77" s="1075">
        <f>+'Ingresos Proyecciones'!L77-('Ingresos Proyecciones'!L77*'Ley 617'!AN77)</f>
        <v>24274.993531563545</v>
      </c>
      <c r="Z77" s="1075">
        <f>+'Ingresos Proyecciones'!M77-('Ingresos Proyecciones'!M77*'Ley 617'!AO77)</f>
        <v>25245.993272826086</v>
      </c>
      <c r="AA77" s="1075">
        <f>+'Ingresos Proyecciones'!N77-('Ingresos Proyecciones'!N77*'Ley 617'!AP77)</f>
        <v>26255.833003739132</v>
      </c>
      <c r="AB77" s="1075">
        <f>+'Ingresos Proyecciones'!O77-('Ingresos Proyecciones'!O77*'Ley 617'!AQ77)</f>
        <v>27306.066323888699</v>
      </c>
      <c r="AC77" s="1075">
        <f>+'Ingresos Proyecciones'!P77-('Ingresos Proyecciones'!P77*'Ley 617'!AR77)</f>
        <v>28398.308976844248</v>
      </c>
      <c r="AD77" s="1075">
        <f>+'Ingresos Proyecciones'!Q77-('Ingresos Proyecciones'!Q77*'Ley 617'!AS77)</f>
        <v>29534.241335918017</v>
      </c>
      <c r="AE77" s="1077"/>
      <c r="AF77" s="1077"/>
      <c r="AG77" s="1077"/>
      <c r="AH77" s="1077"/>
      <c r="AI77" s="1077"/>
      <c r="AJ77" s="1077"/>
      <c r="AK77" s="1077"/>
      <c r="AL77" s="1077"/>
      <c r="AM77" s="1077"/>
      <c r="AN77" s="1077"/>
      <c r="AO77" s="1077"/>
      <c r="AP77" s="1077"/>
      <c r="AQ77" s="1077"/>
      <c r="AR77" s="1077"/>
      <c r="AS77" s="1077"/>
    </row>
    <row r="78" spans="1:45" ht="12.75" customHeight="1">
      <c r="A78" s="1067" t="str">
        <f>+Ingresos!A81</f>
        <v>11205010298</v>
      </c>
      <c r="B78" s="1068"/>
      <c r="C78" s="1074" t="s">
        <v>1361</v>
      </c>
      <c r="D78" s="1075">
        <f t="shared" si="41"/>
        <v>0</v>
      </c>
      <c r="E78" s="1076">
        <f t="shared" si="41"/>
        <v>221631</v>
      </c>
      <c r="F78" s="1076">
        <f t="shared" si="41"/>
        <v>221631</v>
      </c>
      <c r="G78" s="1077"/>
      <c r="H78" s="1082"/>
      <c r="I78" s="1076">
        <f t="shared" si="42"/>
        <v>0</v>
      </c>
      <c r="J78" s="1076">
        <f t="shared" si="42"/>
        <v>0</v>
      </c>
      <c r="K78" s="1076">
        <f t="shared" si="42"/>
        <v>0</v>
      </c>
      <c r="L78" s="1076">
        <f>+Ingresos!C81</f>
        <v>0</v>
      </c>
      <c r="M78" s="1076">
        <f>+Ingresos!E81</f>
        <v>221631</v>
      </c>
      <c r="N78" s="1076">
        <f>+Ingresos!H81</f>
        <v>221631</v>
      </c>
      <c r="O78" s="1388"/>
      <c r="P78" s="1075">
        <f>+'Ingresos Proyecciones'!C78-('Ingresos Proyecciones'!C78*'Ley 617'!AE78)</f>
        <v>0</v>
      </c>
      <c r="Q78" s="1075">
        <f>+'Ingresos Proyecciones'!D78-('Ingresos Proyecciones'!D78*'Ley 617'!AF78)</f>
        <v>0</v>
      </c>
      <c r="R78" s="1075">
        <f>+'Ingresos Proyecciones'!E78-('Ingresos Proyecciones'!E78*'Ley 617'!AG78)</f>
        <v>0</v>
      </c>
      <c r="S78" s="1075">
        <f>+'Ingresos Proyecciones'!F78-('Ingresos Proyecciones'!F78*'Ley 617'!AH78)</f>
        <v>0</v>
      </c>
      <c r="T78" s="1075">
        <f>+'Ingresos Proyecciones'!G78-('Ingresos Proyecciones'!G78*'Ley 617'!AI78)</f>
        <v>0</v>
      </c>
      <c r="U78" s="1075">
        <f>+'Ingresos Proyecciones'!H78-('Ingresos Proyecciones'!H78*'Ley 617'!AJ78)</f>
        <v>0</v>
      </c>
      <c r="V78" s="1075">
        <f>+'Ingresos Proyecciones'!I78-('Ingresos Proyecciones'!I78*'Ley 617'!AK78)</f>
        <v>0</v>
      </c>
      <c r="W78" s="1075">
        <f>+'Ingresos Proyecciones'!J78-('Ingresos Proyecciones'!J78*'Ley 617'!AL78)</f>
        <v>0</v>
      </c>
      <c r="X78" s="1075">
        <f>+'Ingresos Proyecciones'!K78-('Ingresos Proyecciones'!K78*'Ley 617'!AM78)</f>
        <v>0</v>
      </c>
      <c r="Y78" s="1075">
        <f>+'Ingresos Proyecciones'!L78-('Ingresos Proyecciones'!L78*'Ley 617'!AN78)</f>
        <v>0</v>
      </c>
      <c r="Z78" s="1075">
        <f>+'Ingresos Proyecciones'!M78-('Ingresos Proyecciones'!M78*'Ley 617'!AO78)</f>
        <v>0</v>
      </c>
      <c r="AA78" s="1075">
        <f>+'Ingresos Proyecciones'!N78-('Ingresos Proyecciones'!N78*'Ley 617'!AP78)</f>
        <v>0</v>
      </c>
      <c r="AB78" s="1075">
        <f>+'Ingresos Proyecciones'!O78-('Ingresos Proyecciones'!O78*'Ley 617'!AQ78)</f>
        <v>0</v>
      </c>
      <c r="AC78" s="1075">
        <f>+'Ingresos Proyecciones'!P78-('Ingresos Proyecciones'!P78*'Ley 617'!AR78)</f>
        <v>0</v>
      </c>
      <c r="AD78" s="1075">
        <f>+'Ingresos Proyecciones'!Q78-('Ingresos Proyecciones'!Q78*'Ley 617'!AS78)</f>
        <v>0</v>
      </c>
      <c r="AE78" s="1077">
        <v>1</v>
      </c>
      <c r="AF78" s="1077">
        <v>1</v>
      </c>
      <c r="AG78" s="1077">
        <v>1</v>
      </c>
      <c r="AH78" s="1077">
        <v>1</v>
      </c>
      <c r="AI78" s="1077">
        <v>1</v>
      </c>
      <c r="AJ78" s="1077">
        <v>1</v>
      </c>
      <c r="AK78" s="1077">
        <v>1</v>
      </c>
      <c r="AL78" s="1077">
        <v>1</v>
      </c>
      <c r="AM78" s="1077">
        <v>1</v>
      </c>
      <c r="AN78" s="1077">
        <v>1</v>
      </c>
      <c r="AO78" s="1077">
        <v>1</v>
      </c>
      <c r="AP78" s="1077">
        <v>1</v>
      </c>
      <c r="AQ78" s="1077">
        <v>1</v>
      </c>
      <c r="AR78" s="1077">
        <v>1</v>
      </c>
      <c r="AS78" s="1077">
        <v>1</v>
      </c>
    </row>
    <row r="79" spans="1:45" ht="12.75" customHeight="1">
      <c r="A79" s="1067" t="str">
        <f>+Ingresos!A82</f>
        <v>11206</v>
      </c>
      <c r="B79" s="1068"/>
      <c r="C79" s="1074" t="s">
        <v>1363</v>
      </c>
      <c r="D79" s="1075">
        <f>SUM(D80:D82)</f>
        <v>0</v>
      </c>
      <c r="E79" s="1076">
        <f>SUM(E80:E82)</f>
        <v>0</v>
      </c>
      <c r="F79" s="1076">
        <f>SUM(F80:F82)</f>
        <v>0</v>
      </c>
      <c r="G79" s="1101"/>
      <c r="H79" s="1081"/>
      <c r="I79" s="1071">
        <f>SUM(I80:I82)</f>
        <v>17378</v>
      </c>
      <c r="J79" s="1071">
        <f>SUM(J80:J82)</f>
        <v>17378</v>
      </c>
      <c r="K79" s="1071">
        <f>SUM(K80:K82)</f>
        <v>17378</v>
      </c>
      <c r="L79" s="1071">
        <f>+Ingresos!C82</f>
        <v>17378</v>
      </c>
      <c r="M79" s="1071">
        <f>+Ingresos!E82</f>
        <v>17378</v>
      </c>
      <c r="N79" s="1071">
        <f>+Ingresos!H82</f>
        <v>17378</v>
      </c>
      <c r="O79" s="1388"/>
      <c r="P79" s="1070">
        <f>SUM(P80:P82)</f>
        <v>0</v>
      </c>
      <c r="Q79" s="1071">
        <f t="shared" ref="Q79:AD79" si="43">SUM(Q80:Q82)</f>
        <v>0</v>
      </c>
      <c r="R79" s="1071">
        <f t="shared" si="43"/>
        <v>0</v>
      </c>
      <c r="S79" s="1071">
        <f t="shared" si="43"/>
        <v>0</v>
      </c>
      <c r="T79" s="1071">
        <f t="shared" si="43"/>
        <v>0</v>
      </c>
      <c r="U79" s="1071">
        <f t="shared" si="43"/>
        <v>0</v>
      </c>
      <c r="V79" s="1071">
        <f t="shared" si="43"/>
        <v>0</v>
      </c>
      <c r="W79" s="1071">
        <f t="shared" si="43"/>
        <v>0</v>
      </c>
      <c r="X79" s="1071">
        <f t="shared" si="43"/>
        <v>0</v>
      </c>
      <c r="Y79" s="1071">
        <f t="shared" si="43"/>
        <v>0</v>
      </c>
      <c r="Z79" s="1071">
        <f t="shared" si="43"/>
        <v>0</v>
      </c>
      <c r="AA79" s="1071">
        <f t="shared" si="43"/>
        <v>0</v>
      </c>
      <c r="AB79" s="1071">
        <f t="shared" si="43"/>
        <v>0</v>
      </c>
      <c r="AC79" s="1071">
        <f t="shared" si="43"/>
        <v>0</v>
      </c>
      <c r="AD79" s="1071">
        <f t="shared" si="43"/>
        <v>0</v>
      </c>
      <c r="AE79" s="1101">
        <v>1</v>
      </c>
      <c r="AF79" s="1101">
        <v>1</v>
      </c>
      <c r="AG79" s="1101">
        <v>1</v>
      </c>
      <c r="AH79" s="1101">
        <v>1</v>
      </c>
      <c r="AI79" s="1101">
        <v>1</v>
      </c>
      <c r="AJ79" s="1101">
        <v>1</v>
      </c>
      <c r="AK79" s="1101">
        <v>1</v>
      </c>
      <c r="AL79" s="1101">
        <v>1</v>
      </c>
      <c r="AM79" s="1101">
        <v>1</v>
      </c>
      <c r="AN79" s="1101">
        <v>1</v>
      </c>
      <c r="AO79" s="1101">
        <v>1</v>
      </c>
      <c r="AP79" s="1101">
        <v>1</v>
      </c>
      <c r="AQ79" s="1101">
        <v>1</v>
      </c>
      <c r="AR79" s="1101">
        <v>1</v>
      </c>
      <c r="AS79" s="1101">
        <v>1</v>
      </c>
    </row>
    <row r="80" spans="1:45" ht="12.75" customHeight="1">
      <c r="A80" s="1067" t="str">
        <f>+Ingresos!A83</f>
        <v>1120601</v>
      </c>
      <c r="B80" s="1068"/>
      <c r="C80" s="1074" t="s">
        <v>1365</v>
      </c>
      <c r="D80" s="1075">
        <f t="shared" ref="D80:F83" si="44">+L80-I80</f>
        <v>0</v>
      </c>
      <c r="E80" s="1076">
        <f t="shared" si="44"/>
        <v>0</v>
      </c>
      <c r="F80" s="1076">
        <f t="shared" si="44"/>
        <v>0</v>
      </c>
      <c r="G80" s="1077"/>
      <c r="H80" s="1082"/>
      <c r="I80" s="1076">
        <f t="shared" ref="I80:K83" si="45">+$G80*L80</f>
        <v>0</v>
      </c>
      <c r="J80" s="1076">
        <f t="shared" si="45"/>
        <v>0</v>
      </c>
      <c r="K80" s="1076">
        <f t="shared" si="45"/>
        <v>0</v>
      </c>
      <c r="L80" s="1076">
        <f>+Ingresos!C83</f>
        <v>0</v>
      </c>
      <c r="M80" s="1076">
        <f>+Ingresos!E83</f>
        <v>0</v>
      </c>
      <c r="N80" s="1076">
        <f>+Ingresos!H83</f>
        <v>0</v>
      </c>
      <c r="O80" s="1388"/>
      <c r="P80" s="1075">
        <f>+'Ingresos Proyecciones'!C80-('Ingresos Proyecciones'!C80*'Ley 617'!AE80)</f>
        <v>0</v>
      </c>
      <c r="Q80" s="1075">
        <f>+'Ingresos Proyecciones'!D80-('Ingresos Proyecciones'!D80*'Ley 617'!AF80)</f>
        <v>0</v>
      </c>
      <c r="R80" s="1075">
        <f>+'Ingresos Proyecciones'!E80-('Ingresos Proyecciones'!E80*'Ley 617'!AG80)</f>
        <v>0</v>
      </c>
      <c r="S80" s="1075">
        <f>+'Ingresos Proyecciones'!F80-('Ingresos Proyecciones'!F80*'Ley 617'!AH80)</f>
        <v>0</v>
      </c>
      <c r="T80" s="1075">
        <f>+'Ingresos Proyecciones'!G80-('Ingresos Proyecciones'!G80*'Ley 617'!AI80)</f>
        <v>0</v>
      </c>
      <c r="U80" s="1075">
        <f>+'Ingresos Proyecciones'!H80-('Ingresos Proyecciones'!H80*'Ley 617'!AJ80)</f>
        <v>0</v>
      </c>
      <c r="V80" s="1075">
        <f>+'Ingresos Proyecciones'!I80-('Ingresos Proyecciones'!I80*'Ley 617'!AK80)</f>
        <v>0</v>
      </c>
      <c r="W80" s="1075">
        <f>+'Ingresos Proyecciones'!J80-('Ingresos Proyecciones'!J80*'Ley 617'!AL80)</f>
        <v>0</v>
      </c>
      <c r="X80" s="1075">
        <f>+'Ingresos Proyecciones'!K80-('Ingresos Proyecciones'!K80*'Ley 617'!AM80)</f>
        <v>0</v>
      </c>
      <c r="Y80" s="1075">
        <f>+'Ingresos Proyecciones'!L80-('Ingresos Proyecciones'!L80*'Ley 617'!AN80)</f>
        <v>0</v>
      </c>
      <c r="Z80" s="1075">
        <f>+'Ingresos Proyecciones'!M80-('Ingresos Proyecciones'!M80*'Ley 617'!AO80)</f>
        <v>0</v>
      </c>
      <c r="AA80" s="1075">
        <f>+'Ingresos Proyecciones'!N80-('Ingresos Proyecciones'!N80*'Ley 617'!AP80)</f>
        <v>0</v>
      </c>
      <c r="AB80" s="1075">
        <f>+'Ingresos Proyecciones'!O80-('Ingresos Proyecciones'!O80*'Ley 617'!AQ80)</f>
        <v>0</v>
      </c>
      <c r="AC80" s="1075">
        <f>+'Ingresos Proyecciones'!P80-('Ingresos Proyecciones'!P80*'Ley 617'!AR80)</f>
        <v>0</v>
      </c>
      <c r="AD80" s="1075">
        <f>+'Ingresos Proyecciones'!Q80-('Ingresos Proyecciones'!Q80*'Ley 617'!AS80)</f>
        <v>0</v>
      </c>
      <c r="AE80" s="1077"/>
      <c r="AF80" s="1077"/>
      <c r="AG80" s="1077"/>
      <c r="AH80" s="1077"/>
      <c r="AI80" s="1077"/>
      <c r="AJ80" s="1077"/>
      <c r="AK80" s="1077"/>
      <c r="AL80" s="1077"/>
      <c r="AM80" s="1077"/>
      <c r="AN80" s="1077"/>
      <c r="AO80" s="1077"/>
      <c r="AP80" s="1077"/>
      <c r="AQ80" s="1077"/>
      <c r="AR80" s="1077"/>
      <c r="AS80" s="1077"/>
    </row>
    <row r="81" spans="1:82" ht="12.75" customHeight="1">
      <c r="A81" s="1067" t="str">
        <f>+Ingresos!A84</f>
        <v>1120605</v>
      </c>
      <c r="B81" s="1068"/>
      <c r="C81" s="1074" t="s">
        <v>1367</v>
      </c>
      <c r="D81" s="1075">
        <f t="shared" si="44"/>
        <v>0</v>
      </c>
      <c r="E81" s="1076">
        <f t="shared" si="44"/>
        <v>0</v>
      </c>
      <c r="F81" s="1076">
        <f t="shared" si="44"/>
        <v>0</v>
      </c>
      <c r="G81" s="1077">
        <v>1</v>
      </c>
      <c r="H81" s="1082" t="s">
        <v>1374</v>
      </c>
      <c r="I81" s="1076">
        <f t="shared" si="45"/>
        <v>17378</v>
      </c>
      <c r="J81" s="1076">
        <f t="shared" si="45"/>
        <v>17378</v>
      </c>
      <c r="K81" s="1076">
        <f t="shared" si="45"/>
        <v>17378</v>
      </c>
      <c r="L81" s="1076">
        <f>+Ingresos!C84</f>
        <v>17378</v>
      </c>
      <c r="M81" s="1076">
        <f>+Ingresos!E84</f>
        <v>17378</v>
      </c>
      <c r="N81" s="1076">
        <f>+Ingresos!H84</f>
        <v>17378</v>
      </c>
      <c r="O81" s="1388"/>
      <c r="P81" s="1075">
        <f>+'Ingresos Proyecciones'!C81-('Ingresos Proyecciones'!C81*'Ley 617'!AE81)</f>
        <v>0</v>
      </c>
      <c r="Q81" s="1075">
        <f>+'Ingresos Proyecciones'!D81-('Ingresos Proyecciones'!D81*'Ley 617'!AF81)</f>
        <v>0</v>
      </c>
      <c r="R81" s="1075">
        <f>+'Ingresos Proyecciones'!E81-('Ingresos Proyecciones'!E81*'Ley 617'!AG81)</f>
        <v>0</v>
      </c>
      <c r="S81" s="1075">
        <f>+'Ingresos Proyecciones'!F81-('Ingresos Proyecciones'!F81*'Ley 617'!AH81)</f>
        <v>0</v>
      </c>
      <c r="T81" s="1075">
        <f>+'Ingresos Proyecciones'!G81-('Ingresos Proyecciones'!G81*'Ley 617'!AI81)</f>
        <v>0</v>
      </c>
      <c r="U81" s="1075">
        <f>+'Ingresos Proyecciones'!H81-('Ingresos Proyecciones'!H81*'Ley 617'!AJ81)</f>
        <v>0</v>
      </c>
      <c r="V81" s="1075">
        <f>+'Ingresos Proyecciones'!I81-('Ingresos Proyecciones'!I81*'Ley 617'!AK81)</f>
        <v>0</v>
      </c>
      <c r="W81" s="1075">
        <f>+'Ingresos Proyecciones'!J81-('Ingresos Proyecciones'!J81*'Ley 617'!AL81)</f>
        <v>0</v>
      </c>
      <c r="X81" s="1075">
        <f>+'Ingresos Proyecciones'!K81-('Ingresos Proyecciones'!K81*'Ley 617'!AM81)</f>
        <v>0</v>
      </c>
      <c r="Y81" s="1075">
        <f>+'Ingresos Proyecciones'!L81-('Ingresos Proyecciones'!L81*'Ley 617'!AN81)</f>
        <v>0</v>
      </c>
      <c r="Z81" s="1075">
        <f>+'Ingresos Proyecciones'!M81-('Ingresos Proyecciones'!M81*'Ley 617'!AO81)</f>
        <v>0</v>
      </c>
      <c r="AA81" s="1075">
        <f>+'Ingresos Proyecciones'!N81-('Ingresos Proyecciones'!N81*'Ley 617'!AP81)</f>
        <v>0</v>
      </c>
      <c r="AB81" s="1075">
        <f>+'Ingresos Proyecciones'!O81-('Ingresos Proyecciones'!O81*'Ley 617'!AQ81)</f>
        <v>0</v>
      </c>
      <c r="AC81" s="1075">
        <f>+'Ingresos Proyecciones'!P81-('Ingresos Proyecciones'!P81*'Ley 617'!AR81)</f>
        <v>0</v>
      </c>
      <c r="AD81" s="1075">
        <f>+'Ingresos Proyecciones'!Q81-('Ingresos Proyecciones'!Q81*'Ley 617'!AS81)</f>
        <v>0</v>
      </c>
      <c r="AE81" s="1077">
        <v>1</v>
      </c>
      <c r="AF81" s="1077">
        <v>1</v>
      </c>
      <c r="AG81" s="1077">
        <v>1</v>
      </c>
      <c r="AH81" s="1077">
        <v>1</v>
      </c>
      <c r="AI81" s="1077">
        <v>1</v>
      </c>
      <c r="AJ81" s="1077">
        <v>1</v>
      </c>
      <c r="AK81" s="1077">
        <v>1</v>
      </c>
      <c r="AL81" s="1077">
        <v>1</v>
      </c>
      <c r="AM81" s="1077">
        <v>1</v>
      </c>
      <c r="AN81" s="1077">
        <v>1</v>
      </c>
      <c r="AO81" s="1077">
        <v>1</v>
      </c>
      <c r="AP81" s="1077">
        <v>1</v>
      </c>
      <c r="AQ81" s="1077">
        <v>1</v>
      </c>
      <c r="AR81" s="1077">
        <v>1</v>
      </c>
      <c r="AS81" s="1077">
        <v>1</v>
      </c>
    </row>
    <row r="82" spans="1:82" ht="12.75" customHeight="1">
      <c r="A82" s="1067" t="str">
        <f>+Ingresos!A85</f>
        <v>5A</v>
      </c>
      <c r="B82" s="1068"/>
      <c r="C82" s="1074" t="s">
        <v>1369</v>
      </c>
      <c r="D82" s="1075">
        <f t="shared" si="44"/>
        <v>0</v>
      </c>
      <c r="E82" s="1076">
        <f t="shared" si="44"/>
        <v>0</v>
      </c>
      <c r="F82" s="1076">
        <f t="shared" si="44"/>
        <v>0</v>
      </c>
      <c r="G82" s="1077"/>
      <c r="H82" s="1082"/>
      <c r="I82" s="1076">
        <f t="shared" si="45"/>
        <v>0</v>
      </c>
      <c r="J82" s="1076">
        <f t="shared" si="45"/>
        <v>0</v>
      </c>
      <c r="K82" s="1076">
        <f t="shared" si="45"/>
        <v>0</v>
      </c>
      <c r="L82" s="1076">
        <f>+Ingresos!C85</f>
        <v>0</v>
      </c>
      <c r="M82" s="1076">
        <f>+Ingresos!E85</f>
        <v>0</v>
      </c>
      <c r="N82" s="1076">
        <f>+Ingresos!H85</f>
        <v>0</v>
      </c>
      <c r="O82" s="1388"/>
      <c r="P82" s="1075">
        <f>+'Ingresos Proyecciones'!C82-('Ingresos Proyecciones'!C82*'Ley 617'!AE82)</f>
        <v>0</v>
      </c>
      <c r="Q82" s="1075">
        <f>+'Ingresos Proyecciones'!D82-('Ingresos Proyecciones'!D82*'Ley 617'!AF82)</f>
        <v>0</v>
      </c>
      <c r="R82" s="1075">
        <f>+'Ingresos Proyecciones'!E82-('Ingresos Proyecciones'!E82*'Ley 617'!AG82)</f>
        <v>0</v>
      </c>
      <c r="S82" s="1075">
        <f>+'Ingresos Proyecciones'!F82-('Ingresos Proyecciones'!F82*'Ley 617'!AH82)</f>
        <v>0</v>
      </c>
      <c r="T82" s="1075">
        <f>+'Ingresos Proyecciones'!G82-('Ingresos Proyecciones'!G82*'Ley 617'!AI82)</f>
        <v>0</v>
      </c>
      <c r="U82" s="1075">
        <f>+'Ingresos Proyecciones'!H82-('Ingresos Proyecciones'!H82*'Ley 617'!AJ82)</f>
        <v>0</v>
      </c>
      <c r="V82" s="1075">
        <f>+'Ingresos Proyecciones'!I82-('Ingresos Proyecciones'!I82*'Ley 617'!AK82)</f>
        <v>0</v>
      </c>
      <c r="W82" s="1075">
        <f>+'Ingresos Proyecciones'!J82-('Ingresos Proyecciones'!J82*'Ley 617'!AL82)</f>
        <v>0</v>
      </c>
      <c r="X82" s="1075">
        <f>+'Ingresos Proyecciones'!K82-('Ingresos Proyecciones'!K82*'Ley 617'!AM82)</f>
        <v>0</v>
      </c>
      <c r="Y82" s="1075">
        <f>+'Ingresos Proyecciones'!L82-('Ingresos Proyecciones'!L82*'Ley 617'!AN82)</f>
        <v>0</v>
      </c>
      <c r="Z82" s="1075">
        <f>+'Ingresos Proyecciones'!M82-('Ingresos Proyecciones'!M82*'Ley 617'!AO82)</f>
        <v>0</v>
      </c>
      <c r="AA82" s="1075">
        <f>+'Ingresos Proyecciones'!N82-('Ingresos Proyecciones'!N82*'Ley 617'!AP82)</f>
        <v>0</v>
      </c>
      <c r="AB82" s="1075">
        <f>+'Ingresos Proyecciones'!O82-('Ingresos Proyecciones'!O82*'Ley 617'!AQ82)</f>
        <v>0</v>
      </c>
      <c r="AC82" s="1075">
        <f>+'Ingresos Proyecciones'!P82-('Ingresos Proyecciones'!P82*'Ley 617'!AR82)</f>
        <v>0</v>
      </c>
      <c r="AD82" s="1075">
        <f>+'Ingresos Proyecciones'!Q82-('Ingresos Proyecciones'!Q82*'Ley 617'!AS82)</f>
        <v>0</v>
      </c>
      <c r="AE82" s="1077">
        <v>1</v>
      </c>
      <c r="AF82" s="1077">
        <v>1</v>
      </c>
      <c r="AG82" s="1077">
        <v>1</v>
      </c>
      <c r="AH82" s="1077">
        <v>1</v>
      </c>
      <c r="AI82" s="1077">
        <v>1</v>
      </c>
      <c r="AJ82" s="1077">
        <v>1</v>
      </c>
      <c r="AK82" s="1077">
        <v>1</v>
      </c>
      <c r="AL82" s="1077">
        <v>1</v>
      </c>
      <c r="AM82" s="1077">
        <v>1</v>
      </c>
      <c r="AN82" s="1077">
        <v>1</v>
      </c>
      <c r="AO82" s="1077">
        <v>1</v>
      </c>
      <c r="AP82" s="1077">
        <v>1</v>
      </c>
      <c r="AQ82" s="1077">
        <v>1</v>
      </c>
      <c r="AR82" s="1077">
        <v>1</v>
      </c>
      <c r="AS82" s="1077">
        <v>1</v>
      </c>
    </row>
    <row r="83" spans="1:82" ht="12.75" customHeight="1">
      <c r="A83" s="1067" t="str">
        <f>+Ingresos!A86</f>
        <v>11298</v>
      </c>
      <c r="B83" s="1068"/>
      <c r="C83" s="1074" t="s">
        <v>1371</v>
      </c>
      <c r="D83" s="1075">
        <f t="shared" si="44"/>
        <v>41631</v>
      </c>
      <c r="E83" s="1076">
        <f t="shared" si="44"/>
        <v>0</v>
      </c>
      <c r="F83" s="1076">
        <f t="shared" si="44"/>
        <v>0</v>
      </c>
      <c r="G83" s="1077"/>
      <c r="H83" s="1082"/>
      <c r="I83" s="1076">
        <f t="shared" si="45"/>
        <v>0</v>
      </c>
      <c r="J83" s="1076">
        <f t="shared" si="45"/>
        <v>0</v>
      </c>
      <c r="K83" s="1076">
        <f t="shared" si="45"/>
        <v>0</v>
      </c>
      <c r="L83" s="1071">
        <f>+Ingresos!C86</f>
        <v>41631</v>
      </c>
      <c r="M83" s="1071">
        <f>+Ingresos!E86</f>
        <v>0</v>
      </c>
      <c r="N83" s="1076">
        <f>+Ingresos!H86</f>
        <v>0</v>
      </c>
      <c r="O83" s="1388"/>
      <c r="P83" s="1075">
        <f>+'Ingresos Proyecciones'!C83-('Ingresos Proyecciones'!C83*'Ley 617'!AE83)</f>
        <v>145728</v>
      </c>
      <c r="Q83" s="1075">
        <f>+'Ingresos Proyecciones'!D83-('Ingresos Proyecciones'!D83*'Ley 617'!AF83)</f>
        <v>460482</v>
      </c>
      <c r="R83" s="1075">
        <f>+'Ingresos Proyecciones'!E83-('Ingresos Proyecciones'!E83*'Ley 617'!AG83)</f>
        <v>41631</v>
      </c>
      <c r="S83" s="1075">
        <f>+'Ingresos Proyecciones'!F83-('Ingresos Proyecciones'!F83*'Ley 617'!AH83)</f>
        <v>300000</v>
      </c>
      <c r="T83" s="1075">
        <f>+'Ingresos Proyecciones'!G83-('Ingresos Proyecciones'!G83*'Ley 617'!AI83)</f>
        <v>312000</v>
      </c>
      <c r="U83" s="1075">
        <f>+'Ingresos Proyecciones'!H83-('Ingresos Proyecciones'!H83*'Ley 617'!AJ83)</f>
        <v>324480</v>
      </c>
      <c r="V83" s="1075">
        <f>+'Ingresos Proyecciones'!I83-('Ingresos Proyecciones'!I83*'Ley 617'!AK83)</f>
        <v>337459.20000000001</v>
      </c>
      <c r="W83" s="1075">
        <f>+'Ingresos Proyecciones'!J83-('Ingresos Proyecciones'!J83*'Ley 617'!AL83)</f>
        <v>350957.56800000003</v>
      </c>
      <c r="X83" s="1075">
        <f>+'Ingresos Proyecciones'!K83-('Ingresos Proyecciones'!K83*'Ley 617'!AM83)</f>
        <v>364995.87072000006</v>
      </c>
      <c r="Y83" s="1075">
        <f>+'Ingresos Proyecciones'!L83-('Ingresos Proyecciones'!L83*'Ley 617'!AN83)</f>
        <v>379595.70554880006</v>
      </c>
      <c r="Z83" s="1075">
        <f>+'Ingresos Proyecciones'!M83-('Ingresos Proyecciones'!M83*'Ley 617'!AO83)</f>
        <v>394779.53377075208</v>
      </c>
      <c r="AA83" s="1075">
        <f>+'Ingresos Proyecciones'!N83-('Ingresos Proyecciones'!N83*'Ley 617'!AP83)</f>
        <v>410570.71512158215</v>
      </c>
      <c r="AB83" s="1075">
        <f>+'Ingresos Proyecciones'!O83-('Ingresos Proyecciones'!O83*'Ley 617'!AQ83)</f>
        <v>426993.54372644547</v>
      </c>
      <c r="AC83" s="1075">
        <f>+'Ingresos Proyecciones'!P83-('Ingresos Proyecciones'!P83*'Ley 617'!AR83)</f>
        <v>444073.2854755033</v>
      </c>
      <c r="AD83" s="1075">
        <f>+'Ingresos Proyecciones'!Q83-('Ingresos Proyecciones'!Q83*'Ley 617'!AS83)</f>
        <v>461836.21689452347</v>
      </c>
      <c r="AE83" s="1077"/>
      <c r="AF83" s="1077"/>
      <c r="AG83" s="1077"/>
      <c r="AH83" s="1077"/>
      <c r="AI83" s="1077"/>
      <c r="AJ83" s="1077"/>
      <c r="AK83" s="1077"/>
      <c r="AL83" s="1077"/>
      <c r="AM83" s="1077"/>
      <c r="AN83" s="1077"/>
      <c r="AO83" s="1077"/>
      <c r="AP83" s="1077"/>
      <c r="AQ83" s="1077"/>
      <c r="AR83" s="1077"/>
      <c r="AS83" s="1077"/>
    </row>
    <row r="84" spans="1:82" ht="12.75" customHeight="1">
      <c r="A84" s="1067" t="str">
        <f>+Ingresos!A113</f>
        <v>12202</v>
      </c>
      <c r="B84" s="1068"/>
      <c r="C84" s="1074" t="s">
        <v>52</v>
      </c>
      <c r="D84" s="1090"/>
      <c r="E84" s="1091"/>
      <c r="F84" s="1092"/>
      <c r="G84" s="1101"/>
      <c r="H84" s="1081"/>
      <c r="I84" s="1091"/>
      <c r="J84" s="1091"/>
      <c r="K84" s="1091"/>
      <c r="L84" s="1093"/>
      <c r="M84" s="1093"/>
      <c r="N84" s="1093"/>
      <c r="O84" s="1388"/>
      <c r="P84" s="1094"/>
      <c r="Q84" s="1094"/>
      <c r="R84" s="1094"/>
      <c r="S84" s="1094"/>
      <c r="T84" s="1094"/>
      <c r="U84" s="1094"/>
      <c r="V84" s="1094"/>
      <c r="W84" s="1094"/>
      <c r="X84" s="1094"/>
      <c r="Y84" s="1094"/>
      <c r="Z84" s="1094"/>
      <c r="AA84" s="1094"/>
      <c r="AB84" s="1094"/>
      <c r="AC84" s="1094"/>
      <c r="AD84" s="1094"/>
      <c r="AE84" s="1101"/>
      <c r="AF84" s="1101"/>
      <c r="AG84" s="1101"/>
      <c r="AH84" s="1101"/>
      <c r="AI84" s="1101"/>
      <c r="AJ84" s="1101"/>
      <c r="AK84" s="1101"/>
      <c r="AL84" s="1101"/>
      <c r="AM84" s="1101"/>
      <c r="AN84" s="1101"/>
      <c r="AO84" s="1101"/>
      <c r="AP84" s="1101"/>
      <c r="AQ84" s="1101"/>
      <c r="AR84" s="1101"/>
      <c r="AS84" s="1101"/>
    </row>
    <row r="85" spans="1:82" ht="13.5" customHeight="1" thickBot="1">
      <c r="A85" s="1095" t="str">
        <f>+Ingresos!A114</f>
        <v>1220201</v>
      </c>
      <c r="B85" s="1096"/>
      <c r="C85" s="1097" t="s">
        <v>54</v>
      </c>
      <c r="D85" s="1098">
        <f>+L85-I85</f>
        <v>231003</v>
      </c>
      <c r="E85" s="1099">
        <f>+M85-J85</f>
        <v>231003</v>
      </c>
      <c r="F85" s="1099">
        <f>+N85-K85</f>
        <v>231003</v>
      </c>
      <c r="G85" s="1077"/>
      <c r="H85" s="1100"/>
      <c r="I85" s="1099">
        <f t="shared" ref="I85:K86" si="46">+$G85*L85</f>
        <v>0</v>
      </c>
      <c r="J85" s="1099">
        <f t="shared" si="46"/>
        <v>0</v>
      </c>
      <c r="K85" s="1099">
        <f t="shared" si="46"/>
        <v>0</v>
      </c>
      <c r="L85" s="1099">
        <f>+Ingresos!C114</f>
        <v>231003</v>
      </c>
      <c r="M85" s="1099">
        <f>+Ingresos!E114</f>
        <v>231003</v>
      </c>
      <c r="N85" s="1099">
        <f>+Ingresos!H114</f>
        <v>231003</v>
      </c>
      <c r="O85" s="1391"/>
      <c r="P85" s="1098">
        <f>+'Ingresos Proyecciones'!C111-('Ingresos Proyecciones'!C111*'Ley 617'!AE85)</f>
        <v>213575</v>
      </c>
      <c r="Q85" s="1098">
        <f>+'Ingresos Proyecciones'!D111-('Ingresos Proyecciones'!D111*'Ley 617'!AF85)</f>
        <v>222118</v>
      </c>
      <c r="R85" s="1098">
        <f>+'Ingresos Proyecciones'!E111-('Ingresos Proyecciones'!E111*'Ley 617'!AG85)</f>
        <v>231003</v>
      </c>
      <c r="S85" s="1098">
        <f>+'Ingresos Proyecciones'!F111-('Ingresos Proyecciones'!F111*'Ley 617'!AH85)</f>
        <v>240243.12</v>
      </c>
      <c r="T85" s="1098">
        <f>+'Ingresos Proyecciones'!G111-('Ingresos Proyecciones'!G111*'Ley 617'!AI85)</f>
        <v>249852.84479999999</v>
      </c>
      <c r="U85" s="1098">
        <f>+'Ingresos Proyecciones'!H111-('Ingresos Proyecciones'!H111*'Ley 617'!AJ85)</f>
        <v>259846.95859200001</v>
      </c>
      <c r="V85" s="1098">
        <f>+'Ingresos Proyecciones'!I111-('Ingresos Proyecciones'!I111*'Ley 617'!AK85)</f>
        <v>270240.83693568001</v>
      </c>
      <c r="W85" s="1098">
        <f>+'Ingresos Proyecciones'!J111-('Ingresos Proyecciones'!J111*'Ley 617'!AL85)</f>
        <v>281050.47041310719</v>
      </c>
      <c r="X85" s="1098">
        <f>+'Ingresos Proyecciones'!K111-('Ingresos Proyecciones'!K111*'Ley 617'!AM85)</f>
        <v>292292.48922963149</v>
      </c>
      <c r="Y85" s="1098">
        <f>+'Ingresos Proyecciones'!L111-('Ingresos Proyecciones'!L111*'Ley 617'!AN85)</f>
        <v>303984.18879881676</v>
      </c>
      <c r="Z85" s="1098">
        <f>+'Ingresos Proyecciones'!M111-('Ingresos Proyecciones'!M111*'Ley 617'!AO85)</f>
        <v>316143.55635076942</v>
      </c>
      <c r="AA85" s="1098">
        <f>+'Ingresos Proyecciones'!N111-('Ingresos Proyecciones'!N111*'Ley 617'!AP85)</f>
        <v>328789.29860480019</v>
      </c>
      <c r="AB85" s="1098">
        <f>+'Ingresos Proyecciones'!O111-('Ingresos Proyecciones'!O111*'Ley 617'!AQ85)</f>
        <v>341940.87054899218</v>
      </c>
      <c r="AC85" s="1098">
        <f>+'Ingresos Proyecciones'!P111-('Ingresos Proyecciones'!P111*'Ley 617'!AR85)</f>
        <v>355618.5053709519</v>
      </c>
      <c r="AD85" s="1098">
        <f>+'Ingresos Proyecciones'!Q111-('Ingresos Proyecciones'!Q111*'Ley 617'!AS85)</f>
        <v>369843.24558578996</v>
      </c>
      <c r="AE85" s="1077"/>
      <c r="AF85" s="1077"/>
      <c r="AG85" s="1077"/>
      <c r="AH85" s="1077"/>
      <c r="AI85" s="1077"/>
      <c r="AJ85" s="1077"/>
      <c r="AK85" s="1077"/>
      <c r="AL85" s="1077"/>
      <c r="AM85" s="1077"/>
      <c r="AN85" s="1077"/>
      <c r="AO85" s="1077"/>
      <c r="AP85" s="1077"/>
      <c r="AQ85" s="1077"/>
      <c r="AR85" s="1077"/>
      <c r="AS85" s="1077"/>
    </row>
    <row r="86" spans="1:82" s="6" customFormat="1" ht="12" customHeight="1" thickBot="1">
      <c r="A86" s="434" t="s">
        <v>650</v>
      </c>
      <c r="B86" s="30"/>
      <c r="C86" s="46" t="s">
        <v>651</v>
      </c>
      <c r="D86" s="52">
        <f>L86-I86</f>
        <v>2836608</v>
      </c>
      <c r="E86" s="95">
        <f>+M86-J86</f>
        <v>2736608</v>
      </c>
      <c r="F86" s="95">
        <f>+N86-K86</f>
        <v>2736608</v>
      </c>
      <c r="G86" s="113"/>
      <c r="H86" s="113"/>
      <c r="I86" s="52">
        <f t="shared" si="46"/>
        <v>0</v>
      </c>
      <c r="J86" s="39">
        <f t="shared" si="46"/>
        <v>0</v>
      </c>
      <c r="K86" s="39">
        <f t="shared" si="46"/>
        <v>0</v>
      </c>
      <c r="L86" s="96">
        <f>+D25</f>
        <v>2836608</v>
      </c>
      <c r="M86" s="96">
        <f>+E25</f>
        <v>2736608</v>
      </c>
      <c r="N86" s="96">
        <f>+F25</f>
        <v>2736608</v>
      </c>
      <c r="O86" s="1392"/>
      <c r="P86" s="52">
        <f>+P25</f>
        <v>3524136</v>
      </c>
      <c r="Q86" s="52">
        <f t="shared" ref="Q86:AD86" si="47">+Q25</f>
        <v>3351539</v>
      </c>
      <c r="R86" s="52">
        <f t="shared" si="47"/>
        <v>2901584</v>
      </c>
      <c r="S86" s="52">
        <f t="shared" si="47"/>
        <v>3187378.6799999997</v>
      </c>
      <c r="T86" s="52">
        <f t="shared" si="47"/>
        <v>3220623.5472000004</v>
      </c>
      <c r="U86" s="52">
        <f t="shared" si="47"/>
        <v>3291718.0890879999</v>
      </c>
      <c r="V86" s="52">
        <f t="shared" si="47"/>
        <v>3423386.8126515206</v>
      </c>
      <c r="W86" s="52">
        <f t="shared" si="47"/>
        <v>3560322.2851575818</v>
      </c>
      <c r="X86" s="52">
        <f t="shared" si="47"/>
        <v>3702735.1765638846</v>
      </c>
      <c r="Y86" s="52">
        <f t="shared" si="47"/>
        <v>3850844.5836264398</v>
      </c>
      <c r="Z86" s="52">
        <f t="shared" si="47"/>
        <v>4004878.3669714979</v>
      </c>
      <c r="AA86" s="52">
        <f t="shared" si="47"/>
        <v>4165073.5016503576</v>
      </c>
      <c r="AB86" s="52">
        <f t="shared" si="47"/>
        <v>4331676.441716373</v>
      </c>
      <c r="AC86" s="52">
        <f t="shared" si="47"/>
        <v>4504943.4993850272</v>
      </c>
      <c r="AD86" s="52">
        <f t="shared" si="47"/>
        <v>4685141.2393604284</v>
      </c>
      <c r="AE86" s="113"/>
      <c r="AF86" s="113"/>
      <c r="AG86" s="113"/>
      <c r="AH86" s="113"/>
      <c r="AI86" s="113"/>
      <c r="AJ86" s="113"/>
      <c r="AK86" s="113"/>
      <c r="AL86" s="113"/>
      <c r="AM86" s="113"/>
      <c r="AN86" s="113"/>
      <c r="AO86" s="113"/>
      <c r="AP86" s="113"/>
      <c r="AQ86" s="113"/>
      <c r="AR86" s="113"/>
      <c r="AS86" s="113"/>
      <c r="AT86" s="441"/>
      <c r="AU86" s="441"/>
      <c r="AV86" s="441"/>
      <c r="AW86" s="441"/>
      <c r="AX86" s="441"/>
      <c r="AY86" s="441"/>
      <c r="AZ86" s="441"/>
      <c r="BA86" s="441"/>
      <c r="BB86" s="441"/>
      <c r="BC86" s="441"/>
      <c r="BD86" s="441"/>
      <c r="BE86" s="441"/>
      <c r="BF86" s="441"/>
      <c r="BG86" s="441"/>
      <c r="BH86" s="441"/>
      <c r="BI86" s="441"/>
      <c r="BJ86" s="441"/>
      <c r="BK86" s="441"/>
      <c r="BL86" s="441"/>
      <c r="BM86" s="441"/>
      <c r="BN86" s="441"/>
      <c r="BO86" s="441"/>
      <c r="BP86" s="441"/>
      <c r="BQ86" s="441"/>
      <c r="BR86" s="441"/>
      <c r="BS86" s="441"/>
      <c r="BT86" s="441"/>
      <c r="BU86" s="441"/>
      <c r="BV86" s="441"/>
      <c r="BW86" s="441"/>
      <c r="BX86" s="441"/>
      <c r="BY86" s="441"/>
      <c r="BZ86" s="441"/>
      <c r="CA86" s="441"/>
      <c r="CB86" s="441"/>
      <c r="CC86" s="441"/>
      <c r="CD86" s="441"/>
    </row>
    <row r="87" spans="1:82" s="441" customFormat="1" ht="1.5" customHeight="1">
      <c r="A87" s="635"/>
      <c r="B87" s="635"/>
      <c r="C87" s="636"/>
      <c r="G87" s="518"/>
      <c r="H87" s="518"/>
      <c r="I87" s="518"/>
      <c r="J87" s="518"/>
      <c r="K87" s="518"/>
      <c r="L87" s="518"/>
      <c r="M87" s="518"/>
      <c r="N87" s="518"/>
      <c r="O87" s="1392"/>
      <c r="AE87" s="518"/>
      <c r="AF87" s="518"/>
      <c r="AG87" s="518"/>
      <c r="AH87" s="518"/>
      <c r="AI87" s="518"/>
      <c r="AJ87" s="518"/>
      <c r="AK87" s="518"/>
      <c r="AL87" s="518"/>
      <c r="AM87" s="518"/>
      <c r="AN87" s="518"/>
      <c r="AO87" s="518"/>
      <c r="AP87" s="518"/>
      <c r="AQ87" s="518"/>
      <c r="AR87" s="518"/>
      <c r="AS87" s="518"/>
    </row>
    <row r="88" spans="1:82" s="441" customFormat="1" ht="1.5" customHeight="1">
      <c r="A88" s="635"/>
      <c r="B88" s="635"/>
      <c r="C88" s="636"/>
      <c r="G88" s="518"/>
      <c r="H88" s="518"/>
      <c r="I88" s="518"/>
      <c r="J88" s="518"/>
      <c r="K88" s="518"/>
      <c r="L88" s="518"/>
      <c r="M88" s="518"/>
      <c r="N88" s="518"/>
      <c r="O88" s="1392"/>
      <c r="AE88" s="518"/>
      <c r="AF88" s="518"/>
      <c r="AG88" s="518"/>
      <c r="AH88" s="518"/>
      <c r="AI88" s="518"/>
      <c r="AJ88" s="518"/>
      <c r="AK88" s="518"/>
      <c r="AL88" s="518"/>
      <c r="AM88" s="518"/>
      <c r="AN88" s="518"/>
      <c r="AO88" s="518"/>
      <c r="AP88" s="518"/>
      <c r="AQ88" s="518"/>
      <c r="AR88" s="518"/>
      <c r="AS88" s="518"/>
    </row>
    <row r="89" spans="1:82" s="441" customFormat="1" ht="1.5" customHeight="1" thickBot="1">
      <c r="A89" s="635"/>
      <c r="B89" s="635"/>
      <c r="C89" s="636"/>
      <c r="O89" s="1392"/>
    </row>
    <row r="90" spans="1:82" s="441" customFormat="1" ht="12.75" customHeight="1" thickBot="1">
      <c r="A90" s="635"/>
      <c r="B90" s="635"/>
      <c r="C90" s="636"/>
      <c r="D90" s="619" t="s">
        <v>652</v>
      </c>
      <c r="E90" s="637"/>
      <c r="F90" s="637"/>
      <c r="G90" s="619" t="s">
        <v>653</v>
      </c>
      <c r="H90" s="637"/>
      <c r="I90" s="637"/>
      <c r="J90" s="637"/>
      <c r="K90" s="619" t="s">
        <v>654</v>
      </c>
      <c r="L90" s="637"/>
      <c r="M90" s="638"/>
      <c r="O90" s="1393"/>
      <c r="AE90" s="332"/>
      <c r="AF90" s="417"/>
      <c r="AG90" s="417"/>
      <c r="AH90" s="417"/>
      <c r="AI90" s="417"/>
      <c r="AJ90" s="417"/>
      <c r="AK90" s="417"/>
      <c r="AL90" s="417"/>
      <c r="AM90" s="417"/>
      <c r="AN90" s="417"/>
      <c r="AO90" s="417"/>
      <c r="AP90" s="417"/>
      <c r="AQ90" s="417"/>
      <c r="AR90" s="417"/>
      <c r="AS90" s="417"/>
    </row>
    <row r="91" spans="1:82" s="438" customFormat="1" ht="39" thickBot="1">
      <c r="A91" s="453" t="s">
        <v>655</v>
      </c>
      <c r="B91" s="639"/>
      <c r="C91" s="619" t="s">
        <v>1241</v>
      </c>
      <c r="D91" s="453" t="s">
        <v>649</v>
      </c>
      <c r="E91" s="453" t="s">
        <v>645</v>
      </c>
      <c r="F91" s="453" t="s">
        <v>656</v>
      </c>
      <c r="G91" s="453" t="s">
        <v>649</v>
      </c>
      <c r="H91" s="453"/>
      <c r="I91" s="453" t="s">
        <v>645</v>
      </c>
      <c r="J91" s="453" t="s">
        <v>656</v>
      </c>
      <c r="K91" s="453" t="s">
        <v>649</v>
      </c>
      <c r="L91" s="453" t="s">
        <v>645</v>
      </c>
      <c r="M91" s="453" t="s">
        <v>656</v>
      </c>
      <c r="O91" s="1386"/>
      <c r="P91" s="623" t="str">
        <f>+P24</f>
        <v>Escenario Financiero Año 2009</v>
      </c>
      <c r="Q91" s="623" t="str">
        <f t="shared" ref="Q91:AD91" si="48">+Q24</f>
        <v>Escenario Financiero Año 2010</v>
      </c>
      <c r="R91" s="623" t="str">
        <f t="shared" si="48"/>
        <v>Escenario Financiero Año 2011</v>
      </c>
      <c r="S91" s="623" t="str">
        <f t="shared" si="48"/>
        <v>Escenario Financiero Año 2012</v>
      </c>
      <c r="T91" s="623" t="str">
        <f t="shared" si="48"/>
        <v>Escenario Financiero Año 2013</v>
      </c>
      <c r="U91" s="623" t="str">
        <f t="shared" si="48"/>
        <v>Escenario Financiero Año 2014</v>
      </c>
      <c r="V91" s="623" t="str">
        <f t="shared" si="48"/>
        <v>Escenario Financiero Año 2015</v>
      </c>
      <c r="W91" s="623" t="str">
        <f t="shared" si="48"/>
        <v>Escenario Financiero Año 2016</v>
      </c>
      <c r="X91" s="623" t="str">
        <f t="shared" si="48"/>
        <v>Escenario Financiero Año 2017</v>
      </c>
      <c r="Y91" s="623" t="str">
        <f t="shared" si="48"/>
        <v>Escenario Financiero Año 2018</v>
      </c>
      <c r="Z91" s="623" t="str">
        <f t="shared" si="48"/>
        <v>Escenario Financiero Año 2019</v>
      </c>
      <c r="AA91" s="623" t="str">
        <f t="shared" si="48"/>
        <v>Escenario Financiero Año 2020</v>
      </c>
      <c r="AB91" s="623" t="str">
        <f t="shared" si="48"/>
        <v>Escenario Financiero Año 2021</v>
      </c>
      <c r="AC91" s="623" t="str">
        <f t="shared" si="48"/>
        <v>Escenario Financiero Año 2022</v>
      </c>
      <c r="AD91" s="453" t="str">
        <f t="shared" si="48"/>
        <v>Escenario Financiero Año 2023</v>
      </c>
      <c r="AE91" s="1408"/>
      <c r="AF91" s="1409"/>
      <c r="AG91" s="1409"/>
      <c r="AH91" s="1409"/>
      <c r="AI91" s="1409"/>
      <c r="AJ91" s="1409"/>
      <c r="AK91" s="1409"/>
      <c r="AL91" s="1409"/>
      <c r="AM91" s="1409"/>
      <c r="AN91" s="1409"/>
      <c r="AO91" s="1409"/>
      <c r="AP91" s="1409"/>
      <c r="AQ91" s="1409"/>
      <c r="AR91" s="1409"/>
      <c r="AS91" s="1409"/>
    </row>
    <row r="92" spans="1:82" s="55" customFormat="1" ht="13.5" thickBot="1">
      <c r="A92" s="97" t="str">
        <f>+Gastos!A26</f>
        <v>21</v>
      </c>
      <c r="B92" s="98"/>
      <c r="C92" s="99" t="s">
        <v>617</v>
      </c>
      <c r="D92" s="100">
        <f>+D93+D94+D95+D98+D99</f>
        <v>620786</v>
      </c>
      <c r="E92" s="100">
        <f>+E93+E94+E95+E98+E99</f>
        <v>1257750.7949999999</v>
      </c>
      <c r="F92" s="100">
        <f>+F93+F94+F95+F98+F99</f>
        <v>818968</v>
      </c>
      <c r="G92" s="52">
        <f>+G93+G94+G95+G98+G99</f>
        <v>12942</v>
      </c>
      <c r="H92" s="52"/>
      <c r="I92" s="52">
        <f>+I93+I94+I95+I98+I99</f>
        <v>12942</v>
      </c>
      <c r="J92" s="52">
        <f>+J93+J94+J95+J98+J99</f>
        <v>12942</v>
      </c>
      <c r="K92" s="52">
        <f>+K93+K94+K95+K98+K99</f>
        <v>633728</v>
      </c>
      <c r="L92" s="52">
        <f>+L93+L94+L95+L98+L99</f>
        <v>1270692.7949999999</v>
      </c>
      <c r="M92" s="52">
        <f>+M93+M94+M95+M98+M99</f>
        <v>831910</v>
      </c>
      <c r="N92" s="65"/>
      <c r="O92" s="1394"/>
      <c r="P92" s="52">
        <f t="shared" ref="P92:AD92" si="49">+P93+P94+P95+P98+P99</f>
        <v>760843</v>
      </c>
      <c r="Q92" s="52">
        <f t="shared" si="49"/>
        <v>671337.85</v>
      </c>
      <c r="R92" s="52">
        <f t="shared" si="49"/>
        <v>620786</v>
      </c>
      <c r="S92" s="52">
        <f t="shared" si="49"/>
        <v>651825.30000000005</v>
      </c>
      <c r="T92" s="52">
        <f t="shared" si="49"/>
        <v>684416.56500000018</v>
      </c>
      <c r="U92" s="52">
        <f t="shared" si="49"/>
        <v>718637.39325000008</v>
      </c>
      <c r="V92" s="52">
        <f t="shared" si="49"/>
        <v>754569.26291250018</v>
      </c>
      <c r="W92" s="52">
        <f t="shared" si="49"/>
        <v>792297.72605812526</v>
      </c>
      <c r="X92" s="52">
        <f t="shared" si="49"/>
        <v>831912.61236103147</v>
      </c>
      <c r="Y92" s="52">
        <f t="shared" si="49"/>
        <v>873508.24297908298</v>
      </c>
      <c r="Z92" s="52">
        <f t="shared" si="49"/>
        <v>917183.65512803732</v>
      </c>
      <c r="AA92" s="52">
        <f t="shared" si="49"/>
        <v>963042.83788443904</v>
      </c>
      <c r="AB92" s="52">
        <f t="shared" si="49"/>
        <v>1011194.9797786612</v>
      </c>
      <c r="AC92" s="52">
        <f t="shared" si="49"/>
        <v>1061754.7287675943</v>
      </c>
      <c r="AD92" s="52">
        <f t="shared" si="49"/>
        <v>1114842.4652059739</v>
      </c>
      <c r="AE92" s="1410"/>
      <c r="AF92" s="65"/>
      <c r="AG92" s="65"/>
      <c r="AH92" s="65"/>
      <c r="AI92" s="65"/>
      <c r="AJ92" s="65"/>
      <c r="AK92" s="65"/>
      <c r="AL92" s="65"/>
      <c r="AM92" s="65"/>
      <c r="AN92" s="65"/>
      <c r="AO92" s="65"/>
      <c r="AP92" s="65"/>
      <c r="AQ92" s="65"/>
      <c r="AR92" s="65"/>
      <c r="AS92" s="65"/>
      <c r="AT92" s="634"/>
      <c r="AU92" s="634"/>
      <c r="AV92" s="634"/>
      <c r="AW92" s="634"/>
      <c r="AX92" s="634"/>
      <c r="AY92" s="634"/>
      <c r="AZ92" s="634"/>
      <c r="BA92" s="634"/>
      <c r="BB92" s="634"/>
      <c r="BC92" s="634"/>
      <c r="BD92" s="634"/>
      <c r="BE92" s="634"/>
      <c r="BF92" s="634"/>
      <c r="BG92" s="634"/>
      <c r="BH92" s="634"/>
      <c r="BI92" s="634"/>
      <c r="BJ92" s="634"/>
      <c r="BK92" s="634"/>
      <c r="BL92" s="634"/>
      <c r="BM92" s="634"/>
      <c r="BN92" s="634"/>
      <c r="BO92" s="634"/>
      <c r="BP92" s="634"/>
      <c r="BQ92" s="634"/>
      <c r="BR92" s="634"/>
      <c r="BS92" s="634"/>
      <c r="BT92" s="634"/>
      <c r="BU92" s="634"/>
      <c r="BV92" s="634"/>
      <c r="BW92" s="634"/>
      <c r="BX92" s="634"/>
      <c r="BY92" s="634"/>
      <c r="BZ92" s="634"/>
      <c r="CA92" s="634"/>
      <c r="CB92" s="634"/>
      <c r="CC92" s="634"/>
      <c r="CD92" s="634"/>
    </row>
    <row r="93" spans="1:82" s="6" customFormat="1">
      <c r="A93" s="101" t="str">
        <f>+Gastos!A27</f>
        <v>211</v>
      </c>
      <c r="B93" s="102"/>
      <c r="C93" s="103" t="s">
        <v>657</v>
      </c>
      <c r="D93" s="41">
        <f>+K93-G93</f>
        <v>248973</v>
      </c>
      <c r="E93" s="41">
        <f t="shared" ref="E93:F95" si="50">+L93-I93</f>
        <v>342094</v>
      </c>
      <c r="F93" s="104">
        <f t="shared" si="50"/>
        <v>342094</v>
      </c>
      <c r="G93" s="114"/>
      <c r="H93" s="104"/>
      <c r="I93" s="104"/>
      <c r="J93" s="41"/>
      <c r="K93" s="48">
        <f>+Gastos!D27</f>
        <v>248973</v>
      </c>
      <c r="L93" s="41">
        <f>+Gastos!G27</f>
        <v>342094</v>
      </c>
      <c r="M93" s="41">
        <f>+Gastos!J27</f>
        <v>342094</v>
      </c>
      <c r="O93" s="1392"/>
      <c r="P93" s="41">
        <f>+'Gastos Proyecciones'!D27</f>
        <v>310428</v>
      </c>
      <c r="Q93" s="41">
        <f>+'Gastos Proyecciones'!E27</f>
        <v>316296.84999999998</v>
      </c>
      <c r="R93" s="41">
        <f>+'Gastos Proyecciones'!F27</f>
        <v>248973</v>
      </c>
      <c r="S93" s="41">
        <f>+'Gastos Proyecciones'!G27</f>
        <v>261421.65</v>
      </c>
      <c r="T93" s="41">
        <f>+'Gastos Proyecciones'!H27</f>
        <v>274492.73250000004</v>
      </c>
      <c r="U93" s="41">
        <f>+'Gastos Proyecciones'!I27</f>
        <v>288217.36912500003</v>
      </c>
      <c r="V93" s="41">
        <f>+'Gastos Proyecciones'!J27</f>
        <v>302628.23758125008</v>
      </c>
      <c r="W93" s="41">
        <f>+'Gastos Proyecciones'!K27</f>
        <v>317759.64946031256</v>
      </c>
      <c r="X93" s="41">
        <f>+'Gastos Proyecciones'!L27</f>
        <v>333647.63193332823</v>
      </c>
      <c r="Y93" s="41">
        <f>+'Gastos Proyecciones'!M27</f>
        <v>350330.01352999464</v>
      </c>
      <c r="Z93" s="41">
        <f>+'Gastos Proyecciones'!N27</f>
        <v>367846.51420649444</v>
      </c>
      <c r="AA93" s="41">
        <f>+'Gastos Proyecciones'!O27</f>
        <v>386238.83991681912</v>
      </c>
      <c r="AB93" s="41">
        <f>+'Gastos Proyecciones'!P27</f>
        <v>405550.78191266011</v>
      </c>
      <c r="AC93" s="41">
        <f>+'Gastos Proyecciones'!Q27</f>
        <v>425828.32100829313</v>
      </c>
      <c r="AD93" s="41">
        <f>+'Gastos Proyecciones'!R27</f>
        <v>447119.73705870786</v>
      </c>
      <c r="AE93" s="1411"/>
      <c r="AF93" s="1412"/>
      <c r="AG93" s="1412"/>
      <c r="AH93" s="1412"/>
      <c r="AI93" s="1412"/>
      <c r="AJ93" s="1412"/>
      <c r="AK93" s="1412"/>
      <c r="AL93" s="1412"/>
      <c r="AM93" s="1412"/>
      <c r="AN93" s="1412"/>
      <c r="AO93" s="1412"/>
      <c r="AP93" s="1412"/>
      <c r="AQ93" s="1412"/>
      <c r="AR93" s="1412"/>
      <c r="AS93" s="1412"/>
      <c r="AT93" s="441"/>
      <c r="AU93" s="441"/>
      <c r="AV93" s="441"/>
      <c r="AW93" s="441"/>
      <c r="AX93" s="441"/>
      <c r="AY93" s="441"/>
      <c r="AZ93" s="441"/>
      <c r="BA93" s="441"/>
      <c r="BB93" s="441"/>
      <c r="BC93" s="441"/>
      <c r="BD93" s="441"/>
      <c r="BE93" s="441"/>
      <c r="BF93" s="441"/>
      <c r="BG93" s="441"/>
      <c r="BH93" s="441"/>
      <c r="BI93" s="441"/>
      <c r="BJ93" s="441"/>
      <c r="BK93" s="441"/>
      <c r="BL93" s="441"/>
      <c r="BM93" s="441"/>
      <c r="BN93" s="441"/>
      <c r="BO93" s="441"/>
      <c r="BP93" s="441"/>
      <c r="BQ93" s="441"/>
      <c r="BR93" s="441"/>
      <c r="BS93" s="441"/>
      <c r="BT93" s="441"/>
      <c r="BU93" s="441"/>
      <c r="BV93" s="441"/>
      <c r="BW93" s="441"/>
      <c r="BX93" s="441"/>
      <c r="BY93" s="441"/>
      <c r="BZ93" s="441"/>
      <c r="CA93" s="441"/>
      <c r="CB93" s="441"/>
      <c r="CC93" s="441"/>
      <c r="CD93" s="441"/>
    </row>
    <row r="94" spans="1:82" s="6" customFormat="1">
      <c r="A94" s="105" t="str">
        <f>+Gastos!A42</f>
        <v>212</v>
      </c>
      <c r="B94" s="106"/>
      <c r="C94" s="107" t="s">
        <v>658</v>
      </c>
      <c r="D94" s="48">
        <f>+K94-G94</f>
        <v>17213</v>
      </c>
      <c r="E94" s="48">
        <f t="shared" si="50"/>
        <v>106998</v>
      </c>
      <c r="F94" s="20">
        <f t="shared" si="50"/>
        <v>106998</v>
      </c>
      <c r="G94" s="21"/>
      <c r="H94" s="20"/>
      <c r="I94" s="20"/>
      <c r="J94" s="48"/>
      <c r="K94" s="48">
        <f>+Gastos!D42</f>
        <v>17213</v>
      </c>
      <c r="L94" s="48">
        <f>+Gastos!G42</f>
        <v>106998</v>
      </c>
      <c r="M94" s="48">
        <f>+Gastos!J42</f>
        <v>106998</v>
      </c>
      <c r="O94" s="1392"/>
      <c r="P94" s="48">
        <f>+'Gastos Proyecciones'!D42</f>
        <v>134441</v>
      </c>
      <c r="Q94" s="48">
        <f>+'Gastos Proyecciones'!E42</f>
        <v>19671</v>
      </c>
      <c r="R94" s="48">
        <f>+'Gastos Proyecciones'!F42</f>
        <v>17213</v>
      </c>
      <c r="S94" s="48">
        <f>+'Gastos Proyecciones'!G42</f>
        <v>18073.650000000001</v>
      </c>
      <c r="T94" s="48">
        <f>+'Gastos Proyecciones'!H42</f>
        <v>18977.332500000004</v>
      </c>
      <c r="U94" s="48">
        <f>+'Gastos Proyecciones'!I42</f>
        <v>19926.199125000006</v>
      </c>
      <c r="V94" s="48">
        <f>+'Gastos Proyecciones'!J42</f>
        <v>20922.509081250006</v>
      </c>
      <c r="W94" s="48">
        <f>+'Gastos Proyecciones'!K42</f>
        <v>21968.634535312507</v>
      </c>
      <c r="X94" s="48">
        <f>+'Gastos Proyecciones'!L42</f>
        <v>23067.06626207813</v>
      </c>
      <c r="Y94" s="48">
        <f>+'Gastos Proyecciones'!M42</f>
        <v>24220.419575182037</v>
      </c>
      <c r="Z94" s="48">
        <f>+'Gastos Proyecciones'!N42</f>
        <v>25431.440553941142</v>
      </c>
      <c r="AA94" s="48">
        <f>+'Gastos Proyecciones'!O42</f>
        <v>26703.012581638199</v>
      </c>
      <c r="AB94" s="48">
        <f>+'Gastos Proyecciones'!P42</f>
        <v>28038.163210720111</v>
      </c>
      <c r="AC94" s="48">
        <f>+'Gastos Proyecciones'!Q42</f>
        <v>29440.071371256119</v>
      </c>
      <c r="AD94" s="48">
        <f>+'Gastos Proyecciones'!R42</f>
        <v>30912.074939818922</v>
      </c>
      <c r="AE94" s="1411"/>
      <c r="AF94" s="1412"/>
      <c r="AG94" s="1412"/>
      <c r="AH94" s="1412"/>
      <c r="AI94" s="1412"/>
      <c r="AJ94" s="1412"/>
      <c r="AK94" s="1412"/>
      <c r="AL94" s="1412"/>
      <c r="AM94" s="1412"/>
      <c r="AN94" s="1412"/>
      <c r="AO94" s="1412"/>
      <c r="AP94" s="1412"/>
      <c r="AQ94" s="1412"/>
      <c r="AR94" s="1412"/>
      <c r="AS94" s="1412"/>
      <c r="AT94" s="441"/>
      <c r="AU94" s="441"/>
      <c r="AV94" s="441"/>
      <c r="AW94" s="441"/>
      <c r="AX94" s="441"/>
      <c r="AY94" s="441"/>
      <c r="AZ94" s="441"/>
      <c r="BA94" s="441"/>
      <c r="BB94" s="441"/>
      <c r="BC94" s="441"/>
      <c r="BD94" s="441"/>
      <c r="BE94" s="441"/>
      <c r="BF94" s="441"/>
      <c r="BG94" s="441"/>
      <c r="BH94" s="441"/>
      <c r="BI94" s="441"/>
      <c r="BJ94" s="441"/>
      <c r="BK94" s="441"/>
      <c r="BL94" s="441"/>
      <c r="BM94" s="441"/>
      <c r="BN94" s="441"/>
      <c r="BO94" s="441"/>
      <c r="BP94" s="441"/>
      <c r="BQ94" s="441"/>
      <c r="BR94" s="441"/>
      <c r="BS94" s="441"/>
      <c r="BT94" s="441"/>
      <c r="BU94" s="441"/>
      <c r="BV94" s="441"/>
      <c r="BW94" s="441"/>
      <c r="BX94" s="441"/>
      <c r="BY94" s="441"/>
      <c r="BZ94" s="441"/>
      <c r="CA94" s="441"/>
      <c r="CB94" s="441"/>
      <c r="CC94" s="441"/>
      <c r="CD94" s="441"/>
    </row>
    <row r="95" spans="1:82" s="6" customFormat="1">
      <c r="A95" s="105" t="str">
        <f>+Gastos!A46</f>
        <v>213</v>
      </c>
      <c r="B95" s="106"/>
      <c r="C95" s="107" t="s">
        <v>659</v>
      </c>
      <c r="D95" s="48">
        <f>+K95-G95</f>
        <v>354600</v>
      </c>
      <c r="E95" s="48">
        <f t="shared" si="50"/>
        <v>369876</v>
      </c>
      <c r="F95" s="20">
        <f t="shared" si="50"/>
        <v>369876</v>
      </c>
      <c r="G95" s="48">
        <f>SUM(G96:G97)</f>
        <v>12942</v>
      </c>
      <c r="H95" s="48"/>
      <c r="I95" s="48">
        <f>SUM(I96:I97)</f>
        <v>12942</v>
      </c>
      <c r="J95" s="48">
        <f>SUM(J96:J97)</f>
        <v>12942</v>
      </c>
      <c r="K95" s="48">
        <f>+Gastos!D46</f>
        <v>367542</v>
      </c>
      <c r="L95" s="48">
        <f>+Gastos!G46</f>
        <v>382818</v>
      </c>
      <c r="M95" s="48">
        <f>+Gastos!J46</f>
        <v>382818</v>
      </c>
      <c r="O95" s="1392"/>
      <c r="P95" s="982">
        <f>+'Gastos Proyecciones'!D46-'Gastos Proyecciones'!D66-'Gastos Proyecciones'!D68-'Gastos Proyecciones'!D53</f>
        <v>315974</v>
      </c>
      <c r="Q95" s="982">
        <f>+'Gastos Proyecciones'!E46-'Gastos Proyecciones'!E66-'Gastos Proyecciones'!E68-'Gastos Proyecciones'!E53</f>
        <v>335370</v>
      </c>
      <c r="R95" s="982">
        <f>+'Gastos Proyecciones'!F46-'Gastos Proyecciones'!F66-'Gastos Proyecciones'!F68-'Gastos Proyecciones'!F53</f>
        <v>354600</v>
      </c>
      <c r="S95" s="982">
        <f>+'Gastos Proyecciones'!G46-'Gastos Proyecciones'!G66-'Gastos Proyecciones'!G68-'Gastos Proyecciones'!G53</f>
        <v>372330</v>
      </c>
      <c r="T95" s="982">
        <f>+'Gastos Proyecciones'!H46-'Gastos Proyecciones'!H66-'Gastos Proyecciones'!H68-'Gastos Proyecciones'!H53</f>
        <v>390946.50000000006</v>
      </c>
      <c r="U95" s="982">
        <f>+'Gastos Proyecciones'!I46-'Gastos Proyecciones'!I66-'Gastos Proyecciones'!I68-'Gastos Proyecciones'!I53</f>
        <v>410493.82500000007</v>
      </c>
      <c r="V95" s="982">
        <f>+'Gastos Proyecciones'!J46-'Gastos Proyecciones'!J66-'Gastos Proyecciones'!J68-'Gastos Proyecciones'!J53</f>
        <v>431018.5162500001</v>
      </c>
      <c r="W95" s="982">
        <f>+'Gastos Proyecciones'!K46-'Gastos Proyecciones'!K66-'Gastos Proyecciones'!K68-'Gastos Proyecciones'!K53</f>
        <v>452569.44206250011</v>
      </c>
      <c r="X95" s="982">
        <f>+'Gastos Proyecciones'!L46-'Gastos Proyecciones'!L66-'Gastos Proyecciones'!L68-'Gastos Proyecciones'!L53</f>
        <v>475197.91416562512</v>
      </c>
      <c r="Y95" s="982">
        <f>+'Gastos Proyecciones'!M46-'Gastos Proyecciones'!M66-'Gastos Proyecciones'!M68-'Gastos Proyecciones'!M53</f>
        <v>498957.80987390637</v>
      </c>
      <c r="Z95" s="982">
        <f>+'Gastos Proyecciones'!N46-'Gastos Proyecciones'!N66-'Gastos Proyecciones'!N68-'Gastos Proyecciones'!N53</f>
        <v>523905.7003676017</v>
      </c>
      <c r="AA95" s="982">
        <f>+'Gastos Proyecciones'!O46-'Gastos Proyecciones'!O66-'Gastos Proyecciones'!O68-'Gastos Proyecciones'!O53</f>
        <v>550100.98538598174</v>
      </c>
      <c r="AB95" s="982">
        <f>+'Gastos Proyecciones'!P46-'Gastos Proyecciones'!P66-'Gastos Proyecciones'!P68-'Gastos Proyecciones'!P53</f>
        <v>577606.03465528088</v>
      </c>
      <c r="AC95" s="982">
        <f>+'Gastos Proyecciones'!Q46-'Gastos Proyecciones'!Q66-'Gastos Proyecciones'!Q68-'Gastos Proyecciones'!Q53</f>
        <v>606486.33638804499</v>
      </c>
      <c r="AD95" s="982">
        <f>+'Gastos Proyecciones'!R46-'Gastos Proyecciones'!R66-'Gastos Proyecciones'!R68-'Gastos Proyecciones'!R53</f>
        <v>636810.65320744715</v>
      </c>
      <c r="AE95" s="1410"/>
      <c r="AF95" s="65"/>
      <c r="AG95" s="65"/>
      <c r="AH95" s="65"/>
      <c r="AI95" s="65"/>
      <c r="AJ95" s="65"/>
      <c r="AK95" s="65"/>
      <c r="AL95" s="65"/>
      <c r="AM95" s="65"/>
      <c r="AN95" s="65"/>
      <c r="AO95" s="65"/>
      <c r="AP95" s="65"/>
      <c r="AQ95" s="65"/>
      <c r="AR95" s="65"/>
      <c r="AS95" s="65"/>
      <c r="AT95" s="441"/>
      <c r="AU95" s="441"/>
      <c r="AV95" s="441"/>
      <c r="AW95" s="441"/>
      <c r="AX95" s="441"/>
      <c r="AY95" s="441"/>
      <c r="AZ95" s="441"/>
      <c r="BA95" s="441"/>
      <c r="BB95" s="441"/>
      <c r="BC95" s="441"/>
      <c r="BD95" s="441"/>
      <c r="BE95" s="441"/>
      <c r="BF95" s="441"/>
      <c r="BG95" s="441"/>
      <c r="BH95" s="441"/>
      <c r="BI95" s="441"/>
      <c r="BJ95" s="441"/>
      <c r="BK95" s="441"/>
      <c r="BL95" s="441"/>
      <c r="BM95" s="441"/>
      <c r="BN95" s="441"/>
      <c r="BO95" s="441"/>
      <c r="BP95" s="441"/>
      <c r="BQ95" s="441"/>
      <c r="BR95" s="441"/>
      <c r="BS95" s="441"/>
      <c r="BT95" s="441"/>
      <c r="BU95" s="441"/>
      <c r="BV95" s="441"/>
      <c r="BW95" s="441"/>
      <c r="BX95" s="441"/>
      <c r="BY95" s="441"/>
      <c r="BZ95" s="441"/>
      <c r="CA95" s="441"/>
      <c r="CB95" s="441"/>
      <c r="CC95" s="441"/>
      <c r="CD95" s="441"/>
    </row>
    <row r="96" spans="1:82" s="6" customFormat="1">
      <c r="A96" s="105" t="str">
        <f>+Gastos!A66</f>
        <v>21305</v>
      </c>
      <c r="B96" s="106"/>
      <c r="C96" s="107" t="s">
        <v>660</v>
      </c>
      <c r="D96" s="108"/>
      <c r="E96" s="108"/>
      <c r="F96" s="1433"/>
      <c r="G96" s="108">
        <f>+Gastos!D66</f>
        <v>0</v>
      </c>
      <c r="H96" s="108"/>
      <c r="I96" s="108">
        <f>+Gastos!G66</f>
        <v>0</v>
      </c>
      <c r="J96" s="108">
        <f>+Gastos!J66</f>
        <v>0</v>
      </c>
      <c r="K96" s="117"/>
      <c r="L96" s="1433"/>
      <c r="M96" s="108"/>
      <c r="O96" s="1392"/>
      <c r="P96" s="108"/>
      <c r="Q96" s="108"/>
      <c r="R96" s="108"/>
      <c r="S96" s="108"/>
      <c r="T96" s="108"/>
      <c r="U96" s="108"/>
      <c r="V96" s="108"/>
      <c r="W96" s="108"/>
      <c r="X96" s="108"/>
      <c r="Y96" s="108"/>
      <c r="Z96" s="108"/>
      <c r="AA96" s="108"/>
      <c r="AB96" s="108"/>
      <c r="AC96" s="108"/>
      <c r="AD96" s="108"/>
      <c r="AE96" s="1413"/>
      <c r="AF96" s="43"/>
      <c r="AG96" s="43"/>
      <c r="AH96" s="43"/>
      <c r="AI96" s="43"/>
      <c r="AJ96" s="43"/>
      <c r="AK96" s="43"/>
      <c r="AL96" s="43"/>
      <c r="AM96" s="43"/>
      <c r="AN96" s="43"/>
      <c r="AO96" s="43"/>
      <c r="AP96" s="43"/>
      <c r="AQ96" s="43"/>
      <c r="AR96" s="43"/>
      <c r="AS96" s="43"/>
      <c r="AT96" s="441"/>
      <c r="AU96" s="441"/>
      <c r="AV96" s="441"/>
      <c r="AW96" s="441"/>
      <c r="AX96" s="441"/>
      <c r="AY96" s="441"/>
      <c r="AZ96" s="441"/>
      <c r="BA96" s="441"/>
      <c r="BB96" s="441"/>
      <c r="BC96" s="441"/>
      <c r="BD96" s="441"/>
      <c r="BE96" s="441"/>
      <c r="BF96" s="441"/>
      <c r="BG96" s="441"/>
      <c r="BH96" s="441"/>
      <c r="BI96" s="441"/>
      <c r="BJ96" s="441"/>
      <c r="BK96" s="441"/>
      <c r="BL96" s="441"/>
      <c r="BM96" s="441"/>
      <c r="BN96" s="441"/>
      <c r="BO96" s="441"/>
      <c r="BP96" s="441"/>
      <c r="BQ96" s="441"/>
      <c r="BR96" s="441"/>
      <c r="BS96" s="441"/>
      <c r="BT96" s="441"/>
      <c r="BU96" s="441"/>
      <c r="BV96" s="441"/>
      <c r="BW96" s="441"/>
      <c r="BX96" s="441"/>
      <c r="BY96" s="441"/>
      <c r="BZ96" s="441"/>
      <c r="CA96" s="441"/>
      <c r="CB96" s="441"/>
      <c r="CC96" s="441"/>
      <c r="CD96" s="441"/>
    </row>
    <row r="97" spans="1:82" s="6" customFormat="1">
      <c r="A97" s="105" t="str">
        <f>+Gastos!A68</f>
        <v>21398</v>
      </c>
      <c r="B97" s="106"/>
      <c r="C97" s="107" t="s">
        <v>191</v>
      </c>
      <c r="D97" s="108"/>
      <c r="E97" s="108"/>
      <c r="F97" s="1433" t="s">
        <v>493</v>
      </c>
      <c r="G97" s="108">
        <f>+Gastos!D68+Gastos!D53</f>
        <v>12942</v>
      </c>
      <c r="H97" s="108"/>
      <c r="I97" s="108">
        <f>+Gastos!G68+Gastos!G53</f>
        <v>12942</v>
      </c>
      <c r="J97" s="108">
        <f>+Gastos!J68+Gastos!J53</f>
        <v>12942</v>
      </c>
      <c r="K97" s="117"/>
      <c r="L97" s="1433"/>
      <c r="M97" s="108"/>
      <c r="O97" s="1392"/>
      <c r="P97" s="108"/>
      <c r="Q97" s="108"/>
      <c r="R97" s="108"/>
      <c r="S97" s="108"/>
      <c r="T97" s="108"/>
      <c r="U97" s="108"/>
      <c r="V97" s="108"/>
      <c r="W97" s="108"/>
      <c r="X97" s="108"/>
      <c r="Y97" s="108"/>
      <c r="Z97" s="108"/>
      <c r="AA97" s="108"/>
      <c r="AB97" s="108"/>
      <c r="AC97" s="108"/>
      <c r="AD97" s="108"/>
      <c r="AE97" s="1413"/>
      <c r="AF97" s="43"/>
      <c r="AG97" s="43"/>
      <c r="AH97" s="43"/>
      <c r="AI97" s="43"/>
      <c r="AJ97" s="43"/>
      <c r="AK97" s="43"/>
      <c r="AL97" s="43"/>
      <c r="AM97" s="43"/>
      <c r="AN97" s="43"/>
      <c r="AO97" s="43"/>
      <c r="AP97" s="43"/>
      <c r="AQ97" s="43"/>
      <c r="AR97" s="43"/>
      <c r="AS97" s="43"/>
      <c r="AT97" s="441"/>
      <c r="AU97" s="441"/>
      <c r="AV97" s="441"/>
      <c r="AW97" s="441"/>
      <c r="AX97" s="441"/>
      <c r="AY97" s="441"/>
      <c r="AZ97" s="441"/>
      <c r="BA97" s="441"/>
      <c r="BB97" s="441"/>
      <c r="BC97" s="441"/>
      <c r="BD97" s="441"/>
      <c r="BE97" s="441"/>
      <c r="BF97" s="441"/>
      <c r="BG97" s="441"/>
      <c r="BH97" s="441"/>
      <c r="BI97" s="441"/>
      <c r="BJ97" s="441"/>
      <c r="BK97" s="441"/>
      <c r="BL97" s="441"/>
      <c r="BM97" s="441"/>
      <c r="BN97" s="441"/>
      <c r="BO97" s="441"/>
      <c r="BP97" s="441"/>
      <c r="BQ97" s="441"/>
      <c r="BR97" s="441"/>
      <c r="BS97" s="441"/>
      <c r="BT97" s="441"/>
      <c r="BU97" s="441"/>
      <c r="BV97" s="441"/>
      <c r="BW97" s="441"/>
      <c r="BX97" s="441"/>
      <c r="BY97" s="441"/>
      <c r="BZ97" s="441"/>
      <c r="CA97" s="441"/>
      <c r="CB97" s="441"/>
      <c r="CC97" s="441"/>
      <c r="CD97" s="441"/>
    </row>
    <row r="98" spans="1:82" s="6" customFormat="1">
      <c r="A98" s="105" t="str">
        <f>+Gastos!A69</f>
        <v>217</v>
      </c>
      <c r="B98" s="106"/>
      <c r="C98" s="107" t="s">
        <v>661</v>
      </c>
      <c r="D98" s="48">
        <f>+K98-G98</f>
        <v>0</v>
      </c>
      <c r="E98" s="982">
        <f>+L98-I98</f>
        <v>0</v>
      </c>
      <c r="F98" s="48">
        <f>+M98-J98</f>
        <v>0</v>
      </c>
      <c r="G98" s="982">
        <f>IF(Ingresos!$D$22="SI",Gastos!D69,Gastos!D71)</f>
        <v>0</v>
      </c>
      <c r="H98" s="48"/>
      <c r="I98" s="982">
        <f>IF(Ingresos!$D$22="SI",Gastos!G69,Gastos!G71)</f>
        <v>0</v>
      </c>
      <c r="J98" s="982">
        <f>IF(Ingresos!$D$22="SI",Gastos!J69,Gastos!J71)</f>
        <v>0</v>
      </c>
      <c r="K98" s="20">
        <f>+Gastos!D69</f>
        <v>0</v>
      </c>
      <c r="L98" s="20">
        <f>+Gastos!G69</f>
        <v>0</v>
      </c>
      <c r="M98" s="48">
        <f>+Gastos!J69</f>
        <v>0</v>
      </c>
      <c r="O98" s="1392"/>
      <c r="P98" s="48">
        <f>IF(Ingresos!$D$22="SI",0,'Gastos Proyecciones'!D70)</f>
        <v>0</v>
      </c>
      <c r="Q98" s="48">
        <f>IF(Ingresos!$D$22="SI",0,'Gastos Proyecciones'!E70)</f>
        <v>0</v>
      </c>
      <c r="R98" s="48">
        <f>IF(Ingresos!$D$22="SI",0,'Gastos Proyecciones'!F70)</f>
        <v>0</v>
      </c>
      <c r="S98" s="48">
        <f>IF(Ingresos!$D$22="SI",0,'Gastos Proyecciones'!G70)</f>
        <v>0</v>
      </c>
      <c r="T98" s="48">
        <f>IF(Ingresos!$D$22="SI",0,'Gastos Proyecciones'!H70)</f>
        <v>0</v>
      </c>
      <c r="U98" s="48">
        <f>IF(Ingresos!$D$22="SI",0,'Gastos Proyecciones'!I70)</f>
        <v>0</v>
      </c>
      <c r="V98" s="48">
        <f>IF(Ingresos!$D$22="SI",0,'Gastos Proyecciones'!J70)</f>
        <v>0</v>
      </c>
      <c r="W98" s="48">
        <f>IF(Ingresos!$D$22="SI",0,'Gastos Proyecciones'!K70)</f>
        <v>0</v>
      </c>
      <c r="X98" s="48">
        <f>IF(Ingresos!$D$22="SI",0,'Gastos Proyecciones'!L70)</f>
        <v>0</v>
      </c>
      <c r="Y98" s="48">
        <f>IF(Ingresos!$D$22="SI",0,'Gastos Proyecciones'!M70)</f>
        <v>0</v>
      </c>
      <c r="Z98" s="48">
        <f>IF(Ingresos!$D$22="SI",0,'Gastos Proyecciones'!N70)</f>
        <v>0</v>
      </c>
      <c r="AA98" s="48">
        <f>IF(Ingresos!$D$22="SI",0,'Gastos Proyecciones'!O70)</f>
        <v>0</v>
      </c>
      <c r="AB98" s="48">
        <f>IF(Ingresos!$D$22="SI",0,'Gastos Proyecciones'!P70)</f>
        <v>0</v>
      </c>
      <c r="AC98" s="48">
        <f>IF(Ingresos!$D$22="SI",0,'Gastos Proyecciones'!Q70)</f>
        <v>0</v>
      </c>
      <c r="AD98" s="48">
        <f>IF(Ingresos!$D$22="SI",0,'Gastos Proyecciones'!R70)</f>
        <v>0</v>
      </c>
      <c r="AE98" s="1410"/>
      <c r="AF98" s="65"/>
      <c r="AG98" s="65"/>
      <c r="AH98" s="65"/>
      <c r="AI98" s="65"/>
      <c r="AJ98" s="65"/>
      <c r="AK98" s="65"/>
      <c r="AL98" s="65"/>
      <c r="AM98" s="65"/>
      <c r="AN98" s="65"/>
      <c r="AO98" s="65"/>
      <c r="AP98" s="65"/>
      <c r="AQ98" s="65"/>
      <c r="AR98" s="65"/>
      <c r="AS98" s="65"/>
      <c r="AT98" s="441"/>
      <c r="AU98" s="441"/>
      <c r="AV98" s="441"/>
      <c r="AW98" s="441"/>
      <c r="AX98" s="441"/>
      <c r="AY98" s="441"/>
      <c r="AZ98" s="441"/>
      <c r="BA98" s="441"/>
      <c r="BB98" s="441"/>
      <c r="BC98" s="441"/>
      <c r="BD98" s="441"/>
      <c r="BE98" s="441"/>
      <c r="BF98" s="441"/>
      <c r="BG98" s="441"/>
      <c r="BH98" s="441"/>
      <c r="BI98" s="441"/>
      <c r="BJ98" s="441"/>
      <c r="BK98" s="441"/>
      <c r="BL98" s="441"/>
      <c r="BM98" s="441"/>
      <c r="BN98" s="441"/>
      <c r="BO98" s="441"/>
      <c r="BP98" s="441"/>
      <c r="BQ98" s="441"/>
      <c r="BR98" s="441"/>
      <c r="BS98" s="441"/>
      <c r="BT98" s="441"/>
      <c r="BU98" s="441"/>
      <c r="BV98" s="441"/>
      <c r="BW98" s="441"/>
      <c r="BX98" s="441"/>
      <c r="BY98" s="441"/>
      <c r="BZ98" s="441"/>
      <c r="CA98" s="441"/>
      <c r="CB98" s="441"/>
      <c r="CC98" s="441"/>
      <c r="CD98" s="441"/>
    </row>
    <row r="99" spans="1:82" s="6" customFormat="1" ht="13.5" thickBot="1">
      <c r="A99" s="435" t="s">
        <v>662</v>
      </c>
      <c r="B99" s="109"/>
      <c r="C99" s="110" t="s">
        <v>663</v>
      </c>
      <c r="D99" s="111">
        <f>+K99-G99</f>
        <v>0</v>
      </c>
      <c r="E99" s="111">
        <f>+L99-I99</f>
        <v>438782.79500000004</v>
      </c>
      <c r="F99" s="111">
        <f>+M99-J99</f>
        <v>0</v>
      </c>
      <c r="G99" s="115"/>
      <c r="H99" s="1434"/>
      <c r="I99" s="115"/>
      <c r="J99" s="116"/>
      <c r="K99" s="111">
        <f>+Gastos!D89-Gastos!D93-Gastos!D95-Gastos!D98-Gastos!D101+Gastos!D126-Gastos!D130-Gastos!D132+Gastos!D163</f>
        <v>0</v>
      </c>
      <c r="L99" s="111">
        <f>+Gastos!G89-Gastos!G93-Gastos!G95-Gastos!G98-Gastos!G101+Gastos!G126-Gastos!G130-Gastos!G132+Gastos!G163</f>
        <v>438782.79500000004</v>
      </c>
      <c r="M99" s="111">
        <f>+Gastos!J89-Gastos!J93-Gastos!J95-Gastos!J98-Gastos!J101+Gastos!J126-Gastos!J130-Gastos!J132+Gastos!J163</f>
        <v>0</v>
      </c>
      <c r="O99" s="1392"/>
      <c r="P99" s="1435">
        <f>+'Gastos Proyecciones'!D89-'Gastos Proyecciones'!D93-'Gastos Proyecciones'!D95-'Gastos Proyecciones'!D98-'Gastos Proyecciones'!D101+'Gastos Proyecciones'!D126-'Gastos Proyecciones'!D130-'Gastos Proyecciones'!D132+'Gastos Proyecciones'!D163</f>
        <v>0</v>
      </c>
      <c r="Q99" s="1435">
        <f>+'Gastos Proyecciones'!E89-'Gastos Proyecciones'!E93-'Gastos Proyecciones'!E95-'Gastos Proyecciones'!E98-'Gastos Proyecciones'!E101+'Gastos Proyecciones'!E126-'Gastos Proyecciones'!E130-'Gastos Proyecciones'!E132+'Gastos Proyecciones'!E163</f>
        <v>0</v>
      </c>
      <c r="R99" s="1435">
        <f>+'Gastos Proyecciones'!F89-'Gastos Proyecciones'!F93-'Gastos Proyecciones'!F95-'Gastos Proyecciones'!F98-'Gastos Proyecciones'!F101+'Gastos Proyecciones'!F126-'Gastos Proyecciones'!F130-'Gastos Proyecciones'!F132+'Gastos Proyecciones'!F163</f>
        <v>0</v>
      </c>
      <c r="S99" s="1435">
        <f>+'Gastos Proyecciones'!G89-'Gastos Proyecciones'!G93-'Gastos Proyecciones'!G95-'Gastos Proyecciones'!G98-'Gastos Proyecciones'!G101+'Gastos Proyecciones'!G126-'Gastos Proyecciones'!G130-'Gastos Proyecciones'!G132+'Gastos Proyecciones'!G163</f>
        <v>0</v>
      </c>
      <c r="T99" s="1435">
        <f>+'Gastos Proyecciones'!H89-'Gastos Proyecciones'!H93-'Gastos Proyecciones'!H95-'Gastos Proyecciones'!H98-'Gastos Proyecciones'!H101+'Gastos Proyecciones'!H126-'Gastos Proyecciones'!H130-'Gastos Proyecciones'!H132+'Gastos Proyecciones'!H163</f>
        <v>0</v>
      </c>
      <c r="U99" s="1435">
        <f>+'Gastos Proyecciones'!I89-'Gastos Proyecciones'!I93-'Gastos Proyecciones'!I95-'Gastos Proyecciones'!I98-'Gastos Proyecciones'!I101+'Gastos Proyecciones'!I126-'Gastos Proyecciones'!I130-'Gastos Proyecciones'!I132+'Gastos Proyecciones'!I163</f>
        <v>0</v>
      </c>
      <c r="V99" s="1435">
        <f>+'Gastos Proyecciones'!J89-'Gastos Proyecciones'!J93-'Gastos Proyecciones'!J95-'Gastos Proyecciones'!J98-'Gastos Proyecciones'!J101+'Gastos Proyecciones'!J126-'Gastos Proyecciones'!J130-'Gastos Proyecciones'!J132+'Gastos Proyecciones'!J163</f>
        <v>0</v>
      </c>
      <c r="W99" s="1435">
        <f>+'Gastos Proyecciones'!K89-'Gastos Proyecciones'!K93-'Gastos Proyecciones'!K95-'Gastos Proyecciones'!K98-'Gastos Proyecciones'!K101+'Gastos Proyecciones'!K126-'Gastos Proyecciones'!K130-'Gastos Proyecciones'!K132+'Gastos Proyecciones'!K163</f>
        <v>0</v>
      </c>
      <c r="X99" s="1435">
        <f>+'Gastos Proyecciones'!L89-'Gastos Proyecciones'!L93-'Gastos Proyecciones'!L95-'Gastos Proyecciones'!L98-'Gastos Proyecciones'!L101+'Gastos Proyecciones'!L126-'Gastos Proyecciones'!L130-'Gastos Proyecciones'!L132+'Gastos Proyecciones'!L163</f>
        <v>0</v>
      </c>
      <c r="Y99" s="1435">
        <f>+'Gastos Proyecciones'!M89-'Gastos Proyecciones'!M93-'Gastos Proyecciones'!M95-'Gastos Proyecciones'!M98-'Gastos Proyecciones'!M101+'Gastos Proyecciones'!M126-'Gastos Proyecciones'!M130-'Gastos Proyecciones'!M132+'Gastos Proyecciones'!M163</f>
        <v>0</v>
      </c>
      <c r="Z99" s="1435">
        <f>+'Gastos Proyecciones'!N89-'Gastos Proyecciones'!N93-'Gastos Proyecciones'!N95-'Gastos Proyecciones'!N98-'Gastos Proyecciones'!N101+'Gastos Proyecciones'!N126-'Gastos Proyecciones'!N130-'Gastos Proyecciones'!N132+'Gastos Proyecciones'!N163</f>
        <v>0</v>
      </c>
      <c r="AA99" s="1435">
        <f>+'Gastos Proyecciones'!O89-'Gastos Proyecciones'!O93-'Gastos Proyecciones'!O95-'Gastos Proyecciones'!O98-'Gastos Proyecciones'!O101+'Gastos Proyecciones'!O126-'Gastos Proyecciones'!O130-'Gastos Proyecciones'!O132+'Gastos Proyecciones'!O163</f>
        <v>0</v>
      </c>
      <c r="AB99" s="1435">
        <f>+'Gastos Proyecciones'!P89-'Gastos Proyecciones'!P93-'Gastos Proyecciones'!P95-'Gastos Proyecciones'!P98-'Gastos Proyecciones'!P101+'Gastos Proyecciones'!P126-'Gastos Proyecciones'!P130-'Gastos Proyecciones'!P132+'Gastos Proyecciones'!P163</f>
        <v>0</v>
      </c>
      <c r="AC99" s="1435">
        <f>+'Gastos Proyecciones'!Q89-'Gastos Proyecciones'!Q93-'Gastos Proyecciones'!Q95-'Gastos Proyecciones'!Q98-'Gastos Proyecciones'!Q101+'Gastos Proyecciones'!Q126-'Gastos Proyecciones'!Q130-'Gastos Proyecciones'!Q132+'Gastos Proyecciones'!Q163</f>
        <v>0</v>
      </c>
      <c r="AD99" s="1435">
        <f>+'Gastos Proyecciones'!R89-'Gastos Proyecciones'!R93-'Gastos Proyecciones'!R95-'Gastos Proyecciones'!R98-'Gastos Proyecciones'!R101+'Gastos Proyecciones'!R126-'Gastos Proyecciones'!R130-'Gastos Proyecciones'!R132+'Gastos Proyecciones'!R163</f>
        <v>0</v>
      </c>
      <c r="AE99" s="1411"/>
      <c r="AF99" s="1412"/>
      <c r="AG99" s="1412"/>
      <c r="AH99" s="1412"/>
      <c r="AI99" s="1412"/>
      <c r="AJ99" s="1412"/>
      <c r="AK99" s="1412"/>
      <c r="AL99" s="1412"/>
      <c r="AM99" s="1412"/>
      <c r="AN99" s="1412"/>
      <c r="AO99" s="1412"/>
      <c r="AP99" s="1412"/>
      <c r="AQ99" s="1412"/>
      <c r="AR99" s="1412"/>
      <c r="AS99" s="1412"/>
      <c r="AT99" s="441"/>
      <c r="AU99" s="441"/>
      <c r="AV99" s="441"/>
      <c r="AW99" s="441"/>
      <c r="AX99" s="441"/>
      <c r="AY99" s="441"/>
      <c r="AZ99" s="441"/>
      <c r="BA99" s="441"/>
      <c r="BB99" s="441"/>
      <c r="BC99" s="441"/>
      <c r="BD99" s="441"/>
      <c r="BE99" s="441"/>
      <c r="BF99" s="441"/>
      <c r="BG99" s="441"/>
      <c r="BH99" s="441"/>
      <c r="BI99" s="441"/>
      <c r="BJ99" s="441"/>
      <c r="BK99" s="441"/>
      <c r="BL99" s="441"/>
      <c r="BM99" s="441"/>
      <c r="BN99" s="441"/>
      <c r="BO99" s="441"/>
      <c r="BP99" s="441"/>
      <c r="BQ99" s="441"/>
      <c r="BR99" s="441"/>
      <c r="BS99" s="441"/>
      <c r="BT99" s="441"/>
      <c r="BU99" s="441"/>
      <c r="BV99" s="441"/>
      <c r="BW99" s="441"/>
      <c r="BX99" s="441"/>
      <c r="BY99" s="441"/>
      <c r="BZ99" s="441"/>
      <c r="CA99" s="441"/>
      <c r="CB99" s="441"/>
      <c r="CC99" s="441"/>
      <c r="CD99" s="441"/>
    </row>
    <row r="100" spans="1:82" s="441" customFormat="1" ht="9" hidden="1" customHeight="1">
      <c r="A100" s="438"/>
      <c r="B100" s="438"/>
      <c r="C100" s="457"/>
      <c r="D100" s="438"/>
      <c r="E100" s="438"/>
      <c r="F100" s="438"/>
      <c r="G100" s="438"/>
      <c r="H100" s="438"/>
      <c r="I100" s="438"/>
      <c r="J100" s="438"/>
      <c r="O100" s="1392"/>
      <c r="AE100" s="438"/>
      <c r="AF100" s="438"/>
      <c r="AG100" s="438"/>
      <c r="AH100" s="438"/>
      <c r="AI100" s="438"/>
      <c r="AJ100" s="438"/>
      <c r="AK100" s="438"/>
      <c r="AL100" s="438"/>
      <c r="AM100" s="438"/>
      <c r="AN100" s="438"/>
      <c r="AO100" s="438"/>
      <c r="AP100" s="438"/>
      <c r="AQ100" s="438"/>
      <c r="AR100" s="438"/>
      <c r="AS100" s="438"/>
    </row>
    <row r="101" spans="1:82" s="438" customFormat="1" ht="3" customHeight="1" thickBot="1">
      <c r="A101" s="640"/>
      <c r="B101" s="640"/>
      <c r="C101" s="457"/>
      <c r="O101" s="1386"/>
    </row>
    <row r="102" spans="1:82" s="438" customFormat="1" ht="17.25" customHeight="1" thickBot="1">
      <c r="A102" s="642" t="s">
        <v>664</v>
      </c>
      <c r="B102" s="643"/>
      <c r="C102" s="644" t="s">
        <v>665</v>
      </c>
      <c r="D102" s="993">
        <f>+D92/D86</f>
        <v>0.21884800437705879</v>
      </c>
      <c r="E102" s="993">
        <f>+E92/E86</f>
        <v>0.45960210413767699</v>
      </c>
      <c r="F102" s="993">
        <f>+F92/F86</f>
        <v>0.29926390626644372</v>
      </c>
      <c r="G102" s="450"/>
      <c r="H102" s="450"/>
      <c r="I102" s="450"/>
      <c r="J102" s="450"/>
      <c r="K102" s="450"/>
      <c r="L102" s="441"/>
      <c r="M102" s="441"/>
      <c r="N102" s="441"/>
      <c r="O102" s="1392"/>
      <c r="P102" s="645">
        <f>+P92/P86</f>
        <v>0.21589490303438913</v>
      </c>
      <c r="Q102" s="645">
        <f t="shared" ref="Q102:AD102" si="51">+Q92/Q86</f>
        <v>0.20030733642067122</v>
      </c>
      <c r="R102" s="645">
        <f t="shared" si="51"/>
        <v>0.2139472784520455</v>
      </c>
      <c r="S102" s="645">
        <f t="shared" si="51"/>
        <v>0.20450199535123956</v>
      </c>
      <c r="T102" s="645">
        <f t="shared" si="51"/>
        <v>0.2125105759706159</v>
      </c>
      <c r="U102" s="645">
        <f t="shared" si="51"/>
        <v>0.21831681018865898</v>
      </c>
      <c r="V102" s="645">
        <f t="shared" si="51"/>
        <v>0.22041601028662683</v>
      </c>
      <c r="W102" s="645">
        <f t="shared" si="51"/>
        <v>0.22253539500092132</v>
      </c>
      <c r="X102" s="645">
        <f t="shared" si="51"/>
        <v>0.22467515841439173</v>
      </c>
      <c r="Y102" s="645">
        <f t="shared" si="51"/>
        <v>0.22683549647606857</v>
      </c>
      <c r="Z102" s="645">
        <f t="shared" si="51"/>
        <v>0.2290166070191077</v>
      </c>
      <c r="AA102" s="645">
        <f t="shared" si="51"/>
        <v>0.23121868977890678</v>
      </c>
      <c r="AB102" s="645">
        <f t="shared" si="51"/>
        <v>0.23344194641139626</v>
      </c>
      <c r="AC102" s="645">
        <f t="shared" si="51"/>
        <v>0.2356865805115059</v>
      </c>
      <c r="AD102" s="645">
        <f t="shared" si="51"/>
        <v>0.23795279763180882</v>
      </c>
      <c r="AE102" s="450"/>
      <c r="AF102" s="450"/>
      <c r="AG102" s="450"/>
      <c r="AH102" s="450"/>
      <c r="AI102" s="450"/>
      <c r="AJ102" s="450"/>
      <c r="AK102" s="450"/>
      <c r="AL102" s="450"/>
      <c r="AM102" s="450"/>
      <c r="AN102" s="450"/>
      <c r="AO102" s="450"/>
      <c r="AP102" s="450"/>
      <c r="AQ102" s="450"/>
      <c r="AR102" s="450"/>
      <c r="AS102" s="450"/>
    </row>
    <row r="103" spans="1:82" s="438" customFormat="1" ht="1.5" customHeight="1"/>
    <row r="104" spans="1:82" s="438" customFormat="1" hidden="1">
      <c r="A104" s="517" t="s">
        <v>666</v>
      </c>
      <c r="B104" s="517"/>
      <c r="C104" s="517"/>
    </row>
    <row r="105" spans="1:82" s="438" customFormat="1"/>
    <row r="106" spans="1:82" s="438" customFormat="1"/>
    <row r="107" spans="1:82" s="438" customFormat="1">
      <c r="M107" s="441"/>
      <c r="N107" s="441"/>
    </row>
    <row r="108" spans="1:82" s="438" customFormat="1">
      <c r="M108" s="441"/>
      <c r="N108" s="441"/>
    </row>
    <row r="109" spans="1:82" s="438" customFormat="1">
      <c r="M109" s="441"/>
      <c r="N109" s="441"/>
    </row>
    <row r="110" spans="1:82" s="438" customFormat="1">
      <c r="M110" s="450"/>
      <c r="N110" s="641"/>
    </row>
    <row r="111" spans="1:82" s="438" customFormat="1">
      <c r="M111" s="514"/>
      <c r="N111" s="518"/>
    </row>
    <row r="112" spans="1:82" s="438" customFormat="1">
      <c r="M112" s="514"/>
      <c r="N112" s="518"/>
    </row>
    <row r="113" spans="13:14" s="438" customFormat="1">
      <c r="M113" s="514"/>
      <c r="N113" s="518"/>
    </row>
    <row r="114" spans="13:14" s="438" customFormat="1">
      <c r="M114" s="514"/>
      <c r="N114" s="518"/>
    </row>
    <row r="115" spans="13:14" s="438" customFormat="1">
      <c r="M115" s="514"/>
      <c r="N115" s="518"/>
    </row>
    <row r="116" spans="13:14" s="438" customFormat="1">
      <c r="M116" s="514"/>
      <c r="N116" s="518"/>
    </row>
    <row r="117" spans="13:14" s="438" customFormat="1">
      <c r="M117" s="514"/>
      <c r="N117" s="518"/>
    </row>
    <row r="118" spans="13:14" s="438" customFormat="1">
      <c r="M118" s="514"/>
      <c r="N118" s="518"/>
    </row>
    <row r="119" spans="13:14" s="438" customFormat="1">
      <c r="M119" s="514"/>
      <c r="N119" s="518"/>
    </row>
    <row r="120" spans="13:14" s="438" customFormat="1">
      <c r="M120" s="514"/>
      <c r="N120" s="518"/>
    </row>
    <row r="121" spans="13:14" s="438" customFormat="1">
      <c r="M121" s="441"/>
      <c r="N121" s="441"/>
    </row>
    <row r="122" spans="13:14" s="438" customFormat="1">
      <c r="M122" s="514"/>
      <c r="N122" s="441"/>
    </row>
    <row r="123" spans="13:14" s="438" customFormat="1">
      <c r="M123" s="514"/>
      <c r="N123" s="441"/>
    </row>
    <row r="124" spans="13:14" s="438" customFormat="1">
      <c r="M124" s="514"/>
      <c r="N124" s="441"/>
    </row>
    <row r="125" spans="13:14" s="438" customFormat="1">
      <c r="M125" s="514"/>
    </row>
    <row r="126" spans="13:14" s="438" customFormat="1">
      <c r="M126" s="514"/>
    </row>
    <row r="127" spans="13:14" s="438" customFormat="1">
      <c r="M127" s="457"/>
    </row>
    <row r="128" spans="13:14" s="438" customFormat="1">
      <c r="M128" s="514"/>
    </row>
    <row r="129" spans="13:13" s="438" customFormat="1">
      <c r="M129" s="514"/>
    </row>
    <row r="130" spans="13:13" s="438" customFormat="1">
      <c r="M130" s="514"/>
    </row>
    <row r="131" spans="13:13" s="438" customFormat="1">
      <c r="M131" s="514"/>
    </row>
    <row r="132" spans="13:13" s="438" customFormat="1">
      <c r="M132" s="457"/>
    </row>
    <row r="133" spans="13:13" s="438" customFormat="1">
      <c r="M133" s="457"/>
    </row>
    <row r="134" spans="13:13" s="438" customFormat="1">
      <c r="M134" s="457"/>
    </row>
    <row r="135" spans="13:13" s="438" customFormat="1">
      <c r="M135" s="457"/>
    </row>
    <row r="136" spans="13:13" s="438" customFormat="1">
      <c r="M136" s="514"/>
    </row>
    <row r="137" spans="13:13" s="438" customFormat="1">
      <c r="M137" s="514"/>
    </row>
    <row r="138" spans="13:13" s="438" customFormat="1">
      <c r="M138" s="457"/>
    </row>
    <row r="139" spans="13:13" s="438" customFormat="1">
      <c r="M139" s="514"/>
    </row>
    <row r="140" spans="13:13" s="438" customFormat="1">
      <c r="M140" s="514"/>
    </row>
    <row r="141" spans="13:13" s="438" customFormat="1">
      <c r="M141" s="514"/>
    </row>
    <row r="142" spans="13:13" s="438" customFormat="1">
      <c r="M142" s="514"/>
    </row>
    <row r="143" spans="13:13" s="438" customFormat="1">
      <c r="M143" s="457"/>
    </row>
    <row r="144" spans="13:13" s="438" customFormat="1">
      <c r="M144" s="457"/>
    </row>
    <row r="145" spans="13:13" s="438" customFormat="1">
      <c r="M145" s="457"/>
    </row>
    <row r="146" spans="13:13" s="438" customFormat="1">
      <c r="M146" s="457"/>
    </row>
    <row r="147" spans="13:13" s="438" customFormat="1">
      <c r="M147" s="514"/>
    </row>
    <row r="148" spans="13:13" s="438" customFormat="1">
      <c r="M148" s="514"/>
    </row>
    <row r="149" spans="13:13" s="438" customFormat="1">
      <c r="M149" s="457"/>
    </row>
    <row r="150" spans="13:13" s="438" customFormat="1">
      <c r="M150" s="514"/>
    </row>
    <row r="151" spans="13:13" s="438" customFormat="1">
      <c r="M151" s="514"/>
    </row>
    <row r="152" spans="13:13" s="438" customFormat="1">
      <c r="M152" s="514"/>
    </row>
    <row r="153" spans="13:13" s="438" customFormat="1">
      <c r="M153" s="514"/>
    </row>
    <row r="154" spans="13:13" s="438" customFormat="1"/>
    <row r="155" spans="13:13" s="438" customFormat="1"/>
    <row r="156" spans="13:13" s="438" customFormat="1"/>
    <row r="157" spans="13:13" s="438" customFormat="1"/>
    <row r="158" spans="13:13" s="438" customFormat="1"/>
    <row r="159" spans="13:13" s="438" customFormat="1"/>
    <row r="160" spans="13:13" s="438" customFormat="1"/>
    <row r="161" s="438" customFormat="1"/>
    <row r="162" s="438" customFormat="1"/>
    <row r="163" s="438" customFormat="1"/>
    <row r="164" s="438" customFormat="1"/>
    <row r="165" s="438" customFormat="1"/>
    <row r="166" s="438" customFormat="1"/>
    <row r="167" s="438" customFormat="1"/>
    <row r="168" s="438" customFormat="1"/>
    <row r="169" s="438" customFormat="1"/>
    <row r="170" s="438" customFormat="1"/>
    <row r="171" s="438" customFormat="1"/>
    <row r="172" s="438" customFormat="1"/>
    <row r="173" s="438" customFormat="1"/>
    <row r="174" s="438" customFormat="1"/>
    <row r="175" s="438" customFormat="1"/>
    <row r="176" s="438" customFormat="1"/>
    <row r="177" s="438" customFormat="1"/>
    <row r="178" s="438" customFormat="1"/>
    <row r="179" s="438" customFormat="1"/>
    <row r="180" s="438" customFormat="1"/>
    <row r="181" s="438" customFormat="1"/>
    <row r="182" s="438" customFormat="1"/>
    <row r="183" s="438" customFormat="1"/>
    <row r="184" s="438" customFormat="1"/>
    <row r="185" s="438" customFormat="1"/>
    <row r="186" s="438" customFormat="1"/>
    <row r="187" s="438" customFormat="1"/>
    <row r="188" s="438" customFormat="1"/>
    <row r="189" s="438" customFormat="1"/>
    <row r="190" s="438" customFormat="1"/>
    <row r="191" s="438" customFormat="1"/>
    <row r="192" s="438" customFormat="1"/>
    <row r="193" s="438" customFormat="1"/>
    <row r="194" s="438" customFormat="1"/>
    <row r="195" s="438" customFormat="1"/>
    <row r="196" s="438" customFormat="1"/>
    <row r="197" s="438" customFormat="1"/>
    <row r="198" s="438" customFormat="1"/>
    <row r="199" s="438" customFormat="1"/>
    <row r="200" s="438" customFormat="1"/>
    <row r="201" s="438" customFormat="1"/>
    <row r="202" s="438" customFormat="1"/>
    <row r="203" s="438" customFormat="1"/>
    <row r="204" s="438" customFormat="1"/>
    <row r="205" s="438" customFormat="1"/>
    <row r="206" s="438" customFormat="1"/>
    <row r="207" s="438" customFormat="1"/>
    <row r="208" s="438" customFormat="1"/>
    <row r="209" s="438" customFormat="1"/>
    <row r="210" s="438" customFormat="1"/>
    <row r="211" s="438" customFormat="1"/>
    <row r="212" s="438" customFormat="1"/>
    <row r="213" s="438" customFormat="1"/>
    <row r="214" s="438" customFormat="1"/>
    <row r="215" s="438" customFormat="1"/>
    <row r="216" s="438" customFormat="1"/>
    <row r="217" s="438" customFormat="1"/>
    <row r="218" s="438" customFormat="1"/>
    <row r="219" s="438" customFormat="1"/>
    <row r="220" s="438" customFormat="1"/>
    <row r="221" s="438" customFormat="1"/>
    <row r="222" s="438" customFormat="1"/>
    <row r="223" s="438" customFormat="1"/>
    <row r="224" s="438" customFormat="1"/>
    <row r="225" s="438" customFormat="1"/>
    <row r="226" s="438" customFormat="1"/>
    <row r="227" s="438" customFormat="1"/>
    <row r="228" s="438" customFormat="1"/>
    <row r="229" s="438" customFormat="1"/>
    <row r="230" s="438" customFormat="1"/>
    <row r="231" s="438" customFormat="1"/>
    <row r="232" s="438" customFormat="1"/>
    <row r="233" s="438" customFormat="1"/>
    <row r="234" s="438" customFormat="1"/>
    <row r="235" s="438" customFormat="1"/>
    <row r="236" s="438" customFormat="1"/>
    <row r="237" s="438" customFormat="1"/>
    <row r="238" s="438" customFormat="1"/>
    <row r="239" s="438" customFormat="1"/>
    <row r="240" s="438" customFormat="1"/>
    <row r="241" s="438" customFormat="1"/>
    <row r="242" s="438" customFormat="1"/>
    <row r="243" s="438" customFormat="1"/>
    <row r="244" s="438" customFormat="1"/>
    <row r="245" s="438" customFormat="1"/>
    <row r="246" s="438" customFormat="1"/>
    <row r="247" s="438" customFormat="1"/>
    <row r="248" s="438" customFormat="1"/>
    <row r="249" s="438" customFormat="1"/>
    <row r="250" s="438" customFormat="1"/>
    <row r="251" s="438" customFormat="1"/>
    <row r="252" s="438" customFormat="1"/>
    <row r="253" s="438" customFormat="1"/>
    <row r="254" s="438" customFormat="1"/>
    <row r="255" s="438" customFormat="1"/>
    <row r="256" s="438" customFormat="1"/>
    <row r="257" s="438" customFormat="1"/>
    <row r="258" s="438" customFormat="1"/>
    <row r="259" s="438" customFormat="1"/>
    <row r="260" s="438" customFormat="1"/>
    <row r="261" s="438" customFormat="1"/>
    <row r="262" s="438" customFormat="1"/>
    <row r="263" s="438" customFormat="1"/>
    <row r="264" s="438" customFormat="1"/>
    <row r="265" s="438" customFormat="1"/>
    <row r="266" s="438" customFormat="1"/>
    <row r="267" s="438" customFormat="1"/>
    <row r="268" s="438" customFormat="1"/>
    <row r="269" s="438" customFormat="1"/>
    <row r="270" s="438" customFormat="1"/>
    <row r="271" s="438" customFormat="1"/>
    <row r="272" s="438" customFormat="1"/>
    <row r="273" s="438" customFormat="1"/>
    <row r="274" s="438" customFormat="1"/>
    <row r="275" s="438" customFormat="1"/>
    <row r="276" s="438" customFormat="1"/>
    <row r="277" s="438" customFormat="1"/>
    <row r="278" s="438" customFormat="1"/>
    <row r="279" s="438" customFormat="1"/>
    <row r="280" s="438" customFormat="1"/>
    <row r="281" s="438" customFormat="1"/>
    <row r="282" s="438" customFormat="1"/>
    <row r="283" s="438" customFormat="1"/>
    <row r="284" s="438" customFormat="1"/>
    <row r="285" s="438" customFormat="1"/>
    <row r="286" s="438" customFormat="1"/>
    <row r="287" s="438" customFormat="1"/>
    <row r="288" s="438" customFormat="1"/>
    <row r="289" s="438" customFormat="1"/>
    <row r="290" s="438" customFormat="1"/>
    <row r="291" s="438" customFormat="1"/>
    <row r="292" s="438" customFormat="1"/>
    <row r="293" s="438" customFormat="1"/>
    <row r="294" s="438" customFormat="1"/>
    <row r="295" s="438" customFormat="1"/>
    <row r="296" s="438" customFormat="1"/>
    <row r="297" s="438" customFormat="1"/>
    <row r="298" s="438" customFormat="1"/>
    <row r="299" s="438" customFormat="1"/>
    <row r="300" s="438" customFormat="1"/>
    <row r="301" s="438" customFormat="1"/>
    <row r="302" s="438" customFormat="1"/>
    <row r="303" s="438" customFormat="1"/>
    <row r="304" s="438" customFormat="1"/>
    <row r="305" s="438" customFormat="1"/>
    <row r="306" s="438" customFormat="1"/>
    <row r="307" s="438" customFormat="1"/>
    <row r="308" s="438" customFormat="1"/>
    <row r="309" s="438" customFormat="1"/>
    <row r="310" s="438" customFormat="1"/>
    <row r="311" s="438" customFormat="1"/>
    <row r="312" s="438" customFormat="1"/>
    <row r="313" s="438" customFormat="1"/>
    <row r="314" s="438" customFormat="1"/>
    <row r="315" s="438" customFormat="1"/>
    <row r="316" s="438" customFormat="1"/>
    <row r="317" s="438" customFormat="1"/>
    <row r="318" s="438" customFormat="1"/>
    <row r="319" s="438" customFormat="1"/>
    <row r="320" s="438" customFormat="1"/>
    <row r="321" s="438" customFormat="1"/>
    <row r="322" s="438" customFormat="1"/>
    <row r="323" s="438" customFormat="1"/>
    <row r="324" s="438" customFormat="1"/>
    <row r="325" s="438" customFormat="1"/>
    <row r="326" s="438" customFormat="1"/>
    <row r="327" s="438" customFormat="1"/>
    <row r="328" s="438" customFormat="1"/>
    <row r="329" s="438" customFormat="1"/>
    <row r="330" s="438" customFormat="1"/>
    <row r="331" s="438" customFormat="1"/>
    <row r="332" s="438" customFormat="1"/>
    <row r="333" s="438" customFormat="1"/>
    <row r="334" s="438" customFormat="1"/>
    <row r="335" s="438" customFormat="1"/>
    <row r="336" s="438" customFormat="1"/>
    <row r="337" s="438" customFormat="1"/>
    <row r="338" s="438" customFormat="1"/>
    <row r="339" s="438" customFormat="1"/>
    <row r="340" s="438" customFormat="1"/>
    <row r="341" s="438" customFormat="1"/>
    <row r="342" s="438" customFormat="1"/>
    <row r="343" s="438" customFormat="1"/>
    <row r="344" s="438" customFormat="1"/>
    <row r="345" s="438" customFormat="1"/>
    <row r="346" s="438" customFormat="1"/>
    <row r="347" s="438" customFormat="1"/>
    <row r="348" s="438" customFormat="1"/>
    <row r="349" s="438" customFormat="1"/>
    <row r="350" s="438" customFormat="1"/>
    <row r="351" s="438" customFormat="1"/>
    <row r="352" s="438" customFormat="1"/>
    <row r="353" s="438" customFormat="1"/>
    <row r="354" s="438" customFormat="1"/>
    <row r="355" s="438" customFormat="1"/>
    <row r="356" s="438" customFormat="1"/>
    <row r="357" s="438" customFormat="1"/>
    <row r="358" s="438" customFormat="1"/>
    <row r="359" s="438" customFormat="1"/>
    <row r="360" s="438" customFormat="1"/>
    <row r="361" s="438" customFormat="1"/>
    <row r="362" s="438" customFormat="1"/>
    <row r="363" s="438" customFormat="1"/>
    <row r="364" s="438" customFormat="1"/>
    <row r="365" s="438" customFormat="1"/>
    <row r="366" s="438" customFormat="1"/>
    <row r="367" s="438" customFormat="1"/>
    <row r="368" s="438" customFormat="1"/>
    <row r="369" s="438" customFormat="1"/>
    <row r="370" s="438" customFormat="1"/>
    <row r="371" s="438" customFormat="1"/>
    <row r="372" s="438" customFormat="1"/>
    <row r="373" s="438" customFormat="1"/>
    <row r="374" s="438" customFormat="1"/>
    <row r="375" s="438" customFormat="1"/>
    <row r="376" s="438" customFormat="1"/>
    <row r="377" s="438" customFormat="1"/>
    <row r="378" s="438" customFormat="1"/>
    <row r="379" s="438" customFormat="1"/>
    <row r="380" s="438" customFormat="1"/>
    <row r="381" s="438" customFormat="1"/>
    <row r="382" s="438" customFormat="1"/>
    <row r="383" s="438" customFormat="1"/>
    <row r="384" s="438" customFormat="1"/>
    <row r="385" s="438" customFormat="1"/>
    <row r="386" s="438" customFormat="1"/>
    <row r="387" s="438" customFormat="1"/>
    <row r="388" s="438" customFormat="1"/>
    <row r="389" s="438" customFormat="1"/>
    <row r="390" s="438" customFormat="1"/>
    <row r="391" s="438" customFormat="1"/>
    <row r="392" s="438" customFormat="1"/>
    <row r="393" s="438" customFormat="1"/>
    <row r="394" s="438" customFormat="1"/>
    <row r="395" s="438" customFormat="1"/>
    <row r="396" s="438" customFormat="1"/>
    <row r="397" s="438" customFormat="1"/>
    <row r="398" s="438" customFormat="1"/>
    <row r="399" s="438" customFormat="1"/>
    <row r="400" s="438" customFormat="1"/>
    <row r="401" s="438" customFormat="1"/>
    <row r="402" s="438" customFormat="1"/>
    <row r="403" s="438" customFormat="1"/>
    <row r="404" s="438" customFormat="1"/>
    <row r="405" s="438" customFormat="1"/>
    <row r="406" s="438" customFormat="1"/>
    <row r="407" s="438" customFormat="1"/>
    <row r="408" s="438" customFormat="1"/>
    <row r="409" s="438" customFormat="1"/>
    <row r="410" s="438" customFormat="1"/>
    <row r="411" s="438" customFormat="1"/>
    <row r="412" s="438" customFormat="1"/>
    <row r="413" s="438" customFormat="1"/>
  </sheetData>
  <sheetProtection password="95B1" sheet="1" objects="1" scenarios="1"/>
  <mergeCells count="15">
    <mergeCell ref="AK22:AK23"/>
    <mergeCell ref="AL22:AL23"/>
    <mergeCell ref="AQ22:AQ23"/>
    <mergeCell ref="AR22:AR23"/>
    <mergeCell ref="AS22:AS23"/>
    <mergeCell ref="AM22:AM23"/>
    <mergeCell ref="AN22:AN23"/>
    <mergeCell ref="AO22:AO23"/>
    <mergeCell ref="AP22:AP23"/>
    <mergeCell ref="AJ22:AJ23"/>
    <mergeCell ref="AE22:AE23"/>
    <mergeCell ref="AF22:AF23"/>
    <mergeCell ref="AG22:AG23"/>
    <mergeCell ref="AH22:AH23"/>
    <mergeCell ref="AI22:AI23"/>
  </mergeCells>
  <phoneticPr fontId="34" type="noConversion"/>
  <printOptions horizontalCentered="1" verticalCentered="1" gridLines="1"/>
  <pageMargins left="0.19685039370078741" right="0.19685039370078741" top="0.31496062992125984" bottom="0.35433070866141736" header="0.15748031496062992" footer="0.19685039370078741"/>
  <pageSetup scale="80" fitToHeight="3" orientation="landscape" horizontalDpi="4294967293" verticalDpi="144" r:id="rId1"/>
  <headerFooter alignWithMargins="0">
    <oddHeader>&amp;C&amp;"Arial,Negrita"&amp;12&amp;F</oddHeader>
    <oddFooter>&amp;L&amp;"Arial,Negrita"&amp;F &amp;A&amp;R&amp;"Arial,Negrita"Página &amp;P de &amp;N</oddFooter>
  </headerFooter>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sheetPr codeName="Hoja5"/>
  <dimension ref="A1:BO118"/>
  <sheetViews>
    <sheetView zoomScale="85" zoomScaleNormal="85" zoomScalePageLayoutView="48" workbookViewId="0">
      <selection activeCell="A15" sqref="A15"/>
    </sheetView>
  </sheetViews>
  <sheetFormatPr baseColWidth="10" defaultRowHeight="15"/>
  <cols>
    <col min="1" max="1" width="13.7109375" style="646" customWidth="1"/>
    <col min="2" max="2" width="69.7109375" style="646" customWidth="1"/>
    <col min="3" max="3" width="18.85546875" style="646" customWidth="1"/>
    <col min="4" max="4" width="16.28515625" style="646" customWidth="1"/>
    <col min="5" max="5" width="17.42578125" style="646" customWidth="1"/>
    <col min="6" max="6" width="1.85546875" style="1216" customWidth="1"/>
    <col min="7" max="21" width="13.7109375" style="676" customWidth="1"/>
    <col min="22" max="67" width="11.42578125" style="676"/>
    <col min="68" max="16384" width="11.42578125" style="646"/>
  </cols>
  <sheetData>
    <row r="1" spans="1:67" s="647" customFormat="1">
      <c r="A1" s="688" t="s">
        <v>667</v>
      </c>
      <c r="B1" s="686" t="str">
        <f>+Ingresos!B8</f>
        <v>MUNICIPIO DE CUNDAY</v>
      </c>
      <c r="C1" s="685"/>
      <c r="D1" s="685"/>
      <c r="E1" s="685"/>
      <c r="F1" s="1223"/>
      <c r="G1" s="1219"/>
      <c r="H1" s="1219"/>
      <c r="I1" s="1219"/>
      <c r="J1" s="1219"/>
      <c r="K1" s="1219"/>
      <c r="L1" s="1219"/>
      <c r="M1" s="1219"/>
      <c r="N1" s="1219"/>
      <c r="O1" s="1219"/>
      <c r="P1" s="1219"/>
      <c r="Q1" s="1219"/>
      <c r="R1" s="1219"/>
      <c r="S1" s="1219"/>
      <c r="T1" s="1219"/>
      <c r="U1" s="1219"/>
    </row>
    <row r="2" spans="1:67" s="1220" customFormat="1" ht="18.75" customHeight="1" thickBot="1">
      <c r="A2" s="695" t="s">
        <v>668</v>
      </c>
      <c r="B2" s="694"/>
      <c r="C2" s="686"/>
      <c r="D2" s="1221" t="s">
        <v>669</v>
      </c>
      <c r="E2" s="687"/>
      <c r="F2" s="1224"/>
      <c r="G2" s="1240" t="s">
        <v>670</v>
      </c>
      <c r="H2" s="1241"/>
      <c r="I2" s="1241"/>
      <c r="J2" s="1241"/>
      <c r="K2" s="1241"/>
      <c r="L2" s="1241"/>
      <c r="M2" s="1241"/>
      <c r="N2" s="1241"/>
      <c r="O2" s="1241"/>
      <c r="P2" s="1241"/>
      <c r="Q2" s="1241"/>
      <c r="R2" s="1241"/>
      <c r="S2" s="1241"/>
      <c r="T2" s="1241"/>
      <c r="U2" s="1241"/>
    </row>
    <row r="3" spans="1:67" ht="60">
      <c r="A3" s="673" t="s">
        <v>1240</v>
      </c>
      <c r="B3" s="674" t="s">
        <v>498</v>
      </c>
      <c r="C3" s="654" t="s">
        <v>671</v>
      </c>
      <c r="D3" s="655" t="s">
        <v>672</v>
      </c>
      <c r="E3" s="656" t="s">
        <v>673</v>
      </c>
      <c r="F3" s="1225"/>
      <c r="G3" s="1218" t="s">
        <v>674</v>
      </c>
      <c r="H3" s="1218" t="s">
        <v>674</v>
      </c>
      <c r="I3" s="1218" t="s">
        <v>674</v>
      </c>
      <c r="J3" s="1218" t="s">
        <v>674</v>
      </c>
      <c r="K3" s="1218" t="s">
        <v>674</v>
      </c>
      <c r="L3" s="1218" t="s">
        <v>674</v>
      </c>
      <c r="M3" s="1218" t="s">
        <v>674</v>
      </c>
      <c r="N3" s="1218" t="s">
        <v>674</v>
      </c>
      <c r="O3" s="1218" t="s">
        <v>674</v>
      </c>
      <c r="P3" s="1218" t="s">
        <v>674</v>
      </c>
      <c r="Q3" s="1218" t="s">
        <v>674</v>
      </c>
      <c r="R3" s="1218" t="s">
        <v>674</v>
      </c>
      <c r="S3" s="1218" t="s">
        <v>674</v>
      </c>
      <c r="T3" s="1218" t="s">
        <v>674</v>
      </c>
      <c r="U3" s="1218" t="s">
        <v>674</v>
      </c>
    </row>
    <row r="4" spans="1:67" ht="15.75" thickBot="1">
      <c r="A4" s="675" t="s">
        <v>1240</v>
      </c>
      <c r="B4" s="663"/>
      <c r="C4" s="1332" t="s">
        <v>675</v>
      </c>
      <c r="D4" s="1374">
        <f>IF(Ingresos!$E$10=0,Ingresos!$B$10+1,Ingresos!$B$10)</f>
        <v>2011</v>
      </c>
      <c r="E4" s="657">
        <f>IF(Ingresos!$E$10=0,Ingresos!$B$10+1,Ingresos!$B$10)</f>
        <v>2011</v>
      </c>
      <c r="F4" s="1225"/>
      <c r="G4" s="1214">
        <f>+D4+1</f>
        <v>2012</v>
      </c>
      <c r="H4" s="1214">
        <f>+G4+1</f>
        <v>2013</v>
      </c>
      <c r="I4" s="1214">
        <f t="shared" ref="I4:U4" si="0">+H4+1</f>
        <v>2014</v>
      </c>
      <c r="J4" s="1214">
        <f t="shared" si="0"/>
        <v>2015</v>
      </c>
      <c r="K4" s="1214">
        <f t="shared" si="0"/>
        <v>2016</v>
      </c>
      <c r="L4" s="1214">
        <f t="shared" si="0"/>
        <v>2017</v>
      </c>
      <c r="M4" s="1214">
        <f t="shared" si="0"/>
        <v>2018</v>
      </c>
      <c r="N4" s="1214">
        <f t="shared" si="0"/>
        <v>2019</v>
      </c>
      <c r="O4" s="1214">
        <f t="shared" si="0"/>
        <v>2020</v>
      </c>
      <c r="P4" s="1214">
        <f t="shared" si="0"/>
        <v>2021</v>
      </c>
      <c r="Q4" s="1214">
        <f t="shared" si="0"/>
        <v>2022</v>
      </c>
      <c r="R4" s="1214">
        <f t="shared" si="0"/>
        <v>2023</v>
      </c>
      <c r="S4" s="1214">
        <f t="shared" si="0"/>
        <v>2024</v>
      </c>
      <c r="T4" s="1214">
        <f t="shared" si="0"/>
        <v>2025</v>
      </c>
      <c r="U4" s="1214">
        <f t="shared" si="0"/>
        <v>2026</v>
      </c>
    </row>
    <row r="5" spans="1:67" s="723" customFormat="1" ht="21" customHeight="1">
      <c r="A5" s="718" t="s">
        <v>1252</v>
      </c>
      <c r="B5" s="719" t="s">
        <v>676</v>
      </c>
      <c r="C5" s="720">
        <f>SUM(C6:C11)</f>
        <v>2373166</v>
      </c>
      <c r="D5" s="720">
        <f>SUM(D6:D11)</f>
        <v>2491824.2999999998</v>
      </c>
      <c r="E5" s="721">
        <f>SUM(E6:E11)</f>
        <v>2258600.4</v>
      </c>
      <c r="F5" s="1226"/>
      <c r="G5" s="1195">
        <f t="shared" ref="G5:U5" si="1">SUM(G6:G11)</f>
        <v>2603956.3935000002</v>
      </c>
      <c r="H5" s="1195">
        <f t="shared" si="1"/>
        <v>2695094.8672724995</v>
      </c>
      <c r="I5" s="1195">
        <f t="shared" si="1"/>
        <v>2775947.7132906746</v>
      </c>
      <c r="J5" s="1195">
        <f t="shared" si="1"/>
        <v>2859226.1446893946</v>
      </c>
      <c r="K5" s="1195">
        <f t="shared" si="1"/>
        <v>2945002.9290300771</v>
      </c>
      <c r="L5" s="1195">
        <f t="shared" si="1"/>
        <v>3033353.016900979</v>
      </c>
      <c r="M5" s="1195">
        <f t="shared" si="1"/>
        <v>3124353.6074080085</v>
      </c>
      <c r="N5" s="1195">
        <f t="shared" si="1"/>
        <v>3218084.2156302487</v>
      </c>
      <c r="O5" s="1195">
        <f t="shared" si="1"/>
        <v>3314626.7420991561</v>
      </c>
      <c r="P5" s="1195">
        <f t="shared" si="1"/>
        <v>3414065.5443621306</v>
      </c>
      <c r="Q5" s="1195">
        <f t="shared" si="1"/>
        <v>3516487.510692995</v>
      </c>
      <c r="R5" s="1195">
        <f t="shared" si="1"/>
        <v>3621982.1360137844</v>
      </c>
      <c r="S5" s="1195">
        <f t="shared" si="1"/>
        <v>3730641.6000941982</v>
      </c>
      <c r="T5" s="1195">
        <f t="shared" si="1"/>
        <v>3842560.8480970236</v>
      </c>
      <c r="U5" s="1195">
        <f t="shared" si="1"/>
        <v>3957837.6735399347</v>
      </c>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row>
    <row r="6" spans="1:67" s="723" customFormat="1" ht="21" customHeight="1">
      <c r="A6" s="724" t="s">
        <v>677</v>
      </c>
      <c r="B6" s="725" t="s">
        <v>678</v>
      </c>
      <c r="C6" s="726">
        <f>+Ingresos!M29</f>
        <v>571262</v>
      </c>
      <c r="D6" s="727">
        <f t="shared" ref="D6:D11" si="2">+C6*$D$19</f>
        <v>599825.1</v>
      </c>
      <c r="E6" s="728">
        <f>+D6</f>
        <v>599825.1</v>
      </c>
      <c r="F6" s="1227"/>
      <c r="G6" s="1197">
        <f t="shared" ref="G6:G11" si="3">+D6*$G$19</f>
        <v>626817.2294999999</v>
      </c>
      <c r="H6" s="1197">
        <f t="shared" ref="H6:H11" si="4">+G6*$H$19</f>
        <v>648755.8325324998</v>
      </c>
      <c r="I6" s="1197">
        <f t="shared" ref="I6:I11" si="5">+H6*$I$19</f>
        <v>668218.50750847487</v>
      </c>
      <c r="J6" s="1197">
        <f t="shared" ref="J6:J11" si="6">+I6*$J$19</f>
        <v>688265.06273372914</v>
      </c>
      <c r="K6" s="1197">
        <f t="shared" ref="K6:K11" si="7">+J6*$K$19</f>
        <v>708913.01461574098</v>
      </c>
      <c r="L6" s="1197">
        <f t="shared" ref="L6:L11" si="8">+K6*$L$19</f>
        <v>730180.40505421325</v>
      </c>
      <c r="M6" s="1197">
        <f t="shared" ref="M6:M11" si="9">+L6*$M$19</f>
        <v>752085.81720583967</v>
      </c>
      <c r="N6" s="1197">
        <f t="shared" ref="N6:N11" si="10">+M6*$N$19</f>
        <v>774648.39172201487</v>
      </c>
      <c r="O6" s="1197">
        <f t="shared" ref="O6:O11" si="11">+N6*$O$19</f>
        <v>797887.84347367531</v>
      </c>
      <c r="P6" s="1197">
        <f t="shared" ref="P6:P11" si="12">+O6*$P$19</f>
        <v>821824.47877788555</v>
      </c>
      <c r="Q6" s="1197">
        <f t="shared" ref="Q6:Q11" si="13">+P6*$Q$19</f>
        <v>846479.21314122214</v>
      </c>
      <c r="R6" s="1197">
        <f t="shared" ref="R6:R11" si="14">+Q6*$R$19</f>
        <v>871873.58953545883</v>
      </c>
      <c r="S6" s="1197">
        <f t="shared" ref="S6:S11" si="15">+R6*$S$19</f>
        <v>898029.79722152266</v>
      </c>
      <c r="T6" s="1197">
        <f t="shared" ref="T6:T11" si="16">+S6*$T$19</f>
        <v>924970.69113816833</v>
      </c>
      <c r="U6" s="1197">
        <f t="shared" ref="U6:U11" si="17">+T6*$U$19</f>
        <v>952719.81187231338</v>
      </c>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722"/>
      <c r="BN6" s="722"/>
      <c r="BO6" s="722"/>
    </row>
    <row r="7" spans="1:67" s="723" customFormat="1" ht="21" customHeight="1">
      <c r="A7" s="724" t="s">
        <v>679</v>
      </c>
      <c r="B7" s="729" t="s">
        <v>680</v>
      </c>
      <c r="C7" s="726">
        <f>+Ingresos!M50-Ingresos!M57-Ingresos!M82</f>
        <v>39299</v>
      </c>
      <c r="D7" s="727">
        <f t="shared" si="2"/>
        <v>41263.950000000004</v>
      </c>
      <c r="E7" s="728">
        <f>+D7</f>
        <v>41263.950000000004</v>
      </c>
      <c r="F7" s="1227"/>
      <c r="G7" s="1197">
        <f t="shared" si="3"/>
        <v>43120.827750000004</v>
      </c>
      <c r="H7" s="1197">
        <f t="shared" si="4"/>
        <v>44630.056721250003</v>
      </c>
      <c r="I7" s="1197">
        <f t="shared" si="5"/>
        <v>45968.958422887503</v>
      </c>
      <c r="J7" s="1197">
        <f t="shared" si="6"/>
        <v>47348.027175574127</v>
      </c>
      <c r="K7" s="1197">
        <f t="shared" si="7"/>
        <v>48768.467990841353</v>
      </c>
      <c r="L7" s="1197">
        <f t="shared" si="8"/>
        <v>50231.522030566593</v>
      </c>
      <c r="M7" s="1197">
        <f t="shared" si="9"/>
        <v>51738.467691483595</v>
      </c>
      <c r="N7" s="1197">
        <f t="shared" si="10"/>
        <v>53290.621722228105</v>
      </c>
      <c r="O7" s="1197">
        <f t="shared" si="11"/>
        <v>54889.340373894949</v>
      </c>
      <c r="P7" s="1197">
        <f t="shared" si="12"/>
        <v>56536.020585111801</v>
      </c>
      <c r="Q7" s="1197">
        <f t="shared" si="13"/>
        <v>58232.101202665159</v>
      </c>
      <c r="R7" s="1197">
        <f t="shared" si="14"/>
        <v>59979.064238745115</v>
      </c>
      <c r="S7" s="1197">
        <f t="shared" si="15"/>
        <v>61778.436165907471</v>
      </c>
      <c r="T7" s="1197">
        <f t="shared" si="16"/>
        <v>63631.7892508847</v>
      </c>
      <c r="U7" s="1197">
        <f t="shared" si="17"/>
        <v>65540.742928411244</v>
      </c>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row>
    <row r="8" spans="1:67" s="723" customFormat="1" ht="21" customHeight="1">
      <c r="A8" s="730" t="s">
        <v>681</v>
      </c>
      <c r="B8" s="731" t="s">
        <v>682</v>
      </c>
      <c r="C8" s="1184">
        <f>+Ingresos!M57-Ingresos!M62-Ingresos!M65-Ingresos!M72-Ingresos!M74-Ingresos!M81</f>
        <v>1540487</v>
      </c>
      <c r="D8" s="727">
        <f t="shared" si="2"/>
        <v>1617511.35</v>
      </c>
      <c r="E8" s="1307">
        <f>+D8-(Gastos!P53*D19)</f>
        <v>1617511.35</v>
      </c>
      <c r="F8" s="1227"/>
      <c r="G8" s="1215">
        <f t="shared" si="3"/>
        <v>1690299.36075</v>
      </c>
      <c r="H8" s="1215">
        <f t="shared" si="4"/>
        <v>1749459.8383762499</v>
      </c>
      <c r="I8" s="1215">
        <f t="shared" si="5"/>
        <v>1801943.6335275373</v>
      </c>
      <c r="J8" s="1215">
        <f t="shared" si="6"/>
        <v>1856001.9425333636</v>
      </c>
      <c r="K8" s="1215">
        <f t="shared" si="7"/>
        <v>1911682.0008093645</v>
      </c>
      <c r="L8" s="1215">
        <f t="shared" si="8"/>
        <v>1969032.4608336454</v>
      </c>
      <c r="M8" s="1215">
        <f t="shared" si="9"/>
        <v>2028103.4346586547</v>
      </c>
      <c r="N8" s="1215">
        <f t="shared" si="10"/>
        <v>2088946.5376984144</v>
      </c>
      <c r="O8" s="1215">
        <f t="shared" si="11"/>
        <v>2151614.9338293667</v>
      </c>
      <c r="P8" s="1215">
        <f t="shared" si="12"/>
        <v>2216163.3818442477</v>
      </c>
      <c r="Q8" s="1215">
        <f t="shared" si="13"/>
        <v>2282648.2832995751</v>
      </c>
      <c r="R8" s="1215">
        <f t="shared" si="14"/>
        <v>2351127.7317985622</v>
      </c>
      <c r="S8" s="1215">
        <f t="shared" si="15"/>
        <v>2421661.563752519</v>
      </c>
      <c r="T8" s="1215">
        <f t="shared" si="16"/>
        <v>2494311.4106650944</v>
      </c>
      <c r="U8" s="1215">
        <f t="shared" si="17"/>
        <v>2569140.7529850472</v>
      </c>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c r="BM8" s="722"/>
      <c r="BN8" s="722"/>
      <c r="BO8" s="722"/>
    </row>
    <row r="9" spans="1:67" s="723" customFormat="1" ht="21" customHeight="1">
      <c r="A9" s="730" t="s">
        <v>683</v>
      </c>
      <c r="B9" s="731" t="s">
        <v>684</v>
      </c>
      <c r="C9" s="726">
        <f>+Ingresos!M111-Ingresos!M121</f>
        <v>222118</v>
      </c>
      <c r="D9" s="727">
        <f t="shared" si="2"/>
        <v>233223.90000000002</v>
      </c>
      <c r="E9" s="728" t="s">
        <v>685</v>
      </c>
      <c r="F9" s="1227"/>
      <c r="G9" s="1197">
        <f t="shared" si="3"/>
        <v>243718.9755</v>
      </c>
      <c r="H9" s="1197">
        <f t="shared" si="4"/>
        <v>252249.13964249997</v>
      </c>
      <c r="I9" s="1197">
        <f t="shared" si="5"/>
        <v>259816.61383177497</v>
      </c>
      <c r="J9" s="1197">
        <f t="shared" si="6"/>
        <v>267611.11224672821</v>
      </c>
      <c r="K9" s="1197">
        <f t="shared" si="7"/>
        <v>275639.44561413006</v>
      </c>
      <c r="L9" s="1197">
        <f t="shared" si="8"/>
        <v>283908.62898255396</v>
      </c>
      <c r="M9" s="1197">
        <f t="shared" si="9"/>
        <v>292425.88785203057</v>
      </c>
      <c r="N9" s="1197">
        <f t="shared" si="10"/>
        <v>301198.66448759148</v>
      </c>
      <c r="O9" s="1197">
        <f t="shared" si="11"/>
        <v>310234.62442221923</v>
      </c>
      <c r="P9" s="1197">
        <f t="shared" si="12"/>
        <v>319541.66315488581</v>
      </c>
      <c r="Q9" s="1197">
        <f t="shared" si="13"/>
        <v>329127.91304953239</v>
      </c>
      <c r="R9" s="1197">
        <f t="shared" si="14"/>
        <v>339001.75044101838</v>
      </c>
      <c r="S9" s="1197">
        <f t="shared" si="15"/>
        <v>349171.80295424891</v>
      </c>
      <c r="T9" s="1197">
        <f t="shared" si="16"/>
        <v>359646.9570428764</v>
      </c>
      <c r="U9" s="1197">
        <f t="shared" si="17"/>
        <v>370436.36575416272</v>
      </c>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722"/>
      <c r="BN9" s="722"/>
      <c r="BO9" s="722"/>
    </row>
    <row r="10" spans="1:67" s="723" customFormat="1" ht="21" customHeight="1">
      <c r="A10" s="724" t="s">
        <v>686</v>
      </c>
      <c r="B10" s="731" t="s">
        <v>687</v>
      </c>
      <c r="C10" s="726">
        <f>+Ingresos!M90</f>
        <v>0</v>
      </c>
      <c r="D10" s="727">
        <f t="shared" si="2"/>
        <v>0</v>
      </c>
      <c r="E10" s="728">
        <f>+D10</f>
        <v>0</v>
      </c>
      <c r="F10" s="1227"/>
      <c r="G10" s="1197">
        <f t="shared" si="3"/>
        <v>0</v>
      </c>
      <c r="H10" s="1197">
        <f t="shared" si="4"/>
        <v>0</v>
      </c>
      <c r="I10" s="1197">
        <f t="shared" si="5"/>
        <v>0</v>
      </c>
      <c r="J10" s="1197">
        <f t="shared" si="6"/>
        <v>0</v>
      </c>
      <c r="K10" s="1197">
        <f t="shared" si="7"/>
        <v>0</v>
      </c>
      <c r="L10" s="1197">
        <f t="shared" si="8"/>
        <v>0</v>
      </c>
      <c r="M10" s="1197">
        <f t="shared" si="9"/>
        <v>0</v>
      </c>
      <c r="N10" s="1197">
        <f t="shared" si="10"/>
        <v>0</v>
      </c>
      <c r="O10" s="1197">
        <f t="shared" si="11"/>
        <v>0</v>
      </c>
      <c r="P10" s="1197">
        <f t="shared" si="12"/>
        <v>0</v>
      </c>
      <c r="Q10" s="1197">
        <f t="shared" si="13"/>
        <v>0</v>
      </c>
      <c r="R10" s="1197">
        <f t="shared" si="14"/>
        <v>0</v>
      </c>
      <c r="S10" s="1197">
        <f t="shared" si="15"/>
        <v>0</v>
      </c>
      <c r="T10" s="1197">
        <f t="shared" si="16"/>
        <v>0</v>
      </c>
      <c r="U10" s="1197">
        <f t="shared" si="17"/>
        <v>0</v>
      </c>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722"/>
      <c r="BA10" s="722"/>
      <c r="BB10" s="722"/>
      <c r="BC10" s="722"/>
      <c r="BD10" s="722"/>
      <c r="BE10" s="722"/>
      <c r="BF10" s="722"/>
      <c r="BG10" s="722"/>
      <c r="BH10" s="722"/>
      <c r="BI10" s="722"/>
      <c r="BJ10" s="722"/>
      <c r="BK10" s="722"/>
      <c r="BL10" s="722"/>
      <c r="BM10" s="722"/>
      <c r="BN10" s="722"/>
      <c r="BO10" s="722"/>
    </row>
    <row r="11" spans="1:67" s="723" customFormat="1" ht="21" customHeight="1">
      <c r="A11" s="730" t="s">
        <v>688</v>
      </c>
      <c r="B11" s="731" t="s">
        <v>689</v>
      </c>
      <c r="C11" s="726">
        <f>+Ingresos!M123</f>
        <v>0</v>
      </c>
      <c r="D11" s="727">
        <f t="shared" si="2"/>
        <v>0</v>
      </c>
      <c r="E11" s="728">
        <f>+D11</f>
        <v>0</v>
      </c>
      <c r="F11" s="1227"/>
      <c r="G11" s="1197">
        <f t="shared" si="3"/>
        <v>0</v>
      </c>
      <c r="H11" s="1197">
        <f t="shared" si="4"/>
        <v>0</v>
      </c>
      <c r="I11" s="1197">
        <f t="shared" si="5"/>
        <v>0</v>
      </c>
      <c r="J11" s="1197">
        <f t="shared" si="6"/>
        <v>0</v>
      </c>
      <c r="K11" s="1197">
        <f t="shared" si="7"/>
        <v>0</v>
      </c>
      <c r="L11" s="1197">
        <f t="shared" si="8"/>
        <v>0</v>
      </c>
      <c r="M11" s="1197">
        <f t="shared" si="9"/>
        <v>0</v>
      </c>
      <c r="N11" s="1197">
        <f t="shared" si="10"/>
        <v>0</v>
      </c>
      <c r="O11" s="1197">
        <f t="shared" si="11"/>
        <v>0</v>
      </c>
      <c r="P11" s="1197">
        <f t="shared" si="12"/>
        <v>0</v>
      </c>
      <c r="Q11" s="1197">
        <f t="shared" si="13"/>
        <v>0</v>
      </c>
      <c r="R11" s="1197">
        <f t="shared" si="14"/>
        <v>0</v>
      </c>
      <c r="S11" s="1197">
        <f t="shared" si="15"/>
        <v>0</v>
      </c>
      <c r="T11" s="1197">
        <f t="shared" si="16"/>
        <v>0</v>
      </c>
      <c r="U11" s="1197">
        <f t="shared" si="17"/>
        <v>0</v>
      </c>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2"/>
      <c r="AY11" s="722"/>
      <c r="AZ11" s="722"/>
      <c r="BA11" s="722"/>
      <c r="BB11" s="722"/>
      <c r="BC11" s="722"/>
      <c r="BD11" s="722"/>
      <c r="BE11" s="722"/>
      <c r="BF11" s="722"/>
      <c r="BG11" s="722"/>
      <c r="BH11" s="722"/>
      <c r="BI11" s="722"/>
      <c r="BJ11" s="722"/>
      <c r="BK11" s="722"/>
      <c r="BL11" s="722"/>
      <c r="BM11" s="722"/>
      <c r="BN11" s="722"/>
      <c r="BO11" s="722"/>
    </row>
    <row r="12" spans="1:67" s="723" customFormat="1" ht="21" customHeight="1">
      <c r="A12" s="733" t="s">
        <v>110</v>
      </c>
      <c r="B12" s="734" t="s">
        <v>617</v>
      </c>
      <c r="C12" s="735">
        <f>SUM(C13:C17)</f>
        <v>860814.85</v>
      </c>
      <c r="D12" s="735">
        <f>SUM(D13:D17)</f>
        <v>903855.59250000003</v>
      </c>
      <c r="E12" s="736">
        <f>SUM(E13:E17)</f>
        <v>903855.59250000003</v>
      </c>
      <c r="F12" s="1226"/>
      <c r="G12" s="1198">
        <f t="shared" ref="G12:U12" si="18">SUM(G13:G17)</f>
        <v>944529.09416249988</v>
      </c>
      <c r="H12" s="1198">
        <f t="shared" si="18"/>
        <v>977587.61245818739</v>
      </c>
      <c r="I12" s="1198">
        <f t="shared" si="18"/>
        <v>1006915.240831933</v>
      </c>
      <c r="J12" s="1198">
        <f t="shared" si="18"/>
        <v>1037122.698056891</v>
      </c>
      <c r="K12" s="1198">
        <f t="shared" si="18"/>
        <v>1068236.3789985976</v>
      </c>
      <c r="L12" s="1198">
        <f t="shared" si="18"/>
        <v>1100283.4703685557</v>
      </c>
      <c r="M12" s="1198">
        <f t="shared" si="18"/>
        <v>1133291.9744796124</v>
      </c>
      <c r="N12" s="1198">
        <f t="shared" si="18"/>
        <v>1167290.7337140008</v>
      </c>
      <c r="O12" s="1198">
        <f t="shared" si="18"/>
        <v>1202309.455725421</v>
      </c>
      <c r="P12" s="1198">
        <f t="shared" si="18"/>
        <v>1238378.7393971835</v>
      </c>
      <c r="Q12" s="1198">
        <f t="shared" si="18"/>
        <v>1275530.1015790992</v>
      </c>
      <c r="R12" s="1198">
        <f t="shared" si="18"/>
        <v>1313796.0046264722</v>
      </c>
      <c r="S12" s="1198">
        <f t="shared" si="18"/>
        <v>1353209.8847652664</v>
      </c>
      <c r="T12" s="1198">
        <f t="shared" si="18"/>
        <v>1393806.1813082243</v>
      </c>
      <c r="U12" s="1198">
        <f t="shared" si="18"/>
        <v>1435620.3667474713</v>
      </c>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row>
    <row r="13" spans="1:67" s="723" customFormat="1" ht="21" customHeight="1">
      <c r="A13" s="730" t="s">
        <v>690</v>
      </c>
      <c r="B13" s="731" t="s">
        <v>691</v>
      </c>
      <c r="C13" s="726">
        <f>+Gastos!P27</f>
        <v>316296.84999999998</v>
      </c>
      <c r="D13" s="726">
        <f>+C13*$D$19</f>
        <v>332111.6925</v>
      </c>
      <c r="E13" s="732">
        <f>+D13</f>
        <v>332111.6925</v>
      </c>
      <c r="F13" s="1228"/>
      <c r="G13" s="1215">
        <f>+D13*$G$19</f>
        <v>347056.71866249997</v>
      </c>
      <c r="H13" s="1215">
        <f>+G13*$H$19</f>
        <v>359203.70381568745</v>
      </c>
      <c r="I13" s="1215">
        <f>+H13*$I$19</f>
        <v>369979.81493015809</v>
      </c>
      <c r="J13" s="1215">
        <f>+I13*$J$19</f>
        <v>381079.20937806286</v>
      </c>
      <c r="K13" s="1215">
        <f>+J13*$K$19</f>
        <v>392511.58565940475</v>
      </c>
      <c r="L13" s="1215">
        <f>+K13*$L$19</f>
        <v>404286.93322918692</v>
      </c>
      <c r="M13" s="1215">
        <f>+L13*$M$19</f>
        <v>416415.54122606252</v>
      </c>
      <c r="N13" s="1215">
        <f>+M13*$N$19</f>
        <v>428908.00746284443</v>
      </c>
      <c r="O13" s="1215">
        <f>+N13*$O$19</f>
        <v>441775.24768672977</v>
      </c>
      <c r="P13" s="1215">
        <f>+O13*$P$19</f>
        <v>455028.50511733169</v>
      </c>
      <c r="Q13" s="1215">
        <f>+P13*$Q$19</f>
        <v>468679.36027085164</v>
      </c>
      <c r="R13" s="1215">
        <f>+Q13*$R$19</f>
        <v>482739.74107897718</v>
      </c>
      <c r="S13" s="1215">
        <f>+R13*$S$19</f>
        <v>497221.93331134651</v>
      </c>
      <c r="T13" s="1215">
        <f>+S13*$T$19</f>
        <v>512138.5913106869</v>
      </c>
      <c r="U13" s="1215">
        <f>+T13*$U$19</f>
        <v>527502.74905000755</v>
      </c>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c r="AX13" s="722"/>
      <c r="AY13" s="722"/>
      <c r="AZ13" s="722"/>
      <c r="BA13" s="722"/>
      <c r="BB13" s="722"/>
      <c r="BC13" s="722"/>
      <c r="BD13" s="722"/>
      <c r="BE13" s="722"/>
      <c r="BF13" s="722"/>
      <c r="BG13" s="722"/>
      <c r="BH13" s="722"/>
      <c r="BI13" s="722"/>
      <c r="BJ13" s="722"/>
      <c r="BK13" s="722"/>
      <c r="BL13" s="722"/>
      <c r="BM13" s="722"/>
      <c r="BN13" s="722"/>
      <c r="BO13" s="722"/>
    </row>
    <row r="14" spans="1:67" s="723" customFormat="1" ht="21" customHeight="1">
      <c r="A14" s="730" t="s">
        <v>692</v>
      </c>
      <c r="B14" s="731" t="s">
        <v>693</v>
      </c>
      <c r="C14" s="726">
        <f>+Gastos!P42</f>
        <v>19671</v>
      </c>
      <c r="D14" s="726">
        <f>+C14*$D$19</f>
        <v>20654.55</v>
      </c>
      <c r="E14" s="732">
        <f>+D14</f>
        <v>20654.55</v>
      </c>
      <c r="F14" s="1228"/>
      <c r="G14" s="1215">
        <f>+D14*$G$19</f>
        <v>21584.004749999996</v>
      </c>
      <c r="H14" s="1215">
        <f>+G14*$H$19</f>
        <v>22339.444916249995</v>
      </c>
      <c r="I14" s="1215">
        <f>+H14*$I$19</f>
        <v>23009.628263737497</v>
      </c>
      <c r="J14" s="1215">
        <f>+I14*$J$19</f>
        <v>23699.917111649622</v>
      </c>
      <c r="K14" s="1215">
        <f>+J14*$K$19</f>
        <v>24410.91462499911</v>
      </c>
      <c r="L14" s="1215">
        <f>+K14*$L$19</f>
        <v>25143.242063749083</v>
      </c>
      <c r="M14" s="1215">
        <f>+L14*$M$19</f>
        <v>25897.539325661557</v>
      </c>
      <c r="N14" s="1215">
        <f>+M14*$N$19</f>
        <v>26674.465505431406</v>
      </c>
      <c r="O14" s="1215">
        <f>+N14*$O$19</f>
        <v>27474.699470594351</v>
      </c>
      <c r="P14" s="1215">
        <f>+O14*$P$19</f>
        <v>28298.940454712181</v>
      </c>
      <c r="Q14" s="1215">
        <f>+P14*$Q$19</f>
        <v>29147.908668353546</v>
      </c>
      <c r="R14" s="1215">
        <f>+Q14*$R$19</f>
        <v>30022.345928404153</v>
      </c>
      <c r="S14" s="1215">
        <f>+R14*$S$19</f>
        <v>30923.016306256279</v>
      </c>
      <c r="T14" s="1215">
        <f>+S14*$T$19</f>
        <v>31850.706795443966</v>
      </c>
      <c r="U14" s="1215">
        <f>+T14*$U$19</f>
        <v>32806.227999307288</v>
      </c>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22"/>
      <c r="BK14" s="722"/>
      <c r="BL14" s="722"/>
      <c r="BM14" s="722"/>
      <c r="BN14" s="722"/>
      <c r="BO14" s="722"/>
    </row>
    <row r="15" spans="1:67" s="723" customFormat="1" ht="21" customHeight="1">
      <c r="A15" s="730" t="s">
        <v>694</v>
      </c>
      <c r="B15" s="731" t="s">
        <v>695</v>
      </c>
      <c r="C15" s="1185">
        <f>+Gastos!P46-Gastos!P66+Gastos!P222+Gastos!P230</f>
        <v>524847</v>
      </c>
      <c r="D15" s="737">
        <f>+C15*$D$19</f>
        <v>551089.35</v>
      </c>
      <c r="E15" s="737">
        <f>+D15-(Gastos!P53*D19)</f>
        <v>551089.35</v>
      </c>
      <c r="F15" s="1228"/>
      <c r="G15" s="1192">
        <f>+D15*$G$19</f>
        <v>575888.37074999989</v>
      </c>
      <c r="H15" s="1192">
        <f>+G15*$H$19</f>
        <v>596044.46372624987</v>
      </c>
      <c r="I15" s="1192">
        <f>+H15*$I$19</f>
        <v>613925.79763803736</v>
      </c>
      <c r="J15" s="1192">
        <f>+I15*$J$19</f>
        <v>632343.57156717847</v>
      </c>
      <c r="K15" s="1192">
        <f>+J15*$K$19</f>
        <v>651313.87871419382</v>
      </c>
      <c r="L15" s="1192">
        <f>+K15*$L$19</f>
        <v>670853.29507561971</v>
      </c>
      <c r="M15" s="1192">
        <f>+L15*$M$19</f>
        <v>690978.89392788836</v>
      </c>
      <c r="N15" s="1192">
        <f>+M15*$N$19</f>
        <v>711708.26074572501</v>
      </c>
      <c r="O15" s="1192">
        <f>+N15*$O$19</f>
        <v>733059.50856809679</v>
      </c>
      <c r="P15" s="1192">
        <f>+O15*$P$19</f>
        <v>755051.29382513976</v>
      </c>
      <c r="Q15" s="1192">
        <f>+P15*$Q$19</f>
        <v>777702.83263989398</v>
      </c>
      <c r="R15" s="1192">
        <f>+Q15*$R$19</f>
        <v>801033.91761909088</v>
      </c>
      <c r="S15" s="1192">
        <f>+R15*$S$19</f>
        <v>825064.93514766358</v>
      </c>
      <c r="T15" s="1192">
        <f>+S15*$T$19</f>
        <v>849816.88320209354</v>
      </c>
      <c r="U15" s="1192">
        <f>+T15*$U$19</f>
        <v>875311.38969815639</v>
      </c>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2"/>
      <c r="BC15" s="722"/>
      <c r="BD15" s="722"/>
      <c r="BE15" s="722"/>
      <c r="BF15" s="722"/>
      <c r="BG15" s="722"/>
      <c r="BH15" s="722"/>
      <c r="BI15" s="722"/>
      <c r="BJ15" s="722"/>
      <c r="BK15" s="722"/>
      <c r="BL15" s="722"/>
      <c r="BM15" s="722"/>
      <c r="BN15" s="722"/>
      <c r="BO15" s="722"/>
    </row>
    <row r="16" spans="1:67" s="723" customFormat="1" ht="21" customHeight="1">
      <c r="A16" s="730" t="s">
        <v>696</v>
      </c>
      <c r="B16" s="731" t="s">
        <v>697</v>
      </c>
      <c r="C16" s="737">
        <f>+Gastos!P89+Gastos!P126+Gastos!P163</f>
        <v>0</v>
      </c>
      <c r="D16" s="737">
        <f>+C16*$D$19</f>
        <v>0</v>
      </c>
      <c r="E16" s="737">
        <f>+D16</f>
        <v>0</v>
      </c>
      <c r="F16" s="1229"/>
      <c r="G16" s="1192">
        <f>+D16*$G$19</f>
        <v>0</v>
      </c>
      <c r="H16" s="1192">
        <f>+G16*$H$19</f>
        <v>0</v>
      </c>
      <c r="I16" s="1192">
        <f>+H16*$I$19</f>
        <v>0</v>
      </c>
      <c r="J16" s="1192">
        <f>+I16*$J$19</f>
        <v>0</v>
      </c>
      <c r="K16" s="1192">
        <f>+J16*$K$19</f>
        <v>0</v>
      </c>
      <c r="L16" s="1192">
        <f>+K16*$L$19</f>
        <v>0</v>
      </c>
      <c r="M16" s="1192">
        <f>+L16*$M$19</f>
        <v>0</v>
      </c>
      <c r="N16" s="1192">
        <f>+M16*$N$19</f>
        <v>0</v>
      </c>
      <c r="O16" s="1192">
        <f>+N16*$O$19</f>
        <v>0</v>
      </c>
      <c r="P16" s="1192">
        <f>+O16*$P$19</f>
        <v>0</v>
      </c>
      <c r="Q16" s="1192">
        <f>+P16*$Q$19</f>
        <v>0</v>
      </c>
      <c r="R16" s="1192">
        <f>+Q16*$R$19</f>
        <v>0</v>
      </c>
      <c r="S16" s="1192">
        <f>+R16*$S$19</f>
        <v>0</v>
      </c>
      <c r="T16" s="1192">
        <f>+S16*$T$19</f>
        <v>0</v>
      </c>
      <c r="U16" s="1192">
        <f>+T16*$U$19</f>
        <v>0</v>
      </c>
      <c r="V16" s="722"/>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22"/>
      <c r="BC16" s="722"/>
      <c r="BD16" s="722"/>
      <c r="BE16" s="722"/>
      <c r="BF16" s="722"/>
      <c r="BG16" s="722"/>
      <c r="BH16" s="722"/>
      <c r="BI16" s="722"/>
      <c r="BJ16" s="722"/>
      <c r="BK16" s="722"/>
      <c r="BL16" s="722"/>
      <c r="BM16" s="722"/>
      <c r="BN16" s="722"/>
      <c r="BO16" s="722"/>
    </row>
    <row r="17" spans="1:67" s="723" customFormat="1" ht="21" customHeight="1" thickBot="1">
      <c r="A17" s="738" t="s">
        <v>698</v>
      </c>
      <c r="B17" s="731" t="s">
        <v>699</v>
      </c>
      <c r="C17" s="739">
        <f>+Gastos!P69</f>
        <v>0</v>
      </c>
      <c r="D17" s="1322">
        <f>VLOOKUP(A17,'Pasivo a Cancelar y Deuda'!$A$2:$Q$2,LOOKUP($D$4,'Pasivo a Cancelar y Deuda'!$C$1:$Q$1,'Pasivo a Cancelar y Deuda'!$C$102:$Q$102),FALSE)</f>
        <v>0</v>
      </c>
      <c r="E17" s="739">
        <f>+D17</f>
        <v>0</v>
      </c>
      <c r="F17" s="1229"/>
      <c r="G17" s="1193">
        <f>+VLOOKUP($A$17,'Pasivo a Cancelar y Deuda'!$A$2:$Q$2,LOOKUP(G4,'Pasivo a Cancelar y Deuda'!$C$1:$Q$1,'Pasivo a Cancelar y Deuda'!$C$102:$Q$102),FALSE)</f>
        <v>0</v>
      </c>
      <c r="H17" s="1193">
        <f>+VLOOKUP($A$17,'Pasivo a Cancelar y Deuda'!$A$2:$Q$2,LOOKUP(H4,'Pasivo a Cancelar y Deuda'!$C$1:$Q$1,'Pasivo a Cancelar y Deuda'!$C$102:$Q$102),FALSE)</f>
        <v>0</v>
      </c>
      <c r="I17" s="1193">
        <f>+VLOOKUP($A$17,'Pasivo a Cancelar y Deuda'!$A$2:$Q$2,LOOKUP(I4,'Pasivo a Cancelar y Deuda'!$C$1:$Q$1,'Pasivo a Cancelar y Deuda'!$C$102:$Q$102),FALSE)</f>
        <v>0</v>
      </c>
      <c r="J17" s="1193">
        <f>+VLOOKUP($A$17,'Pasivo a Cancelar y Deuda'!$A$2:$Q$2,LOOKUP(J4,'Pasivo a Cancelar y Deuda'!$C$1:$Q$1,'Pasivo a Cancelar y Deuda'!$C$102:$Q$102),FALSE)</f>
        <v>0</v>
      </c>
      <c r="K17" s="1193">
        <f>+VLOOKUP($A$17,'Pasivo a Cancelar y Deuda'!$A$2:$Q$2,LOOKUP(K4,'Pasivo a Cancelar y Deuda'!$C$1:$Q$1,'Pasivo a Cancelar y Deuda'!$C$102:$Q$102),FALSE)</f>
        <v>0</v>
      </c>
      <c r="L17" s="1193">
        <f>+VLOOKUP($A$17,'Pasivo a Cancelar y Deuda'!$A$2:$Q$2,LOOKUP(L4,'Pasivo a Cancelar y Deuda'!$C$1:$Q$1,'Pasivo a Cancelar y Deuda'!$C$102:$Q$102),FALSE)</f>
        <v>0</v>
      </c>
      <c r="M17" s="1193">
        <f>+VLOOKUP($A$17,'Pasivo a Cancelar y Deuda'!$A$2:$Q$2,LOOKUP(M4,'Pasivo a Cancelar y Deuda'!$C$1:$Q$1,'Pasivo a Cancelar y Deuda'!$C$102:$Q$102),FALSE)</f>
        <v>0</v>
      </c>
      <c r="N17" s="1193">
        <f>+VLOOKUP($A$17,'Pasivo a Cancelar y Deuda'!$A$2:$Q$2,LOOKUP(N4,'Pasivo a Cancelar y Deuda'!$C$1:$Q$1,'Pasivo a Cancelar y Deuda'!$C$102:$Q$102),FALSE)</f>
        <v>0</v>
      </c>
      <c r="O17" s="1193">
        <f>+VLOOKUP($A$17,'Pasivo a Cancelar y Deuda'!$A$2:$Q$2,LOOKUP(O4,'Pasivo a Cancelar y Deuda'!$C$1:$Q$1,'Pasivo a Cancelar y Deuda'!$C$102:$Q$102),FALSE)</f>
        <v>0</v>
      </c>
      <c r="P17" s="1193">
        <f>+VLOOKUP($A$17,'Pasivo a Cancelar y Deuda'!$A$2:$Q$2,LOOKUP(P4,'Pasivo a Cancelar y Deuda'!$C$1:$Q$1,'Pasivo a Cancelar y Deuda'!$C$102:$Q$102),FALSE)</f>
        <v>0</v>
      </c>
      <c r="Q17" s="1193">
        <f>+VLOOKUP($A$17,'Pasivo a Cancelar y Deuda'!$A$2:$Q$2,LOOKUP(Q4,'Pasivo a Cancelar y Deuda'!$C$1:$Q$1,'Pasivo a Cancelar y Deuda'!$C$102:$Q$102),FALSE)</f>
        <v>0</v>
      </c>
      <c r="R17" s="1193">
        <f>+VLOOKUP($A$17,'Pasivo a Cancelar y Deuda'!$A$2:$Q$2,LOOKUP(R4,'Pasivo a Cancelar y Deuda'!$C$1:$Q$1,'Pasivo a Cancelar y Deuda'!$C$102:$Q$102),FALSE)</f>
        <v>0</v>
      </c>
      <c r="S17" s="1193">
        <f>+VLOOKUP($A$17,'Pasivo a Cancelar y Deuda'!$A$2:$Q$2,LOOKUP(S4,'Pasivo a Cancelar y Deuda'!$C$1:$Q$1,'Pasivo a Cancelar y Deuda'!$C$102:$Q$102),FALSE)</f>
        <v>0</v>
      </c>
      <c r="T17" s="1193">
        <f>+VLOOKUP($A$17,'Pasivo a Cancelar y Deuda'!$A$2:$Q$2,LOOKUP(T4,'Pasivo a Cancelar y Deuda'!$C$1:$Q$1,'Pasivo a Cancelar y Deuda'!$C$102:$Q$102),FALSE)</f>
        <v>0</v>
      </c>
      <c r="U17" s="1193">
        <f>+VLOOKUP($A$17,'Pasivo a Cancelar y Deuda'!$A$2:$Q$2,LOOKUP(U4,'Pasivo a Cancelar y Deuda'!$C$1:$Q$1,'Pasivo a Cancelar y Deuda'!$C$102:$Q$102),FALSE)</f>
        <v>0</v>
      </c>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c r="AX17" s="722"/>
      <c r="AY17" s="722"/>
      <c r="AZ17" s="722"/>
      <c r="BA17" s="722"/>
      <c r="BB17" s="722"/>
      <c r="BC17" s="722"/>
      <c r="BD17" s="722"/>
      <c r="BE17" s="722"/>
      <c r="BF17" s="722"/>
      <c r="BG17" s="722"/>
      <c r="BH17" s="722"/>
      <c r="BI17" s="722"/>
      <c r="BJ17" s="722"/>
      <c r="BK17" s="722"/>
      <c r="BL17" s="722"/>
      <c r="BM17" s="722"/>
      <c r="BN17" s="722"/>
      <c r="BO17" s="722"/>
    </row>
    <row r="18" spans="1:67" s="723" customFormat="1" ht="21" customHeight="1">
      <c r="A18" s="740" t="s">
        <v>700</v>
      </c>
      <c r="B18" s="741" t="s">
        <v>701</v>
      </c>
      <c r="C18" s="721">
        <f>+(C5-C12)</f>
        <v>1512351.15</v>
      </c>
      <c r="D18" s="742">
        <f>+(D5-D12)</f>
        <v>1587968.7074999998</v>
      </c>
      <c r="E18" s="743">
        <f>+(E5-E12)</f>
        <v>1354744.8074999999</v>
      </c>
      <c r="F18" s="1226"/>
      <c r="G18" s="1195">
        <f>+(G5-G12)</f>
        <v>1659427.2993375002</v>
      </c>
      <c r="H18" s="1195">
        <f t="shared" ref="H18:U18" si="19">+(H5-H12)</f>
        <v>1717507.2548143121</v>
      </c>
      <c r="I18" s="1195">
        <f t="shared" si="19"/>
        <v>1769032.4724587416</v>
      </c>
      <c r="J18" s="1195">
        <f t="shared" si="19"/>
        <v>1822103.4466325035</v>
      </c>
      <c r="K18" s="1195">
        <f t="shared" si="19"/>
        <v>1876766.5500314794</v>
      </c>
      <c r="L18" s="1195">
        <f t="shared" si="19"/>
        <v>1933069.5465324232</v>
      </c>
      <c r="M18" s="1195">
        <f t="shared" si="19"/>
        <v>1991061.6329283961</v>
      </c>
      <c r="N18" s="1195">
        <f t="shared" si="19"/>
        <v>2050793.4819162479</v>
      </c>
      <c r="O18" s="1195">
        <f t="shared" si="19"/>
        <v>2112317.2863737354</v>
      </c>
      <c r="P18" s="1195">
        <f t="shared" si="19"/>
        <v>2175686.804964947</v>
      </c>
      <c r="Q18" s="1195">
        <f t="shared" si="19"/>
        <v>2240957.4091138961</v>
      </c>
      <c r="R18" s="1195">
        <f t="shared" si="19"/>
        <v>2308186.131387312</v>
      </c>
      <c r="S18" s="1195">
        <f t="shared" si="19"/>
        <v>2377431.7153289318</v>
      </c>
      <c r="T18" s="1195">
        <f t="shared" si="19"/>
        <v>2448754.6667887992</v>
      </c>
      <c r="U18" s="1195">
        <f t="shared" si="19"/>
        <v>2522217.3067924632</v>
      </c>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722"/>
      <c r="AW18" s="722"/>
      <c r="AX18" s="722"/>
      <c r="AY18" s="722"/>
      <c r="AZ18" s="722"/>
      <c r="BA18" s="722"/>
      <c r="BB18" s="722"/>
      <c r="BC18" s="722"/>
      <c r="BD18" s="722"/>
      <c r="BE18" s="722"/>
      <c r="BF18" s="722"/>
      <c r="BG18" s="722"/>
      <c r="BH18" s="722"/>
      <c r="BI18" s="722"/>
      <c r="BJ18" s="722"/>
      <c r="BK18" s="722"/>
      <c r="BL18" s="722"/>
      <c r="BM18" s="722"/>
      <c r="BN18" s="722"/>
      <c r="BO18" s="722"/>
    </row>
    <row r="19" spans="1:67" s="723" customFormat="1" ht="21" customHeight="1" thickBot="1">
      <c r="A19" s="744" t="s">
        <v>702</v>
      </c>
      <c r="B19" s="1217" t="s">
        <v>703</v>
      </c>
      <c r="C19" s="745"/>
      <c r="D19" s="1373">
        <v>1.05</v>
      </c>
      <c r="E19" s="1331"/>
      <c r="F19" s="1230"/>
      <c r="G19" s="1371">
        <v>1.0449999999999999</v>
      </c>
      <c r="H19" s="1371">
        <v>1.0349999999999999</v>
      </c>
      <c r="I19" s="1371">
        <v>1.03</v>
      </c>
      <c r="J19" s="1371">
        <v>1.03</v>
      </c>
      <c r="K19" s="1371">
        <v>1.03</v>
      </c>
      <c r="L19" s="1371">
        <v>1.03</v>
      </c>
      <c r="M19" s="1371">
        <v>1.03</v>
      </c>
      <c r="N19" s="1371">
        <v>1.03</v>
      </c>
      <c r="O19" s="1371">
        <v>1.03</v>
      </c>
      <c r="P19" s="1371">
        <v>1.03</v>
      </c>
      <c r="Q19" s="1371">
        <v>1.03</v>
      </c>
      <c r="R19" s="1371">
        <v>1.03</v>
      </c>
      <c r="S19" s="1371">
        <v>1.03</v>
      </c>
      <c r="T19" s="1371">
        <v>1.03</v>
      </c>
      <c r="U19" s="1371">
        <v>1.03</v>
      </c>
      <c r="V19" s="722"/>
      <c r="W19" s="1372"/>
      <c r="X19" s="1372"/>
      <c r="Y19" s="1372"/>
      <c r="Z19" s="1372"/>
      <c r="AA19" s="1372"/>
      <c r="AB19" s="1372"/>
      <c r="AC19" s="1372"/>
      <c r="AD19" s="1372"/>
      <c r="AE19" s="1372"/>
      <c r="AF19" s="1372"/>
      <c r="AG19" s="1372"/>
      <c r="AH19" s="1372"/>
      <c r="AI19" s="1372"/>
      <c r="AJ19" s="1372"/>
      <c r="AK19" s="137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22"/>
      <c r="BO19" s="722"/>
    </row>
    <row r="20" spans="1:67" s="722" customFormat="1" ht="21" customHeight="1" thickBot="1">
      <c r="A20" s="746" t="s">
        <v>704</v>
      </c>
      <c r="B20" s="747" t="s">
        <v>705</v>
      </c>
      <c r="C20" s="748"/>
      <c r="D20" s="749"/>
      <c r="E20" s="749"/>
      <c r="F20" s="1226"/>
      <c r="G20" s="1194"/>
      <c r="H20" s="1194"/>
      <c r="I20" s="1194"/>
      <c r="J20" s="1194"/>
      <c r="K20" s="1194"/>
      <c r="L20" s="1194"/>
      <c r="M20" s="1194"/>
      <c r="N20" s="1194"/>
      <c r="O20" s="1194"/>
      <c r="P20" s="1194"/>
      <c r="Q20" s="1194"/>
      <c r="R20" s="1194"/>
      <c r="S20" s="1194"/>
      <c r="T20" s="1194"/>
      <c r="U20" s="1194"/>
    </row>
    <row r="21" spans="1:67" s="723" customFormat="1" ht="21" customHeight="1">
      <c r="A21" s="718" t="s">
        <v>706</v>
      </c>
      <c r="B21" s="741" t="s">
        <v>707</v>
      </c>
      <c r="C21" s="750"/>
      <c r="D21" s="721">
        <f>SUM(D22:D25)-D26</f>
        <v>23331</v>
      </c>
      <c r="E21" s="720">
        <f>SUM(E22:E25)-E26</f>
        <v>23331</v>
      </c>
      <c r="F21" s="1226"/>
      <c r="G21" s="1195">
        <f>SUM(G22:G25)-G26</f>
        <v>23331</v>
      </c>
      <c r="H21" s="1195">
        <f>SUM(H22:H25)-H26</f>
        <v>663331</v>
      </c>
      <c r="I21" s="1195">
        <f>SUM(I22:I25)-I26</f>
        <v>503331</v>
      </c>
      <c r="J21" s="1195">
        <f>SUM(J22:J25)-J26</f>
        <v>343331</v>
      </c>
      <c r="K21" s="1195">
        <f t="shared" ref="K21:U21" si="20">SUM(K22:K25)-K26</f>
        <v>183331</v>
      </c>
      <c r="L21" s="1195">
        <f t="shared" si="20"/>
        <v>23331</v>
      </c>
      <c r="M21" s="1195">
        <f t="shared" si="20"/>
        <v>23331</v>
      </c>
      <c r="N21" s="1195">
        <f t="shared" si="20"/>
        <v>23331</v>
      </c>
      <c r="O21" s="1195">
        <f t="shared" si="20"/>
        <v>23331</v>
      </c>
      <c r="P21" s="1195">
        <f t="shared" si="20"/>
        <v>23331</v>
      </c>
      <c r="Q21" s="1195">
        <f t="shared" si="20"/>
        <v>23331</v>
      </c>
      <c r="R21" s="1195">
        <f t="shared" si="20"/>
        <v>23331</v>
      </c>
      <c r="S21" s="1195">
        <f t="shared" si="20"/>
        <v>23331</v>
      </c>
      <c r="T21" s="1195">
        <f t="shared" si="20"/>
        <v>23331</v>
      </c>
      <c r="U21" s="1195">
        <f t="shared" si="20"/>
        <v>23331</v>
      </c>
      <c r="V21" s="722"/>
      <c r="W21" s="722"/>
      <c r="X21" s="722"/>
      <c r="Y21" s="722"/>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22"/>
      <c r="BH21" s="722"/>
      <c r="BI21" s="722"/>
      <c r="BJ21" s="722"/>
      <c r="BK21" s="722"/>
      <c r="BL21" s="722"/>
      <c r="BM21" s="722"/>
      <c r="BN21" s="722"/>
      <c r="BO21" s="722"/>
    </row>
    <row r="22" spans="1:67" s="723" customFormat="1" ht="21" customHeight="1">
      <c r="A22" s="751" t="s">
        <v>708</v>
      </c>
      <c r="B22" s="752" t="s">
        <v>709</v>
      </c>
      <c r="C22" s="753"/>
      <c r="D22" s="754">
        <v>23331</v>
      </c>
      <c r="E22" s="728">
        <f>+D22</f>
        <v>23331</v>
      </c>
      <c r="F22" s="1227"/>
      <c r="G22" s="1243">
        <f>+D37</f>
        <v>23331</v>
      </c>
      <c r="H22" s="1243">
        <f>+G37</f>
        <v>663331</v>
      </c>
      <c r="I22" s="1243">
        <f t="shared" ref="I22:U22" si="21">+H37</f>
        <v>503331</v>
      </c>
      <c r="J22" s="1243">
        <f t="shared" si="21"/>
        <v>343331</v>
      </c>
      <c r="K22" s="1243">
        <f t="shared" si="21"/>
        <v>183331</v>
      </c>
      <c r="L22" s="1243">
        <f t="shared" si="21"/>
        <v>23331</v>
      </c>
      <c r="M22" s="1243">
        <f t="shared" si="21"/>
        <v>23331</v>
      </c>
      <c r="N22" s="1243">
        <f t="shared" si="21"/>
        <v>23331</v>
      </c>
      <c r="O22" s="1243">
        <f t="shared" si="21"/>
        <v>23331</v>
      </c>
      <c r="P22" s="1243">
        <f t="shared" si="21"/>
        <v>23331</v>
      </c>
      <c r="Q22" s="1243">
        <f t="shared" si="21"/>
        <v>23331</v>
      </c>
      <c r="R22" s="1243">
        <f t="shared" si="21"/>
        <v>23331</v>
      </c>
      <c r="S22" s="1243">
        <f t="shared" si="21"/>
        <v>23331</v>
      </c>
      <c r="T22" s="1243">
        <f t="shared" si="21"/>
        <v>23331</v>
      </c>
      <c r="U22" s="1243">
        <f t="shared" si="21"/>
        <v>23331</v>
      </c>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c r="BC22" s="722"/>
      <c r="BD22" s="722"/>
      <c r="BE22" s="722"/>
      <c r="BF22" s="722"/>
      <c r="BG22" s="722"/>
      <c r="BH22" s="722"/>
      <c r="BI22" s="722"/>
      <c r="BJ22" s="722"/>
      <c r="BK22" s="722"/>
      <c r="BL22" s="722"/>
      <c r="BM22" s="722"/>
      <c r="BN22" s="722"/>
      <c r="BO22" s="722"/>
    </row>
    <row r="23" spans="1:67" s="723" customFormat="1" ht="21" customHeight="1">
      <c r="A23" s="767" t="s">
        <v>710</v>
      </c>
      <c r="B23" s="752" t="s">
        <v>711</v>
      </c>
      <c r="C23" s="755"/>
      <c r="D23" s="754">
        <v>0</v>
      </c>
      <c r="E23" s="728">
        <f>+D23</f>
        <v>0</v>
      </c>
      <c r="F23" s="1226"/>
      <c r="G23" s="1196"/>
      <c r="H23" s="1196"/>
      <c r="I23" s="1196"/>
      <c r="J23" s="1196"/>
      <c r="K23" s="1196"/>
      <c r="L23" s="1196"/>
      <c r="M23" s="1196"/>
      <c r="N23" s="1196"/>
      <c r="O23" s="1196"/>
      <c r="P23" s="1196"/>
      <c r="Q23" s="1196"/>
      <c r="R23" s="1196"/>
      <c r="S23" s="1196"/>
      <c r="T23" s="1196"/>
      <c r="U23" s="1196"/>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722"/>
      <c r="AW23" s="722"/>
      <c r="AX23" s="722"/>
      <c r="AY23" s="722"/>
      <c r="AZ23" s="722"/>
      <c r="BA23" s="722"/>
      <c r="BB23" s="722"/>
      <c r="BC23" s="722"/>
      <c r="BD23" s="722"/>
      <c r="BE23" s="722"/>
      <c r="BF23" s="722"/>
      <c r="BG23" s="722"/>
      <c r="BH23" s="722"/>
      <c r="BI23" s="722"/>
      <c r="BJ23" s="722"/>
      <c r="BK23" s="722"/>
      <c r="BL23" s="722"/>
      <c r="BM23" s="722"/>
      <c r="BN23" s="722"/>
      <c r="BO23" s="722"/>
    </row>
    <row r="24" spans="1:67" s="723" customFormat="1" ht="21" customHeight="1">
      <c r="A24" s="751" t="s">
        <v>712</v>
      </c>
      <c r="B24" s="752" t="s">
        <v>713</v>
      </c>
      <c r="C24" s="756"/>
      <c r="D24" s="728" t="s">
        <v>685</v>
      </c>
      <c r="E24" s="728">
        <f>+E64-E17</f>
        <v>0</v>
      </c>
      <c r="F24" s="1227"/>
      <c r="G24" s="1197" t="s">
        <v>685</v>
      </c>
      <c r="H24" s="1197" t="s">
        <v>685</v>
      </c>
      <c r="I24" s="1197" t="s">
        <v>685</v>
      </c>
      <c r="J24" s="1197" t="s">
        <v>685</v>
      </c>
      <c r="K24" s="1197" t="s">
        <v>685</v>
      </c>
      <c r="L24" s="1197" t="s">
        <v>685</v>
      </c>
      <c r="M24" s="1197" t="s">
        <v>685</v>
      </c>
      <c r="N24" s="1197" t="s">
        <v>685</v>
      </c>
      <c r="O24" s="1197" t="s">
        <v>685</v>
      </c>
      <c r="P24" s="1197" t="s">
        <v>685</v>
      </c>
      <c r="Q24" s="1197" t="s">
        <v>685</v>
      </c>
      <c r="R24" s="1197" t="s">
        <v>685</v>
      </c>
      <c r="S24" s="1197" t="s">
        <v>685</v>
      </c>
      <c r="T24" s="1197" t="s">
        <v>685</v>
      </c>
      <c r="U24" s="1197" t="s">
        <v>685</v>
      </c>
      <c r="V24" s="722"/>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722"/>
      <c r="AT24" s="722"/>
      <c r="AU24" s="722"/>
      <c r="AV24" s="722"/>
      <c r="AW24" s="722"/>
      <c r="AX24" s="722"/>
      <c r="AY24" s="722"/>
      <c r="AZ24" s="722"/>
      <c r="BA24" s="722"/>
      <c r="BB24" s="722"/>
      <c r="BC24" s="722"/>
      <c r="BD24" s="722"/>
      <c r="BE24" s="722"/>
      <c r="BF24" s="722"/>
      <c r="BG24" s="722"/>
      <c r="BH24" s="722"/>
      <c r="BI24" s="722"/>
      <c r="BJ24" s="722"/>
      <c r="BK24" s="722"/>
      <c r="BL24" s="722"/>
      <c r="BM24" s="722"/>
      <c r="BN24" s="722"/>
      <c r="BO24" s="722"/>
    </row>
    <row r="25" spans="1:67" s="723" customFormat="1" ht="21" customHeight="1">
      <c r="A25" s="757" t="s">
        <v>714</v>
      </c>
      <c r="B25" s="752" t="s">
        <v>715</v>
      </c>
      <c r="C25" s="756"/>
      <c r="D25" s="728" t="s">
        <v>685</v>
      </c>
      <c r="E25" s="756"/>
      <c r="F25" s="1227"/>
      <c r="G25" s="1197" t="s">
        <v>685</v>
      </c>
      <c r="H25" s="1197" t="s">
        <v>685</v>
      </c>
      <c r="I25" s="1197" t="s">
        <v>685</v>
      </c>
      <c r="J25" s="1197" t="s">
        <v>685</v>
      </c>
      <c r="K25" s="1197" t="s">
        <v>685</v>
      </c>
      <c r="L25" s="1197" t="s">
        <v>685</v>
      </c>
      <c r="M25" s="1197" t="s">
        <v>685</v>
      </c>
      <c r="N25" s="1197" t="s">
        <v>685</v>
      </c>
      <c r="O25" s="1197" t="s">
        <v>685</v>
      </c>
      <c r="P25" s="1197" t="s">
        <v>685</v>
      </c>
      <c r="Q25" s="1197" t="s">
        <v>685</v>
      </c>
      <c r="R25" s="1197" t="s">
        <v>685</v>
      </c>
      <c r="S25" s="1197" t="s">
        <v>685</v>
      </c>
      <c r="T25" s="1197" t="s">
        <v>685</v>
      </c>
      <c r="U25" s="1197" t="s">
        <v>685</v>
      </c>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722"/>
      <c r="BK25" s="722"/>
      <c r="BL25" s="722"/>
      <c r="BM25" s="722"/>
      <c r="BN25" s="722"/>
      <c r="BO25" s="722"/>
    </row>
    <row r="26" spans="1:67" s="723" customFormat="1" ht="21" customHeight="1">
      <c r="A26" s="758" t="s">
        <v>716</v>
      </c>
      <c r="B26" s="752" t="s">
        <v>717</v>
      </c>
      <c r="C26" s="753"/>
      <c r="D26" s="736">
        <f>+D27+D28</f>
        <v>0</v>
      </c>
      <c r="E26" s="736">
        <f>+E27+E28</f>
        <v>0</v>
      </c>
      <c r="F26" s="1226"/>
      <c r="G26" s="1198">
        <f>+G27+G28</f>
        <v>0</v>
      </c>
      <c r="H26" s="1198">
        <f>+H27+H28</f>
        <v>0</v>
      </c>
      <c r="I26" s="1198">
        <f>+I27+I28</f>
        <v>0</v>
      </c>
      <c r="J26" s="1198">
        <f>+J27+J28</f>
        <v>0</v>
      </c>
      <c r="K26" s="1198">
        <f t="shared" ref="K26:U26" si="22">+K27+K28</f>
        <v>0</v>
      </c>
      <c r="L26" s="1198">
        <f t="shared" si="22"/>
        <v>0</v>
      </c>
      <c r="M26" s="1198">
        <f t="shared" si="22"/>
        <v>0</v>
      </c>
      <c r="N26" s="1198">
        <f t="shared" si="22"/>
        <v>0</v>
      </c>
      <c r="O26" s="1198">
        <f t="shared" si="22"/>
        <v>0</v>
      </c>
      <c r="P26" s="1198">
        <f t="shared" si="22"/>
        <v>0</v>
      </c>
      <c r="Q26" s="1198">
        <f t="shared" si="22"/>
        <v>0</v>
      </c>
      <c r="R26" s="1198">
        <f t="shared" si="22"/>
        <v>0</v>
      </c>
      <c r="S26" s="1198">
        <f t="shared" si="22"/>
        <v>0</v>
      </c>
      <c r="T26" s="1198">
        <f t="shared" si="22"/>
        <v>0</v>
      </c>
      <c r="U26" s="1198">
        <f t="shared" si="22"/>
        <v>0</v>
      </c>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722"/>
      <c r="BN26" s="722"/>
      <c r="BO26" s="722"/>
    </row>
    <row r="27" spans="1:67" s="723" customFormat="1" ht="21" customHeight="1">
      <c r="A27" s="759" t="s">
        <v>718</v>
      </c>
      <c r="B27" s="760" t="s">
        <v>719</v>
      </c>
      <c r="C27" s="761"/>
      <c r="D27" s="754">
        <v>0</v>
      </c>
      <c r="E27" s="762">
        <f>+D27</f>
        <v>0</v>
      </c>
      <c r="F27" s="1227"/>
      <c r="G27" s="1196"/>
      <c r="H27" s="1196"/>
      <c r="I27" s="1196"/>
      <c r="J27" s="1196"/>
      <c r="K27" s="1196"/>
      <c r="L27" s="1196"/>
      <c r="M27" s="1196"/>
      <c r="N27" s="1196"/>
      <c r="O27" s="1196"/>
      <c r="P27" s="1196"/>
      <c r="Q27" s="1196"/>
      <c r="R27" s="1196"/>
      <c r="S27" s="1196"/>
      <c r="T27" s="1196"/>
      <c r="U27" s="1196"/>
      <c r="V27" s="722"/>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c r="BC27" s="722"/>
      <c r="BD27" s="722"/>
      <c r="BE27" s="722"/>
      <c r="BF27" s="722"/>
      <c r="BG27" s="722"/>
      <c r="BH27" s="722"/>
      <c r="BI27" s="722"/>
      <c r="BJ27" s="722"/>
      <c r="BK27" s="722"/>
      <c r="BL27" s="722"/>
      <c r="BM27" s="722"/>
      <c r="BN27" s="722"/>
      <c r="BO27" s="722"/>
    </row>
    <row r="28" spans="1:67" s="764" customFormat="1" ht="21" customHeight="1">
      <c r="A28" s="751" t="s">
        <v>720</v>
      </c>
      <c r="B28" s="752" t="s">
        <v>721</v>
      </c>
      <c r="C28" s="753"/>
      <c r="D28" s="754">
        <v>0</v>
      </c>
      <c r="E28" s="728">
        <f>+D28</f>
        <v>0</v>
      </c>
      <c r="F28" s="1227"/>
      <c r="G28" s="1196">
        <v>0</v>
      </c>
      <c r="H28" s="1196">
        <v>0</v>
      </c>
      <c r="I28" s="1196">
        <v>0</v>
      </c>
      <c r="J28" s="1196"/>
      <c r="K28" s="1196"/>
      <c r="L28" s="1196"/>
      <c r="M28" s="1196"/>
      <c r="N28" s="1196"/>
      <c r="O28" s="1196"/>
      <c r="P28" s="1196"/>
      <c r="Q28" s="1196"/>
      <c r="R28" s="1196"/>
      <c r="S28" s="1196"/>
      <c r="T28" s="1196"/>
      <c r="U28" s="1196"/>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c r="BG28" s="763"/>
      <c r="BH28" s="763"/>
      <c r="BI28" s="763"/>
      <c r="BJ28" s="763"/>
      <c r="BK28" s="763"/>
      <c r="BL28" s="763"/>
      <c r="BM28" s="763"/>
      <c r="BN28" s="763"/>
      <c r="BO28" s="763"/>
    </row>
    <row r="29" spans="1:67" s="723" customFormat="1" ht="21" customHeight="1">
      <c r="A29" s="765" t="s">
        <v>722</v>
      </c>
      <c r="B29" s="766" t="s">
        <v>723</v>
      </c>
      <c r="C29" s="753"/>
      <c r="D29" s="736">
        <f>+D30+D31</f>
        <v>0</v>
      </c>
      <c r="E29" s="736">
        <f>+E30+E31</f>
        <v>0</v>
      </c>
      <c r="F29" s="1226"/>
      <c r="G29" s="1198">
        <f>+G30+G31</f>
        <v>0</v>
      </c>
      <c r="H29" s="1198">
        <f>+H30+H31</f>
        <v>0</v>
      </c>
      <c r="I29" s="1198">
        <f>+I30+I31</f>
        <v>0</v>
      </c>
      <c r="J29" s="1198">
        <f>+J30+J31</f>
        <v>0</v>
      </c>
      <c r="K29" s="1198">
        <f t="shared" ref="K29:U29" si="23">+K30+K31</f>
        <v>0</v>
      </c>
      <c r="L29" s="1198">
        <f t="shared" si="23"/>
        <v>0</v>
      </c>
      <c r="M29" s="1198">
        <f t="shared" si="23"/>
        <v>0</v>
      </c>
      <c r="N29" s="1198">
        <f t="shared" si="23"/>
        <v>0</v>
      </c>
      <c r="O29" s="1198">
        <f t="shared" si="23"/>
        <v>0</v>
      </c>
      <c r="P29" s="1198">
        <f t="shared" si="23"/>
        <v>0</v>
      </c>
      <c r="Q29" s="1198">
        <f t="shared" si="23"/>
        <v>0</v>
      </c>
      <c r="R29" s="1198">
        <f t="shared" si="23"/>
        <v>0</v>
      </c>
      <c r="S29" s="1198">
        <f t="shared" si="23"/>
        <v>0</v>
      </c>
      <c r="T29" s="1198">
        <f t="shared" si="23"/>
        <v>0</v>
      </c>
      <c r="U29" s="1198">
        <f t="shared" si="23"/>
        <v>0</v>
      </c>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c r="BE29" s="722"/>
      <c r="BF29" s="722"/>
      <c r="BG29" s="722"/>
      <c r="BH29" s="722"/>
      <c r="BI29" s="722"/>
      <c r="BJ29" s="722"/>
      <c r="BK29" s="722"/>
      <c r="BL29" s="722"/>
      <c r="BM29" s="722"/>
      <c r="BN29" s="722"/>
      <c r="BO29" s="722"/>
    </row>
    <row r="30" spans="1:67" s="723" customFormat="1" ht="21" customHeight="1">
      <c r="A30" s="767" t="s">
        <v>724</v>
      </c>
      <c r="B30" s="752" t="s">
        <v>725</v>
      </c>
      <c r="C30" s="753"/>
      <c r="D30" s="754">
        <v>0</v>
      </c>
      <c r="E30" s="728">
        <f>+D30</f>
        <v>0</v>
      </c>
      <c r="F30" s="1227"/>
      <c r="G30" s="1196"/>
      <c r="H30" s="1196"/>
      <c r="I30" s="1196"/>
      <c r="J30" s="1196"/>
      <c r="K30" s="1196"/>
      <c r="L30" s="1196"/>
      <c r="M30" s="1196"/>
      <c r="N30" s="1196"/>
      <c r="O30" s="1196"/>
      <c r="P30" s="1196"/>
      <c r="Q30" s="1196"/>
      <c r="R30" s="1196"/>
      <c r="S30" s="1196"/>
      <c r="T30" s="1196"/>
      <c r="U30" s="1196"/>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c r="BD30" s="722"/>
      <c r="BE30" s="722"/>
      <c r="BF30" s="722"/>
      <c r="BG30" s="722"/>
      <c r="BH30" s="722"/>
      <c r="BI30" s="722"/>
      <c r="BJ30" s="722"/>
      <c r="BK30" s="722"/>
      <c r="BL30" s="722"/>
      <c r="BM30" s="722"/>
      <c r="BN30" s="722"/>
      <c r="BO30" s="722"/>
    </row>
    <row r="31" spans="1:67" s="723" customFormat="1" ht="21" customHeight="1" thickBot="1">
      <c r="A31" s="768" t="s">
        <v>726</v>
      </c>
      <c r="B31" s="769" t="s">
        <v>727</v>
      </c>
      <c r="C31" s="770"/>
      <c r="D31" s="771">
        <v>0</v>
      </c>
      <c r="E31" s="772">
        <f>+D31</f>
        <v>0</v>
      </c>
      <c r="F31" s="1227"/>
      <c r="G31" s="1196">
        <v>0</v>
      </c>
      <c r="H31" s="1196">
        <v>0</v>
      </c>
      <c r="I31" s="1199"/>
      <c r="J31" s="1199"/>
      <c r="K31" s="1199"/>
      <c r="L31" s="1199"/>
      <c r="M31" s="1199"/>
      <c r="N31" s="1199"/>
      <c r="O31" s="1199"/>
      <c r="P31" s="1199"/>
      <c r="Q31" s="1199"/>
      <c r="R31" s="1199"/>
      <c r="S31" s="1199"/>
      <c r="T31" s="1199"/>
      <c r="U31" s="1199"/>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row>
    <row r="32" spans="1:67" s="722" customFormat="1" ht="21" customHeight="1" thickBot="1">
      <c r="A32" s="773" t="s">
        <v>728</v>
      </c>
      <c r="B32" s="747" t="s">
        <v>729</v>
      </c>
      <c r="C32" s="748"/>
      <c r="D32" s="749"/>
      <c r="E32" s="749"/>
      <c r="F32" s="1226"/>
      <c r="G32" s="1200"/>
      <c r="H32" s="1200"/>
      <c r="I32" s="1200"/>
      <c r="J32" s="1200"/>
      <c r="K32" s="1200"/>
      <c r="L32" s="1200"/>
      <c r="M32" s="1200"/>
      <c r="N32" s="1200"/>
      <c r="O32" s="1200"/>
      <c r="P32" s="1200"/>
      <c r="Q32" s="1200"/>
      <c r="R32" s="1200"/>
      <c r="S32" s="1200"/>
      <c r="T32" s="1200"/>
      <c r="U32" s="1200"/>
    </row>
    <row r="33" spans="1:67" s="723" customFormat="1" ht="21" customHeight="1">
      <c r="A33" s="774" t="s">
        <v>730</v>
      </c>
      <c r="B33" s="775" t="s">
        <v>731</v>
      </c>
      <c r="C33" s="776"/>
      <c r="D33" s="1201">
        <v>0</v>
      </c>
      <c r="E33" s="777">
        <f>+D33</f>
        <v>0</v>
      </c>
      <c r="F33" s="1227"/>
      <c r="G33" s="1201">
        <v>800000</v>
      </c>
      <c r="H33" s="1201"/>
      <c r="I33" s="1201"/>
      <c r="J33" s="1201"/>
      <c r="K33" s="1201"/>
      <c r="L33" s="1201"/>
      <c r="M33" s="1201"/>
      <c r="N33" s="1201"/>
      <c r="O33" s="1201"/>
      <c r="P33" s="1201"/>
      <c r="Q33" s="1201"/>
      <c r="R33" s="1201"/>
      <c r="S33" s="1201"/>
      <c r="T33" s="1201"/>
      <c r="U33" s="1201"/>
      <c r="V33" s="722"/>
      <c r="W33" s="722"/>
      <c r="X33" s="722"/>
      <c r="Y33" s="722"/>
      <c r="Z33" s="722"/>
      <c r="AA33" s="722"/>
      <c r="AB33" s="722"/>
      <c r="AC33" s="722"/>
      <c r="AD33" s="722"/>
      <c r="AE33" s="722"/>
      <c r="AF33" s="722"/>
      <c r="AG33" s="722"/>
      <c r="AH33" s="722"/>
      <c r="AI33" s="722"/>
      <c r="AJ33" s="722"/>
      <c r="AK33" s="722"/>
      <c r="AL33" s="722"/>
      <c r="AM33" s="722"/>
      <c r="AN33" s="722"/>
      <c r="AO33" s="722"/>
      <c r="AP33" s="722"/>
      <c r="AQ33" s="722"/>
      <c r="AR33" s="722"/>
      <c r="AS33" s="722"/>
      <c r="AT33" s="722"/>
      <c r="AU33" s="722"/>
      <c r="AV33" s="722"/>
      <c r="AW33" s="722"/>
      <c r="AX33" s="722"/>
      <c r="AY33" s="722"/>
      <c r="AZ33" s="722"/>
      <c r="BA33" s="722"/>
      <c r="BB33" s="722"/>
      <c r="BC33" s="722"/>
      <c r="BD33" s="722"/>
      <c r="BE33" s="722"/>
      <c r="BF33" s="722"/>
      <c r="BG33" s="722"/>
      <c r="BH33" s="722"/>
      <c r="BI33" s="722"/>
      <c r="BJ33" s="722"/>
      <c r="BK33" s="722"/>
      <c r="BL33" s="722"/>
      <c r="BM33" s="722"/>
      <c r="BN33" s="722"/>
      <c r="BO33" s="722"/>
    </row>
    <row r="34" spans="1:67" s="723" customFormat="1" ht="21" customHeight="1">
      <c r="A34" s="767" t="s">
        <v>732</v>
      </c>
      <c r="B34" s="752" t="s">
        <v>733</v>
      </c>
      <c r="C34" s="778"/>
      <c r="D34" s="1196">
        <v>0</v>
      </c>
      <c r="E34" s="779">
        <f>+D34</f>
        <v>0</v>
      </c>
      <c r="F34" s="1226"/>
      <c r="G34" s="1196">
        <v>160000</v>
      </c>
      <c r="H34" s="1196">
        <v>160000</v>
      </c>
      <c r="I34" s="1196">
        <v>160000</v>
      </c>
      <c r="J34" s="1196">
        <v>160000</v>
      </c>
      <c r="K34" s="1196">
        <v>160000</v>
      </c>
      <c r="L34" s="1196"/>
      <c r="M34" s="1196"/>
      <c r="N34" s="1196"/>
      <c r="O34" s="1196"/>
      <c r="P34" s="1196"/>
      <c r="Q34" s="1196"/>
      <c r="R34" s="1196"/>
      <c r="S34" s="1196"/>
      <c r="T34" s="1196"/>
      <c r="U34" s="1196"/>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row>
    <row r="35" spans="1:67" s="723" customFormat="1" ht="21" customHeight="1" thickBot="1">
      <c r="A35" s="768" t="s">
        <v>734</v>
      </c>
      <c r="B35" s="769" t="s">
        <v>735</v>
      </c>
      <c r="C35" s="780"/>
      <c r="D35" s="1199">
        <v>0</v>
      </c>
      <c r="E35" s="781">
        <f>+D35</f>
        <v>0</v>
      </c>
      <c r="F35" s="1231"/>
      <c r="G35" s="1199">
        <v>69070</v>
      </c>
      <c r="H35" s="1199">
        <v>54810</v>
      </c>
      <c r="I35" s="1199">
        <v>39690</v>
      </c>
      <c r="J35" s="1199">
        <v>24570</v>
      </c>
      <c r="K35" s="1199">
        <v>9450</v>
      </c>
      <c r="L35" s="1199"/>
      <c r="M35" s="1199"/>
      <c r="N35" s="1199"/>
      <c r="O35" s="1199"/>
      <c r="P35" s="1199"/>
      <c r="Q35" s="1199"/>
      <c r="R35" s="1199"/>
      <c r="S35" s="1199"/>
      <c r="T35" s="1199"/>
      <c r="U35" s="1199"/>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22"/>
      <c r="AY35" s="722"/>
      <c r="AZ35" s="722"/>
      <c r="BA35" s="722"/>
      <c r="BB35" s="722"/>
      <c r="BC35" s="722"/>
      <c r="BD35" s="722"/>
      <c r="BE35" s="722"/>
      <c r="BF35" s="722"/>
      <c r="BG35" s="722"/>
      <c r="BH35" s="722"/>
      <c r="BI35" s="722"/>
      <c r="BJ35" s="722"/>
      <c r="BK35" s="722"/>
      <c r="BL35" s="722"/>
      <c r="BM35" s="722"/>
      <c r="BN35" s="722"/>
      <c r="BO35" s="722"/>
    </row>
    <row r="36" spans="1:67" s="763" customFormat="1" ht="21" customHeight="1" thickBot="1">
      <c r="A36" s="773" t="s">
        <v>736</v>
      </c>
      <c r="B36" s="782" t="s">
        <v>737</v>
      </c>
      <c r="C36" s="783"/>
      <c r="D36" s="784"/>
      <c r="E36" s="784"/>
      <c r="F36" s="1232"/>
      <c r="G36" s="1194"/>
      <c r="H36" s="1194"/>
      <c r="I36" s="1194"/>
      <c r="J36" s="1194"/>
      <c r="K36" s="1194"/>
      <c r="L36" s="1194"/>
      <c r="M36" s="1194"/>
      <c r="N36" s="1194"/>
      <c r="O36" s="1194"/>
      <c r="P36" s="1194"/>
      <c r="Q36" s="1194"/>
      <c r="R36" s="1194"/>
      <c r="S36" s="1194"/>
      <c r="T36" s="1194"/>
      <c r="U36" s="1194"/>
    </row>
    <row r="37" spans="1:67" s="723" customFormat="1" ht="21" customHeight="1">
      <c r="A37" s="785" t="s">
        <v>738</v>
      </c>
      <c r="B37" s="741" t="s">
        <v>739</v>
      </c>
      <c r="C37" s="786"/>
      <c r="D37" s="720">
        <f>+D21+D33-D34</f>
        <v>23331</v>
      </c>
      <c r="E37" s="720">
        <f>+E21+E33-E34</f>
        <v>23331</v>
      </c>
      <c r="F37" s="1226"/>
      <c r="G37" s="1191">
        <f>+G21+G33-G34</f>
        <v>663331</v>
      </c>
      <c r="H37" s="1191">
        <f t="shared" ref="H37:U37" si="24">+H21+H33-H34</f>
        <v>503331</v>
      </c>
      <c r="I37" s="1191">
        <f t="shared" si="24"/>
        <v>343331</v>
      </c>
      <c r="J37" s="1191">
        <f t="shared" si="24"/>
        <v>183331</v>
      </c>
      <c r="K37" s="1191">
        <f t="shared" si="24"/>
        <v>23331</v>
      </c>
      <c r="L37" s="1191">
        <f t="shared" si="24"/>
        <v>23331</v>
      </c>
      <c r="M37" s="1191">
        <f t="shared" si="24"/>
        <v>23331</v>
      </c>
      <c r="N37" s="1191">
        <f t="shared" si="24"/>
        <v>23331</v>
      </c>
      <c r="O37" s="1191">
        <f t="shared" si="24"/>
        <v>23331</v>
      </c>
      <c r="P37" s="1191">
        <f t="shared" si="24"/>
        <v>23331</v>
      </c>
      <c r="Q37" s="1191">
        <f t="shared" si="24"/>
        <v>23331</v>
      </c>
      <c r="R37" s="1191">
        <f t="shared" si="24"/>
        <v>23331</v>
      </c>
      <c r="S37" s="1191">
        <f t="shared" si="24"/>
        <v>23331</v>
      </c>
      <c r="T37" s="1191">
        <f t="shared" si="24"/>
        <v>23331</v>
      </c>
      <c r="U37" s="1191">
        <f t="shared" si="24"/>
        <v>23331</v>
      </c>
      <c r="V37" s="722"/>
      <c r="W37" s="722"/>
      <c r="X37" s="722"/>
      <c r="Y37" s="722"/>
      <c r="Z37" s="722"/>
      <c r="AA37" s="722"/>
      <c r="AB37" s="722"/>
      <c r="AC37" s="722"/>
      <c r="AD37" s="722"/>
      <c r="AE37" s="722"/>
      <c r="AF37" s="722"/>
      <c r="AG37" s="722"/>
      <c r="AH37" s="722"/>
      <c r="AI37" s="722"/>
      <c r="AJ37" s="722"/>
      <c r="AK37" s="722"/>
      <c r="AL37" s="722"/>
      <c r="AM37" s="722"/>
      <c r="AN37" s="722"/>
      <c r="AO37" s="722"/>
      <c r="AP37" s="722"/>
      <c r="AQ37" s="722"/>
      <c r="AR37" s="722"/>
      <c r="AS37" s="722"/>
      <c r="AT37" s="722"/>
      <c r="AU37" s="722"/>
      <c r="AV37" s="722"/>
      <c r="AW37" s="722"/>
      <c r="AX37" s="722"/>
      <c r="AY37" s="722"/>
      <c r="AZ37" s="722"/>
      <c r="BA37" s="722"/>
      <c r="BB37" s="722"/>
      <c r="BC37" s="722"/>
      <c r="BD37" s="722"/>
      <c r="BE37" s="722"/>
      <c r="BF37" s="722"/>
      <c r="BG37" s="722"/>
      <c r="BH37" s="722"/>
      <c r="BI37" s="722"/>
      <c r="BJ37" s="722"/>
      <c r="BK37" s="722"/>
      <c r="BL37" s="722"/>
      <c r="BM37" s="722"/>
      <c r="BN37" s="722"/>
      <c r="BO37" s="722"/>
    </row>
    <row r="38" spans="1:67" s="723" customFormat="1" ht="21" customHeight="1" thickBot="1">
      <c r="A38" s="787" t="s">
        <v>740</v>
      </c>
      <c r="B38" s="738" t="s">
        <v>741</v>
      </c>
      <c r="C38" s="788"/>
      <c r="D38" s="789">
        <f>+D29+D35</f>
        <v>0</v>
      </c>
      <c r="E38" s="789">
        <f>+E29+E35</f>
        <v>0</v>
      </c>
      <c r="F38" s="1226"/>
      <c r="G38" s="1202">
        <f>+G29+G35</f>
        <v>69070</v>
      </c>
      <c r="H38" s="1202">
        <f t="shared" ref="H38:U38" si="25">+H29+H35</f>
        <v>54810</v>
      </c>
      <c r="I38" s="1202">
        <f t="shared" si="25"/>
        <v>39690</v>
      </c>
      <c r="J38" s="1202">
        <f t="shared" si="25"/>
        <v>24570</v>
      </c>
      <c r="K38" s="1202">
        <f t="shared" si="25"/>
        <v>9450</v>
      </c>
      <c r="L38" s="1202">
        <f t="shared" si="25"/>
        <v>0</v>
      </c>
      <c r="M38" s="1202">
        <f t="shared" si="25"/>
        <v>0</v>
      </c>
      <c r="N38" s="1202">
        <f t="shared" si="25"/>
        <v>0</v>
      </c>
      <c r="O38" s="1202">
        <f t="shared" si="25"/>
        <v>0</v>
      </c>
      <c r="P38" s="1202">
        <f t="shared" si="25"/>
        <v>0</v>
      </c>
      <c r="Q38" s="1202">
        <f t="shared" si="25"/>
        <v>0</v>
      </c>
      <c r="R38" s="1202">
        <f t="shared" si="25"/>
        <v>0</v>
      </c>
      <c r="S38" s="1202">
        <f t="shared" si="25"/>
        <v>0</v>
      </c>
      <c r="T38" s="1202">
        <f t="shared" si="25"/>
        <v>0</v>
      </c>
      <c r="U38" s="1202">
        <f t="shared" si="25"/>
        <v>0</v>
      </c>
      <c r="V38" s="722"/>
      <c r="W38" s="722"/>
      <c r="X38" s="722"/>
      <c r="Y38" s="722"/>
      <c r="Z38" s="722"/>
      <c r="AA38" s="722"/>
      <c r="AB38" s="722"/>
      <c r="AC38" s="722"/>
      <c r="AD38" s="722"/>
      <c r="AE38" s="722"/>
      <c r="AF38" s="722"/>
      <c r="AG38" s="722"/>
      <c r="AH38" s="722"/>
      <c r="AI38" s="722"/>
      <c r="AJ38" s="722"/>
      <c r="AK38" s="722"/>
      <c r="AL38" s="722"/>
      <c r="AM38" s="722"/>
      <c r="AN38" s="722"/>
      <c r="AO38" s="722"/>
      <c r="AP38" s="722"/>
      <c r="AQ38" s="722"/>
      <c r="AR38" s="722"/>
      <c r="AS38" s="722"/>
      <c r="AT38" s="722"/>
      <c r="AU38" s="722"/>
      <c r="AV38" s="722"/>
      <c r="AW38" s="722"/>
      <c r="AX38" s="722"/>
      <c r="AY38" s="722"/>
      <c r="AZ38" s="722"/>
      <c r="BA38" s="722"/>
      <c r="BB38" s="722"/>
      <c r="BC38" s="722"/>
      <c r="BD38" s="722"/>
      <c r="BE38" s="722"/>
      <c r="BF38" s="722"/>
      <c r="BG38" s="722"/>
      <c r="BH38" s="722"/>
      <c r="BI38" s="722"/>
      <c r="BJ38" s="722"/>
      <c r="BK38" s="722"/>
      <c r="BL38" s="722"/>
      <c r="BM38" s="722"/>
      <c r="BN38" s="722"/>
      <c r="BO38" s="722"/>
    </row>
    <row r="39" spans="1:67" s="723" customFormat="1" ht="21" customHeight="1">
      <c r="A39" s="790" t="s">
        <v>742</v>
      </c>
      <c r="B39" s="719" t="s">
        <v>743</v>
      </c>
      <c r="C39" s="791"/>
      <c r="D39" s="792">
        <f>+D38/D18</f>
        <v>0</v>
      </c>
      <c r="E39" s="792">
        <f>+E38/E18</f>
        <v>0</v>
      </c>
      <c r="F39" s="1233"/>
      <c r="G39" s="1203">
        <f t="shared" ref="G39:U39" si="26">+G38/G18</f>
        <v>4.1622793615348555E-2</v>
      </c>
      <c r="H39" s="1203">
        <f t="shared" si="26"/>
        <v>3.1912528955183816E-2</v>
      </c>
      <c r="I39" s="1203">
        <f t="shared" si="26"/>
        <v>2.2435992904548379E-2</v>
      </c>
      <c r="J39" s="1203">
        <f t="shared" si="26"/>
        <v>1.3484415522844613E-2</v>
      </c>
      <c r="K39" s="1203">
        <f t="shared" si="26"/>
        <v>5.035255983138389E-3</v>
      </c>
      <c r="L39" s="1203">
        <f t="shared" si="26"/>
        <v>0</v>
      </c>
      <c r="M39" s="1203">
        <f t="shared" si="26"/>
        <v>0</v>
      </c>
      <c r="N39" s="1203">
        <f t="shared" si="26"/>
        <v>0</v>
      </c>
      <c r="O39" s="1203">
        <f t="shared" si="26"/>
        <v>0</v>
      </c>
      <c r="P39" s="1203">
        <f t="shared" si="26"/>
        <v>0</v>
      </c>
      <c r="Q39" s="1203">
        <f t="shared" si="26"/>
        <v>0</v>
      </c>
      <c r="R39" s="1203">
        <f t="shared" si="26"/>
        <v>0</v>
      </c>
      <c r="S39" s="1203">
        <f t="shared" si="26"/>
        <v>0</v>
      </c>
      <c r="T39" s="1203">
        <f t="shared" si="26"/>
        <v>0</v>
      </c>
      <c r="U39" s="1203">
        <f t="shared" si="26"/>
        <v>0</v>
      </c>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c r="BA39" s="722"/>
      <c r="BB39" s="722"/>
      <c r="BC39" s="722"/>
      <c r="BD39" s="722"/>
      <c r="BE39" s="722"/>
      <c r="BF39" s="722"/>
      <c r="BG39" s="722"/>
      <c r="BH39" s="722"/>
      <c r="BI39" s="722"/>
      <c r="BJ39" s="722"/>
      <c r="BK39" s="722"/>
      <c r="BL39" s="722"/>
      <c r="BM39" s="722"/>
      <c r="BN39" s="722"/>
      <c r="BO39" s="722"/>
    </row>
    <row r="40" spans="1:67" s="723" customFormat="1" ht="21" customHeight="1" thickBot="1">
      <c r="A40" s="793" t="s">
        <v>744</v>
      </c>
      <c r="B40" s="794" t="s">
        <v>745</v>
      </c>
      <c r="C40" s="795"/>
      <c r="D40" s="796">
        <f>D37/D5</f>
        <v>9.3630196960516037E-3</v>
      </c>
      <c r="E40" s="796">
        <f>E37/E5</f>
        <v>1.0329848520349152E-2</v>
      </c>
      <c r="F40" s="1233"/>
      <c r="G40" s="1204">
        <f>G37/G5</f>
        <v>0.25473967292839766</v>
      </c>
      <c r="H40" s="1204">
        <f t="shared" ref="H40:U40" si="27">H37/H5</f>
        <v>0.18675817542162551</v>
      </c>
      <c r="I40" s="1204">
        <f t="shared" si="27"/>
        <v>0.12368064367934627</v>
      </c>
      <c r="J40" s="1204">
        <f t="shared" si="27"/>
        <v>6.4119097518925264E-2</v>
      </c>
      <c r="K40" s="1204">
        <f t="shared" si="27"/>
        <v>7.9222332073143158E-3</v>
      </c>
      <c r="L40" s="1204">
        <f t="shared" si="27"/>
        <v>7.6914885507905987E-3</v>
      </c>
      <c r="M40" s="1204">
        <f t="shared" si="27"/>
        <v>7.4674646124180564E-3</v>
      </c>
      <c r="N40" s="1204">
        <f t="shared" si="27"/>
        <v>7.2499656431243269E-3</v>
      </c>
      <c r="O40" s="1204">
        <f t="shared" si="27"/>
        <v>7.0388015952663361E-3</v>
      </c>
      <c r="P40" s="1204">
        <f t="shared" si="27"/>
        <v>6.8337879565692596E-3</v>
      </c>
      <c r="Q40" s="1204">
        <f t="shared" si="27"/>
        <v>6.6347455889021927E-3</v>
      </c>
      <c r="R40" s="1204">
        <f t="shared" si="27"/>
        <v>6.4415005717497024E-3</v>
      </c>
      <c r="S40" s="1204">
        <f t="shared" si="27"/>
        <v>6.2538840502424286E-3</v>
      </c>
      <c r="T40" s="1204">
        <f t="shared" si="27"/>
        <v>6.0717320876140096E-3</v>
      </c>
      <c r="U40" s="1204">
        <f t="shared" si="27"/>
        <v>5.8948855219553486E-3</v>
      </c>
      <c r="V40" s="722"/>
      <c r="W40" s="722"/>
      <c r="X40" s="722"/>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722"/>
      <c r="BD40" s="722"/>
      <c r="BE40" s="722"/>
      <c r="BF40" s="722"/>
      <c r="BG40" s="722"/>
      <c r="BH40" s="722"/>
      <c r="BI40" s="722"/>
      <c r="BJ40" s="722"/>
      <c r="BK40" s="722"/>
      <c r="BL40" s="722"/>
      <c r="BM40" s="722"/>
      <c r="BN40" s="722"/>
      <c r="BO40" s="722"/>
    </row>
    <row r="41" spans="1:67" s="723" customFormat="1" ht="36.75" customHeight="1" thickBot="1">
      <c r="A41" s="797" t="s">
        <v>746</v>
      </c>
      <c r="B41" s="798" t="s">
        <v>747</v>
      </c>
      <c r="C41" s="799"/>
      <c r="D41" s="800" t="str">
        <f>IF(D39&lt;0,"AHORRO NEGATIVO",IF(D40&gt;0.8,"ROJO",IF(D39&gt;0.4,"ROJO",IF(D39&lt;=0.4,"VERDE"))))</f>
        <v>VERDE</v>
      </c>
      <c r="E41" s="800" t="str">
        <f>IF(E39&lt;0,"AHORRO NEGATIVO",IF(E40&gt;0.8,"ROJO",IF(E39&gt;0.4,"ROJO",IF(E39&lt;=0.4,"VERDE"))))</f>
        <v>VERDE</v>
      </c>
      <c r="F41" s="1234"/>
      <c r="G41" s="1246" t="str">
        <f>IF(G39&lt;0,"AHORRO NEGATIVO",IF(G40&gt;0.8,"ROJO",IF(G39&gt;0.4,"ROJO",IF(G39&lt;=0.4,"VERDE"))))</f>
        <v>VERDE</v>
      </c>
      <c r="H41" s="1246" t="str">
        <f>IF(H39&lt;0,"AHORRO NEGATIVO",IF(H40&gt;0.8,"ROJO",IF(H39&gt;0.4,"ROJO",IF(H39&lt;=0.4,"VERDE"))))</f>
        <v>VERDE</v>
      </c>
      <c r="I41" s="1246" t="str">
        <f>IF(I39&lt;0,"AHORRO NEGATIVO",IF(I40&gt;0.8,"ROJO",IF(I39&gt;0.4,"ROJO",IF(I39&lt;=0.4,"VERDE"))))</f>
        <v>VERDE</v>
      </c>
      <c r="J41" s="1246" t="str">
        <f>IF(J39&lt;0,"AHORRO NEGATIVO",IF(J40&gt;0.8,"ROJO",IF(J39&gt;0.4,"ROJO",IF(J39&lt;=0.4,"VERDE"))))</f>
        <v>VERDE</v>
      </c>
      <c r="K41" s="1246" t="str">
        <f t="shared" ref="K41:U41" si="28">IF(K39&lt;0,"AHORRO NEGATIVO",IF(K40&gt;0.8,"ROJO",IF(K39&gt;0.4,"ROJO",IF(K39&lt;=0.4,"VERDE"))))</f>
        <v>VERDE</v>
      </c>
      <c r="L41" s="1246" t="str">
        <f t="shared" si="28"/>
        <v>VERDE</v>
      </c>
      <c r="M41" s="1246" t="str">
        <f t="shared" si="28"/>
        <v>VERDE</v>
      </c>
      <c r="N41" s="1246" t="str">
        <f t="shared" si="28"/>
        <v>VERDE</v>
      </c>
      <c r="O41" s="1246" t="str">
        <f t="shared" si="28"/>
        <v>VERDE</v>
      </c>
      <c r="P41" s="1246" t="str">
        <f t="shared" si="28"/>
        <v>VERDE</v>
      </c>
      <c r="Q41" s="1246" t="str">
        <f t="shared" si="28"/>
        <v>VERDE</v>
      </c>
      <c r="R41" s="1246" t="str">
        <f t="shared" si="28"/>
        <v>VERDE</v>
      </c>
      <c r="S41" s="1246" t="str">
        <f t="shared" si="28"/>
        <v>VERDE</v>
      </c>
      <c r="T41" s="1246" t="str">
        <f t="shared" si="28"/>
        <v>VERDE</v>
      </c>
      <c r="U41" s="1246" t="str">
        <f t="shared" si="28"/>
        <v>VERDE</v>
      </c>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2"/>
      <c r="BJ41" s="722"/>
      <c r="BK41" s="722"/>
      <c r="BL41" s="722"/>
      <c r="BM41" s="722"/>
      <c r="BN41" s="722"/>
      <c r="BO41" s="722"/>
    </row>
    <row r="42" spans="1:67">
      <c r="A42" s="676" t="s">
        <v>748</v>
      </c>
      <c r="B42" s="676"/>
      <c r="C42" s="677"/>
      <c r="D42" s="676"/>
      <c r="E42" s="676"/>
      <c r="G42" s="1200"/>
      <c r="H42" s="1200"/>
      <c r="I42" s="1200"/>
      <c r="J42" s="1200"/>
      <c r="K42" s="1200"/>
      <c r="L42" s="1200"/>
      <c r="M42" s="1200"/>
      <c r="N42" s="1200"/>
      <c r="O42" s="1200"/>
      <c r="P42" s="1200"/>
      <c r="Q42" s="1200"/>
      <c r="R42" s="1200"/>
      <c r="S42" s="1200"/>
      <c r="T42" s="1200"/>
      <c r="U42" s="1200"/>
    </row>
    <row r="43" spans="1:67" ht="5.25" customHeight="1">
      <c r="A43" s="678"/>
      <c r="B43" s="677"/>
      <c r="C43" s="679"/>
      <c r="D43" s="680"/>
      <c r="E43" s="676"/>
      <c r="G43" s="1205"/>
      <c r="H43" s="1205"/>
      <c r="I43" s="1205"/>
      <c r="J43" s="1205"/>
      <c r="K43" s="1205"/>
      <c r="L43" s="1205"/>
      <c r="M43" s="1205"/>
      <c r="N43" s="1205"/>
      <c r="O43" s="1205"/>
      <c r="P43" s="1205"/>
      <c r="Q43" s="1205"/>
      <c r="R43" s="1205"/>
      <c r="S43" s="1205"/>
      <c r="T43" s="1205"/>
      <c r="U43" s="1205"/>
    </row>
    <row r="44" spans="1:67" ht="5.25" customHeight="1">
      <c r="A44" s="678"/>
      <c r="B44" s="677"/>
      <c r="C44" s="681"/>
      <c r="D44" s="682"/>
      <c r="E44" s="683"/>
      <c r="F44" s="1235"/>
      <c r="G44" s="1206"/>
      <c r="H44" s="1206"/>
      <c r="I44" s="1206"/>
      <c r="J44" s="1206"/>
      <c r="K44" s="1206"/>
      <c r="L44" s="1206"/>
      <c r="M44" s="1206"/>
      <c r="N44" s="1206"/>
      <c r="O44" s="1206"/>
      <c r="P44" s="1206"/>
      <c r="Q44" s="1206"/>
      <c r="R44" s="1206"/>
      <c r="S44" s="1206"/>
      <c r="T44" s="1206"/>
      <c r="U44" s="1206"/>
    </row>
    <row r="45" spans="1:67">
      <c r="A45" s="1102" t="s">
        <v>749</v>
      </c>
      <c r="B45" s="1103"/>
      <c r="C45" s="1104"/>
      <c r="D45" s="1105"/>
      <c r="E45" s="1105"/>
      <c r="F45" s="1236"/>
      <c r="G45" s="1207"/>
      <c r="H45" s="1207"/>
      <c r="I45" s="1207"/>
      <c r="J45" s="1207"/>
      <c r="K45" s="1207"/>
      <c r="L45" s="1207"/>
      <c r="M45" s="1207"/>
      <c r="N45" s="1207"/>
      <c r="O45" s="1207"/>
      <c r="P45" s="1207"/>
      <c r="Q45" s="1207"/>
      <c r="R45" s="1207"/>
      <c r="S45" s="1207"/>
      <c r="T45" s="1207"/>
      <c r="U45" s="1207"/>
    </row>
    <row r="46" spans="1:67">
      <c r="A46" s="684" t="s">
        <v>750</v>
      </c>
      <c r="B46" s="684"/>
      <c r="C46" s="685" t="str">
        <f>+Ingresos!B8</f>
        <v>MUNICIPIO DE CUNDAY</v>
      </c>
      <c r="D46" s="685"/>
      <c r="E46" s="685"/>
      <c r="F46" s="1237"/>
      <c r="G46" s="1208"/>
      <c r="H46" s="1208"/>
      <c r="I46" s="1208"/>
      <c r="J46" s="1208"/>
      <c r="K46" s="1208"/>
      <c r="L46" s="1208"/>
      <c r="M46" s="1208"/>
      <c r="N46" s="1208"/>
      <c r="O46" s="1208"/>
      <c r="P46" s="1208"/>
      <c r="Q46" s="1208"/>
      <c r="R46" s="1208"/>
      <c r="S46" s="1208"/>
      <c r="T46" s="1208"/>
      <c r="U46" s="1208"/>
    </row>
    <row r="47" spans="1:67" ht="15.75" thickBot="1">
      <c r="A47" s="684" t="s">
        <v>751</v>
      </c>
      <c r="B47" s="684"/>
      <c r="C47" s="686"/>
      <c r="D47" s="687" t="s">
        <v>669</v>
      </c>
      <c r="E47" s="687"/>
      <c r="F47" s="1238"/>
      <c r="G47" s="1242" t="str">
        <f>+G2</f>
        <v xml:space="preserve">PROYECCION DE LA CAPACIDAD DE ENDEUDAMIENTO      </v>
      </c>
      <c r="H47" s="1242"/>
      <c r="I47" s="1242"/>
      <c r="J47" s="1242"/>
      <c r="K47" s="1242"/>
      <c r="L47" s="1242"/>
      <c r="M47" s="1242"/>
      <c r="N47" s="1242"/>
      <c r="O47" s="1242"/>
      <c r="P47" s="1242"/>
      <c r="Q47" s="1242"/>
      <c r="R47" s="1242"/>
      <c r="S47" s="1242"/>
      <c r="T47" s="1242"/>
      <c r="U47" s="1242"/>
    </row>
    <row r="48" spans="1:67" ht="60">
      <c r="A48" s="651" t="s">
        <v>752</v>
      </c>
      <c r="B48" s="661" t="s">
        <v>498</v>
      </c>
      <c r="C48" s="662" t="str">
        <f t="shared" ref="C48:E50" si="29">+C3</f>
        <v>EJECUCIONES</v>
      </c>
      <c r="D48" s="662" t="str">
        <f t="shared" si="29"/>
        <v>VIGENCIA ACTUAL Ley 358/97</v>
      </c>
      <c r="E48" s="662" t="str">
        <f t="shared" si="29"/>
        <v>VIGENCIA ACTUAL Capacidad Real de Pago</v>
      </c>
      <c r="F48" s="1238"/>
      <c r="G48" s="1209" t="str">
        <f>+G3</f>
        <v>Proyección Capacidad de Pago ley 358/97 Año</v>
      </c>
      <c r="H48" s="1209" t="str">
        <f t="shared" ref="H48:U50" si="30">+H3</f>
        <v>Proyección Capacidad de Pago ley 358/97 Año</v>
      </c>
      <c r="I48" s="1209" t="str">
        <f t="shared" si="30"/>
        <v>Proyección Capacidad de Pago ley 358/97 Año</v>
      </c>
      <c r="J48" s="1209" t="str">
        <f t="shared" si="30"/>
        <v>Proyección Capacidad de Pago ley 358/97 Año</v>
      </c>
      <c r="K48" s="1209" t="str">
        <f t="shared" si="30"/>
        <v>Proyección Capacidad de Pago ley 358/97 Año</v>
      </c>
      <c r="L48" s="1209" t="str">
        <f t="shared" si="30"/>
        <v>Proyección Capacidad de Pago ley 358/97 Año</v>
      </c>
      <c r="M48" s="1209" t="str">
        <f t="shared" si="30"/>
        <v>Proyección Capacidad de Pago ley 358/97 Año</v>
      </c>
      <c r="N48" s="1209" t="str">
        <f t="shared" si="30"/>
        <v>Proyección Capacidad de Pago ley 358/97 Año</v>
      </c>
      <c r="O48" s="1209" t="str">
        <f t="shared" si="30"/>
        <v>Proyección Capacidad de Pago ley 358/97 Año</v>
      </c>
      <c r="P48" s="1209" t="str">
        <f t="shared" si="30"/>
        <v>Proyección Capacidad de Pago ley 358/97 Año</v>
      </c>
      <c r="Q48" s="1209" t="str">
        <f t="shared" si="30"/>
        <v>Proyección Capacidad de Pago ley 358/97 Año</v>
      </c>
      <c r="R48" s="1209" t="str">
        <f t="shared" si="30"/>
        <v>Proyección Capacidad de Pago ley 358/97 Año</v>
      </c>
      <c r="S48" s="1209" t="str">
        <f t="shared" si="30"/>
        <v>Proyección Capacidad de Pago ley 358/97 Año</v>
      </c>
      <c r="T48" s="1209" t="str">
        <f t="shared" si="30"/>
        <v>Proyección Capacidad de Pago ley 358/97 Año</v>
      </c>
      <c r="U48" s="1209" t="str">
        <f t="shared" si="30"/>
        <v>Proyección Capacidad de Pago ley 358/97 Año</v>
      </c>
    </row>
    <row r="49" spans="1:67" ht="30.75" customHeight="1" thickBot="1">
      <c r="A49" s="652"/>
      <c r="B49" s="663"/>
      <c r="C49" s="390" t="str">
        <f t="shared" si="29"/>
        <v>VIGENCIA ANTERIOR</v>
      </c>
      <c r="D49" s="664">
        <f t="shared" si="29"/>
        <v>2011</v>
      </c>
      <c r="E49" s="664">
        <f t="shared" si="29"/>
        <v>2011</v>
      </c>
      <c r="F49" s="1235"/>
      <c r="G49" s="1210">
        <f>+G4</f>
        <v>2012</v>
      </c>
      <c r="H49" s="1210">
        <f t="shared" si="30"/>
        <v>2013</v>
      </c>
      <c r="I49" s="1210">
        <f t="shared" si="30"/>
        <v>2014</v>
      </c>
      <c r="J49" s="1210">
        <f t="shared" si="30"/>
        <v>2015</v>
      </c>
      <c r="K49" s="1210">
        <f t="shared" si="30"/>
        <v>2016</v>
      </c>
      <c r="L49" s="1210">
        <f t="shared" si="30"/>
        <v>2017</v>
      </c>
      <c r="M49" s="1210">
        <f t="shared" si="30"/>
        <v>2018</v>
      </c>
      <c r="N49" s="1210">
        <f t="shared" si="30"/>
        <v>2019</v>
      </c>
      <c r="O49" s="1210">
        <f t="shared" si="30"/>
        <v>2020</v>
      </c>
      <c r="P49" s="1210">
        <f t="shared" si="30"/>
        <v>2021</v>
      </c>
      <c r="Q49" s="1210">
        <f t="shared" si="30"/>
        <v>2022</v>
      </c>
      <c r="R49" s="1210">
        <f t="shared" si="30"/>
        <v>2023</v>
      </c>
      <c r="S49" s="1210">
        <f t="shared" si="30"/>
        <v>2024</v>
      </c>
      <c r="T49" s="1210">
        <f t="shared" si="30"/>
        <v>2025</v>
      </c>
      <c r="U49" s="1210">
        <f t="shared" si="30"/>
        <v>2026</v>
      </c>
    </row>
    <row r="50" spans="1:67" s="723" customFormat="1" ht="20.100000000000001" customHeight="1">
      <c r="A50" s="801">
        <v>1</v>
      </c>
      <c r="B50" s="802" t="s">
        <v>676</v>
      </c>
      <c r="C50" s="803">
        <f t="shared" si="29"/>
        <v>2373166</v>
      </c>
      <c r="D50" s="803">
        <f t="shared" si="29"/>
        <v>2491824.2999999998</v>
      </c>
      <c r="E50" s="803">
        <f t="shared" si="29"/>
        <v>2258600.4</v>
      </c>
      <c r="F50" s="1227"/>
      <c r="G50" s="1211">
        <f>+G5</f>
        <v>2603956.3935000002</v>
      </c>
      <c r="H50" s="1211">
        <f t="shared" si="30"/>
        <v>2695094.8672724995</v>
      </c>
      <c r="I50" s="1211">
        <f t="shared" si="30"/>
        <v>2775947.7132906746</v>
      </c>
      <c r="J50" s="1211">
        <f t="shared" si="30"/>
        <v>2859226.1446893946</v>
      </c>
      <c r="K50" s="1211">
        <f t="shared" si="30"/>
        <v>2945002.9290300771</v>
      </c>
      <c r="L50" s="1211">
        <f t="shared" si="30"/>
        <v>3033353.016900979</v>
      </c>
      <c r="M50" s="1211">
        <f t="shared" si="30"/>
        <v>3124353.6074080085</v>
      </c>
      <c r="N50" s="1211">
        <f t="shared" si="30"/>
        <v>3218084.2156302487</v>
      </c>
      <c r="O50" s="1211">
        <f t="shared" si="30"/>
        <v>3314626.7420991561</v>
      </c>
      <c r="P50" s="1211">
        <f t="shared" si="30"/>
        <v>3414065.5443621306</v>
      </c>
      <c r="Q50" s="1211">
        <f t="shared" si="30"/>
        <v>3516487.510692995</v>
      </c>
      <c r="R50" s="1211">
        <f t="shared" si="30"/>
        <v>3621982.1360137844</v>
      </c>
      <c r="S50" s="1211">
        <f t="shared" si="30"/>
        <v>3730641.6000941982</v>
      </c>
      <c r="T50" s="1211">
        <f t="shared" si="30"/>
        <v>3842560.8480970236</v>
      </c>
      <c r="U50" s="1211">
        <f t="shared" si="30"/>
        <v>3957837.6735399347</v>
      </c>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22"/>
      <c r="AY50" s="722"/>
      <c r="AZ50" s="722"/>
      <c r="BA50" s="722"/>
      <c r="BB50" s="722"/>
      <c r="BC50" s="722"/>
      <c r="BD50" s="722"/>
      <c r="BE50" s="722"/>
      <c r="BF50" s="722"/>
      <c r="BG50" s="722"/>
      <c r="BH50" s="722"/>
      <c r="BI50" s="722"/>
      <c r="BJ50" s="722"/>
      <c r="BK50" s="722"/>
      <c r="BL50" s="722"/>
      <c r="BM50" s="722"/>
      <c r="BN50" s="722"/>
      <c r="BO50" s="722"/>
    </row>
    <row r="51" spans="1:67" s="723" customFormat="1" ht="20.100000000000001" customHeight="1">
      <c r="A51" s="804">
        <v>2</v>
      </c>
      <c r="B51" s="734" t="s">
        <v>617</v>
      </c>
      <c r="C51" s="736">
        <f>+C12</f>
        <v>860814.85</v>
      </c>
      <c r="D51" s="736">
        <f>+D12</f>
        <v>903855.59250000003</v>
      </c>
      <c r="E51" s="736">
        <f>+E12</f>
        <v>903855.59250000003</v>
      </c>
      <c r="F51" s="1227"/>
      <c r="G51" s="1198">
        <f>+G12</f>
        <v>944529.09416249988</v>
      </c>
      <c r="H51" s="1198">
        <f>+H12</f>
        <v>977587.61245818739</v>
      </c>
      <c r="I51" s="1198">
        <f>+I12</f>
        <v>1006915.240831933</v>
      </c>
      <c r="J51" s="1198">
        <f>+J12</f>
        <v>1037122.698056891</v>
      </c>
      <c r="K51" s="1198">
        <f t="shared" ref="K51:U51" si="31">+K12</f>
        <v>1068236.3789985976</v>
      </c>
      <c r="L51" s="1198">
        <f t="shared" si="31"/>
        <v>1100283.4703685557</v>
      </c>
      <c r="M51" s="1198">
        <f t="shared" si="31"/>
        <v>1133291.9744796124</v>
      </c>
      <c r="N51" s="1198">
        <f t="shared" si="31"/>
        <v>1167290.7337140008</v>
      </c>
      <c r="O51" s="1198">
        <f t="shared" si="31"/>
        <v>1202309.455725421</v>
      </c>
      <c r="P51" s="1198">
        <f t="shared" si="31"/>
        <v>1238378.7393971835</v>
      </c>
      <c r="Q51" s="1198">
        <f t="shared" si="31"/>
        <v>1275530.1015790992</v>
      </c>
      <c r="R51" s="1198">
        <f t="shared" si="31"/>
        <v>1313796.0046264722</v>
      </c>
      <c r="S51" s="1198">
        <f t="shared" si="31"/>
        <v>1353209.8847652664</v>
      </c>
      <c r="T51" s="1198">
        <f t="shared" si="31"/>
        <v>1393806.1813082243</v>
      </c>
      <c r="U51" s="1198">
        <f t="shared" si="31"/>
        <v>1435620.3667474713</v>
      </c>
      <c r="V51" s="722"/>
      <c r="W51" s="722"/>
      <c r="X51" s="722"/>
      <c r="Y51" s="722"/>
      <c r="Z51" s="722"/>
      <c r="AA51" s="722"/>
      <c r="AB51" s="722"/>
      <c r="AC51" s="722"/>
      <c r="AD51" s="722"/>
      <c r="AE51" s="722"/>
      <c r="AF51" s="722"/>
      <c r="AG51" s="722"/>
      <c r="AH51" s="722"/>
      <c r="AI51" s="722"/>
      <c r="AJ51" s="722"/>
      <c r="AK51" s="722"/>
      <c r="AL51" s="722"/>
      <c r="AM51" s="722"/>
      <c r="AN51" s="722"/>
      <c r="AO51" s="722"/>
      <c r="AP51" s="722"/>
      <c r="AQ51" s="722"/>
      <c r="AR51" s="722"/>
      <c r="AS51" s="722"/>
      <c r="AT51" s="722"/>
      <c r="AU51" s="722"/>
      <c r="AV51" s="722"/>
      <c r="AW51" s="722"/>
      <c r="AX51" s="722"/>
      <c r="AY51" s="722"/>
      <c r="AZ51" s="722"/>
      <c r="BA51" s="722"/>
      <c r="BB51" s="722"/>
      <c r="BC51" s="722"/>
      <c r="BD51" s="722"/>
      <c r="BE51" s="722"/>
      <c r="BF51" s="722"/>
      <c r="BG51" s="722"/>
      <c r="BH51" s="722"/>
      <c r="BI51" s="722"/>
      <c r="BJ51" s="722"/>
      <c r="BK51" s="722"/>
      <c r="BL51" s="722"/>
      <c r="BM51" s="722"/>
      <c r="BN51" s="722"/>
      <c r="BO51" s="722"/>
    </row>
    <row r="52" spans="1:67" s="723" customFormat="1" ht="20.100000000000001" customHeight="1">
      <c r="A52" s="804">
        <v>3</v>
      </c>
      <c r="B52" s="766" t="s">
        <v>701</v>
      </c>
      <c r="C52" s="736">
        <f>+C18</f>
        <v>1512351.15</v>
      </c>
      <c r="D52" s="736">
        <f>+D18</f>
        <v>1587968.7074999998</v>
      </c>
      <c r="E52" s="736">
        <f>+E18</f>
        <v>1354744.8074999999</v>
      </c>
      <c r="F52" s="1227"/>
      <c r="G52" s="1198">
        <f>+G18</f>
        <v>1659427.2993375002</v>
      </c>
      <c r="H52" s="1198">
        <f>+H18</f>
        <v>1717507.2548143121</v>
      </c>
      <c r="I52" s="1198">
        <f>+I18</f>
        <v>1769032.4724587416</v>
      </c>
      <c r="J52" s="1198">
        <f>+J18</f>
        <v>1822103.4466325035</v>
      </c>
      <c r="K52" s="1198">
        <f t="shared" ref="K52:U52" si="32">+K18</f>
        <v>1876766.5500314794</v>
      </c>
      <c r="L52" s="1198">
        <f t="shared" si="32"/>
        <v>1933069.5465324232</v>
      </c>
      <c r="M52" s="1198">
        <f t="shared" si="32"/>
        <v>1991061.6329283961</v>
      </c>
      <c r="N52" s="1198">
        <f t="shared" si="32"/>
        <v>2050793.4819162479</v>
      </c>
      <c r="O52" s="1198">
        <f t="shared" si="32"/>
        <v>2112317.2863737354</v>
      </c>
      <c r="P52" s="1198">
        <f t="shared" si="32"/>
        <v>2175686.804964947</v>
      </c>
      <c r="Q52" s="1198">
        <f t="shared" si="32"/>
        <v>2240957.4091138961</v>
      </c>
      <c r="R52" s="1198">
        <f t="shared" si="32"/>
        <v>2308186.131387312</v>
      </c>
      <c r="S52" s="1198">
        <f t="shared" si="32"/>
        <v>2377431.7153289318</v>
      </c>
      <c r="T52" s="1198">
        <f t="shared" si="32"/>
        <v>2448754.6667887992</v>
      </c>
      <c r="U52" s="1198">
        <f t="shared" si="32"/>
        <v>2522217.3067924632</v>
      </c>
      <c r="V52" s="722"/>
      <c r="W52" s="722"/>
      <c r="X52" s="722"/>
      <c r="Y52" s="722"/>
      <c r="Z52" s="722"/>
      <c r="AA52" s="722"/>
      <c r="AB52" s="722"/>
      <c r="AC52" s="722"/>
      <c r="AD52" s="722"/>
      <c r="AE52" s="722"/>
      <c r="AF52" s="722"/>
      <c r="AG52" s="722"/>
      <c r="AH52" s="722"/>
      <c r="AI52" s="722"/>
      <c r="AJ52" s="722"/>
      <c r="AK52" s="722"/>
      <c r="AL52" s="722"/>
      <c r="AM52" s="722"/>
      <c r="AN52" s="722"/>
      <c r="AO52" s="722"/>
      <c r="AP52" s="722"/>
      <c r="AQ52" s="722"/>
      <c r="AR52" s="722"/>
      <c r="AS52" s="722"/>
      <c r="AT52" s="722"/>
      <c r="AU52" s="722"/>
      <c r="AV52" s="722"/>
      <c r="AW52" s="722"/>
      <c r="AX52" s="722"/>
      <c r="AY52" s="722"/>
      <c r="AZ52" s="722"/>
      <c r="BA52" s="722"/>
      <c r="BB52" s="722"/>
      <c r="BC52" s="722"/>
      <c r="BD52" s="722"/>
      <c r="BE52" s="722"/>
      <c r="BF52" s="722"/>
      <c r="BG52" s="722"/>
      <c r="BH52" s="722"/>
      <c r="BI52" s="722"/>
      <c r="BJ52" s="722"/>
      <c r="BK52" s="722"/>
      <c r="BL52" s="722"/>
      <c r="BM52" s="722"/>
      <c r="BN52" s="722"/>
      <c r="BO52" s="722"/>
    </row>
    <row r="53" spans="1:67" s="723" customFormat="1" ht="20.100000000000001" customHeight="1">
      <c r="A53" s="804">
        <v>4</v>
      </c>
      <c r="B53" s="766" t="s">
        <v>753</v>
      </c>
      <c r="C53" s="736">
        <f>+C21</f>
        <v>0</v>
      </c>
      <c r="D53" s="736">
        <f>+D37</f>
        <v>23331</v>
      </c>
      <c r="E53" s="736">
        <f>+E37</f>
        <v>23331</v>
      </c>
      <c r="F53" s="1239"/>
      <c r="G53" s="1198">
        <f>+G37</f>
        <v>663331</v>
      </c>
      <c r="H53" s="1198">
        <f t="shared" ref="H53:U54" si="33">+H37</f>
        <v>503331</v>
      </c>
      <c r="I53" s="1198">
        <f t="shared" si="33"/>
        <v>343331</v>
      </c>
      <c r="J53" s="1198">
        <f t="shared" si="33"/>
        <v>183331</v>
      </c>
      <c r="K53" s="1198">
        <f t="shared" si="33"/>
        <v>23331</v>
      </c>
      <c r="L53" s="1198">
        <f t="shared" si="33"/>
        <v>23331</v>
      </c>
      <c r="M53" s="1198">
        <f t="shared" si="33"/>
        <v>23331</v>
      </c>
      <c r="N53" s="1198">
        <f t="shared" si="33"/>
        <v>23331</v>
      </c>
      <c r="O53" s="1198">
        <f t="shared" si="33"/>
        <v>23331</v>
      </c>
      <c r="P53" s="1198">
        <f t="shared" si="33"/>
        <v>23331</v>
      </c>
      <c r="Q53" s="1198">
        <f t="shared" si="33"/>
        <v>23331</v>
      </c>
      <c r="R53" s="1198">
        <f t="shared" si="33"/>
        <v>23331</v>
      </c>
      <c r="S53" s="1198">
        <f t="shared" si="33"/>
        <v>23331</v>
      </c>
      <c r="T53" s="1198">
        <f t="shared" si="33"/>
        <v>23331</v>
      </c>
      <c r="U53" s="1198">
        <f t="shared" si="33"/>
        <v>23331</v>
      </c>
      <c r="V53" s="722"/>
      <c r="W53" s="722"/>
      <c r="X53" s="722"/>
      <c r="Y53" s="722"/>
      <c r="Z53" s="722"/>
      <c r="AA53" s="722"/>
      <c r="AB53" s="722"/>
      <c r="AC53" s="722"/>
      <c r="AD53" s="722"/>
      <c r="AE53" s="722"/>
      <c r="AF53" s="722"/>
      <c r="AG53" s="722"/>
      <c r="AH53" s="722"/>
      <c r="AI53" s="722"/>
      <c r="AJ53" s="722"/>
      <c r="AK53" s="722"/>
      <c r="AL53" s="722"/>
      <c r="AM53" s="722"/>
      <c r="AN53" s="722"/>
      <c r="AO53" s="722"/>
      <c r="AP53" s="722"/>
      <c r="AQ53" s="722"/>
      <c r="AR53" s="722"/>
      <c r="AS53" s="722"/>
      <c r="AT53" s="722"/>
      <c r="AU53" s="722"/>
      <c r="AV53" s="722"/>
      <c r="AW53" s="722"/>
      <c r="AX53" s="722"/>
      <c r="AY53" s="722"/>
      <c r="AZ53" s="722"/>
      <c r="BA53" s="722"/>
      <c r="BB53" s="722"/>
      <c r="BC53" s="722"/>
      <c r="BD53" s="722"/>
      <c r="BE53" s="722"/>
      <c r="BF53" s="722"/>
      <c r="BG53" s="722"/>
      <c r="BH53" s="722"/>
      <c r="BI53" s="722"/>
      <c r="BJ53" s="722"/>
      <c r="BK53" s="722"/>
      <c r="BL53" s="722"/>
      <c r="BM53" s="722"/>
      <c r="BN53" s="722"/>
      <c r="BO53" s="722"/>
    </row>
    <row r="54" spans="1:67" s="723" customFormat="1" ht="20.100000000000001" customHeight="1" thickBot="1">
      <c r="A54" s="805">
        <v>5</v>
      </c>
      <c r="B54" s="805" t="s">
        <v>754</v>
      </c>
      <c r="C54" s="806">
        <f>+C29</f>
        <v>0</v>
      </c>
      <c r="D54" s="806">
        <f>+D38</f>
        <v>0</v>
      </c>
      <c r="E54" s="806">
        <f>+E38</f>
        <v>0</v>
      </c>
      <c r="F54" s="1239"/>
      <c r="G54" s="1212">
        <f>+G38</f>
        <v>69070</v>
      </c>
      <c r="H54" s="1212">
        <f t="shared" si="33"/>
        <v>54810</v>
      </c>
      <c r="I54" s="1212">
        <f t="shared" si="33"/>
        <v>39690</v>
      </c>
      <c r="J54" s="1212">
        <f t="shared" si="33"/>
        <v>24570</v>
      </c>
      <c r="K54" s="1212">
        <f t="shared" si="33"/>
        <v>9450</v>
      </c>
      <c r="L54" s="1212">
        <f t="shared" si="33"/>
        <v>0</v>
      </c>
      <c r="M54" s="1212">
        <f t="shared" si="33"/>
        <v>0</v>
      </c>
      <c r="N54" s="1212">
        <f t="shared" si="33"/>
        <v>0</v>
      </c>
      <c r="O54" s="1212">
        <f t="shared" si="33"/>
        <v>0</v>
      </c>
      <c r="P54" s="1212">
        <f t="shared" si="33"/>
        <v>0</v>
      </c>
      <c r="Q54" s="1212">
        <f t="shared" si="33"/>
        <v>0</v>
      </c>
      <c r="R54" s="1212">
        <f t="shared" si="33"/>
        <v>0</v>
      </c>
      <c r="S54" s="1212">
        <f t="shared" si="33"/>
        <v>0</v>
      </c>
      <c r="T54" s="1212">
        <f t="shared" si="33"/>
        <v>0</v>
      </c>
      <c r="U54" s="1212">
        <f t="shared" si="33"/>
        <v>0</v>
      </c>
      <c r="V54" s="722"/>
      <c r="W54" s="722"/>
      <c r="X54" s="722"/>
      <c r="Y54" s="722"/>
      <c r="Z54" s="722"/>
      <c r="AA54" s="722"/>
      <c r="AB54" s="722"/>
      <c r="AC54" s="722"/>
      <c r="AD54" s="722"/>
      <c r="AE54" s="722"/>
      <c r="AF54" s="722"/>
      <c r="AG54" s="722"/>
      <c r="AH54" s="722"/>
      <c r="AI54" s="722"/>
      <c r="AJ54" s="722"/>
      <c r="AK54" s="722"/>
      <c r="AL54" s="722"/>
      <c r="AM54" s="722"/>
      <c r="AN54" s="722"/>
      <c r="AO54" s="722"/>
      <c r="AP54" s="722"/>
      <c r="AQ54" s="722"/>
      <c r="AR54" s="722"/>
      <c r="AS54" s="722"/>
      <c r="AT54" s="722"/>
      <c r="AU54" s="722"/>
      <c r="AV54" s="722"/>
      <c r="AW54" s="722"/>
      <c r="AX54" s="722"/>
      <c r="AY54" s="722"/>
      <c r="AZ54" s="722"/>
      <c r="BA54" s="722"/>
      <c r="BB54" s="722"/>
      <c r="BC54" s="722"/>
      <c r="BD54" s="722"/>
      <c r="BE54" s="722"/>
      <c r="BF54" s="722"/>
      <c r="BG54" s="722"/>
      <c r="BH54" s="722"/>
      <c r="BI54" s="722"/>
      <c r="BJ54" s="722"/>
      <c r="BK54" s="722"/>
      <c r="BL54" s="722"/>
      <c r="BM54" s="722"/>
      <c r="BN54" s="722"/>
      <c r="BO54" s="722"/>
    </row>
    <row r="55" spans="1:67" ht="16.5" thickBot="1">
      <c r="A55" s="689"/>
      <c r="B55" s="690"/>
      <c r="C55" s="691"/>
      <c r="D55" s="692"/>
      <c r="E55" s="692"/>
      <c r="G55" s="1194"/>
      <c r="H55" s="1194"/>
      <c r="I55" s="1194"/>
      <c r="J55" s="1194"/>
      <c r="K55" s="1194"/>
      <c r="L55" s="1194"/>
      <c r="M55" s="1194"/>
      <c r="N55" s="1194"/>
      <c r="O55" s="1194"/>
      <c r="P55" s="1194"/>
      <c r="Q55" s="1194"/>
      <c r="R55" s="1194"/>
      <c r="S55" s="1194"/>
      <c r="T55" s="1194"/>
      <c r="U55" s="1194"/>
    </row>
    <row r="56" spans="1:67" ht="16.5" thickBot="1">
      <c r="A56" s="648" t="s">
        <v>742</v>
      </c>
      <c r="B56" s="665" t="s">
        <v>755</v>
      </c>
      <c r="C56" s="666"/>
      <c r="D56" s="659">
        <f>+D39</f>
        <v>0</v>
      </c>
      <c r="E56" s="659">
        <f>+E39</f>
        <v>0</v>
      </c>
      <c r="G56" s="1203">
        <f>+G39</f>
        <v>4.1622793615348555E-2</v>
      </c>
      <c r="H56" s="1203">
        <f t="shared" ref="H56:U57" si="34">+H39</f>
        <v>3.1912528955183816E-2</v>
      </c>
      <c r="I56" s="1203">
        <f t="shared" si="34"/>
        <v>2.2435992904548379E-2</v>
      </c>
      <c r="J56" s="1203">
        <f t="shared" si="34"/>
        <v>1.3484415522844613E-2</v>
      </c>
      <c r="K56" s="1203">
        <f t="shared" si="34"/>
        <v>5.035255983138389E-3</v>
      </c>
      <c r="L56" s="1203">
        <f t="shared" si="34"/>
        <v>0</v>
      </c>
      <c r="M56" s="1203">
        <f t="shared" si="34"/>
        <v>0</v>
      </c>
      <c r="N56" s="1203">
        <f t="shared" si="34"/>
        <v>0</v>
      </c>
      <c r="O56" s="1203">
        <f t="shared" si="34"/>
        <v>0</v>
      </c>
      <c r="P56" s="1203">
        <f t="shared" si="34"/>
        <v>0</v>
      </c>
      <c r="Q56" s="1203">
        <f t="shared" si="34"/>
        <v>0</v>
      </c>
      <c r="R56" s="1203">
        <f t="shared" si="34"/>
        <v>0</v>
      </c>
      <c r="S56" s="1203">
        <f t="shared" si="34"/>
        <v>0</v>
      </c>
      <c r="T56" s="1203">
        <f t="shared" si="34"/>
        <v>0</v>
      </c>
      <c r="U56" s="1203">
        <f t="shared" si="34"/>
        <v>0</v>
      </c>
    </row>
    <row r="57" spans="1:67" ht="16.5" thickBot="1">
      <c r="A57" s="649" t="s">
        <v>744</v>
      </c>
      <c r="B57" s="667" t="s">
        <v>756</v>
      </c>
      <c r="C57" s="666"/>
      <c r="D57" s="660">
        <f>+D40</f>
        <v>9.3630196960516037E-3</v>
      </c>
      <c r="E57" s="660">
        <f>+E40</f>
        <v>1.0329848520349152E-2</v>
      </c>
      <c r="G57" s="1204">
        <f>+G40</f>
        <v>0.25473967292839766</v>
      </c>
      <c r="H57" s="1204">
        <f t="shared" si="34"/>
        <v>0.18675817542162551</v>
      </c>
      <c r="I57" s="1204">
        <f t="shared" si="34"/>
        <v>0.12368064367934627</v>
      </c>
      <c r="J57" s="1204">
        <f t="shared" si="34"/>
        <v>6.4119097518925264E-2</v>
      </c>
      <c r="K57" s="1204">
        <f t="shared" si="34"/>
        <v>7.9222332073143158E-3</v>
      </c>
      <c r="L57" s="1204">
        <f t="shared" si="34"/>
        <v>7.6914885507905987E-3</v>
      </c>
      <c r="M57" s="1204">
        <f t="shared" si="34"/>
        <v>7.4674646124180564E-3</v>
      </c>
      <c r="N57" s="1204">
        <f t="shared" si="34"/>
        <v>7.2499656431243269E-3</v>
      </c>
      <c r="O57" s="1204">
        <f t="shared" si="34"/>
        <v>7.0388015952663361E-3</v>
      </c>
      <c r="P57" s="1204">
        <f t="shared" si="34"/>
        <v>6.8337879565692596E-3</v>
      </c>
      <c r="Q57" s="1204">
        <f t="shared" si="34"/>
        <v>6.6347455889021927E-3</v>
      </c>
      <c r="R57" s="1204">
        <f t="shared" si="34"/>
        <v>6.4415005717497024E-3</v>
      </c>
      <c r="S57" s="1204">
        <f t="shared" si="34"/>
        <v>6.2538840502424286E-3</v>
      </c>
      <c r="T57" s="1204">
        <f t="shared" si="34"/>
        <v>6.0717320876140096E-3</v>
      </c>
      <c r="U57" s="1204">
        <f t="shared" si="34"/>
        <v>5.8948855219553486E-3</v>
      </c>
    </row>
    <row r="58" spans="1:67" ht="16.5" hidden="1" thickBot="1">
      <c r="A58" s="650" t="s">
        <v>746</v>
      </c>
      <c r="B58" s="668" t="s">
        <v>747</v>
      </c>
      <c r="C58" s="669"/>
      <c r="D58" s="670">
        <f>IF(D56&lt;0,0,IF(D57&gt;0.8,0,IF(D56&gt;0.4,0,IF(D56&lt;=0.4,-1))))</f>
        <v>-1</v>
      </c>
      <c r="E58" s="670">
        <f>IF(E56&lt;0,0,IF(E57&gt;0.8,0,IF(E56&gt;0.4,0,IF(E56&lt;=0.4,-1))))</f>
        <v>-1</v>
      </c>
      <c r="G58" s="1213" t="str">
        <f>IF(G56&lt;0,"AHORRO NEGATIVO",IF(G57&gt;0.8,"ROJO",IF(G56&gt;0.4,"ROJO",IF(G56&lt;=0.4,"VERDE"))))</f>
        <v>VERDE</v>
      </c>
      <c r="H58" s="1213" t="str">
        <f>IF(H56&lt;0,"AHORRO NEGATIVO",IF(H57&gt;0.8,"ROJO",IF(H56&gt;0.4,"ROJO",IF(H56&lt;=0.4,"VERDE"))))</f>
        <v>VERDE</v>
      </c>
      <c r="I58" s="1213" t="str">
        <f>IF(I56&lt;0,"AHORRO NEGATIVO",IF(I57&gt;0.8,"ROJO",IF(I56&gt;0.4,"ROJO",IF(I56&lt;=0.4,"VERDE"))))</f>
        <v>VERDE</v>
      </c>
      <c r="J58" s="1213" t="str">
        <f>IF(J56&lt;0,"AHORRO NEGATIVO",IF(J57&gt;0.8,"ROJO",IF(J56&gt;0.4,"ROJO",IF(J56&lt;=0.4,"VERDE"))))</f>
        <v>VERDE</v>
      </c>
      <c r="K58" s="1213" t="str">
        <f t="shared" ref="K58:U58" si="35">IF(K56&lt;0,"AHORRO NEGATIVO",IF(K57&gt;0.8,"ROJO",IF(K56&gt;0.4,"ROJO",IF(K56&lt;=0.4,"VERDE"))))</f>
        <v>VERDE</v>
      </c>
      <c r="L58" s="1213" t="str">
        <f t="shared" si="35"/>
        <v>VERDE</v>
      </c>
      <c r="M58" s="1213" t="str">
        <f t="shared" si="35"/>
        <v>VERDE</v>
      </c>
      <c r="N58" s="1213" t="str">
        <f t="shared" si="35"/>
        <v>VERDE</v>
      </c>
      <c r="O58" s="1213" t="str">
        <f t="shared" si="35"/>
        <v>VERDE</v>
      </c>
      <c r="P58" s="1213" t="str">
        <f t="shared" si="35"/>
        <v>VERDE</v>
      </c>
      <c r="Q58" s="1213" t="str">
        <f t="shared" si="35"/>
        <v>VERDE</v>
      </c>
      <c r="R58" s="1213" t="str">
        <f t="shared" si="35"/>
        <v>VERDE</v>
      </c>
      <c r="S58" s="1213" t="str">
        <f t="shared" si="35"/>
        <v>VERDE</v>
      </c>
      <c r="T58" s="1213" t="str">
        <f t="shared" si="35"/>
        <v>VERDE</v>
      </c>
      <c r="U58" s="1213" t="str">
        <f t="shared" si="35"/>
        <v>VERDE</v>
      </c>
    </row>
    <row r="59" spans="1:67" s="723" customFormat="1" ht="37.5" customHeight="1" thickBot="1">
      <c r="A59" s="722"/>
      <c r="B59" s="797" t="s">
        <v>747</v>
      </c>
      <c r="C59" s="1244"/>
      <c r="D59" s="1245" t="str">
        <f>IF(D56&lt;0,"AHORRO NEGATIVO",IF(D57&gt;0.8,"ROJO",IF(D56&gt;0.4,"ROJO",IF(D56&lt;=0.4,"VERDE"))))</f>
        <v>VERDE</v>
      </c>
      <c r="E59" s="1245" t="str">
        <f>IF(E56&lt;0,"AHORRO NEGATIVO",IF(E57&gt;0.8,"ROJO",IF(E56&gt;0.4,"ROJO",IF(E56&lt;=0.4,"VERDE"))))</f>
        <v>VERDE</v>
      </c>
      <c r="F59" s="1239"/>
      <c r="G59" s="1245" t="str">
        <f t="shared" ref="G59:U59" si="36">IF(G56&lt;0,"AHORRO NEGATIVO",IF(G57&gt;0.8,"ROJO",IF(G56&gt;0.4,"ROJO",IF(G56&lt;=0.4,"VERDE"))))</f>
        <v>VERDE</v>
      </c>
      <c r="H59" s="1245" t="str">
        <f t="shared" si="36"/>
        <v>VERDE</v>
      </c>
      <c r="I59" s="1245" t="str">
        <f t="shared" si="36"/>
        <v>VERDE</v>
      </c>
      <c r="J59" s="1245" t="str">
        <f t="shared" si="36"/>
        <v>VERDE</v>
      </c>
      <c r="K59" s="1245" t="str">
        <f t="shared" si="36"/>
        <v>VERDE</v>
      </c>
      <c r="L59" s="1245" t="str">
        <f t="shared" si="36"/>
        <v>VERDE</v>
      </c>
      <c r="M59" s="1245" t="str">
        <f t="shared" si="36"/>
        <v>VERDE</v>
      </c>
      <c r="N59" s="1245" t="str">
        <f t="shared" si="36"/>
        <v>VERDE</v>
      </c>
      <c r="O59" s="1245" t="str">
        <f t="shared" si="36"/>
        <v>VERDE</v>
      </c>
      <c r="P59" s="1245" t="str">
        <f t="shared" si="36"/>
        <v>VERDE</v>
      </c>
      <c r="Q59" s="1245" t="str">
        <f t="shared" si="36"/>
        <v>VERDE</v>
      </c>
      <c r="R59" s="1245" t="str">
        <f t="shared" si="36"/>
        <v>VERDE</v>
      </c>
      <c r="S59" s="1245" t="str">
        <f t="shared" si="36"/>
        <v>VERDE</v>
      </c>
      <c r="T59" s="1245" t="str">
        <f t="shared" si="36"/>
        <v>VERDE</v>
      </c>
      <c r="U59" s="1245" t="str">
        <f t="shared" si="36"/>
        <v>VERDE</v>
      </c>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row>
    <row r="60" spans="1:67">
      <c r="A60" s="693" t="s">
        <v>757</v>
      </c>
      <c r="B60" s="676"/>
      <c r="C60" s="677"/>
      <c r="D60" s="676"/>
      <c r="E60" s="676"/>
    </row>
    <row r="61" spans="1:67" ht="6" customHeight="1">
      <c r="A61" s="676"/>
      <c r="B61" s="676"/>
      <c r="C61" s="676"/>
      <c r="D61" s="676"/>
      <c r="E61" s="676"/>
    </row>
    <row r="62" spans="1:67" ht="6" customHeight="1">
      <c r="A62" s="676"/>
      <c r="B62" s="676"/>
      <c r="C62" s="676"/>
      <c r="D62" s="676"/>
      <c r="E62" s="676"/>
    </row>
    <row r="63" spans="1:67" ht="6" customHeight="1" thickBot="1">
      <c r="A63" s="676"/>
      <c r="B63" s="676"/>
      <c r="C63" s="676"/>
      <c r="D63" s="676"/>
      <c r="E63" s="676"/>
    </row>
    <row r="64" spans="1:67" ht="15.75" thickBot="1">
      <c r="A64" s="653" t="s">
        <v>758</v>
      </c>
      <c r="B64" s="1158" t="s">
        <v>1375</v>
      </c>
      <c r="C64" s="671"/>
      <c r="D64" s="672"/>
      <c r="E64" s="1333"/>
      <c r="F64" s="1238"/>
      <c r="G64" s="677" t="s">
        <v>759</v>
      </c>
    </row>
    <row r="65" spans="1:5">
      <c r="A65" s="676"/>
      <c r="B65" s="676"/>
      <c r="C65" s="676"/>
      <c r="D65" s="676"/>
      <c r="E65" s="676"/>
    </row>
    <row r="66" spans="1:5">
      <c r="A66" s="676"/>
      <c r="B66" s="676"/>
      <c r="C66" s="676"/>
      <c r="D66" s="676"/>
      <c r="E66" s="676"/>
    </row>
    <row r="67" spans="1:5">
      <c r="A67" s="676"/>
      <c r="B67" s="676"/>
      <c r="C67" s="676"/>
      <c r="D67" s="676"/>
      <c r="E67" s="676"/>
    </row>
    <row r="68" spans="1:5">
      <c r="A68" s="676"/>
      <c r="B68" s="676"/>
      <c r="C68" s="676"/>
      <c r="D68" s="676"/>
      <c r="E68" s="676"/>
    </row>
    <row r="69" spans="1:5">
      <c r="A69" s="676"/>
      <c r="B69" s="676"/>
      <c r="C69" s="676"/>
      <c r="D69" s="676"/>
      <c r="E69" s="676"/>
    </row>
    <row r="70" spans="1:5">
      <c r="A70" s="676"/>
      <c r="B70" s="676"/>
      <c r="C70" s="676"/>
      <c r="D70" s="676"/>
      <c r="E70" s="676"/>
    </row>
    <row r="71" spans="1:5">
      <c r="A71" s="676"/>
      <c r="B71" s="676"/>
      <c r="C71" s="676"/>
      <c r="D71" s="676"/>
      <c r="E71" s="676"/>
    </row>
    <row r="72" spans="1:5">
      <c r="A72" s="676"/>
      <c r="B72" s="676"/>
      <c r="C72" s="676"/>
      <c r="D72" s="676"/>
      <c r="E72" s="676"/>
    </row>
    <row r="73" spans="1:5">
      <c r="A73" s="676"/>
      <c r="B73" s="676"/>
      <c r="C73" s="676"/>
      <c r="D73" s="676"/>
      <c r="E73" s="676"/>
    </row>
    <row r="74" spans="1:5">
      <c r="A74" s="676"/>
      <c r="B74" s="676"/>
      <c r="C74" s="676"/>
      <c r="D74" s="676"/>
      <c r="E74" s="676"/>
    </row>
    <row r="75" spans="1:5">
      <c r="A75" s="676"/>
      <c r="B75" s="676"/>
      <c r="C75" s="676"/>
      <c r="D75" s="676"/>
      <c r="E75" s="676"/>
    </row>
    <row r="76" spans="1:5">
      <c r="A76" s="676"/>
      <c r="B76" s="676"/>
      <c r="C76" s="676"/>
      <c r="D76" s="676"/>
      <c r="E76" s="676"/>
    </row>
    <row r="77" spans="1:5">
      <c r="A77" s="676"/>
      <c r="B77" s="676"/>
      <c r="C77" s="676"/>
      <c r="D77" s="676"/>
      <c r="E77" s="676"/>
    </row>
    <row r="78" spans="1:5">
      <c r="A78" s="676"/>
      <c r="B78" s="676"/>
      <c r="C78" s="676"/>
      <c r="D78" s="676"/>
      <c r="E78" s="676"/>
    </row>
    <row r="79" spans="1:5">
      <c r="A79" s="676"/>
      <c r="B79" s="676"/>
      <c r="C79" s="676"/>
      <c r="D79" s="676"/>
      <c r="E79" s="676"/>
    </row>
    <row r="80" spans="1:5">
      <c r="A80" s="676"/>
      <c r="B80" s="676"/>
      <c r="C80" s="676"/>
      <c r="D80" s="676"/>
      <c r="E80" s="676"/>
    </row>
    <row r="81" spans="6:6" s="676" customFormat="1">
      <c r="F81" s="1216"/>
    </row>
    <row r="82" spans="6:6" s="676" customFormat="1">
      <c r="F82" s="1216"/>
    </row>
    <row r="83" spans="6:6" s="676" customFormat="1">
      <c r="F83" s="1216"/>
    </row>
    <row r="84" spans="6:6" s="676" customFormat="1">
      <c r="F84" s="1216"/>
    </row>
    <row r="85" spans="6:6" s="676" customFormat="1">
      <c r="F85" s="1216"/>
    </row>
    <row r="86" spans="6:6" s="676" customFormat="1">
      <c r="F86" s="1216"/>
    </row>
    <row r="87" spans="6:6" s="676" customFormat="1">
      <c r="F87" s="1216"/>
    </row>
    <row r="88" spans="6:6" s="676" customFormat="1">
      <c r="F88" s="1216"/>
    </row>
    <row r="89" spans="6:6" s="676" customFormat="1">
      <c r="F89" s="1216"/>
    </row>
    <row r="90" spans="6:6" s="676" customFormat="1">
      <c r="F90" s="1216"/>
    </row>
    <row r="91" spans="6:6" s="676" customFormat="1">
      <c r="F91" s="1216"/>
    </row>
    <row r="92" spans="6:6" s="676" customFormat="1">
      <c r="F92" s="1216"/>
    </row>
    <row r="93" spans="6:6" s="676" customFormat="1">
      <c r="F93" s="1216"/>
    </row>
    <row r="94" spans="6:6" s="676" customFormat="1">
      <c r="F94" s="1216"/>
    </row>
    <row r="95" spans="6:6" s="676" customFormat="1">
      <c r="F95" s="1216"/>
    </row>
    <row r="96" spans="6:6" s="676" customFormat="1">
      <c r="F96" s="1216"/>
    </row>
    <row r="97" spans="6:6" s="676" customFormat="1">
      <c r="F97" s="1216"/>
    </row>
    <row r="98" spans="6:6" s="676" customFormat="1">
      <c r="F98" s="1216"/>
    </row>
    <row r="99" spans="6:6" s="676" customFormat="1">
      <c r="F99" s="1216"/>
    </row>
    <row r="100" spans="6:6" s="676" customFormat="1">
      <c r="F100" s="1216"/>
    </row>
    <row r="101" spans="6:6" s="676" customFormat="1">
      <c r="F101" s="1216"/>
    </row>
    <row r="102" spans="6:6" s="676" customFormat="1">
      <c r="F102" s="1216"/>
    </row>
    <row r="103" spans="6:6" s="676" customFormat="1">
      <c r="F103" s="1216"/>
    </row>
    <row r="104" spans="6:6" s="676" customFormat="1">
      <c r="F104" s="1216"/>
    </row>
    <row r="105" spans="6:6" s="676" customFormat="1">
      <c r="F105" s="1216"/>
    </row>
    <row r="106" spans="6:6" s="676" customFormat="1">
      <c r="F106" s="1216"/>
    </row>
    <row r="107" spans="6:6" s="676" customFormat="1">
      <c r="F107" s="1216"/>
    </row>
    <row r="108" spans="6:6" s="676" customFormat="1">
      <c r="F108" s="1216"/>
    </row>
    <row r="109" spans="6:6" s="676" customFormat="1">
      <c r="F109" s="1216"/>
    </row>
    <row r="110" spans="6:6" s="676" customFormat="1">
      <c r="F110" s="1216"/>
    </row>
    <row r="111" spans="6:6" s="676" customFormat="1">
      <c r="F111" s="1216"/>
    </row>
    <row r="112" spans="6:6" s="676" customFormat="1">
      <c r="F112" s="1216"/>
    </row>
    <row r="113" spans="6:6" s="676" customFormat="1">
      <c r="F113" s="1216"/>
    </row>
    <row r="114" spans="6:6" s="676" customFormat="1">
      <c r="F114" s="1216"/>
    </row>
    <row r="115" spans="6:6" s="676" customFormat="1">
      <c r="F115" s="1216"/>
    </row>
    <row r="116" spans="6:6" s="676" customFormat="1">
      <c r="F116" s="1216"/>
    </row>
    <row r="117" spans="6:6" s="676" customFormat="1">
      <c r="F117" s="1216"/>
    </row>
    <row r="118" spans="6:6" s="676" customFormat="1">
      <c r="F118" s="1216"/>
    </row>
  </sheetData>
  <sheetProtection password="95B1" sheet="1" objects="1" scenarios="1"/>
  <phoneticPr fontId="34" type="noConversion"/>
  <printOptions horizontalCentered="1" verticalCentered="1"/>
  <pageMargins left="0" right="0.19685039370078741" top="0.39370078740157483" bottom="0.39370078740157483" header="0.19685039370078741" footer="0.19685039370078741"/>
  <pageSetup scale="58" orientation="portrait" horizontalDpi="4294967293" r:id="rId1"/>
  <headerFooter alignWithMargins="0">
    <oddHeader>&amp;C&amp;"Arial,Negrita"&amp;12&amp;F</oddHeader>
    <oddFooter>&amp;L&amp;"Arial,Negrita"&amp;F &amp;A&amp;R&amp;"Arial,Negrita"Página &amp;P de &amp;N</oddFooter>
  </headerFooter>
  <legacyDrawing r:id="rId2"/>
</worksheet>
</file>

<file path=xl/worksheets/sheet6.xml><?xml version="1.0" encoding="utf-8"?>
<worksheet xmlns="http://schemas.openxmlformats.org/spreadsheetml/2006/main" xmlns:r="http://schemas.openxmlformats.org/officeDocument/2006/relationships">
  <sheetPr codeName="Hoja6"/>
  <dimension ref="A1:Q106"/>
  <sheetViews>
    <sheetView topLeftCell="A32" workbookViewId="0">
      <selection activeCell="A80" sqref="A80"/>
    </sheetView>
  </sheetViews>
  <sheetFormatPr baseColWidth="10" defaultRowHeight="12.75"/>
  <cols>
    <col min="1" max="1" width="6.42578125" style="438" customWidth="1"/>
    <col min="2" max="2" width="64.42578125" style="438" customWidth="1"/>
    <col min="3" max="4" width="12.5703125" style="438" customWidth="1"/>
    <col min="5" max="5" width="15.42578125" style="438" customWidth="1"/>
    <col min="6" max="6" width="13" style="438" customWidth="1"/>
    <col min="7" max="7" width="12.85546875" style="438" customWidth="1"/>
    <col min="8" max="8" width="11.42578125" style="438"/>
    <col min="9" max="9" width="12.42578125" style="438" customWidth="1"/>
    <col min="10" max="16384" width="11.42578125" style="438"/>
  </cols>
  <sheetData>
    <row r="1" spans="1:17" ht="15" hidden="1" customHeight="1">
      <c r="B1" s="696" t="s">
        <v>498</v>
      </c>
      <c r="C1" s="697">
        <f>YEAR(Ingresos!I21)</f>
        <v>2009</v>
      </c>
      <c r="D1" s="697">
        <f>C1+1</f>
        <v>2010</v>
      </c>
      <c r="E1" s="697">
        <f t="shared" ref="E1:Q1" si="0">D1+1</f>
        <v>2011</v>
      </c>
      <c r="F1" s="697">
        <f t="shared" si="0"/>
        <v>2012</v>
      </c>
      <c r="G1" s="697">
        <f t="shared" si="0"/>
        <v>2013</v>
      </c>
      <c r="H1" s="697">
        <f t="shared" si="0"/>
        <v>2014</v>
      </c>
      <c r="I1" s="697">
        <f t="shared" si="0"/>
        <v>2015</v>
      </c>
      <c r="J1" s="697">
        <f t="shared" si="0"/>
        <v>2016</v>
      </c>
      <c r="K1" s="697">
        <f t="shared" si="0"/>
        <v>2017</v>
      </c>
      <c r="L1" s="697">
        <f t="shared" si="0"/>
        <v>2018</v>
      </c>
      <c r="M1" s="697">
        <f t="shared" si="0"/>
        <v>2019</v>
      </c>
      <c r="N1" s="697">
        <f t="shared" si="0"/>
        <v>2020</v>
      </c>
      <c r="O1" s="697">
        <f t="shared" si="0"/>
        <v>2021</v>
      </c>
      <c r="P1" s="697">
        <f t="shared" si="0"/>
        <v>2022</v>
      </c>
      <c r="Q1" s="697">
        <f t="shared" si="0"/>
        <v>2023</v>
      </c>
    </row>
    <row r="2" spans="1:17" ht="15" hidden="1" customHeight="1" thickBot="1">
      <c r="A2" s="738" t="s">
        <v>698</v>
      </c>
      <c r="B2" s="731" t="s">
        <v>699</v>
      </c>
      <c r="C2" s="1334">
        <f>C3+C14</f>
        <v>0</v>
      </c>
      <c r="D2" s="1334">
        <f t="shared" ref="D2:Q2" si="1">D3+D14</f>
        <v>0</v>
      </c>
      <c r="E2" s="1334">
        <f t="shared" si="1"/>
        <v>0</v>
      </c>
      <c r="F2" s="1334">
        <f t="shared" si="1"/>
        <v>0</v>
      </c>
      <c r="G2" s="1334">
        <f t="shared" si="1"/>
        <v>0</v>
      </c>
      <c r="H2" s="1334">
        <f t="shared" si="1"/>
        <v>0</v>
      </c>
      <c r="I2" s="1334">
        <f t="shared" si="1"/>
        <v>0</v>
      </c>
      <c r="J2" s="1334">
        <f t="shared" si="1"/>
        <v>0</v>
      </c>
      <c r="K2" s="1334">
        <f t="shared" si="1"/>
        <v>0</v>
      </c>
      <c r="L2" s="1334">
        <f t="shared" si="1"/>
        <v>0</v>
      </c>
      <c r="M2" s="1334">
        <f t="shared" si="1"/>
        <v>0</v>
      </c>
      <c r="N2" s="1334">
        <f t="shared" si="1"/>
        <v>0</v>
      </c>
      <c r="O2" s="1334">
        <f t="shared" si="1"/>
        <v>0</v>
      </c>
      <c r="P2" s="1334">
        <f t="shared" si="1"/>
        <v>0</v>
      </c>
      <c r="Q2" s="1334">
        <f t="shared" si="1"/>
        <v>0</v>
      </c>
    </row>
    <row r="3" spans="1:17" s="481" customFormat="1" ht="15" hidden="1" customHeight="1">
      <c r="A3" s="700" t="s">
        <v>760</v>
      </c>
      <c r="B3" s="701" t="s">
        <v>761</v>
      </c>
      <c r="C3" s="703">
        <f>+SUM(C4:C13)</f>
        <v>0</v>
      </c>
      <c r="D3" s="703">
        <f t="shared" ref="D3:Q3" si="2">+SUM(D4:D13)</f>
        <v>0</v>
      </c>
      <c r="E3" s="703">
        <f t="shared" si="2"/>
        <v>0</v>
      </c>
      <c r="F3" s="703">
        <f t="shared" si="2"/>
        <v>0</v>
      </c>
      <c r="G3" s="703">
        <f t="shared" si="2"/>
        <v>0</v>
      </c>
      <c r="H3" s="703">
        <f t="shared" si="2"/>
        <v>0</v>
      </c>
      <c r="I3" s="703">
        <f t="shared" si="2"/>
        <v>0</v>
      </c>
      <c r="J3" s="703">
        <f t="shared" si="2"/>
        <v>0</v>
      </c>
      <c r="K3" s="703">
        <f t="shared" si="2"/>
        <v>0</v>
      </c>
      <c r="L3" s="703">
        <f t="shared" si="2"/>
        <v>0</v>
      </c>
      <c r="M3" s="703">
        <f t="shared" si="2"/>
        <v>0</v>
      </c>
      <c r="N3" s="703">
        <f t="shared" si="2"/>
        <v>0</v>
      </c>
      <c r="O3" s="703">
        <f t="shared" si="2"/>
        <v>0</v>
      </c>
      <c r="P3" s="703">
        <f t="shared" si="2"/>
        <v>0</v>
      </c>
      <c r="Q3" s="704">
        <f t="shared" si="2"/>
        <v>0</v>
      </c>
    </row>
    <row r="4" spans="1:17" s="481" customFormat="1" ht="15" hidden="1" customHeight="1">
      <c r="A4" s="705" t="s">
        <v>762</v>
      </c>
      <c r="B4" s="706" t="s">
        <v>763</v>
      </c>
      <c r="C4" s="707">
        <f>+C55</f>
        <v>0</v>
      </c>
      <c r="D4" s="707">
        <f t="shared" ref="D4:Q4" si="3">+D55</f>
        <v>0</v>
      </c>
      <c r="E4" s="707">
        <f t="shared" si="3"/>
        <v>0</v>
      </c>
      <c r="F4" s="707">
        <f t="shared" si="3"/>
        <v>0</v>
      </c>
      <c r="G4" s="707">
        <f t="shared" si="3"/>
        <v>0</v>
      </c>
      <c r="H4" s="707">
        <f t="shared" si="3"/>
        <v>0</v>
      </c>
      <c r="I4" s="707">
        <f t="shared" si="3"/>
        <v>0</v>
      </c>
      <c r="J4" s="707">
        <f t="shared" si="3"/>
        <v>0</v>
      </c>
      <c r="K4" s="707">
        <f t="shared" si="3"/>
        <v>0</v>
      </c>
      <c r="L4" s="707">
        <f t="shared" si="3"/>
        <v>0</v>
      </c>
      <c r="M4" s="707">
        <f t="shared" si="3"/>
        <v>0</v>
      </c>
      <c r="N4" s="707">
        <f t="shared" si="3"/>
        <v>0</v>
      </c>
      <c r="O4" s="707">
        <f t="shared" si="3"/>
        <v>0</v>
      </c>
      <c r="P4" s="707">
        <f t="shared" si="3"/>
        <v>0</v>
      </c>
      <c r="Q4" s="707">
        <f t="shared" si="3"/>
        <v>0</v>
      </c>
    </row>
    <row r="5" spans="1:17" s="481" customFormat="1" ht="15" hidden="1" customHeight="1">
      <c r="A5" s="705" t="s">
        <v>764</v>
      </c>
      <c r="B5" s="706" t="s">
        <v>765</v>
      </c>
      <c r="C5" s="707">
        <f>+C58</f>
        <v>0</v>
      </c>
      <c r="D5" s="707">
        <f t="shared" ref="D5:Q5" si="4">+D58</f>
        <v>0</v>
      </c>
      <c r="E5" s="707">
        <f t="shared" si="4"/>
        <v>0</v>
      </c>
      <c r="F5" s="707">
        <f t="shared" si="4"/>
        <v>0</v>
      </c>
      <c r="G5" s="707">
        <f t="shared" si="4"/>
        <v>0</v>
      </c>
      <c r="H5" s="707">
        <f t="shared" si="4"/>
        <v>0</v>
      </c>
      <c r="I5" s="707">
        <f t="shared" si="4"/>
        <v>0</v>
      </c>
      <c r="J5" s="707">
        <f t="shared" si="4"/>
        <v>0</v>
      </c>
      <c r="K5" s="707">
        <f t="shared" si="4"/>
        <v>0</v>
      </c>
      <c r="L5" s="707">
        <f t="shared" si="4"/>
        <v>0</v>
      </c>
      <c r="M5" s="707">
        <f t="shared" si="4"/>
        <v>0</v>
      </c>
      <c r="N5" s="707">
        <f t="shared" si="4"/>
        <v>0</v>
      </c>
      <c r="O5" s="707">
        <f t="shared" si="4"/>
        <v>0</v>
      </c>
      <c r="P5" s="707">
        <f t="shared" si="4"/>
        <v>0</v>
      </c>
      <c r="Q5" s="708">
        <f t="shared" si="4"/>
        <v>0</v>
      </c>
    </row>
    <row r="6" spans="1:17" s="481" customFormat="1" ht="15" hidden="1" customHeight="1">
      <c r="A6" s="705" t="s">
        <v>766</v>
      </c>
      <c r="B6" s="706" t="s">
        <v>767</v>
      </c>
      <c r="C6" s="707">
        <f>+C61</f>
        <v>0</v>
      </c>
      <c r="D6" s="707">
        <f t="shared" ref="D6:Q6" si="5">+D61</f>
        <v>0</v>
      </c>
      <c r="E6" s="707">
        <f t="shared" si="5"/>
        <v>0</v>
      </c>
      <c r="F6" s="707">
        <f t="shared" si="5"/>
        <v>0</v>
      </c>
      <c r="G6" s="707">
        <f t="shared" si="5"/>
        <v>0</v>
      </c>
      <c r="H6" s="707">
        <f t="shared" si="5"/>
        <v>0</v>
      </c>
      <c r="I6" s="707">
        <f t="shared" si="5"/>
        <v>0</v>
      </c>
      <c r="J6" s="707">
        <f t="shared" si="5"/>
        <v>0</v>
      </c>
      <c r="K6" s="707">
        <f t="shared" si="5"/>
        <v>0</v>
      </c>
      <c r="L6" s="707">
        <f t="shared" si="5"/>
        <v>0</v>
      </c>
      <c r="M6" s="707">
        <f t="shared" si="5"/>
        <v>0</v>
      </c>
      <c r="N6" s="707">
        <f t="shared" si="5"/>
        <v>0</v>
      </c>
      <c r="O6" s="707">
        <f t="shared" si="5"/>
        <v>0</v>
      </c>
      <c r="P6" s="707">
        <f t="shared" si="5"/>
        <v>0</v>
      </c>
      <c r="Q6" s="708">
        <f t="shared" si="5"/>
        <v>0</v>
      </c>
    </row>
    <row r="7" spans="1:17" s="481" customFormat="1" ht="15" hidden="1" customHeight="1">
      <c r="A7" s="705" t="s">
        <v>768</v>
      </c>
      <c r="B7" s="706" t="s">
        <v>769</v>
      </c>
      <c r="C7" s="707">
        <f>+C64</f>
        <v>0</v>
      </c>
      <c r="D7" s="707">
        <f t="shared" ref="D7:Q7" si="6">+D64</f>
        <v>0</v>
      </c>
      <c r="E7" s="707">
        <f t="shared" si="6"/>
        <v>0</v>
      </c>
      <c r="F7" s="707">
        <f t="shared" si="6"/>
        <v>0</v>
      </c>
      <c r="G7" s="707">
        <f t="shared" si="6"/>
        <v>0</v>
      </c>
      <c r="H7" s="707">
        <f t="shared" si="6"/>
        <v>0</v>
      </c>
      <c r="I7" s="707">
        <f t="shared" si="6"/>
        <v>0</v>
      </c>
      <c r="J7" s="707">
        <f t="shared" si="6"/>
        <v>0</v>
      </c>
      <c r="K7" s="707">
        <f t="shared" si="6"/>
        <v>0</v>
      </c>
      <c r="L7" s="707">
        <f t="shared" si="6"/>
        <v>0</v>
      </c>
      <c r="M7" s="707">
        <f t="shared" si="6"/>
        <v>0</v>
      </c>
      <c r="N7" s="707">
        <f t="shared" si="6"/>
        <v>0</v>
      </c>
      <c r="O7" s="707">
        <f t="shared" si="6"/>
        <v>0</v>
      </c>
      <c r="P7" s="707">
        <f t="shared" si="6"/>
        <v>0</v>
      </c>
      <c r="Q7" s="708">
        <f t="shared" si="6"/>
        <v>0</v>
      </c>
    </row>
    <row r="8" spans="1:17" s="481" customFormat="1" ht="15" hidden="1" customHeight="1">
      <c r="A8" s="705" t="s">
        <v>770</v>
      </c>
      <c r="B8" s="706" t="s">
        <v>771</v>
      </c>
      <c r="C8" s="707">
        <f>+C67</f>
        <v>0</v>
      </c>
      <c r="D8" s="707">
        <f t="shared" ref="D8:Q8" si="7">+D67</f>
        <v>0</v>
      </c>
      <c r="E8" s="707">
        <f t="shared" si="7"/>
        <v>0</v>
      </c>
      <c r="F8" s="707">
        <f t="shared" si="7"/>
        <v>0</v>
      </c>
      <c r="G8" s="707">
        <f t="shared" si="7"/>
        <v>0</v>
      </c>
      <c r="H8" s="707">
        <f t="shared" si="7"/>
        <v>0</v>
      </c>
      <c r="I8" s="707">
        <f t="shared" si="7"/>
        <v>0</v>
      </c>
      <c r="J8" s="707">
        <f t="shared" si="7"/>
        <v>0</v>
      </c>
      <c r="K8" s="707">
        <f t="shared" si="7"/>
        <v>0</v>
      </c>
      <c r="L8" s="707">
        <f t="shared" si="7"/>
        <v>0</v>
      </c>
      <c r="M8" s="707">
        <f t="shared" si="7"/>
        <v>0</v>
      </c>
      <c r="N8" s="707">
        <f t="shared" si="7"/>
        <v>0</v>
      </c>
      <c r="O8" s="707">
        <f t="shared" si="7"/>
        <v>0</v>
      </c>
      <c r="P8" s="707">
        <f t="shared" si="7"/>
        <v>0</v>
      </c>
      <c r="Q8" s="708">
        <f t="shared" si="7"/>
        <v>0</v>
      </c>
    </row>
    <row r="9" spans="1:17" s="481" customFormat="1" ht="15" hidden="1" customHeight="1">
      <c r="A9" s="705" t="s">
        <v>772</v>
      </c>
      <c r="B9" s="706" t="s">
        <v>773</v>
      </c>
      <c r="C9" s="707">
        <f>+C70</f>
        <v>0</v>
      </c>
      <c r="D9" s="707">
        <f t="shared" ref="D9:Q9" si="8">+D70</f>
        <v>0</v>
      </c>
      <c r="E9" s="707">
        <f t="shared" si="8"/>
        <v>0</v>
      </c>
      <c r="F9" s="707">
        <f t="shared" si="8"/>
        <v>0</v>
      </c>
      <c r="G9" s="707">
        <f t="shared" si="8"/>
        <v>0</v>
      </c>
      <c r="H9" s="707">
        <f t="shared" si="8"/>
        <v>0</v>
      </c>
      <c r="I9" s="707">
        <f t="shared" si="8"/>
        <v>0</v>
      </c>
      <c r="J9" s="707">
        <f t="shared" si="8"/>
        <v>0</v>
      </c>
      <c r="K9" s="707">
        <f t="shared" si="8"/>
        <v>0</v>
      </c>
      <c r="L9" s="707">
        <f t="shared" si="8"/>
        <v>0</v>
      </c>
      <c r="M9" s="707">
        <f t="shared" si="8"/>
        <v>0</v>
      </c>
      <c r="N9" s="707">
        <f t="shared" si="8"/>
        <v>0</v>
      </c>
      <c r="O9" s="707">
        <f t="shared" si="8"/>
        <v>0</v>
      </c>
      <c r="P9" s="707">
        <f t="shared" si="8"/>
        <v>0</v>
      </c>
      <c r="Q9" s="708">
        <f t="shared" si="8"/>
        <v>0</v>
      </c>
    </row>
    <row r="10" spans="1:17" s="481" customFormat="1" ht="15" hidden="1" customHeight="1">
      <c r="A10" s="705" t="s">
        <v>774</v>
      </c>
      <c r="B10" s="706" t="s">
        <v>775</v>
      </c>
      <c r="C10" s="707">
        <f>+C73</f>
        <v>0</v>
      </c>
      <c r="D10" s="707">
        <f t="shared" ref="D10:Q10" si="9">+D73</f>
        <v>0</v>
      </c>
      <c r="E10" s="707">
        <f t="shared" si="9"/>
        <v>0</v>
      </c>
      <c r="F10" s="707">
        <f t="shared" si="9"/>
        <v>0</v>
      </c>
      <c r="G10" s="707">
        <f t="shared" si="9"/>
        <v>0</v>
      </c>
      <c r="H10" s="707">
        <f t="shared" si="9"/>
        <v>0</v>
      </c>
      <c r="I10" s="707">
        <f t="shared" si="9"/>
        <v>0</v>
      </c>
      <c r="J10" s="707">
        <f t="shared" si="9"/>
        <v>0</v>
      </c>
      <c r="K10" s="707">
        <f t="shared" si="9"/>
        <v>0</v>
      </c>
      <c r="L10" s="707">
        <f t="shared" si="9"/>
        <v>0</v>
      </c>
      <c r="M10" s="707">
        <f t="shared" si="9"/>
        <v>0</v>
      </c>
      <c r="N10" s="707">
        <f t="shared" si="9"/>
        <v>0</v>
      </c>
      <c r="O10" s="707">
        <f t="shared" si="9"/>
        <v>0</v>
      </c>
      <c r="P10" s="707">
        <f t="shared" si="9"/>
        <v>0</v>
      </c>
      <c r="Q10" s="708">
        <f t="shared" si="9"/>
        <v>0</v>
      </c>
    </row>
    <row r="11" spans="1:17" s="481" customFormat="1" ht="15" hidden="1" customHeight="1">
      <c r="A11" s="700" t="s">
        <v>776</v>
      </c>
      <c r="B11" s="706" t="s">
        <v>777</v>
      </c>
      <c r="C11" s="707">
        <f>+C76</f>
        <v>0</v>
      </c>
      <c r="D11" s="707">
        <f t="shared" ref="D11:Q11" si="10">+D76</f>
        <v>0</v>
      </c>
      <c r="E11" s="707">
        <f t="shared" si="10"/>
        <v>0</v>
      </c>
      <c r="F11" s="707">
        <f t="shared" si="10"/>
        <v>0</v>
      </c>
      <c r="G11" s="707">
        <f t="shared" si="10"/>
        <v>0</v>
      </c>
      <c r="H11" s="707">
        <f t="shared" si="10"/>
        <v>0</v>
      </c>
      <c r="I11" s="707">
        <f t="shared" si="10"/>
        <v>0</v>
      </c>
      <c r="J11" s="707">
        <f t="shared" si="10"/>
        <v>0</v>
      </c>
      <c r="K11" s="707">
        <f t="shared" si="10"/>
        <v>0</v>
      </c>
      <c r="L11" s="707">
        <f t="shared" si="10"/>
        <v>0</v>
      </c>
      <c r="M11" s="707">
        <f t="shared" si="10"/>
        <v>0</v>
      </c>
      <c r="N11" s="707">
        <f t="shared" si="10"/>
        <v>0</v>
      </c>
      <c r="O11" s="707">
        <f t="shared" si="10"/>
        <v>0</v>
      </c>
      <c r="P11" s="707">
        <f t="shared" si="10"/>
        <v>0</v>
      </c>
      <c r="Q11" s="708">
        <f t="shared" si="10"/>
        <v>0</v>
      </c>
    </row>
    <row r="12" spans="1:17" s="481" customFormat="1" ht="15" hidden="1" customHeight="1">
      <c r="A12" s="700" t="s">
        <v>778</v>
      </c>
      <c r="B12" s="706" t="s">
        <v>779</v>
      </c>
      <c r="C12" s="707">
        <f>+C79</f>
        <v>0</v>
      </c>
      <c r="D12" s="707">
        <f t="shared" ref="D12:Q12" si="11">+D79</f>
        <v>0</v>
      </c>
      <c r="E12" s="707">
        <f t="shared" si="11"/>
        <v>0</v>
      </c>
      <c r="F12" s="707">
        <f t="shared" si="11"/>
        <v>0</v>
      </c>
      <c r="G12" s="707">
        <f t="shared" si="11"/>
        <v>0</v>
      </c>
      <c r="H12" s="707">
        <f t="shared" si="11"/>
        <v>0</v>
      </c>
      <c r="I12" s="707">
        <f t="shared" si="11"/>
        <v>0</v>
      </c>
      <c r="J12" s="707">
        <f t="shared" si="11"/>
        <v>0</v>
      </c>
      <c r="K12" s="707">
        <f t="shared" si="11"/>
        <v>0</v>
      </c>
      <c r="L12" s="707">
        <f t="shared" si="11"/>
        <v>0</v>
      </c>
      <c r="M12" s="707">
        <f t="shared" si="11"/>
        <v>0</v>
      </c>
      <c r="N12" s="707">
        <f t="shared" si="11"/>
        <v>0</v>
      </c>
      <c r="O12" s="707">
        <f t="shared" si="11"/>
        <v>0</v>
      </c>
      <c r="P12" s="707">
        <f t="shared" si="11"/>
        <v>0</v>
      </c>
      <c r="Q12" s="708">
        <f t="shared" si="11"/>
        <v>0</v>
      </c>
    </row>
    <row r="13" spans="1:17" s="481" customFormat="1" ht="15" hidden="1" customHeight="1">
      <c r="A13" s="700" t="s">
        <v>780</v>
      </c>
      <c r="B13" s="706" t="s">
        <v>781</v>
      </c>
      <c r="C13" s="707">
        <f>+C82</f>
        <v>0</v>
      </c>
      <c r="D13" s="707">
        <f t="shared" ref="D13:Q13" si="12">+D82</f>
        <v>0</v>
      </c>
      <c r="E13" s="707">
        <f t="shared" si="12"/>
        <v>0</v>
      </c>
      <c r="F13" s="707">
        <f t="shared" si="12"/>
        <v>0</v>
      </c>
      <c r="G13" s="707">
        <f t="shared" si="12"/>
        <v>0</v>
      </c>
      <c r="H13" s="707">
        <f t="shared" si="12"/>
        <v>0</v>
      </c>
      <c r="I13" s="707">
        <f t="shared" si="12"/>
        <v>0</v>
      </c>
      <c r="J13" s="707">
        <f t="shared" si="12"/>
        <v>0</v>
      </c>
      <c r="K13" s="707">
        <f t="shared" si="12"/>
        <v>0</v>
      </c>
      <c r="L13" s="707">
        <f t="shared" si="12"/>
        <v>0</v>
      </c>
      <c r="M13" s="707">
        <f t="shared" si="12"/>
        <v>0</v>
      </c>
      <c r="N13" s="707">
        <f t="shared" si="12"/>
        <v>0</v>
      </c>
      <c r="O13" s="707">
        <f t="shared" si="12"/>
        <v>0</v>
      </c>
      <c r="P13" s="707">
        <f t="shared" si="12"/>
        <v>0</v>
      </c>
      <c r="Q13" s="708">
        <f t="shared" si="12"/>
        <v>0</v>
      </c>
    </row>
    <row r="14" spans="1:17" s="481" customFormat="1" ht="15" hidden="1" customHeight="1">
      <c r="A14" s="700" t="s">
        <v>782</v>
      </c>
      <c r="B14" s="709" t="s">
        <v>783</v>
      </c>
      <c r="C14" s="710">
        <f>+SUM(C15:C22)</f>
        <v>0</v>
      </c>
      <c r="D14" s="710">
        <f t="shared" ref="D14:Q14" si="13">+SUM(D15:D22)</f>
        <v>0</v>
      </c>
      <c r="E14" s="710">
        <f t="shared" si="13"/>
        <v>0</v>
      </c>
      <c r="F14" s="710">
        <f t="shared" si="13"/>
        <v>0</v>
      </c>
      <c r="G14" s="710">
        <f t="shared" si="13"/>
        <v>0</v>
      </c>
      <c r="H14" s="710">
        <f t="shared" si="13"/>
        <v>0</v>
      </c>
      <c r="I14" s="710">
        <f t="shared" si="13"/>
        <v>0</v>
      </c>
      <c r="J14" s="710">
        <f t="shared" si="13"/>
        <v>0</v>
      </c>
      <c r="K14" s="710">
        <f t="shared" si="13"/>
        <v>0</v>
      </c>
      <c r="L14" s="710">
        <f t="shared" si="13"/>
        <v>0</v>
      </c>
      <c r="M14" s="710">
        <f t="shared" si="13"/>
        <v>0</v>
      </c>
      <c r="N14" s="710">
        <f t="shared" si="13"/>
        <v>0</v>
      </c>
      <c r="O14" s="710">
        <f t="shared" si="13"/>
        <v>0</v>
      </c>
      <c r="P14" s="710">
        <f t="shared" si="13"/>
        <v>0</v>
      </c>
      <c r="Q14" s="711">
        <f t="shared" si="13"/>
        <v>0</v>
      </c>
    </row>
    <row r="15" spans="1:17" s="481" customFormat="1" ht="15" hidden="1" customHeight="1">
      <c r="A15" s="700" t="s">
        <v>784</v>
      </c>
      <c r="B15" s="706" t="s">
        <v>785</v>
      </c>
      <c r="C15" s="707">
        <f>+C86</f>
        <v>0</v>
      </c>
      <c r="D15" s="707">
        <f t="shared" ref="D15:Q15" si="14">+D86</f>
        <v>0</v>
      </c>
      <c r="E15" s="707">
        <f t="shared" si="14"/>
        <v>0</v>
      </c>
      <c r="F15" s="707">
        <f t="shared" si="14"/>
        <v>0</v>
      </c>
      <c r="G15" s="707">
        <f t="shared" si="14"/>
        <v>0</v>
      </c>
      <c r="H15" s="707">
        <f t="shared" si="14"/>
        <v>0</v>
      </c>
      <c r="I15" s="707">
        <f t="shared" si="14"/>
        <v>0</v>
      </c>
      <c r="J15" s="707">
        <f t="shared" si="14"/>
        <v>0</v>
      </c>
      <c r="K15" s="707">
        <f t="shared" si="14"/>
        <v>0</v>
      </c>
      <c r="L15" s="707">
        <f t="shared" si="14"/>
        <v>0</v>
      </c>
      <c r="M15" s="707">
        <f t="shared" si="14"/>
        <v>0</v>
      </c>
      <c r="N15" s="707">
        <f t="shared" si="14"/>
        <v>0</v>
      </c>
      <c r="O15" s="707">
        <f t="shared" si="14"/>
        <v>0</v>
      </c>
      <c r="P15" s="707">
        <f t="shared" si="14"/>
        <v>0</v>
      </c>
      <c r="Q15" s="707">
        <f t="shared" si="14"/>
        <v>0</v>
      </c>
    </row>
    <row r="16" spans="1:17" s="481" customFormat="1" ht="15" hidden="1" customHeight="1">
      <c r="A16" s="700" t="s">
        <v>786</v>
      </c>
      <c r="B16" s="706" t="s">
        <v>787</v>
      </c>
      <c r="C16" s="707">
        <f t="shared" ref="C16:Q21" si="15">+C87</f>
        <v>0</v>
      </c>
      <c r="D16" s="707">
        <f t="shared" si="15"/>
        <v>0</v>
      </c>
      <c r="E16" s="707">
        <f t="shared" si="15"/>
        <v>0</v>
      </c>
      <c r="F16" s="707">
        <f t="shared" si="15"/>
        <v>0</v>
      </c>
      <c r="G16" s="707">
        <f t="shared" si="15"/>
        <v>0</v>
      </c>
      <c r="H16" s="707">
        <f t="shared" si="15"/>
        <v>0</v>
      </c>
      <c r="I16" s="967">
        <f t="shared" si="15"/>
        <v>0</v>
      </c>
      <c r="J16" s="707">
        <f t="shared" si="15"/>
        <v>0</v>
      </c>
      <c r="K16" s="707">
        <f t="shared" si="15"/>
        <v>0</v>
      </c>
      <c r="L16" s="707">
        <f t="shared" si="15"/>
        <v>0</v>
      </c>
      <c r="M16" s="707">
        <f t="shared" si="15"/>
        <v>0</v>
      </c>
      <c r="N16" s="707">
        <f t="shared" si="15"/>
        <v>0</v>
      </c>
      <c r="O16" s="707">
        <f t="shared" si="15"/>
        <v>0</v>
      </c>
      <c r="P16" s="707">
        <f t="shared" si="15"/>
        <v>0</v>
      </c>
      <c r="Q16" s="708">
        <f t="shared" si="15"/>
        <v>0</v>
      </c>
    </row>
    <row r="17" spans="1:17" s="481" customFormat="1" ht="15" hidden="1" customHeight="1">
      <c r="A17" s="700" t="s">
        <v>788</v>
      </c>
      <c r="B17" s="706" t="s">
        <v>789</v>
      </c>
      <c r="C17" s="707">
        <f t="shared" si="15"/>
        <v>0</v>
      </c>
      <c r="D17" s="707">
        <f t="shared" si="15"/>
        <v>0</v>
      </c>
      <c r="E17" s="707">
        <f t="shared" si="15"/>
        <v>0</v>
      </c>
      <c r="F17" s="707">
        <f t="shared" si="15"/>
        <v>0</v>
      </c>
      <c r="G17" s="707">
        <f t="shared" si="15"/>
        <v>0</v>
      </c>
      <c r="H17" s="707">
        <f t="shared" si="15"/>
        <v>0</v>
      </c>
      <c r="I17" s="707">
        <f t="shared" si="15"/>
        <v>0</v>
      </c>
      <c r="J17" s="707">
        <f t="shared" si="15"/>
        <v>0</v>
      </c>
      <c r="K17" s="707">
        <f t="shared" si="15"/>
        <v>0</v>
      </c>
      <c r="L17" s="707">
        <f t="shared" si="15"/>
        <v>0</v>
      </c>
      <c r="M17" s="707">
        <f t="shared" si="15"/>
        <v>0</v>
      </c>
      <c r="N17" s="707">
        <f t="shared" si="15"/>
        <v>0</v>
      </c>
      <c r="O17" s="707">
        <f t="shared" si="15"/>
        <v>0</v>
      </c>
      <c r="P17" s="707">
        <f t="shared" si="15"/>
        <v>0</v>
      </c>
      <c r="Q17" s="708">
        <f t="shared" si="15"/>
        <v>0</v>
      </c>
    </row>
    <row r="18" spans="1:17" s="481" customFormat="1" ht="15" hidden="1" customHeight="1">
      <c r="A18" s="700" t="s">
        <v>790</v>
      </c>
      <c r="B18" s="706" t="s">
        <v>791</v>
      </c>
      <c r="C18" s="707">
        <f t="shared" si="15"/>
        <v>0</v>
      </c>
      <c r="D18" s="707">
        <f t="shared" si="15"/>
        <v>0</v>
      </c>
      <c r="E18" s="707">
        <f t="shared" si="15"/>
        <v>0</v>
      </c>
      <c r="F18" s="707">
        <f t="shared" si="15"/>
        <v>0</v>
      </c>
      <c r="G18" s="707">
        <f t="shared" si="15"/>
        <v>0</v>
      </c>
      <c r="H18" s="707">
        <f t="shared" si="15"/>
        <v>0</v>
      </c>
      <c r="I18" s="707">
        <f t="shared" si="15"/>
        <v>0</v>
      </c>
      <c r="J18" s="707">
        <f t="shared" si="15"/>
        <v>0</v>
      </c>
      <c r="K18" s="707">
        <f t="shared" si="15"/>
        <v>0</v>
      </c>
      <c r="L18" s="707">
        <f t="shared" si="15"/>
        <v>0</v>
      </c>
      <c r="M18" s="707">
        <f t="shared" si="15"/>
        <v>0</v>
      </c>
      <c r="N18" s="707">
        <f t="shared" si="15"/>
        <v>0</v>
      </c>
      <c r="O18" s="707">
        <f t="shared" si="15"/>
        <v>0</v>
      </c>
      <c r="P18" s="707">
        <f t="shared" si="15"/>
        <v>0</v>
      </c>
      <c r="Q18" s="708">
        <f t="shared" si="15"/>
        <v>0</v>
      </c>
    </row>
    <row r="19" spans="1:17" s="481" customFormat="1" ht="15" hidden="1" customHeight="1">
      <c r="A19" s="700" t="s">
        <v>792</v>
      </c>
      <c r="B19" s="712" t="s">
        <v>793</v>
      </c>
      <c r="C19" s="707">
        <f t="shared" si="15"/>
        <v>0</v>
      </c>
      <c r="D19" s="713">
        <f t="shared" si="15"/>
        <v>0</v>
      </c>
      <c r="E19" s="713">
        <f t="shared" si="15"/>
        <v>0</v>
      </c>
      <c r="F19" s="713">
        <f t="shared" si="15"/>
        <v>0</v>
      </c>
      <c r="G19" s="713">
        <f t="shared" si="15"/>
        <v>0</v>
      </c>
      <c r="H19" s="713">
        <f t="shared" si="15"/>
        <v>0</v>
      </c>
      <c r="I19" s="713">
        <f t="shared" si="15"/>
        <v>0</v>
      </c>
      <c r="J19" s="713">
        <f t="shared" si="15"/>
        <v>0</v>
      </c>
      <c r="K19" s="713">
        <f t="shared" si="15"/>
        <v>0</v>
      </c>
      <c r="L19" s="713">
        <f t="shared" si="15"/>
        <v>0</v>
      </c>
      <c r="M19" s="713">
        <f t="shared" si="15"/>
        <v>0</v>
      </c>
      <c r="N19" s="713">
        <f t="shared" si="15"/>
        <v>0</v>
      </c>
      <c r="O19" s="713">
        <f t="shared" si="15"/>
        <v>0</v>
      </c>
      <c r="P19" s="713">
        <f t="shared" si="15"/>
        <v>0</v>
      </c>
      <c r="Q19" s="714">
        <f t="shared" si="15"/>
        <v>0</v>
      </c>
    </row>
    <row r="20" spans="1:17" s="481" customFormat="1" ht="15" hidden="1" customHeight="1">
      <c r="A20" s="700" t="s">
        <v>794</v>
      </c>
      <c r="B20" s="706" t="s">
        <v>777</v>
      </c>
      <c r="C20" s="707">
        <f t="shared" si="15"/>
        <v>0</v>
      </c>
      <c r="D20" s="713">
        <f t="shared" si="15"/>
        <v>0</v>
      </c>
      <c r="E20" s="713">
        <f t="shared" si="15"/>
        <v>0</v>
      </c>
      <c r="F20" s="713">
        <f t="shared" si="15"/>
        <v>0</v>
      </c>
      <c r="G20" s="713">
        <f t="shared" si="15"/>
        <v>0</v>
      </c>
      <c r="H20" s="713">
        <f t="shared" si="15"/>
        <v>0</v>
      </c>
      <c r="I20" s="713">
        <f t="shared" si="15"/>
        <v>0</v>
      </c>
      <c r="J20" s="713">
        <f t="shared" si="15"/>
        <v>0</v>
      </c>
      <c r="K20" s="713">
        <f t="shared" si="15"/>
        <v>0</v>
      </c>
      <c r="L20" s="713">
        <f t="shared" si="15"/>
        <v>0</v>
      </c>
      <c r="M20" s="713">
        <f t="shared" si="15"/>
        <v>0</v>
      </c>
      <c r="N20" s="713">
        <f t="shared" si="15"/>
        <v>0</v>
      </c>
      <c r="O20" s="713">
        <f t="shared" si="15"/>
        <v>0</v>
      </c>
      <c r="P20" s="713">
        <f t="shared" si="15"/>
        <v>0</v>
      </c>
      <c r="Q20" s="714">
        <f t="shared" si="15"/>
        <v>0</v>
      </c>
    </row>
    <row r="21" spans="1:17" s="481" customFormat="1" ht="15" hidden="1" customHeight="1">
      <c r="A21" s="700" t="s">
        <v>795</v>
      </c>
      <c r="B21" s="706" t="s">
        <v>779</v>
      </c>
      <c r="C21" s="707">
        <f t="shared" si="15"/>
        <v>0</v>
      </c>
      <c r="D21" s="713">
        <f t="shared" si="15"/>
        <v>0</v>
      </c>
      <c r="E21" s="713">
        <f t="shared" si="15"/>
        <v>0</v>
      </c>
      <c r="F21" s="713">
        <f t="shared" si="15"/>
        <v>0</v>
      </c>
      <c r="G21" s="713">
        <f t="shared" si="15"/>
        <v>0</v>
      </c>
      <c r="H21" s="713">
        <f t="shared" si="15"/>
        <v>0</v>
      </c>
      <c r="I21" s="713">
        <f t="shared" si="15"/>
        <v>0</v>
      </c>
      <c r="J21" s="713">
        <f t="shared" si="15"/>
        <v>0</v>
      </c>
      <c r="K21" s="713">
        <f t="shared" si="15"/>
        <v>0</v>
      </c>
      <c r="L21" s="713">
        <f t="shared" si="15"/>
        <v>0</v>
      </c>
      <c r="M21" s="713">
        <f t="shared" si="15"/>
        <v>0</v>
      </c>
      <c r="N21" s="713">
        <f t="shared" si="15"/>
        <v>0</v>
      </c>
      <c r="O21" s="713">
        <f t="shared" si="15"/>
        <v>0</v>
      </c>
      <c r="P21" s="713">
        <f t="shared" si="15"/>
        <v>0</v>
      </c>
      <c r="Q21" s="714">
        <f t="shared" si="15"/>
        <v>0</v>
      </c>
    </row>
    <row r="22" spans="1:17" s="481" customFormat="1" ht="15" hidden="1" customHeight="1" thickBot="1">
      <c r="A22" s="700" t="s">
        <v>796</v>
      </c>
      <c r="B22" s="715" t="s">
        <v>781</v>
      </c>
      <c r="C22" s="716">
        <f>+C93</f>
        <v>0</v>
      </c>
      <c r="D22" s="716">
        <f t="shared" ref="D22:Q22" si="16">+D93</f>
        <v>0</v>
      </c>
      <c r="E22" s="716">
        <f t="shared" si="16"/>
        <v>0</v>
      </c>
      <c r="F22" s="716">
        <f t="shared" si="16"/>
        <v>0</v>
      </c>
      <c r="G22" s="716">
        <f t="shared" si="16"/>
        <v>0</v>
      </c>
      <c r="H22" s="716">
        <f t="shared" si="16"/>
        <v>0</v>
      </c>
      <c r="I22" s="716">
        <f t="shared" si="16"/>
        <v>0</v>
      </c>
      <c r="J22" s="716">
        <f t="shared" si="16"/>
        <v>0</v>
      </c>
      <c r="K22" s="716">
        <f t="shared" si="16"/>
        <v>0</v>
      </c>
      <c r="L22" s="716">
        <f t="shared" si="16"/>
        <v>0</v>
      </c>
      <c r="M22" s="716">
        <f t="shared" si="16"/>
        <v>0</v>
      </c>
      <c r="N22" s="716">
        <f t="shared" si="16"/>
        <v>0</v>
      </c>
      <c r="O22" s="716">
        <f t="shared" si="16"/>
        <v>0</v>
      </c>
      <c r="P22" s="716">
        <f t="shared" si="16"/>
        <v>0</v>
      </c>
      <c r="Q22" s="717">
        <f t="shared" si="16"/>
        <v>0</v>
      </c>
    </row>
    <row r="23" spans="1:17" hidden="1"/>
    <row r="24" spans="1:17" ht="15" customHeight="1" thickBot="1"/>
    <row r="25" spans="1:17" ht="51">
      <c r="B25" s="696" t="s">
        <v>498</v>
      </c>
      <c r="C25" s="697" t="str">
        <f>+Gastos!E22</f>
        <v>Presupuesto Inicial</v>
      </c>
      <c r="D25" s="697" t="str">
        <f>+'Fuentes y Usos Seguimiento'!D25</f>
        <v>Presupuesto Definitivo    (2)</v>
      </c>
      <c r="E25" s="697" t="str">
        <f>+Gastos!I22</f>
        <v>Compromisos del mes</v>
      </c>
      <c r="F25" s="697" t="str">
        <f>+Gastos!J22</f>
        <v>Compromisos Acumulados al mes</v>
      </c>
      <c r="G25" s="697" t="str">
        <f>+Gastos!J22</f>
        <v>Compromisos Acumulados al mes</v>
      </c>
      <c r="H25" s="697" t="str">
        <f>+Gastos!K22</f>
        <v>Pagos Acumulados al mes</v>
      </c>
      <c r="I25" s="697" t="str">
        <f>+Gastos!K22</f>
        <v>Pagos Acumulados al mes</v>
      </c>
      <c r="J25"/>
      <c r="K25"/>
      <c r="L25"/>
      <c r="M25"/>
      <c r="N25"/>
      <c r="O25"/>
      <c r="P25"/>
      <c r="Q25"/>
    </row>
    <row r="26" spans="1:17" ht="66" customHeight="1" thickBot="1">
      <c r="B26" s="1378" t="s">
        <v>797</v>
      </c>
      <c r="C26" s="699"/>
      <c r="D26" s="978"/>
      <c r="E26" s="978"/>
      <c r="F26" s="978" t="str">
        <f>+Gastos!C70</f>
        <v xml:space="preserve"> DÉFICIT FISCAL VIGENCIAS 2.001 Y SIGUIENTES</v>
      </c>
      <c r="G26" s="978" t="str">
        <f>+Gastos!C71</f>
        <v xml:space="preserve"> DEFICIT FISCAL VIGENCIA 2.000 Y ANTERIORES</v>
      </c>
      <c r="H26" s="978" t="str">
        <f>+Gastos!C70</f>
        <v xml:space="preserve"> DÉFICIT FISCAL VIGENCIAS 2.001 Y SIGUIENTES</v>
      </c>
      <c r="I26" s="978" t="str">
        <f>+Gastos!C71</f>
        <v xml:space="preserve"> DEFICIT FISCAL VIGENCIA 2.000 Y ANTERIORES</v>
      </c>
      <c r="J26"/>
      <c r="K26"/>
      <c r="L26"/>
      <c r="M26"/>
      <c r="N26"/>
      <c r="O26"/>
      <c r="P26"/>
      <c r="Q26"/>
    </row>
    <row r="27" spans="1:17" ht="25.5">
      <c r="A27" s="700" t="s">
        <v>760</v>
      </c>
      <c r="B27" s="1377" t="s">
        <v>761</v>
      </c>
      <c r="C27" s="702">
        <f t="shared" ref="C27:I27" si="17">+SUM(C28:C37)</f>
        <v>0</v>
      </c>
      <c r="D27" s="703">
        <f t="shared" si="17"/>
        <v>0</v>
      </c>
      <c r="E27" s="703">
        <f t="shared" si="17"/>
        <v>0</v>
      </c>
      <c r="F27" s="703">
        <f t="shared" si="17"/>
        <v>0</v>
      </c>
      <c r="G27" s="703">
        <f t="shared" si="17"/>
        <v>0</v>
      </c>
      <c r="H27" s="703">
        <f t="shared" si="17"/>
        <v>0</v>
      </c>
      <c r="I27" s="703">
        <f t="shared" si="17"/>
        <v>0</v>
      </c>
      <c r="J27"/>
      <c r="K27"/>
      <c r="L27"/>
      <c r="M27"/>
      <c r="N27"/>
      <c r="O27"/>
      <c r="P27"/>
      <c r="Q27"/>
    </row>
    <row r="28" spans="1:17">
      <c r="A28" s="705" t="s">
        <v>762</v>
      </c>
      <c r="B28" s="706" t="s">
        <v>763</v>
      </c>
      <c r="C28" s="707"/>
      <c r="D28" s="707"/>
      <c r="E28" s="707"/>
      <c r="F28" s="707"/>
      <c r="G28" s="707"/>
      <c r="H28" s="707"/>
      <c r="I28" s="707"/>
      <c r="J28"/>
      <c r="K28"/>
      <c r="L28"/>
      <c r="M28"/>
      <c r="N28"/>
      <c r="O28"/>
      <c r="P28"/>
      <c r="Q28"/>
    </row>
    <row r="29" spans="1:17">
      <c r="A29" s="705" t="s">
        <v>764</v>
      </c>
      <c r="B29" s="706" t="s">
        <v>765</v>
      </c>
      <c r="C29" s="707"/>
      <c r="D29" s="707"/>
      <c r="E29" s="707"/>
      <c r="F29" s="707"/>
      <c r="G29" s="707"/>
      <c r="H29" s="707"/>
      <c r="I29" s="707"/>
      <c r="J29"/>
      <c r="K29"/>
      <c r="L29"/>
      <c r="M29"/>
      <c r="N29"/>
      <c r="O29"/>
      <c r="P29"/>
      <c r="Q29"/>
    </row>
    <row r="30" spans="1:17">
      <c r="A30" s="705" t="s">
        <v>766</v>
      </c>
      <c r="B30" s="706" t="s">
        <v>767</v>
      </c>
      <c r="C30" s="707"/>
      <c r="D30" s="707"/>
      <c r="E30" s="707"/>
      <c r="F30" s="707"/>
      <c r="G30" s="707"/>
      <c r="H30" s="707"/>
      <c r="I30" s="707"/>
      <c r="J30"/>
      <c r="K30"/>
      <c r="L30"/>
      <c r="M30"/>
      <c r="N30"/>
      <c r="O30"/>
      <c r="P30"/>
      <c r="Q30"/>
    </row>
    <row r="31" spans="1:17">
      <c r="A31" s="705" t="s">
        <v>768</v>
      </c>
      <c r="B31" s="706" t="s">
        <v>769</v>
      </c>
      <c r="C31" s="707"/>
      <c r="D31" s="707"/>
      <c r="E31" s="707"/>
      <c r="F31" s="707"/>
      <c r="G31" s="707"/>
      <c r="H31" s="707"/>
      <c r="I31" s="707"/>
      <c r="J31"/>
      <c r="K31"/>
      <c r="L31"/>
      <c r="M31"/>
      <c r="N31"/>
      <c r="O31"/>
      <c r="P31"/>
      <c r="Q31"/>
    </row>
    <row r="32" spans="1:17">
      <c r="A32" s="705" t="s">
        <v>770</v>
      </c>
      <c r="B32" s="706" t="s">
        <v>771</v>
      </c>
      <c r="C32" s="707"/>
      <c r="D32" s="707"/>
      <c r="E32" s="707"/>
      <c r="F32" s="707"/>
      <c r="G32" s="707"/>
      <c r="H32" s="707"/>
      <c r="I32" s="707"/>
      <c r="J32"/>
      <c r="K32"/>
      <c r="L32"/>
      <c r="M32"/>
      <c r="N32"/>
      <c r="O32"/>
      <c r="P32"/>
      <c r="Q32"/>
    </row>
    <row r="33" spans="1:17">
      <c r="A33" s="705" t="s">
        <v>772</v>
      </c>
      <c r="B33" s="706" t="s">
        <v>773</v>
      </c>
      <c r="C33" s="707"/>
      <c r="D33" s="707"/>
      <c r="E33" s="707"/>
      <c r="F33" s="707"/>
      <c r="G33" s="707"/>
      <c r="H33" s="707"/>
      <c r="I33" s="707"/>
      <c r="J33"/>
      <c r="K33"/>
      <c r="L33"/>
      <c r="M33"/>
      <c r="N33"/>
      <c r="O33"/>
      <c r="P33"/>
      <c r="Q33"/>
    </row>
    <row r="34" spans="1:17">
      <c r="A34" s="705" t="s">
        <v>774</v>
      </c>
      <c r="B34" s="706" t="s">
        <v>775</v>
      </c>
      <c r="C34" s="707"/>
      <c r="D34" s="707"/>
      <c r="E34" s="707"/>
      <c r="F34" s="707"/>
      <c r="G34" s="707"/>
      <c r="H34" s="707"/>
      <c r="I34" s="707"/>
      <c r="J34"/>
      <c r="K34"/>
      <c r="L34"/>
      <c r="M34"/>
      <c r="N34"/>
      <c r="O34"/>
      <c r="P34"/>
      <c r="Q34"/>
    </row>
    <row r="35" spans="1:17">
      <c r="A35" s="700" t="s">
        <v>776</v>
      </c>
      <c r="B35" s="706" t="s">
        <v>777</v>
      </c>
      <c r="C35" s="707"/>
      <c r="D35" s="707"/>
      <c r="E35" s="707"/>
      <c r="F35" s="707"/>
      <c r="G35" s="707"/>
      <c r="H35" s="707"/>
      <c r="I35" s="707"/>
      <c r="J35"/>
      <c r="K35"/>
      <c r="L35"/>
      <c r="M35"/>
      <c r="N35"/>
      <c r="O35"/>
      <c r="P35"/>
      <c r="Q35"/>
    </row>
    <row r="36" spans="1:17">
      <c r="A36" s="700" t="s">
        <v>778</v>
      </c>
      <c r="B36" s="706" t="s">
        <v>779</v>
      </c>
      <c r="C36" s="707"/>
      <c r="D36" s="707"/>
      <c r="E36" s="707"/>
      <c r="F36" s="707"/>
      <c r="G36" s="707"/>
      <c r="H36" s="707"/>
      <c r="I36" s="707"/>
      <c r="J36"/>
      <c r="K36"/>
      <c r="L36"/>
      <c r="M36"/>
      <c r="N36"/>
      <c r="O36"/>
      <c r="P36"/>
      <c r="Q36"/>
    </row>
    <row r="37" spans="1:17">
      <c r="A37" s="700" t="s">
        <v>780</v>
      </c>
      <c r="B37" s="706" t="s">
        <v>781</v>
      </c>
      <c r="C37" s="707"/>
      <c r="D37" s="707"/>
      <c r="E37" s="707"/>
      <c r="F37" s="707"/>
      <c r="G37" s="707"/>
      <c r="H37" s="707"/>
      <c r="I37" s="707"/>
      <c r="J37"/>
      <c r="K37"/>
      <c r="L37"/>
      <c r="M37"/>
      <c r="N37"/>
      <c r="O37"/>
      <c r="P37"/>
      <c r="Q37"/>
    </row>
    <row r="38" spans="1:17">
      <c r="A38" s="700" t="s">
        <v>782</v>
      </c>
      <c r="B38" s="709" t="s">
        <v>783</v>
      </c>
      <c r="C38" s="710">
        <f t="shared" ref="C38:I38" si="18">+SUM(C39:C46)</f>
        <v>0</v>
      </c>
      <c r="D38" s="710">
        <f t="shared" si="18"/>
        <v>0</v>
      </c>
      <c r="E38" s="710">
        <f t="shared" si="18"/>
        <v>0</v>
      </c>
      <c r="F38" s="710">
        <f t="shared" si="18"/>
        <v>0</v>
      </c>
      <c r="G38" s="710">
        <f t="shared" si="18"/>
        <v>0</v>
      </c>
      <c r="H38" s="710">
        <f t="shared" si="18"/>
        <v>0</v>
      </c>
      <c r="I38" s="710">
        <f t="shared" si="18"/>
        <v>0</v>
      </c>
      <c r="J38"/>
      <c r="K38"/>
      <c r="L38"/>
      <c r="M38"/>
      <c r="N38"/>
      <c r="O38"/>
      <c r="P38"/>
      <c r="Q38"/>
    </row>
    <row r="39" spans="1:17">
      <c r="A39" s="700" t="s">
        <v>784</v>
      </c>
      <c r="B39" s="706" t="s">
        <v>785</v>
      </c>
      <c r="C39" s="707"/>
      <c r="D39" s="707"/>
      <c r="E39" s="707"/>
      <c r="F39" s="707"/>
      <c r="G39" s="707"/>
      <c r="H39" s="707"/>
      <c r="I39" s="707"/>
      <c r="J39"/>
      <c r="K39"/>
      <c r="L39"/>
      <c r="M39"/>
      <c r="N39"/>
      <c r="O39"/>
      <c r="P39"/>
      <c r="Q39"/>
    </row>
    <row r="40" spans="1:17">
      <c r="A40" s="700" t="s">
        <v>786</v>
      </c>
      <c r="B40" s="706" t="s">
        <v>787</v>
      </c>
      <c r="C40" s="707"/>
      <c r="D40" s="707"/>
      <c r="E40" s="707"/>
      <c r="F40" s="707"/>
      <c r="G40" s="707"/>
      <c r="H40" s="707"/>
      <c r="I40" s="707"/>
      <c r="J40"/>
      <c r="K40"/>
      <c r="L40"/>
      <c r="M40"/>
      <c r="N40"/>
      <c r="O40"/>
      <c r="P40"/>
      <c r="Q40"/>
    </row>
    <row r="41" spans="1:17">
      <c r="A41" s="700" t="s">
        <v>788</v>
      </c>
      <c r="B41" s="706" t="s">
        <v>789</v>
      </c>
      <c r="C41" s="707"/>
      <c r="D41" s="707"/>
      <c r="E41" s="707"/>
      <c r="F41" s="707"/>
      <c r="G41" s="707"/>
      <c r="H41" s="707"/>
      <c r="I41" s="707"/>
      <c r="J41"/>
      <c r="K41"/>
      <c r="L41"/>
      <c r="M41"/>
      <c r="N41"/>
      <c r="O41"/>
      <c r="P41"/>
      <c r="Q41"/>
    </row>
    <row r="42" spans="1:17">
      <c r="A42" s="700" t="s">
        <v>790</v>
      </c>
      <c r="B42" s="706" t="s">
        <v>791</v>
      </c>
      <c r="C42" s="707"/>
      <c r="D42" s="707"/>
      <c r="E42" s="707"/>
      <c r="F42" s="707"/>
      <c r="G42" s="707"/>
      <c r="H42" s="707"/>
      <c r="I42" s="707"/>
      <c r="J42"/>
      <c r="K42"/>
      <c r="L42"/>
      <c r="M42"/>
      <c r="N42"/>
      <c r="O42"/>
      <c r="P42"/>
      <c r="Q42"/>
    </row>
    <row r="43" spans="1:17">
      <c r="A43" s="700" t="s">
        <v>792</v>
      </c>
      <c r="B43" s="712" t="s">
        <v>793</v>
      </c>
      <c r="C43" s="713"/>
      <c r="D43" s="713"/>
      <c r="E43" s="713"/>
      <c r="F43" s="713"/>
      <c r="G43" s="713"/>
      <c r="H43" s="713"/>
      <c r="I43" s="713"/>
      <c r="J43"/>
      <c r="K43"/>
      <c r="L43"/>
      <c r="M43"/>
      <c r="N43"/>
      <c r="O43"/>
      <c r="P43"/>
      <c r="Q43"/>
    </row>
    <row r="44" spans="1:17">
      <c r="A44" s="700" t="s">
        <v>794</v>
      </c>
      <c r="B44" s="706" t="s">
        <v>777</v>
      </c>
      <c r="C44" s="713"/>
      <c r="D44" s="713"/>
      <c r="E44" s="713"/>
      <c r="F44" s="713"/>
      <c r="G44" s="713"/>
      <c r="H44" s="713"/>
      <c r="I44" s="713"/>
      <c r="J44"/>
      <c r="K44"/>
      <c r="L44"/>
      <c r="M44"/>
      <c r="N44"/>
      <c r="O44"/>
      <c r="P44"/>
      <c r="Q44"/>
    </row>
    <row r="45" spans="1:17">
      <c r="A45" s="700" t="s">
        <v>795</v>
      </c>
      <c r="B45" s="706" t="s">
        <v>779</v>
      </c>
      <c r="C45" s="713"/>
      <c r="D45" s="713"/>
      <c r="E45" s="713"/>
      <c r="F45" s="713"/>
      <c r="G45" s="713"/>
      <c r="H45" s="713"/>
      <c r="I45" s="713"/>
      <c r="J45"/>
      <c r="K45"/>
      <c r="L45"/>
      <c r="M45"/>
      <c r="N45"/>
      <c r="O45"/>
      <c r="P45"/>
      <c r="Q45"/>
    </row>
    <row r="46" spans="1:17" ht="13.5" thickBot="1">
      <c r="A46" s="700" t="s">
        <v>796</v>
      </c>
      <c r="B46" s="715" t="s">
        <v>781</v>
      </c>
      <c r="C46" s="716"/>
      <c r="D46" s="716"/>
      <c r="E46" s="716"/>
      <c r="F46" s="716"/>
      <c r="G46" s="716"/>
      <c r="H46" s="716"/>
      <c r="I46" s="716"/>
      <c r="J46"/>
      <c r="K46"/>
      <c r="L46"/>
      <c r="M46"/>
      <c r="N46"/>
      <c r="O46"/>
      <c r="P46"/>
      <c r="Q46"/>
    </row>
    <row r="50" spans="1:17" ht="7.5" customHeight="1"/>
    <row r="51" spans="1:17" ht="7.5" customHeight="1" thickBot="1"/>
    <row r="52" spans="1:17" ht="38.25">
      <c r="B52" s="696" t="s">
        <v>798</v>
      </c>
      <c r="C52" s="697" t="str">
        <f>+'Ingresos Proyecciones'!C22</f>
        <v>Escenario Financiero Año 2009</v>
      </c>
      <c r="D52" s="697" t="str">
        <f>+'Ingresos Proyecciones'!D22</f>
        <v>Escenario Financiero Año 2010</v>
      </c>
      <c r="E52" s="697" t="str">
        <f>+'Ingresos Proyecciones'!E22</f>
        <v>Escenario Financiero Año 2011</v>
      </c>
      <c r="F52" s="697" t="str">
        <f>+'Ingresos Proyecciones'!F22</f>
        <v>Escenario Financiero Año 2012</v>
      </c>
      <c r="G52" s="697" t="str">
        <f>+'Ingresos Proyecciones'!G22</f>
        <v>Escenario Financiero Año 2013</v>
      </c>
      <c r="H52" s="697" t="str">
        <f>+'Ingresos Proyecciones'!H22</f>
        <v>Escenario Financiero Año 2014</v>
      </c>
      <c r="I52" s="697" t="str">
        <f>+'Ingresos Proyecciones'!I22</f>
        <v>Escenario Financiero Año 2015</v>
      </c>
      <c r="J52" s="697" t="str">
        <f>+'Ingresos Proyecciones'!J22</f>
        <v>Escenario Financiero Año 2016</v>
      </c>
      <c r="K52" s="697" t="str">
        <f>+'Ingresos Proyecciones'!K22</f>
        <v>Escenario Financiero Año 2017</v>
      </c>
      <c r="L52" s="697" t="str">
        <f>+'Ingresos Proyecciones'!L22</f>
        <v>Escenario Financiero Año 2018</v>
      </c>
      <c r="M52" s="697" t="str">
        <f>+'Ingresos Proyecciones'!M22</f>
        <v>Escenario Financiero Año 2019</v>
      </c>
      <c r="N52" s="697" t="str">
        <f>+'Ingresos Proyecciones'!N22</f>
        <v>Escenario Financiero Año 2020</v>
      </c>
      <c r="O52" s="697" t="str">
        <f>+'Ingresos Proyecciones'!O22</f>
        <v>Escenario Financiero Año 2021</v>
      </c>
      <c r="P52" s="697" t="str">
        <f>+'Ingresos Proyecciones'!P22</f>
        <v>Escenario Financiero Año 2022</v>
      </c>
      <c r="Q52" s="697" t="str">
        <f>+'Ingresos Proyecciones'!Q22</f>
        <v>Escenario Financiero Año 2023</v>
      </c>
    </row>
    <row r="53" spans="1:17" ht="13.5" thickBot="1">
      <c r="B53" s="698"/>
      <c r="C53" s="699"/>
      <c r="D53" s="699" t="s">
        <v>511</v>
      </c>
      <c r="E53" s="699"/>
      <c r="F53" s="699"/>
      <c r="G53" s="699"/>
      <c r="H53" s="699"/>
      <c r="I53" s="699"/>
      <c r="J53" s="699"/>
      <c r="K53" s="699"/>
      <c r="L53" s="699"/>
      <c r="M53" s="699"/>
      <c r="N53" s="699"/>
      <c r="O53" s="699"/>
      <c r="P53" s="699"/>
      <c r="Q53" s="699"/>
    </row>
    <row r="54" spans="1:17">
      <c r="B54" s="701" t="s">
        <v>799</v>
      </c>
      <c r="C54" s="702">
        <f>+C55+C58+C61+C64+C67+C70+C73+C76+C79+C82</f>
        <v>0</v>
      </c>
      <c r="D54" s="702">
        <f t="shared" ref="D54:Q54" si="19">+D55+D58+D61+D64+D67+D70+D73+D76+D79+D82</f>
        <v>0</v>
      </c>
      <c r="E54" s="702">
        <f t="shared" si="19"/>
        <v>0</v>
      </c>
      <c r="F54" s="702">
        <f t="shared" si="19"/>
        <v>0</v>
      </c>
      <c r="G54" s="702">
        <f t="shared" si="19"/>
        <v>0</v>
      </c>
      <c r="H54" s="702">
        <f t="shared" si="19"/>
        <v>0</v>
      </c>
      <c r="I54" s="702">
        <f t="shared" si="19"/>
        <v>0</v>
      </c>
      <c r="J54" s="702">
        <f t="shared" si="19"/>
        <v>0</v>
      </c>
      <c r="K54" s="702">
        <f t="shared" si="19"/>
        <v>0</v>
      </c>
      <c r="L54" s="702">
        <f t="shared" si="19"/>
        <v>0</v>
      </c>
      <c r="M54" s="702">
        <f t="shared" si="19"/>
        <v>0</v>
      </c>
      <c r="N54" s="702">
        <f t="shared" si="19"/>
        <v>0</v>
      </c>
      <c r="O54" s="702">
        <f t="shared" si="19"/>
        <v>0</v>
      </c>
      <c r="P54" s="702">
        <f t="shared" si="19"/>
        <v>0</v>
      </c>
      <c r="Q54" s="702">
        <f t="shared" si="19"/>
        <v>0</v>
      </c>
    </row>
    <row r="55" spans="1:17">
      <c r="A55" s="705" t="s">
        <v>762</v>
      </c>
      <c r="B55" s="709" t="s">
        <v>800</v>
      </c>
      <c r="C55" s="1010">
        <f>SUM(C56:C57)</f>
        <v>0</v>
      </c>
      <c r="D55" s="1010">
        <f t="shared" ref="D55:Q55" si="20">SUM(D56:D57)</f>
        <v>0</v>
      </c>
      <c r="E55" s="1010">
        <f t="shared" si="20"/>
        <v>0</v>
      </c>
      <c r="F55" s="1010">
        <f t="shared" si="20"/>
        <v>0</v>
      </c>
      <c r="G55" s="1010">
        <f t="shared" si="20"/>
        <v>0</v>
      </c>
      <c r="H55" s="1010">
        <f t="shared" si="20"/>
        <v>0</v>
      </c>
      <c r="I55" s="1010">
        <f t="shared" si="20"/>
        <v>0</v>
      </c>
      <c r="J55" s="1010">
        <f t="shared" si="20"/>
        <v>0</v>
      </c>
      <c r="K55" s="1010">
        <f t="shared" si="20"/>
        <v>0</v>
      </c>
      <c r="L55" s="1010">
        <f t="shared" si="20"/>
        <v>0</v>
      </c>
      <c r="M55" s="1010">
        <f t="shared" si="20"/>
        <v>0</v>
      </c>
      <c r="N55" s="1010">
        <f t="shared" si="20"/>
        <v>0</v>
      </c>
      <c r="O55" s="1010">
        <f t="shared" si="20"/>
        <v>0</v>
      </c>
      <c r="P55" s="1010">
        <f t="shared" si="20"/>
        <v>0</v>
      </c>
      <c r="Q55" s="1010">
        <f t="shared" si="20"/>
        <v>0</v>
      </c>
    </row>
    <row r="56" spans="1:17">
      <c r="A56" s="705" t="s">
        <v>801</v>
      </c>
      <c r="B56" s="983" t="s">
        <v>802</v>
      </c>
      <c r="C56" s="707"/>
      <c r="D56" s="707"/>
      <c r="E56" s="707"/>
      <c r="F56" s="707"/>
      <c r="G56" s="707"/>
      <c r="H56" s="707"/>
      <c r="I56" s="707"/>
      <c r="J56" s="707"/>
      <c r="K56" s="707"/>
      <c r="L56" s="707"/>
      <c r="M56" s="707"/>
      <c r="N56" s="707"/>
      <c r="O56" s="707"/>
      <c r="P56" s="707"/>
      <c r="Q56" s="707"/>
    </row>
    <row r="57" spans="1:17">
      <c r="A57" s="705" t="s">
        <v>803</v>
      </c>
      <c r="B57" s="983" t="s">
        <v>804</v>
      </c>
      <c r="C57" s="707"/>
      <c r="D57" s="707"/>
      <c r="E57" s="707"/>
      <c r="F57" s="707"/>
      <c r="G57" s="707"/>
      <c r="H57" s="707"/>
      <c r="I57" s="707"/>
      <c r="J57" s="707"/>
      <c r="K57" s="707"/>
      <c r="L57" s="707"/>
      <c r="M57" s="707"/>
      <c r="N57" s="707"/>
      <c r="O57" s="707"/>
      <c r="P57" s="707"/>
      <c r="Q57" s="707"/>
    </row>
    <row r="58" spans="1:17">
      <c r="A58" s="705" t="s">
        <v>764</v>
      </c>
      <c r="B58" s="709" t="s">
        <v>805</v>
      </c>
      <c r="C58" s="1010">
        <f>SUM(C59:C60)</f>
        <v>0</v>
      </c>
      <c r="D58" s="1010">
        <f t="shared" ref="D58:Q58" si="21">SUM(D59:D60)</f>
        <v>0</v>
      </c>
      <c r="E58" s="1010">
        <f t="shared" si="21"/>
        <v>0</v>
      </c>
      <c r="F58" s="1010">
        <f t="shared" si="21"/>
        <v>0</v>
      </c>
      <c r="G58" s="1010">
        <f t="shared" si="21"/>
        <v>0</v>
      </c>
      <c r="H58" s="1010">
        <f t="shared" si="21"/>
        <v>0</v>
      </c>
      <c r="I58" s="1010">
        <f t="shared" si="21"/>
        <v>0</v>
      </c>
      <c r="J58" s="1010">
        <f t="shared" si="21"/>
        <v>0</v>
      </c>
      <c r="K58" s="1010">
        <f t="shared" si="21"/>
        <v>0</v>
      </c>
      <c r="L58" s="1010">
        <f t="shared" si="21"/>
        <v>0</v>
      </c>
      <c r="M58" s="1010">
        <f t="shared" si="21"/>
        <v>0</v>
      </c>
      <c r="N58" s="1010">
        <f t="shared" si="21"/>
        <v>0</v>
      </c>
      <c r="O58" s="1010">
        <f t="shared" si="21"/>
        <v>0</v>
      </c>
      <c r="P58" s="1010">
        <f t="shared" si="21"/>
        <v>0</v>
      </c>
      <c r="Q58" s="1010">
        <f t="shared" si="21"/>
        <v>0</v>
      </c>
    </row>
    <row r="59" spans="1:17">
      <c r="A59" s="438" t="s">
        <v>806</v>
      </c>
      <c r="B59" s="983" t="s">
        <v>802</v>
      </c>
      <c r="C59" s="707"/>
      <c r="D59" s="707"/>
      <c r="E59" s="707"/>
      <c r="F59" s="707"/>
      <c r="G59" s="707"/>
      <c r="H59" s="707"/>
      <c r="I59" s="707"/>
      <c r="J59" s="707"/>
      <c r="K59" s="707"/>
      <c r="L59" s="707"/>
      <c r="M59" s="707"/>
      <c r="N59" s="707"/>
      <c r="O59" s="707"/>
      <c r="P59" s="707"/>
      <c r="Q59" s="707"/>
    </row>
    <row r="60" spans="1:17">
      <c r="A60" s="438" t="s">
        <v>807</v>
      </c>
      <c r="B60" s="983" t="s">
        <v>804</v>
      </c>
      <c r="C60" s="707"/>
      <c r="D60" s="707"/>
      <c r="E60" s="707"/>
      <c r="F60" s="707"/>
      <c r="G60" s="707"/>
      <c r="H60" s="707"/>
      <c r="I60" s="707"/>
      <c r="J60" s="707"/>
      <c r="K60" s="707"/>
      <c r="L60" s="707"/>
      <c r="M60" s="707"/>
      <c r="N60" s="707"/>
      <c r="O60" s="707"/>
      <c r="P60" s="707"/>
      <c r="Q60" s="707"/>
    </row>
    <row r="61" spans="1:17">
      <c r="A61" s="705" t="s">
        <v>766</v>
      </c>
      <c r="B61" s="709" t="s">
        <v>808</v>
      </c>
      <c r="C61" s="1010">
        <f>SUM(C62:C63)</f>
        <v>0</v>
      </c>
      <c r="D61" s="1010">
        <f t="shared" ref="D61:Q61" si="22">SUM(D62:D63)</f>
        <v>0</v>
      </c>
      <c r="E61" s="1010">
        <f t="shared" si="22"/>
        <v>0</v>
      </c>
      <c r="F61" s="1010">
        <f t="shared" si="22"/>
        <v>0</v>
      </c>
      <c r="G61" s="1010">
        <f t="shared" si="22"/>
        <v>0</v>
      </c>
      <c r="H61" s="1010">
        <f t="shared" si="22"/>
        <v>0</v>
      </c>
      <c r="I61" s="1010">
        <f t="shared" si="22"/>
        <v>0</v>
      </c>
      <c r="J61" s="1010">
        <f t="shared" si="22"/>
        <v>0</v>
      </c>
      <c r="K61" s="1010">
        <f t="shared" si="22"/>
        <v>0</v>
      </c>
      <c r="L61" s="1010">
        <f t="shared" si="22"/>
        <v>0</v>
      </c>
      <c r="M61" s="1010">
        <f t="shared" si="22"/>
        <v>0</v>
      </c>
      <c r="N61" s="1010">
        <f t="shared" si="22"/>
        <v>0</v>
      </c>
      <c r="O61" s="1010">
        <f t="shared" si="22"/>
        <v>0</v>
      </c>
      <c r="P61" s="1010">
        <f t="shared" si="22"/>
        <v>0</v>
      </c>
      <c r="Q61" s="1010">
        <f t="shared" si="22"/>
        <v>0</v>
      </c>
    </row>
    <row r="62" spans="1:17">
      <c r="A62" s="438" t="s">
        <v>809</v>
      </c>
      <c r="B62" s="983" t="s">
        <v>802</v>
      </c>
      <c r="C62" s="707"/>
      <c r="D62" s="707"/>
      <c r="E62" s="707"/>
      <c r="F62" s="707"/>
      <c r="G62" s="707"/>
      <c r="H62" s="707"/>
      <c r="I62" s="707"/>
      <c r="J62" s="707"/>
      <c r="K62" s="707"/>
      <c r="L62" s="707"/>
      <c r="M62" s="707"/>
      <c r="N62" s="707"/>
      <c r="O62" s="707"/>
      <c r="P62" s="707"/>
      <c r="Q62" s="707"/>
    </row>
    <row r="63" spans="1:17">
      <c r="A63" s="438" t="s">
        <v>810</v>
      </c>
      <c r="B63" s="983" t="s">
        <v>804</v>
      </c>
      <c r="C63" s="707"/>
      <c r="D63" s="707"/>
      <c r="E63" s="707"/>
      <c r="F63" s="707"/>
      <c r="G63" s="707"/>
      <c r="H63" s="707"/>
      <c r="I63" s="707"/>
      <c r="J63" s="707"/>
      <c r="K63" s="707"/>
      <c r="L63" s="707"/>
      <c r="M63" s="707"/>
      <c r="N63" s="707"/>
      <c r="O63" s="707"/>
      <c r="P63" s="707"/>
      <c r="Q63" s="707"/>
    </row>
    <row r="64" spans="1:17">
      <c r="A64" s="705" t="s">
        <v>768</v>
      </c>
      <c r="B64" s="709" t="s">
        <v>811</v>
      </c>
      <c r="C64" s="1010">
        <f>SUM(C65:C66)</f>
        <v>0</v>
      </c>
      <c r="D64" s="1010">
        <f t="shared" ref="D64:Q64" si="23">SUM(D65:D66)</f>
        <v>0</v>
      </c>
      <c r="E64" s="1010">
        <f t="shared" si="23"/>
        <v>0</v>
      </c>
      <c r="F64" s="1010">
        <f t="shared" si="23"/>
        <v>0</v>
      </c>
      <c r="G64" s="1010">
        <f t="shared" si="23"/>
        <v>0</v>
      </c>
      <c r="H64" s="1010">
        <f t="shared" si="23"/>
        <v>0</v>
      </c>
      <c r="I64" s="1010">
        <f t="shared" si="23"/>
        <v>0</v>
      </c>
      <c r="J64" s="1010">
        <f t="shared" si="23"/>
        <v>0</v>
      </c>
      <c r="K64" s="1010">
        <f t="shared" si="23"/>
        <v>0</v>
      </c>
      <c r="L64" s="1010">
        <f t="shared" si="23"/>
        <v>0</v>
      </c>
      <c r="M64" s="1010">
        <f t="shared" si="23"/>
        <v>0</v>
      </c>
      <c r="N64" s="1010">
        <f t="shared" si="23"/>
        <v>0</v>
      </c>
      <c r="O64" s="1010">
        <f t="shared" si="23"/>
        <v>0</v>
      </c>
      <c r="P64" s="1010">
        <f t="shared" si="23"/>
        <v>0</v>
      </c>
      <c r="Q64" s="1010">
        <f t="shared" si="23"/>
        <v>0</v>
      </c>
    </row>
    <row r="65" spans="1:17">
      <c r="A65" s="438" t="s">
        <v>812</v>
      </c>
      <c r="B65" s="983" t="s">
        <v>802</v>
      </c>
      <c r="C65" s="707"/>
      <c r="D65" s="707"/>
      <c r="E65" s="707"/>
      <c r="F65" s="707"/>
      <c r="G65" s="707"/>
      <c r="H65" s="707"/>
      <c r="I65" s="707"/>
      <c r="J65" s="707"/>
      <c r="K65" s="707"/>
      <c r="L65" s="707"/>
      <c r="M65" s="707"/>
      <c r="N65" s="707"/>
      <c r="O65" s="707"/>
      <c r="P65" s="707"/>
      <c r="Q65" s="707"/>
    </row>
    <row r="66" spans="1:17">
      <c r="A66" s="438" t="s">
        <v>813</v>
      </c>
      <c r="B66" s="983" t="s">
        <v>804</v>
      </c>
      <c r="C66" s="707"/>
      <c r="D66" s="707"/>
      <c r="E66" s="707"/>
      <c r="F66" s="707"/>
      <c r="G66" s="707"/>
      <c r="H66" s="707"/>
      <c r="I66" s="707"/>
      <c r="J66" s="707"/>
      <c r="K66" s="707"/>
      <c r="L66" s="707"/>
      <c r="M66" s="707"/>
      <c r="N66" s="707"/>
      <c r="O66" s="707"/>
      <c r="P66" s="707"/>
      <c r="Q66" s="707"/>
    </row>
    <row r="67" spans="1:17">
      <c r="A67" s="705" t="s">
        <v>770</v>
      </c>
      <c r="B67" s="709" t="s">
        <v>814</v>
      </c>
      <c r="C67" s="1010">
        <f>SUM(C68:C69)</f>
        <v>0</v>
      </c>
      <c r="D67" s="1010">
        <f t="shared" ref="D67:Q67" si="24">SUM(D68:D69)</f>
        <v>0</v>
      </c>
      <c r="E67" s="1010">
        <f t="shared" si="24"/>
        <v>0</v>
      </c>
      <c r="F67" s="1010">
        <f t="shared" si="24"/>
        <v>0</v>
      </c>
      <c r="G67" s="1010">
        <f t="shared" si="24"/>
        <v>0</v>
      </c>
      <c r="H67" s="1010">
        <f t="shared" si="24"/>
        <v>0</v>
      </c>
      <c r="I67" s="1010">
        <f t="shared" si="24"/>
        <v>0</v>
      </c>
      <c r="J67" s="1010">
        <f t="shared" si="24"/>
        <v>0</v>
      </c>
      <c r="K67" s="1010">
        <f t="shared" si="24"/>
        <v>0</v>
      </c>
      <c r="L67" s="1010">
        <f t="shared" si="24"/>
        <v>0</v>
      </c>
      <c r="M67" s="1010">
        <f t="shared" si="24"/>
        <v>0</v>
      </c>
      <c r="N67" s="1010">
        <f t="shared" si="24"/>
        <v>0</v>
      </c>
      <c r="O67" s="1010">
        <f t="shared" si="24"/>
        <v>0</v>
      </c>
      <c r="P67" s="1010">
        <f t="shared" si="24"/>
        <v>0</v>
      </c>
      <c r="Q67" s="1010">
        <f t="shared" si="24"/>
        <v>0</v>
      </c>
    </row>
    <row r="68" spans="1:17">
      <c r="A68" s="438" t="s">
        <v>815</v>
      </c>
      <c r="B68" s="983" t="s">
        <v>802</v>
      </c>
      <c r="C68" s="707"/>
      <c r="D68" s="707"/>
      <c r="E68" s="707"/>
      <c r="F68" s="707"/>
      <c r="G68" s="707"/>
      <c r="H68" s="707"/>
      <c r="I68" s="707"/>
      <c r="J68" s="707"/>
      <c r="K68" s="707"/>
      <c r="L68" s="707"/>
      <c r="M68" s="707"/>
      <c r="N68" s="707"/>
      <c r="O68" s="707"/>
      <c r="P68" s="707"/>
      <c r="Q68" s="707"/>
    </row>
    <row r="69" spans="1:17">
      <c r="A69" s="438" t="s">
        <v>816</v>
      </c>
      <c r="B69" s="983" t="s">
        <v>804</v>
      </c>
      <c r="C69" s="707"/>
      <c r="D69" s="707"/>
      <c r="E69" s="707"/>
      <c r="F69" s="707"/>
      <c r="G69" s="707"/>
      <c r="H69" s="707"/>
      <c r="I69" s="707"/>
      <c r="J69" s="707"/>
      <c r="K69" s="707"/>
      <c r="L69" s="707"/>
      <c r="M69" s="707"/>
      <c r="N69" s="707"/>
      <c r="O69" s="707"/>
      <c r="P69" s="707"/>
      <c r="Q69" s="707"/>
    </row>
    <row r="70" spans="1:17">
      <c r="A70" s="705" t="s">
        <v>772</v>
      </c>
      <c r="B70" s="709" t="s">
        <v>817</v>
      </c>
      <c r="C70" s="1010">
        <f>SUM(C71:C72)</f>
        <v>0</v>
      </c>
      <c r="D70" s="1010">
        <f t="shared" ref="D70:Q70" si="25">SUM(D71:D72)</f>
        <v>0</v>
      </c>
      <c r="E70" s="1010">
        <f t="shared" si="25"/>
        <v>0</v>
      </c>
      <c r="F70" s="1010">
        <f t="shared" si="25"/>
        <v>0</v>
      </c>
      <c r="G70" s="1010">
        <f t="shared" si="25"/>
        <v>0</v>
      </c>
      <c r="H70" s="1010">
        <f t="shared" si="25"/>
        <v>0</v>
      </c>
      <c r="I70" s="1010">
        <f t="shared" si="25"/>
        <v>0</v>
      </c>
      <c r="J70" s="1010">
        <f t="shared" si="25"/>
        <v>0</v>
      </c>
      <c r="K70" s="1010">
        <f t="shared" si="25"/>
        <v>0</v>
      </c>
      <c r="L70" s="1010">
        <f t="shared" si="25"/>
        <v>0</v>
      </c>
      <c r="M70" s="1010">
        <f t="shared" si="25"/>
        <v>0</v>
      </c>
      <c r="N70" s="1010">
        <f t="shared" si="25"/>
        <v>0</v>
      </c>
      <c r="O70" s="1010">
        <f t="shared" si="25"/>
        <v>0</v>
      </c>
      <c r="P70" s="1010">
        <f t="shared" si="25"/>
        <v>0</v>
      </c>
      <c r="Q70" s="1010">
        <f t="shared" si="25"/>
        <v>0</v>
      </c>
    </row>
    <row r="71" spans="1:17">
      <c r="A71" s="438" t="s">
        <v>818</v>
      </c>
      <c r="B71" s="983" t="s">
        <v>802</v>
      </c>
      <c r="C71" s="707"/>
      <c r="D71" s="707"/>
      <c r="E71" s="707"/>
      <c r="F71" s="707"/>
      <c r="G71" s="707"/>
      <c r="H71" s="707"/>
      <c r="I71" s="707"/>
      <c r="J71" s="707"/>
      <c r="K71" s="707"/>
      <c r="L71" s="707"/>
      <c r="M71" s="707"/>
      <c r="N71" s="707"/>
      <c r="O71" s="707"/>
      <c r="P71" s="707"/>
      <c r="Q71" s="707"/>
    </row>
    <row r="72" spans="1:17">
      <c r="A72" s="438" t="s">
        <v>819</v>
      </c>
      <c r="B72" s="983" t="s">
        <v>804</v>
      </c>
      <c r="C72" s="707"/>
      <c r="D72" s="707"/>
      <c r="E72" s="707"/>
      <c r="F72" s="707"/>
      <c r="G72" s="707"/>
      <c r="H72" s="707"/>
      <c r="I72" s="707"/>
      <c r="J72" s="707"/>
      <c r="K72" s="707"/>
      <c r="L72" s="707"/>
      <c r="M72" s="707"/>
      <c r="N72" s="707"/>
      <c r="O72" s="707"/>
      <c r="P72" s="707"/>
      <c r="Q72" s="707"/>
    </row>
    <row r="73" spans="1:17">
      <c r="A73" s="705" t="s">
        <v>774</v>
      </c>
      <c r="B73" s="709" t="s">
        <v>820</v>
      </c>
      <c r="C73" s="1010">
        <f>SUM(C74:C75)</f>
        <v>0</v>
      </c>
      <c r="D73" s="1010">
        <f t="shared" ref="D73:Q73" si="26">SUM(D74:D75)</f>
        <v>0</v>
      </c>
      <c r="E73" s="1010">
        <f t="shared" si="26"/>
        <v>0</v>
      </c>
      <c r="F73" s="1010">
        <f t="shared" si="26"/>
        <v>0</v>
      </c>
      <c r="G73" s="1010">
        <f t="shared" si="26"/>
        <v>0</v>
      </c>
      <c r="H73" s="1010">
        <f t="shared" si="26"/>
        <v>0</v>
      </c>
      <c r="I73" s="1010">
        <f t="shared" si="26"/>
        <v>0</v>
      </c>
      <c r="J73" s="1010">
        <f t="shared" si="26"/>
        <v>0</v>
      </c>
      <c r="K73" s="1010">
        <f t="shared" si="26"/>
        <v>0</v>
      </c>
      <c r="L73" s="1010">
        <f t="shared" si="26"/>
        <v>0</v>
      </c>
      <c r="M73" s="1010">
        <f t="shared" si="26"/>
        <v>0</v>
      </c>
      <c r="N73" s="1010">
        <f t="shared" si="26"/>
        <v>0</v>
      </c>
      <c r="O73" s="1010">
        <f t="shared" si="26"/>
        <v>0</v>
      </c>
      <c r="P73" s="1010">
        <f t="shared" si="26"/>
        <v>0</v>
      </c>
      <c r="Q73" s="1010">
        <f t="shared" si="26"/>
        <v>0</v>
      </c>
    </row>
    <row r="74" spans="1:17">
      <c r="A74" s="438" t="s">
        <v>821</v>
      </c>
      <c r="B74" s="983" t="s">
        <v>802</v>
      </c>
      <c r="C74" s="707"/>
      <c r="D74" s="707"/>
      <c r="E74" s="707"/>
      <c r="F74" s="707"/>
      <c r="G74" s="707"/>
      <c r="H74" s="707"/>
      <c r="I74" s="707"/>
      <c r="J74" s="707"/>
      <c r="K74" s="707"/>
      <c r="L74" s="707"/>
      <c r="M74" s="707"/>
      <c r="N74" s="707"/>
      <c r="O74" s="707"/>
      <c r="P74" s="707"/>
      <c r="Q74" s="707"/>
    </row>
    <row r="75" spans="1:17">
      <c r="A75" s="438" t="s">
        <v>822</v>
      </c>
      <c r="B75" s="983" t="s">
        <v>804</v>
      </c>
      <c r="C75" s="707"/>
      <c r="D75" s="707"/>
      <c r="E75" s="707"/>
      <c r="F75" s="707"/>
      <c r="G75" s="707"/>
      <c r="H75" s="707"/>
      <c r="I75" s="707"/>
      <c r="J75" s="707"/>
      <c r="K75" s="707"/>
      <c r="L75" s="707"/>
      <c r="M75" s="707"/>
      <c r="N75" s="707"/>
      <c r="O75" s="707"/>
      <c r="P75" s="707"/>
      <c r="Q75" s="707"/>
    </row>
    <row r="76" spans="1:17">
      <c r="A76" s="700" t="s">
        <v>776</v>
      </c>
      <c r="B76" s="709" t="s">
        <v>823</v>
      </c>
      <c r="C76" s="1010">
        <f>SUM(C77:C78)</f>
        <v>0</v>
      </c>
      <c r="D76" s="1010">
        <f t="shared" ref="D76:Q76" si="27">SUM(D77:D78)</f>
        <v>0</v>
      </c>
      <c r="E76" s="1010">
        <f t="shared" si="27"/>
        <v>0</v>
      </c>
      <c r="F76" s="1010">
        <f t="shared" si="27"/>
        <v>0</v>
      </c>
      <c r="G76" s="1010">
        <f t="shared" si="27"/>
        <v>0</v>
      </c>
      <c r="H76" s="1010">
        <f t="shared" si="27"/>
        <v>0</v>
      </c>
      <c r="I76" s="1010">
        <f t="shared" si="27"/>
        <v>0</v>
      </c>
      <c r="J76" s="1010">
        <f t="shared" si="27"/>
        <v>0</v>
      </c>
      <c r="K76" s="1010">
        <f t="shared" si="27"/>
        <v>0</v>
      </c>
      <c r="L76" s="1010">
        <f t="shared" si="27"/>
        <v>0</v>
      </c>
      <c r="M76" s="1010">
        <f t="shared" si="27"/>
        <v>0</v>
      </c>
      <c r="N76" s="1010">
        <f t="shared" si="27"/>
        <v>0</v>
      </c>
      <c r="O76" s="1010">
        <f t="shared" si="27"/>
        <v>0</v>
      </c>
      <c r="P76" s="1010">
        <f t="shared" si="27"/>
        <v>0</v>
      </c>
      <c r="Q76" s="1010">
        <f t="shared" si="27"/>
        <v>0</v>
      </c>
    </row>
    <row r="77" spans="1:17">
      <c r="A77" s="438" t="s">
        <v>824</v>
      </c>
      <c r="B77" s="983" t="s">
        <v>802</v>
      </c>
      <c r="C77" s="707"/>
      <c r="D77" s="707"/>
      <c r="E77" s="707"/>
      <c r="F77" s="707"/>
      <c r="G77" s="707"/>
      <c r="H77" s="707"/>
      <c r="I77" s="707"/>
      <c r="J77" s="707"/>
      <c r="K77" s="707"/>
      <c r="L77" s="707"/>
      <c r="M77" s="707"/>
      <c r="N77" s="707"/>
      <c r="O77" s="707"/>
      <c r="P77" s="707"/>
      <c r="Q77" s="707"/>
    </row>
    <row r="78" spans="1:17">
      <c r="A78" s="438" t="s">
        <v>825</v>
      </c>
      <c r="B78" s="983" t="s">
        <v>804</v>
      </c>
      <c r="C78" s="707"/>
      <c r="D78" s="707"/>
      <c r="E78" s="707"/>
      <c r="F78" s="707"/>
      <c r="G78" s="707"/>
      <c r="H78" s="707"/>
      <c r="I78" s="707"/>
      <c r="J78" s="707"/>
      <c r="K78" s="707"/>
      <c r="L78" s="707"/>
      <c r="M78" s="707"/>
      <c r="N78" s="707"/>
      <c r="O78" s="707"/>
      <c r="P78" s="707"/>
      <c r="Q78" s="707"/>
    </row>
    <row r="79" spans="1:17">
      <c r="A79" s="700" t="s">
        <v>778</v>
      </c>
      <c r="B79" s="709" t="s">
        <v>826</v>
      </c>
      <c r="C79" s="1010">
        <f>SUM(C80:C81)</f>
        <v>0</v>
      </c>
      <c r="D79" s="1010">
        <f t="shared" ref="D79:Q79" si="28">SUM(D80:D81)</f>
        <v>0</v>
      </c>
      <c r="E79" s="1010">
        <f t="shared" si="28"/>
        <v>0</v>
      </c>
      <c r="F79" s="1010">
        <f t="shared" si="28"/>
        <v>0</v>
      </c>
      <c r="G79" s="1010">
        <f t="shared" si="28"/>
        <v>0</v>
      </c>
      <c r="H79" s="1010">
        <f t="shared" si="28"/>
        <v>0</v>
      </c>
      <c r="I79" s="1010">
        <f t="shared" si="28"/>
        <v>0</v>
      </c>
      <c r="J79" s="1010">
        <f t="shared" si="28"/>
        <v>0</v>
      </c>
      <c r="K79" s="1010">
        <f t="shared" si="28"/>
        <v>0</v>
      </c>
      <c r="L79" s="1010">
        <f t="shared" si="28"/>
        <v>0</v>
      </c>
      <c r="M79" s="1010">
        <f t="shared" si="28"/>
        <v>0</v>
      </c>
      <c r="N79" s="1010">
        <f t="shared" si="28"/>
        <v>0</v>
      </c>
      <c r="O79" s="1010">
        <f t="shared" si="28"/>
        <v>0</v>
      </c>
      <c r="P79" s="1010">
        <f t="shared" si="28"/>
        <v>0</v>
      </c>
      <c r="Q79" s="1010">
        <f t="shared" si="28"/>
        <v>0</v>
      </c>
    </row>
    <row r="80" spans="1:17">
      <c r="A80" s="438" t="s">
        <v>827</v>
      </c>
      <c r="B80" s="983" t="s">
        <v>802</v>
      </c>
      <c r="C80" s="707"/>
      <c r="D80" s="707"/>
      <c r="E80" s="707"/>
      <c r="F80" s="707"/>
      <c r="G80" s="707"/>
      <c r="H80" s="707"/>
      <c r="I80" s="707"/>
      <c r="J80" s="707"/>
      <c r="K80" s="707"/>
      <c r="L80" s="707"/>
      <c r="M80" s="707"/>
      <c r="N80" s="707"/>
      <c r="O80" s="707"/>
      <c r="P80" s="707"/>
      <c r="Q80" s="707"/>
    </row>
    <row r="81" spans="1:17">
      <c r="A81" s="438" t="s">
        <v>828</v>
      </c>
      <c r="B81" s="983" t="s">
        <v>804</v>
      </c>
      <c r="C81" s="707"/>
      <c r="D81" s="707"/>
      <c r="E81" s="707"/>
      <c r="F81" s="707"/>
      <c r="G81" s="707"/>
      <c r="H81" s="707"/>
      <c r="I81" s="707"/>
      <c r="J81" s="707"/>
      <c r="K81" s="707"/>
      <c r="L81" s="707"/>
      <c r="M81" s="707"/>
      <c r="N81" s="707"/>
      <c r="O81" s="707"/>
      <c r="P81" s="707"/>
      <c r="Q81" s="707"/>
    </row>
    <row r="82" spans="1:17">
      <c r="A82" s="700" t="s">
        <v>780</v>
      </c>
      <c r="B82" s="709" t="s">
        <v>829</v>
      </c>
      <c r="C82" s="1010">
        <f>SUM(C83:C84)</f>
        <v>0</v>
      </c>
      <c r="D82" s="1010">
        <f t="shared" ref="D82:Q82" si="29">SUM(D83:D84)</f>
        <v>0</v>
      </c>
      <c r="E82" s="1010">
        <f t="shared" si="29"/>
        <v>0</v>
      </c>
      <c r="F82" s="1010">
        <f t="shared" si="29"/>
        <v>0</v>
      </c>
      <c r="G82" s="1010">
        <f t="shared" si="29"/>
        <v>0</v>
      </c>
      <c r="H82" s="1010">
        <f t="shared" si="29"/>
        <v>0</v>
      </c>
      <c r="I82" s="1010">
        <f t="shared" si="29"/>
        <v>0</v>
      </c>
      <c r="J82" s="1010">
        <f t="shared" si="29"/>
        <v>0</v>
      </c>
      <c r="K82" s="1010">
        <f t="shared" si="29"/>
        <v>0</v>
      </c>
      <c r="L82" s="1010">
        <f t="shared" si="29"/>
        <v>0</v>
      </c>
      <c r="M82" s="1010">
        <f t="shared" si="29"/>
        <v>0</v>
      </c>
      <c r="N82" s="1010">
        <f t="shared" si="29"/>
        <v>0</v>
      </c>
      <c r="O82" s="1010">
        <f t="shared" si="29"/>
        <v>0</v>
      </c>
      <c r="P82" s="1010">
        <f t="shared" si="29"/>
        <v>0</v>
      </c>
      <c r="Q82" s="1010">
        <f t="shared" si="29"/>
        <v>0</v>
      </c>
    </row>
    <row r="83" spans="1:17">
      <c r="A83" s="438" t="s">
        <v>830</v>
      </c>
      <c r="B83" s="983" t="s">
        <v>802</v>
      </c>
      <c r="C83" s="707"/>
      <c r="D83" s="707"/>
      <c r="E83" s="707"/>
      <c r="F83" s="707"/>
      <c r="G83" s="707"/>
      <c r="H83" s="707"/>
      <c r="I83" s="707"/>
      <c r="J83" s="707"/>
      <c r="K83" s="707"/>
      <c r="L83" s="707"/>
      <c r="M83" s="707"/>
      <c r="N83" s="707"/>
      <c r="O83" s="707"/>
      <c r="P83" s="707"/>
      <c r="Q83" s="707"/>
    </row>
    <row r="84" spans="1:17" ht="13.5" thickBot="1">
      <c r="A84" s="438" t="s">
        <v>831</v>
      </c>
      <c r="B84" s="983" t="s">
        <v>804</v>
      </c>
      <c r="C84" s="707"/>
      <c r="D84" s="707"/>
      <c r="E84" s="707"/>
      <c r="F84" s="707"/>
      <c r="G84" s="707"/>
      <c r="H84" s="707"/>
      <c r="I84" s="707"/>
      <c r="J84" s="707"/>
      <c r="K84" s="707"/>
      <c r="L84" s="707"/>
      <c r="M84" s="707"/>
      <c r="N84" s="707"/>
      <c r="O84" s="707"/>
      <c r="P84" s="707"/>
      <c r="Q84" s="707"/>
    </row>
    <row r="85" spans="1:17">
      <c r="A85" s="700" t="s">
        <v>782</v>
      </c>
      <c r="B85" s="701" t="s">
        <v>832</v>
      </c>
      <c r="C85" s="710">
        <f>+SUM(C86:C93)</f>
        <v>0</v>
      </c>
      <c r="D85" s="710">
        <f t="shared" ref="D85:Q85" si="30">+SUM(D86:D93)</f>
        <v>0</v>
      </c>
      <c r="E85" s="710">
        <f t="shared" si="30"/>
        <v>0</v>
      </c>
      <c r="F85" s="710">
        <f t="shared" si="30"/>
        <v>0</v>
      </c>
      <c r="G85" s="710">
        <f t="shared" si="30"/>
        <v>0</v>
      </c>
      <c r="H85" s="710">
        <f t="shared" si="30"/>
        <v>0</v>
      </c>
      <c r="I85" s="710">
        <f t="shared" si="30"/>
        <v>0</v>
      </c>
      <c r="J85" s="710">
        <f t="shared" si="30"/>
        <v>0</v>
      </c>
      <c r="K85" s="710">
        <f t="shared" si="30"/>
        <v>0</v>
      </c>
      <c r="L85" s="710">
        <f t="shared" si="30"/>
        <v>0</v>
      </c>
      <c r="M85" s="710">
        <f t="shared" si="30"/>
        <v>0</v>
      </c>
      <c r="N85" s="710">
        <f t="shared" si="30"/>
        <v>0</v>
      </c>
      <c r="O85" s="710">
        <f t="shared" si="30"/>
        <v>0</v>
      </c>
      <c r="P85" s="710">
        <f t="shared" si="30"/>
        <v>0</v>
      </c>
      <c r="Q85" s="711">
        <f t="shared" si="30"/>
        <v>0</v>
      </c>
    </row>
    <row r="86" spans="1:17">
      <c r="A86" s="700" t="s">
        <v>784</v>
      </c>
      <c r="B86" s="706" t="s">
        <v>785</v>
      </c>
      <c r="C86" s="707"/>
      <c r="D86" s="707"/>
      <c r="E86" s="707"/>
      <c r="F86" s="707"/>
      <c r="G86" s="707"/>
      <c r="H86" s="707"/>
      <c r="I86" s="707"/>
      <c r="J86" s="707"/>
      <c r="K86" s="707"/>
      <c r="L86" s="707"/>
      <c r="M86" s="707"/>
      <c r="N86" s="707"/>
      <c r="O86" s="707"/>
      <c r="P86" s="707"/>
      <c r="Q86" s="707"/>
    </row>
    <row r="87" spans="1:17">
      <c r="A87" s="700" t="s">
        <v>786</v>
      </c>
      <c r="B87" s="706" t="s">
        <v>787</v>
      </c>
      <c r="C87" s="707"/>
      <c r="D87" s="707"/>
      <c r="E87" s="707"/>
      <c r="F87" s="707"/>
      <c r="G87" s="707"/>
      <c r="H87" s="707"/>
      <c r="I87" s="967"/>
      <c r="J87" s="707"/>
      <c r="K87" s="707"/>
      <c r="L87" s="707"/>
      <c r="M87" s="707"/>
      <c r="N87" s="707"/>
      <c r="O87" s="707"/>
      <c r="P87" s="707"/>
      <c r="Q87" s="708"/>
    </row>
    <row r="88" spans="1:17">
      <c r="A88" s="700" t="s">
        <v>788</v>
      </c>
      <c r="B88" s="706" t="s">
        <v>789</v>
      </c>
      <c r="C88" s="707"/>
      <c r="D88" s="707"/>
      <c r="E88" s="707"/>
      <c r="F88" s="707"/>
      <c r="G88" s="707"/>
      <c r="H88" s="707"/>
      <c r="I88" s="707"/>
      <c r="J88" s="707"/>
      <c r="K88" s="707"/>
      <c r="L88" s="707"/>
      <c r="M88" s="707"/>
      <c r="N88" s="707"/>
      <c r="O88" s="707"/>
      <c r="P88" s="707"/>
      <c r="Q88" s="708"/>
    </row>
    <row r="89" spans="1:17">
      <c r="A89" s="700" t="s">
        <v>790</v>
      </c>
      <c r="B89" s="706" t="s">
        <v>791</v>
      </c>
      <c r="C89" s="707"/>
      <c r="D89" s="707"/>
      <c r="E89" s="707"/>
      <c r="F89" s="707"/>
      <c r="G89" s="707"/>
      <c r="H89" s="707"/>
      <c r="I89" s="707"/>
      <c r="J89" s="707"/>
      <c r="K89" s="707"/>
      <c r="L89" s="707"/>
      <c r="M89" s="707"/>
      <c r="N89" s="707"/>
      <c r="O89" s="707"/>
      <c r="P89" s="707"/>
      <c r="Q89" s="708"/>
    </row>
    <row r="90" spans="1:17">
      <c r="A90" s="700" t="s">
        <v>792</v>
      </c>
      <c r="B90" s="712" t="s">
        <v>793</v>
      </c>
      <c r="C90" s="713"/>
      <c r="D90" s="713"/>
      <c r="E90" s="713"/>
      <c r="F90" s="713"/>
      <c r="G90" s="713"/>
      <c r="H90" s="713"/>
      <c r="I90" s="713"/>
      <c r="J90" s="713"/>
      <c r="K90" s="713"/>
      <c r="L90" s="713"/>
      <c r="M90" s="713"/>
      <c r="N90" s="713"/>
      <c r="O90" s="713"/>
      <c r="P90" s="713"/>
      <c r="Q90" s="714"/>
    </row>
    <row r="91" spans="1:17">
      <c r="A91" s="700" t="s">
        <v>794</v>
      </c>
      <c r="B91" s="706" t="s">
        <v>777</v>
      </c>
      <c r="C91" s="713"/>
      <c r="D91" s="713"/>
      <c r="E91" s="713"/>
      <c r="F91" s="713"/>
      <c r="G91" s="713"/>
      <c r="H91" s="713"/>
      <c r="I91" s="713"/>
      <c r="J91" s="713"/>
      <c r="K91" s="713"/>
      <c r="L91" s="713"/>
      <c r="M91" s="713"/>
      <c r="N91" s="713"/>
      <c r="O91" s="713"/>
      <c r="P91" s="713"/>
      <c r="Q91" s="714"/>
    </row>
    <row r="92" spans="1:17">
      <c r="A92" s="700" t="s">
        <v>795</v>
      </c>
      <c r="B92" s="706" t="s">
        <v>779</v>
      </c>
      <c r="C92" s="713"/>
      <c r="D92" s="713"/>
      <c r="E92" s="713"/>
      <c r="F92" s="713"/>
      <c r="G92" s="713"/>
      <c r="H92" s="713"/>
      <c r="I92" s="713"/>
      <c r="J92" s="713"/>
      <c r="K92" s="713"/>
      <c r="L92" s="713"/>
      <c r="M92" s="713"/>
      <c r="N92" s="713"/>
      <c r="O92" s="713"/>
      <c r="P92" s="713"/>
      <c r="Q92" s="714"/>
    </row>
    <row r="93" spans="1:17" ht="13.5" thickBot="1">
      <c r="A93" s="700" t="s">
        <v>796</v>
      </c>
      <c r="B93" s="715" t="s">
        <v>781</v>
      </c>
      <c r="C93" s="716"/>
      <c r="D93" s="716"/>
      <c r="E93" s="716"/>
      <c r="F93" s="716"/>
      <c r="G93" s="716"/>
      <c r="H93" s="716"/>
      <c r="I93" s="716"/>
      <c r="J93" s="716"/>
      <c r="K93" s="716"/>
      <c r="L93" s="716"/>
      <c r="M93" s="716"/>
      <c r="N93" s="716"/>
      <c r="O93" s="716"/>
      <c r="P93" s="716"/>
      <c r="Q93" s="717"/>
    </row>
    <row r="95" spans="1:17" ht="15.75" thickBot="1">
      <c r="A95" s="1335"/>
      <c r="B95" s="1336"/>
      <c r="C95" s="16"/>
      <c r="D95" s="458"/>
      <c r="E95" s="458"/>
      <c r="F95" s="458"/>
      <c r="G95" s="458"/>
      <c r="H95" s="458"/>
      <c r="I95" s="458"/>
      <c r="J95" s="458"/>
      <c r="K95" s="458"/>
      <c r="L95" s="458"/>
      <c r="M95" s="458"/>
      <c r="N95" s="458"/>
      <c r="O95" s="458"/>
      <c r="P95" s="458"/>
      <c r="Q95" s="458"/>
    </row>
    <row r="101" spans="3:17" s="1382" customFormat="1"/>
    <row r="102" spans="3:17" s="10" customFormat="1" hidden="1">
      <c r="C102" s="10">
        <v>3</v>
      </c>
      <c r="D102" s="10">
        <v>4</v>
      </c>
      <c r="E102" s="10">
        <v>5</v>
      </c>
      <c r="F102" s="10">
        <v>6</v>
      </c>
      <c r="G102" s="10">
        <v>7</v>
      </c>
      <c r="H102" s="10">
        <v>8</v>
      </c>
      <c r="I102" s="10">
        <v>9</v>
      </c>
      <c r="J102" s="10">
        <v>10</v>
      </c>
      <c r="K102" s="10">
        <v>11</v>
      </c>
      <c r="L102" s="10">
        <v>12</v>
      </c>
      <c r="M102" s="10">
        <v>13</v>
      </c>
      <c r="N102" s="10">
        <v>14</v>
      </c>
      <c r="O102" s="10">
        <v>15</v>
      </c>
      <c r="P102" s="10">
        <v>16</v>
      </c>
      <c r="Q102" s="10">
        <v>17</v>
      </c>
    </row>
    <row r="103" spans="3:17" s="1382" customFormat="1"/>
    <row r="104" spans="3:17" s="10" customFormat="1" hidden="1"/>
    <row r="105" spans="3:17" hidden="1">
      <c r="C105" s="1348">
        <v>3</v>
      </c>
      <c r="D105" s="1348">
        <v>4</v>
      </c>
      <c r="E105" s="1348">
        <v>5</v>
      </c>
      <c r="F105" s="1348">
        <v>6</v>
      </c>
      <c r="G105" s="1348">
        <v>7</v>
      </c>
      <c r="H105" s="1348">
        <v>8</v>
      </c>
      <c r="I105" s="1348">
        <v>9</v>
      </c>
      <c r="J105" s="1348">
        <v>10</v>
      </c>
      <c r="K105" s="1348">
        <v>11</v>
      </c>
      <c r="L105" s="1348">
        <v>12</v>
      </c>
      <c r="M105" s="1348">
        <v>13</v>
      </c>
      <c r="N105" s="1348">
        <v>14</v>
      </c>
      <c r="O105" s="1348">
        <v>15</v>
      </c>
      <c r="P105" s="1348">
        <v>16</v>
      </c>
      <c r="Q105" s="1348">
        <v>17</v>
      </c>
    </row>
    <row r="106" spans="3:17" s="996" customFormat="1"/>
  </sheetData>
  <sheetProtection password="95B1" sheet="1" objects="1" scenarios="1"/>
  <phoneticPr fontId="34" type="noConversion"/>
  <printOptions horizontalCentered="1" verticalCentered="1"/>
  <pageMargins left="0.19685039370078741" right="0.19685039370078741" top="0.39370078740157483" bottom="0.39370078740157483" header="0.19685039370078741" footer="0.19685039370078741"/>
  <pageSetup scale="55" orientation="landscape" horizontalDpi="4294967293" r:id="rId1"/>
  <headerFooter alignWithMargins="0">
    <oddHeader>&amp;C&amp;"Arial,Negrita"&amp;12&amp;F</oddHeader>
    <oddFooter>&amp;L&amp;"Arial,Negrita"&amp;F &amp;A&amp;R&amp;"Arial,Negrita"Página &amp;P de &amp;N</oddFooter>
  </headerFooter>
  <legacyDrawing r:id="rId2"/>
</worksheet>
</file>

<file path=xl/worksheets/sheet7.xml><?xml version="1.0" encoding="utf-8"?>
<worksheet xmlns="http://schemas.openxmlformats.org/spreadsheetml/2006/main" xmlns:r="http://schemas.openxmlformats.org/officeDocument/2006/relationships">
  <sheetPr codeName="Hoja7"/>
  <dimension ref="A1:K191"/>
  <sheetViews>
    <sheetView topLeftCell="B22" zoomScale="80" workbookViewId="0">
      <pane xSplit="1" ySplit="8" topLeftCell="C30" activePane="bottomRight" state="frozen"/>
      <selection activeCell="B22" sqref="B22"/>
      <selection pane="topRight" activeCell="C22" sqref="C22"/>
      <selection pane="bottomLeft" activeCell="B30" sqref="B30"/>
      <selection pane="bottomRight" activeCell="A13" sqref="A13"/>
    </sheetView>
  </sheetViews>
  <sheetFormatPr baseColWidth="10" defaultRowHeight="15"/>
  <cols>
    <col min="1" max="1" width="12.28515625" style="646" bestFit="1" customWidth="1"/>
    <col min="2" max="2" width="70.7109375" style="647" customWidth="1"/>
    <col min="3" max="4" width="14.42578125" style="647" customWidth="1"/>
    <col min="5" max="5" width="14.42578125" style="646" customWidth="1"/>
    <col min="6" max="6" width="16.42578125" style="646" customWidth="1"/>
    <col min="7" max="7" width="17.5703125" style="646" customWidth="1"/>
    <col min="8" max="8" width="15" style="646" customWidth="1"/>
    <col min="9" max="9" width="16.85546875" style="646" customWidth="1"/>
    <col min="10" max="10" width="15.85546875" style="646" customWidth="1"/>
    <col min="11" max="11" width="13" style="646" customWidth="1"/>
    <col min="12" max="12" width="11.7109375" style="646" customWidth="1"/>
    <col min="13" max="13" width="14.42578125" style="646" customWidth="1"/>
    <col min="14" max="14" width="13.42578125" style="646" customWidth="1"/>
    <col min="15" max="22" width="11.42578125" style="646"/>
    <col min="23" max="23" width="10.85546875" style="646" customWidth="1"/>
    <col min="24" max="26" width="11.42578125" style="646"/>
    <col min="27" max="27" width="34.5703125" style="646" customWidth="1"/>
    <col min="28" max="16384" width="11.42578125" style="646"/>
  </cols>
  <sheetData>
    <row r="1" spans="2:7" ht="20.25" customHeight="1" thickBot="1">
      <c r="B1" s="1106" t="s">
        <v>833</v>
      </c>
    </row>
    <row r="2" spans="2:7" hidden="1">
      <c r="B2" s="646"/>
    </row>
    <row r="3" spans="2:7" ht="17.25" hidden="1">
      <c r="B3" s="808" t="s">
        <v>1224</v>
      </c>
    </row>
    <row r="4" spans="2:7" ht="17.25" hidden="1">
      <c r="B4" s="808" t="s">
        <v>1225</v>
      </c>
    </row>
    <row r="5" spans="2:7" ht="17.25" hidden="1">
      <c r="B5" s="808"/>
    </row>
    <row r="6" spans="2:7" ht="15.75" hidden="1" thickBot="1">
      <c r="B6" s="646"/>
    </row>
    <row r="7" spans="2:7" hidden="1">
      <c r="B7" s="809" t="s">
        <v>752</v>
      </c>
      <c r="C7" s="968">
        <f>Ingresos!B6</f>
        <v>0</v>
      </c>
      <c r="D7" s="810"/>
      <c r="E7" s="810"/>
      <c r="F7" s="647"/>
      <c r="G7" s="647"/>
    </row>
    <row r="8" spans="2:7">
      <c r="B8" s="809" t="s">
        <v>639</v>
      </c>
      <c r="C8" s="968" t="str">
        <f>Ingresos!B8</f>
        <v>MUNICIPIO DE CUNDAY</v>
      </c>
      <c r="D8" s="810"/>
      <c r="E8" s="810"/>
      <c r="F8" s="810"/>
      <c r="G8" s="810"/>
    </row>
    <row r="9" spans="2:7">
      <c r="B9" s="811" t="s">
        <v>834</v>
      </c>
      <c r="C9" s="969">
        <f>Ingresos!B10</f>
        <v>2011</v>
      </c>
      <c r="D9" s="647">
        <v>1396</v>
      </c>
      <c r="E9" s="647"/>
      <c r="F9" s="812"/>
      <c r="G9" s="647"/>
    </row>
    <row r="10" spans="2:7" ht="15.75" thickBot="1">
      <c r="B10" s="813" t="s">
        <v>835</v>
      </c>
      <c r="C10" s="970">
        <f>Ingresos!B12</f>
        <v>6</v>
      </c>
      <c r="E10" s="647"/>
      <c r="F10" s="647"/>
      <c r="G10" s="647"/>
    </row>
    <row r="11" spans="2:7" ht="15.75" customHeight="1" thickBot="1">
      <c r="B11" s="813" t="s">
        <v>836</v>
      </c>
      <c r="C11" s="970">
        <f>Ingresos!B14</f>
        <v>0</v>
      </c>
      <c r="D11" s="810"/>
      <c r="E11" s="810"/>
      <c r="F11" s="647"/>
      <c r="G11" s="647"/>
    </row>
    <row r="12" spans="2:7" ht="15" customHeight="1">
      <c r="B12" s="646"/>
      <c r="E12" s="647"/>
      <c r="F12" s="647"/>
      <c r="G12" s="647"/>
    </row>
    <row r="13" spans="2:7" ht="15" customHeight="1">
      <c r="B13" s="814" t="s">
        <v>1232</v>
      </c>
      <c r="C13" s="814"/>
      <c r="D13" s="814"/>
    </row>
    <row r="14" spans="2:7" ht="15.75" customHeight="1" thickBot="1">
      <c r="B14" s="646"/>
    </row>
    <row r="15" spans="2:7" ht="15" customHeight="1">
      <c r="B15" s="809" t="s">
        <v>837</v>
      </c>
      <c r="C15" s="968">
        <f>Ingresos!B17</f>
        <v>617</v>
      </c>
    </row>
    <row r="16" spans="2:7" ht="15" customHeight="1">
      <c r="B16" s="811" t="s">
        <v>838</v>
      </c>
      <c r="C16" s="969">
        <f>Ingresos!B18</f>
        <v>0</v>
      </c>
    </row>
    <row r="17" spans="1:8" ht="15.75" customHeight="1" thickBot="1">
      <c r="B17" s="813" t="s">
        <v>839</v>
      </c>
      <c r="C17" s="970">
        <f>Ingresos!B19</f>
        <v>0</v>
      </c>
    </row>
    <row r="18" spans="1:8" ht="15" customHeight="1">
      <c r="B18" s="646"/>
      <c r="H18" s="647"/>
    </row>
    <row r="19" spans="1:8" s="815" customFormat="1" ht="15" customHeight="1">
      <c r="B19" s="816" t="s">
        <v>519</v>
      </c>
      <c r="C19" s="816"/>
      <c r="D19" s="816">
        <f>Ingresos!D21</f>
        <v>0</v>
      </c>
      <c r="H19" s="817"/>
    </row>
    <row r="20" spans="1:8" ht="15" customHeight="1">
      <c r="B20" s="818" t="s">
        <v>1237</v>
      </c>
      <c r="C20" s="819"/>
      <c r="D20" s="816">
        <f>Ingresos!I21</f>
        <v>40178</v>
      </c>
      <c r="E20" s="820"/>
      <c r="F20" s="820"/>
      <c r="G20" s="820"/>
      <c r="H20" s="821"/>
    </row>
    <row r="21" spans="1:8" ht="15.75" customHeight="1" thickBot="1">
      <c r="B21" s="818" t="s">
        <v>1239</v>
      </c>
      <c r="C21" s="822"/>
      <c r="D21" s="816">
        <f>Ingresos!I22</f>
        <v>45291</v>
      </c>
      <c r="E21" s="820"/>
      <c r="F21" s="820"/>
      <c r="G21" s="820"/>
      <c r="H21" s="821"/>
    </row>
    <row r="22" spans="1:8" ht="15.75" customHeight="1" thickBot="1">
      <c r="B22" s="816"/>
      <c r="C22" s="823">
        <f>+C38+C43+C52+C60+C67+C74+C104+C127+C143+C156</f>
        <v>6706172.4450000003</v>
      </c>
      <c r="D22" s="823">
        <f>+D38+D43+D52+D60+D67+D74+D104+D127+D143+D156</f>
        <v>6706172.4450000003</v>
      </c>
      <c r="E22" s="823">
        <f>+E38+E43+E52+E60+E67+E74+E104+E127+E143+E156</f>
        <v>5209924.4450000003</v>
      </c>
      <c r="H22" s="821"/>
    </row>
    <row r="23" spans="1:8" ht="15.75" customHeight="1" thickBot="1">
      <c r="B23" s="646"/>
      <c r="C23" s="989">
        <f>+C28+C50+C57+C65+C72+C79+C117+C118+C119+C120+C121+C122+C123+C124+C125+C36</f>
        <v>6706172.0992000001</v>
      </c>
      <c r="D23" s="989">
        <f>+D28+D50+D57+D65+D72+D79+D117+D118+D119+D120+D121+D122+D123+D124+D125+D36</f>
        <v>6706172.1200000001</v>
      </c>
      <c r="E23" s="989">
        <f>+E28+E50+E57+E65+E72+E79+E117+E118+E119+E120+E121+E122+E123+E124+E125+E36</f>
        <v>6706172.1200000001</v>
      </c>
    </row>
    <row r="24" spans="1:8" ht="15.75" thickBot="1">
      <c r="B24" s="646" t="s">
        <v>840</v>
      </c>
      <c r="C24" s="990"/>
      <c r="D24" s="646"/>
    </row>
    <row r="25" spans="1:8" ht="60">
      <c r="A25" s="662" t="s">
        <v>841</v>
      </c>
      <c r="B25" s="824" t="s">
        <v>1241</v>
      </c>
      <c r="C25" s="824" t="str">
        <f>"Escenario Financiero Año"&amp;" "&amp;(Ingresos!$B$10)</f>
        <v>Escenario Financiero Año 2011</v>
      </c>
      <c r="D25" s="824" t="s">
        <v>842</v>
      </c>
      <c r="E25" s="825" t="s">
        <v>843</v>
      </c>
      <c r="F25" s="824" t="s">
        <v>844</v>
      </c>
      <c r="G25" s="824" t="s">
        <v>845</v>
      </c>
    </row>
    <row r="26" spans="1:8" ht="1.5" customHeight="1" thickBot="1">
      <c r="A26" s="664"/>
      <c r="B26" s="826"/>
      <c r="C26" s="826"/>
      <c r="D26" s="826"/>
      <c r="E26" s="827"/>
      <c r="F26" s="826" t="s">
        <v>501</v>
      </c>
      <c r="G26" s="826" t="s">
        <v>501</v>
      </c>
    </row>
    <row r="27" spans="1:8" s="723" customFormat="1" ht="15.75" customHeight="1">
      <c r="A27" s="828" t="s">
        <v>846</v>
      </c>
      <c r="B27" s="719" t="s">
        <v>847</v>
      </c>
      <c r="C27" s="829"/>
      <c r="D27" s="830"/>
      <c r="E27" s="831"/>
      <c r="F27" s="832"/>
      <c r="G27" s="832"/>
    </row>
    <row r="28" spans="1:8" s="723" customFormat="1" ht="15.75" customHeight="1">
      <c r="A28" s="828" t="s">
        <v>848</v>
      </c>
      <c r="B28" s="833" t="s">
        <v>849</v>
      </c>
      <c r="C28" s="834">
        <f>+C29-C36+C37</f>
        <v>2605605</v>
      </c>
      <c r="D28" s="834">
        <f>+D29-D36+D37</f>
        <v>2505605</v>
      </c>
      <c r="E28" s="835">
        <f>+E29-E36+E37</f>
        <v>2505605</v>
      </c>
      <c r="F28" s="836">
        <f>+E28/D28</f>
        <v>1</v>
      </c>
      <c r="G28" s="836">
        <f t="shared" ref="G28:G47" si="0">+E28/C28</f>
        <v>0.96162119738026297</v>
      </c>
    </row>
    <row r="29" spans="1:8" s="723" customFormat="1" ht="15.75" customHeight="1">
      <c r="A29" s="837" t="str">
        <f>+Ingresos!A29</f>
        <v>111</v>
      </c>
      <c r="B29" s="833" t="s">
        <v>850</v>
      </c>
      <c r="C29" s="838">
        <f>+C30+C31+C32+C33+C34+C35</f>
        <v>432970</v>
      </c>
      <c r="D29" s="838">
        <f>+D30+D31+D32+D33+D34+D35</f>
        <v>332970</v>
      </c>
      <c r="E29" s="835">
        <f>+E30+E31+E32+E33+E34+E35</f>
        <v>332970</v>
      </c>
      <c r="F29" s="836">
        <f t="shared" ref="F29:F37" si="1">+E29/D29</f>
        <v>1</v>
      </c>
      <c r="G29" s="836">
        <f t="shared" si="0"/>
        <v>0.76903711573550126</v>
      </c>
    </row>
    <row r="30" spans="1:8" s="723" customFormat="1" ht="26.25" customHeight="1">
      <c r="A30" s="839" t="s">
        <v>851</v>
      </c>
      <c r="B30" s="840" t="s">
        <v>852</v>
      </c>
      <c r="C30" s="841">
        <f>+'Ley 617'!D27</f>
        <v>375912</v>
      </c>
      <c r="D30" s="841">
        <f>+'Ley 617'!E27</f>
        <v>275912</v>
      </c>
      <c r="E30" s="842">
        <f>+'Ley 617'!F27</f>
        <v>275912</v>
      </c>
      <c r="F30" s="843">
        <f t="shared" si="1"/>
        <v>1</v>
      </c>
      <c r="G30" s="843">
        <f t="shared" si="0"/>
        <v>0.73398029326012471</v>
      </c>
    </row>
    <row r="31" spans="1:8" s="723" customFormat="1" ht="15.75" customHeight="1">
      <c r="A31" s="839" t="s">
        <v>853</v>
      </c>
      <c r="B31" s="725" t="s">
        <v>1263</v>
      </c>
      <c r="C31" s="841">
        <f>+'Ley 617'!D29</f>
        <v>0</v>
      </c>
      <c r="D31" s="841">
        <f>+'Ley 617'!E29</f>
        <v>0</v>
      </c>
      <c r="E31" s="842">
        <f>+'Ley 617'!F29</f>
        <v>0</v>
      </c>
      <c r="F31" s="843" t="e">
        <f t="shared" si="1"/>
        <v>#DIV/0!</v>
      </c>
      <c r="G31" s="843" t="e">
        <f t="shared" si="0"/>
        <v>#DIV/0!</v>
      </c>
    </row>
    <row r="32" spans="1:8" s="723" customFormat="1" ht="15.75" customHeight="1">
      <c r="A32" s="839" t="s">
        <v>1264</v>
      </c>
      <c r="B32" s="725" t="s">
        <v>1265</v>
      </c>
      <c r="C32" s="841">
        <f>+'Ley 617'!D30</f>
        <v>42779</v>
      </c>
      <c r="D32" s="841">
        <f>+'Ley 617'!E30</f>
        <v>42779</v>
      </c>
      <c r="E32" s="842">
        <f>+'Ley 617'!F30</f>
        <v>42779</v>
      </c>
      <c r="F32" s="843">
        <f t="shared" si="1"/>
        <v>1</v>
      </c>
      <c r="G32" s="843">
        <f t="shared" si="0"/>
        <v>1</v>
      </c>
    </row>
    <row r="33" spans="1:7" s="723" customFormat="1" ht="15.75" customHeight="1">
      <c r="A33" s="839" t="s">
        <v>1282</v>
      </c>
      <c r="B33" s="725" t="s">
        <v>1267</v>
      </c>
      <c r="C33" s="841">
        <f>'Ley 617'!D31</f>
        <v>0</v>
      </c>
      <c r="D33" s="841">
        <f>'Ley 617'!E31</f>
        <v>0</v>
      </c>
      <c r="E33" s="842">
        <f>'Ley 617'!F31</f>
        <v>0</v>
      </c>
      <c r="F33" s="843" t="e">
        <f t="shared" si="1"/>
        <v>#DIV/0!</v>
      </c>
      <c r="G33" s="843" t="e">
        <f t="shared" si="0"/>
        <v>#DIV/0!</v>
      </c>
    </row>
    <row r="34" spans="1:7" s="723" customFormat="1" ht="15.75" customHeight="1">
      <c r="A34" s="844" t="s">
        <v>854</v>
      </c>
      <c r="B34" s="725" t="s">
        <v>855</v>
      </c>
      <c r="C34" s="841">
        <f>+'Ley 617'!D38</f>
        <v>0</v>
      </c>
      <c r="D34" s="841">
        <f>+'Ley 617'!E38</f>
        <v>0</v>
      </c>
      <c r="E34" s="842">
        <f>+'Ley 617'!F38</f>
        <v>0</v>
      </c>
      <c r="F34" s="843" t="e">
        <f>+E34/D34</f>
        <v>#DIV/0!</v>
      </c>
      <c r="G34" s="843" t="e">
        <f>+E34/C34</f>
        <v>#DIV/0!</v>
      </c>
    </row>
    <row r="35" spans="1:7" s="723" customFormat="1" ht="15.75" customHeight="1">
      <c r="A35" s="837" t="s">
        <v>856</v>
      </c>
      <c r="B35" s="725" t="s">
        <v>857</v>
      </c>
      <c r="C35" s="841">
        <f>+'Ley 617'!D26-'Ley 617'!D27-'Ley 617'!D29-'Ley 617'!D30-'Ley 617'!D31-'Ley 617'!D38</f>
        <v>14279</v>
      </c>
      <c r="D35" s="841">
        <f>+'Ley 617'!E26-'Ley 617'!E27-'Ley 617'!E29-'Ley 617'!E30-'Ley 617'!E31-'Ley 617'!E38</f>
        <v>14279</v>
      </c>
      <c r="E35" s="842">
        <f>+'Ley 617'!F26-'Ley 617'!F27-'Ley 617'!F29-'Ley 617'!F30-'Ley 617'!F31-'Ley 617'!F38</f>
        <v>14279</v>
      </c>
      <c r="F35" s="843">
        <f>+E35/D35</f>
        <v>1</v>
      </c>
      <c r="G35" s="843">
        <f>+E35/C35</f>
        <v>1</v>
      </c>
    </row>
    <row r="36" spans="1:7" s="723" customFormat="1" ht="15.75" customHeight="1">
      <c r="A36" s="828" t="s">
        <v>858</v>
      </c>
      <c r="B36" s="725" t="s">
        <v>859</v>
      </c>
      <c r="C36" s="871">
        <f>+C179</f>
        <v>0</v>
      </c>
      <c r="D36" s="871">
        <f>+D179</f>
        <v>0</v>
      </c>
      <c r="E36" s="871">
        <f>+E179</f>
        <v>0</v>
      </c>
      <c r="F36" s="843" t="e">
        <f>+E36/D36</f>
        <v>#DIV/0!</v>
      </c>
      <c r="G36" s="843" t="e">
        <f>+E36/C36</f>
        <v>#DIV/0!</v>
      </c>
    </row>
    <row r="37" spans="1:7" s="723" customFormat="1" ht="15.75" customHeight="1">
      <c r="A37" s="837" t="str">
        <f>+Ingresos!A50</f>
        <v>112</v>
      </c>
      <c r="B37" s="833" t="s">
        <v>860</v>
      </c>
      <c r="C37" s="838">
        <f>+'Ley 617'!D47</f>
        <v>2172635</v>
      </c>
      <c r="D37" s="838">
        <f>+'Ley 617'!E47</f>
        <v>2172635</v>
      </c>
      <c r="E37" s="835">
        <f>+'Ley 617'!F47</f>
        <v>2172635</v>
      </c>
      <c r="F37" s="836">
        <f t="shared" si="1"/>
        <v>1</v>
      </c>
      <c r="G37" s="836">
        <f t="shared" si="0"/>
        <v>1</v>
      </c>
    </row>
    <row r="38" spans="1:7" s="723" customFormat="1" ht="15.75" customHeight="1">
      <c r="A38" s="828" t="s">
        <v>861</v>
      </c>
      <c r="B38" s="833" t="s">
        <v>862</v>
      </c>
      <c r="C38" s="834">
        <f>SUM(C39:C42)</f>
        <v>620786</v>
      </c>
      <c r="D38" s="838">
        <f>SUM(D39:D42)</f>
        <v>818968</v>
      </c>
      <c r="E38" s="835">
        <f>SUM(E39:E42)</f>
        <v>818968</v>
      </c>
      <c r="F38" s="836">
        <f t="shared" ref="F38:F77" si="2">+E38/D38</f>
        <v>1</v>
      </c>
      <c r="G38" s="836">
        <f t="shared" si="0"/>
        <v>1.3192436685105657</v>
      </c>
    </row>
    <row r="39" spans="1:7" s="723" customFormat="1" ht="15.75" customHeight="1">
      <c r="A39" s="837" t="str">
        <f>+Gastos!A27</f>
        <v>211</v>
      </c>
      <c r="B39" s="725" t="s">
        <v>863</v>
      </c>
      <c r="C39" s="841">
        <f>+'Ley 617'!D93</f>
        <v>248973</v>
      </c>
      <c r="D39" s="841">
        <f>+'Ley 617'!E93</f>
        <v>342094</v>
      </c>
      <c r="E39" s="842">
        <f>+'Ley 617'!F93</f>
        <v>342094</v>
      </c>
      <c r="F39" s="843">
        <f t="shared" si="2"/>
        <v>1</v>
      </c>
      <c r="G39" s="843">
        <f t="shared" si="0"/>
        <v>1.3740204761158841</v>
      </c>
    </row>
    <row r="40" spans="1:7" s="723" customFormat="1" ht="15.75" customHeight="1">
      <c r="A40" s="837" t="str">
        <f>+Gastos!A42</f>
        <v>212</v>
      </c>
      <c r="B40" s="725" t="s">
        <v>864</v>
      </c>
      <c r="C40" s="841">
        <f>+'Ley 617'!D94</f>
        <v>17213</v>
      </c>
      <c r="D40" s="841">
        <f>+'Ley 617'!E94</f>
        <v>106998</v>
      </c>
      <c r="E40" s="842">
        <f>+'Ley 617'!F94</f>
        <v>106998</v>
      </c>
      <c r="F40" s="843">
        <f t="shared" si="2"/>
        <v>1</v>
      </c>
      <c r="G40" s="843">
        <f t="shared" si="0"/>
        <v>6.2161157264857954</v>
      </c>
    </row>
    <row r="41" spans="1:7" s="723" customFormat="1" ht="15.75" customHeight="1">
      <c r="A41" s="837" t="str">
        <f>+Gastos!A47</f>
        <v>21301</v>
      </c>
      <c r="B41" s="725" t="s">
        <v>865</v>
      </c>
      <c r="C41" s="841">
        <f>+'Ley 617'!D95</f>
        <v>354600</v>
      </c>
      <c r="D41" s="841">
        <f>+'Ley 617'!E95</f>
        <v>369876</v>
      </c>
      <c r="E41" s="842">
        <f>+'Ley 617'!F95</f>
        <v>369876</v>
      </c>
      <c r="F41" s="843">
        <f>+E41/D41</f>
        <v>1</v>
      </c>
      <c r="G41" s="843">
        <f>+E41/C41</f>
        <v>1.0430795262267343</v>
      </c>
    </row>
    <row r="42" spans="1:7" s="723" customFormat="1" ht="15.75" customHeight="1">
      <c r="A42" s="837" t="str">
        <f>+Gastos!A69</f>
        <v>217</v>
      </c>
      <c r="B42" s="725" t="s">
        <v>866</v>
      </c>
      <c r="C42" s="841">
        <f>+'Ley 617'!D98</f>
        <v>0</v>
      </c>
      <c r="D42" s="841">
        <f>+'Ley 617'!E98</f>
        <v>0</v>
      </c>
      <c r="E42" s="842">
        <f>IF(Ingresos!D22="NO",Gastos!J70,0)</f>
        <v>0</v>
      </c>
      <c r="F42" s="843" t="e">
        <f t="shared" si="2"/>
        <v>#DIV/0!</v>
      </c>
      <c r="G42" s="843" t="e">
        <f t="shared" si="0"/>
        <v>#DIV/0!</v>
      </c>
    </row>
    <row r="43" spans="1:7" s="723" customFormat="1" ht="15.75" customHeight="1">
      <c r="A43" s="828" t="s">
        <v>867</v>
      </c>
      <c r="B43" s="833" t="s">
        <v>868</v>
      </c>
      <c r="C43" s="834">
        <f>SUM(C44:C46)</f>
        <v>179461</v>
      </c>
      <c r="D43" s="838">
        <f>SUM(D44:D46)</f>
        <v>179461</v>
      </c>
      <c r="E43" s="835">
        <f>SUM(E44:E46)</f>
        <v>179461</v>
      </c>
      <c r="F43" s="843">
        <f t="shared" si="2"/>
        <v>1</v>
      </c>
      <c r="G43" s="843">
        <f t="shared" si="0"/>
        <v>1</v>
      </c>
    </row>
    <row r="44" spans="1:7" s="723" customFormat="1" ht="15.75" customHeight="1">
      <c r="A44" s="837" t="str">
        <f>+Gastos!A223</f>
        <v>242</v>
      </c>
      <c r="B44" s="725" t="s">
        <v>869</v>
      </c>
      <c r="C44" s="841">
        <f>+Gastos!D223</f>
        <v>99121</v>
      </c>
      <c r="D44" s="841">
        <f>+Gastos!G223</f>
        <v>99121</v>
      </c>
      <c r="E44" s="842">
        <f>+Gastos!J223</f>
        <v>99121</v>
      </c>
      <c r="F44" s="843">
        <f>+E44/D44</f>
        <v>1</v>
      </c>
      <c r="G44" s="843">
        <f t="shared" si="0"/>
        <v>1</v>
      </c>
    </row>
    <row r="45" spans="1:7" s="723" customFormat="1" ht="15.75" customHeight="1">
      <c r="A45" s="837" t="str">
        <f>+Gastos!A224</f>
        <v>243</v>
      </c>
      <c r="B45" s="725" t="s">
        <v>870</v>
      </c>
      <c r="C45" s="841">
        <f>+Gastos!D224</f>
        <v>0</v>
      </c>
      <c r="D45" s="841">
        <f>+Gastos!G224</f>
        <v>0</v>
      </c>
      <c r="E45" s="842">
        <f>+Gastos!J224</f>
        <v>0</v>
      </c>
      <c r="F45" s="843" t="e">
        <f>+E45/D45</f>
        <v>#DIV/0!</v>
      </c>
      <c r="G45" s="843" t="e">
        <f>+E45/C45</f>
        <v>#DIV/0!</v>
      </c>
    </row>
    <row r="46" spans="1:7" s="723" customFormat="1" ht="15.75" customHeight="1">
      <c r="A46" s="837" t="str">
        <f>+Gastos!A225</f>
        <v>244</v>
      </c>
      <c r="B46" s="725" t="s">
        <v>871</v>
      </c>
      <c r="C46" s="841">
        <f>+Gastos!D225</f>
        <v>80340</v>
      </c>
      <c r="D46" s="841">
        <f>+Gastos!G225</f>
        <v>80340</v>
      </c>
      <c r="E46" s="842">
        <f>+Gastos!J225</f>
        <v>80340</v>
      </c>
      <c r="F46" s="843">
        <f>+E46/D46</f>
        <v>1</v>
      </c>
      <c r="G46" s="843">
        <f t="shared" si="0"/>
        <v>1</v>
      </c>
    </row>
    <row r="47" spans="1:7" s="723" customFormat="1" ht="15.75" customHeight="1" thickBot="1">
      <c r="A47" s="845" t="s">
        <v>872</v>
      </c>
      <c r="B47" s="846" t="s">
        <v>873</v>
      </c>
      <c r="C47" s="847">
        <f>+C28-C38-C43</f>
        <v>1805358</v>
      </c>
      <c r="D47" s="848">
        <f>+D28-D38-D43</f>
        <v>1507176</v>
      </c>
      <c r="E47" s="849">
        <f>+E28-E38-E43</f>
        <v>1507176</v>
      </c>
      <c r="F47" s="850">
        <f t="shared" si="2"/>
        <v>1</v>
      </c>
      <c r="G47" s="851">
        <f t="shared" si="0"/>
        <v>0.83483497455906253</v>
      </c>
    </row>
    <row r="48" spans="1:7" s="723" customFormat="1" ht="15.75" customHeight="1">
      <c r="A48" s="852" t="s">
        <v>874</v>
      </c>
      <c r="B48" s="853" t="s">
        <v>875</v>
      </c>
      <c r="C48" s="854"/>
      <c r="D48" s="855"/>
      <c r="E48" s="856"/>
      <c r="F48" s="857"/>
      <c r="G48" s="857"/>
    </row>
    <row r="49" spans="1:7" s="723" customFormat="1" ht="15.75" customHeight="1">
      <c r="A49" s="858" t="s">
        <v>876</v>
      </c>
      <c r="B49" s="859" t="s">
        <v>877</v>
      </c>
      <c r="C49" s="860"/>
      <c r="D49" s="861"/>
      <c r="E49" s="862"/>
      <c r="F49" s="863"/>
      <c r="G49" s="863"/>
    </row>
    <row r="50" spans="1:7" s="723" customFormat="1" ht="15.75" customHeight="1">
      <c r="A50" s="864" t="s">
        <v>878</v>
      </c>
      <c r="B50" s="859" t="s">
        <v>879</v>
      </c>
      <c r="C50" s="865">
        <f>+C51</f>
        <v>306838</v>
      </c>
      <c r="D50" s="866">
        <f>+D51</f>
        <v>306838</v>
      </c>
      <c r="E50" s="835">
        <f>+E51</f>
        <v>306838</v>
      </c>
      <c r="F50" s="867">
        <f t="shared" si="2"/>
        <v>1</v>
      </c>
      <c r="G50" s="867">
        <f t="shared" ref="G50:G55" si="3">+E50/C50</f>
        <v>1</v>
      </c>
    </row>
    <row r="51" spans="1:7" s="723" customFormat="1" ht="15.75" customHeight="1">
      <c r="A51" s="868" t="s">
        <v>1322</v>
      </c>
      <c r="B51" s="869" t="s">
        <v>880</v>
      </c>
      <c r="C51" s="870">
        <f>+Ingresos!C62</f>
        <v>306838</v>
      </c>
      <c r="D51" s="871">
        <f>+Ingresos!E62</f>
        <v>306838</v>
      </c>
      <c r="E51" s="872">
        <f>+Ingresos!H62</f>
        <v>306838</v>
      </c>
      <c r="F51" s="873">
        <f t="shared" si="2"/>
        <v>1</v>
      </c>
      <c r="G51" s="873">
        <f t="shared" si="3"/>
        <v>1</v>
      </c>
    </row>
    <row r="52" spans="1:7" s="723" customFormat="1" ht="15.75" customHeight="1">
      <c r="A52" s="858" t="s">
        <v>881</v>
      </c>
      <c r="B52" s="859" t="s">
        <v>882</v>
      </c>
      <c r="C52" s="865">
        <f>SUM(C53:C54)</f>
        <v>2088767</v>
      </c>
      <c r="D52" s="866">
        <f>SUM(D53:D54)</f>
        <v>1983937</v>
      </c>
      <c r="E52" s="835">
        <f>SUM(E53:E54)</f>
        <v>487689</v>
      </c>
      <c r="F52" s="867">
        <f t="shared" si="2"/>
        <v>0.24581879364112871</v>
      </c>
      <c r="G52" s="867">
        <f t="shared" si="3"/>
        <v>0.23348176220708197</v>
      </c>
    </row>
    <row r="53" spans="1:7" s="723" customFormat="1" ht="15.75" customHeight="1">
      <c r="A53" s="858" t="s">
        <v>883</v>
      </c>
      <c r="B53" s="869" t="s">
        <v>884</v>
      </c>
      <c r="C53" s="871">
        <f>+Gastos!D77+Gastos!D78+Gastos!D79+Gastos!D93+Gastos!D106+Gastos!D130+Gastos!D143+Gastos!D167+Gastos!D180</f>
        <v>0</v>
      </c>
      <c r="D53" s="871">
        <f>+Gastos!G77+Gastos!G78+Gastos!G79+Gastos!G93+Gastos!G106+Gastos!G130+Gastos!G143+Gastos!G167+Gastos!G180</f>
        <v>1496248</v>
      </c>
      <c r="E53" s="842">
        <f>+Gastos!J77+Gastos!J78+Gastos!J79+Gastos!J93+Gastos!J106+Gastos!J130+Gastos!J143+Gastos!J167+Gastos!J180</f>
        <v>0</v>
      </c>
      <c r="F53" s="873">
        <f t="shared" si="2"/>
        <v>0</v>
      </c>
      <c r="G53" s="873" t="e">
        <f t="shared" si="3"/>
        <v>#DIV/0!</v>
      </c>
    </row>
    <row r="54" spans="1:7" s="723" customFormat="1" ht="15.75" customHeight="1">
      <c r="A54" s="858" t="s">
        <v>885</v>
      </c>
      <c r="B54" s="869" t="s">
        <v>886</v>
      </c>
      <c r="C54" s="871">
        <f>+Gastos!D75+Gastos!D76+Gastos!D80+Gastos!D114+Gastos!D151+Gastos!D187</f>
        <v>2088767</v>
      </c>
      <c r="D54" s="871">
        <f>+Gastos!G75+Gastos!G76+Gastos!G80+Gastos!G114+Gastos!G151+Gastos!G187</f>
        <v>487689</v>
      </c>
      <c r="E54" s="842">
        <f>+Gastos!J75+Gastos!J76+Gastos!J80+Gastos!J114+Gastos!J151+Gastos!J187</f>
        <v>487689</v>
      </c>
      <c r="F54" s="873">
        <f t="shared" si="2"/>
        <v>1</v>
      </c>
      <c r="G54" s="873">
        <f t="shared" si="3"/>
        <v>0.23348176220708197</v>
      </c>
    </row>
    <row r="55" spans="1:7" s="723" customFormat="1" ht="15.75" customHeight="1">
      <c r="A55" s="858" t="s">
        <v>887</v>
      </c>
      <c r="B55" s="869" t="s">
        <v>888</v>
      </c>
      <c r="C55" s="865">
        <f>+C50-C52</f>
        <v>-1781929</v>
      </c>
      <c r="D55" s="866">
        <f>+D50-D52</f>
        <v>-1677099</v>
      </c>
      <c r="E55" s="835">
        <f>+E50-E52</f>
        <v>-180851</v>
      </c>
      <c r="F55" s="867">
        <f t="shared" si="2"/>
        <v>0.10783561375923544</v>
      </c>
      <c r="G55" s="867">
        <f t="shared" si="3"/>
        <v>0.10149169804184117</v>
      </c>
    </row>
    <row r="56" spans="1:7" s="723" customFormat="1" ht="15.75" customHeight="1">
      <c r="A56" s="858" t="s">
        <v>889</v>
      </c>
      <c r="B56" s="859" t="s">
        <v>890</v>
      </c>
      <c r="C56" s="874"/>
      <c r="D56" s="875"/>
      <c r="E56" s="876"/>
      <c r="F56" s="863"/>
      <c r="G56" s="863"/>
    </row>
    <row r="57" spans="1:7" s="723" customFormat="1" ht="15.75" customHeight="1">
      <c r="A57" s="858" t="s">
        <v>891</v>
      </c>
      <c r="B57" s="859" t="s">
        <v>879</v>
      </c>
      <c r="C57" s="865">
        <f>+C58+C59</f>
        <v>1879071.12</v>
      </c>
      <c r="D57" s="866">
        <f>+D58+D59</f>
        <v>1979071.12</v>
      </c>
      <c r="E57" s="835">
        <f>+E58+E59</f>
        <v>1979071.12</v>
      </c>
      <c r="F57" s="867">
        <f t="shared" si="2"/>
        <v>1</v>
      </c>
      <c r="G57" s="867">
        <f>+E57/C57</f>
        <v>1.0532177834759122</v>
      </c>
    </row>
    <row r="58" spans="1:7" s="723" customFormat="1" ht="15.75" customHeight="1">
      <c r="A58" s="868" t="s">
        <v>1328</v>
      </c>
      <c r="B58" s="869" t="s">
        <v>880</v>
      </c>
      <c r="C58" s="870">
        <f>+Ingresos!C65</f>
        <v>1771195.12</v>
      </c>
      <c r="D58" s="870">
        <f>+Ingresos!E65</f>
        <v>1771195.12</v>
      </c>
      <c r="E58" s="872">
        <f>+Ingresos!H65</f>
        <v>1771195.12</v>
      </c>
      <c r="F58" s="873">
        <f t="shared" si="2"/>
        <v>1</v>
      </c>
      <c r="G58" s="873">
        <f>+E58/C58</f>
        <v>1</v>
      </c>
    </row>
    <row r="59" spans="1:7" s="723" customFormat="1" ht="15.75" customHeight="1">
      <c r="A59" s="858" t="s">
        <v>892</v>
      </c>
      <c r="B59" s="869" t="s">
        <v>893</v>
      </c>
      <c r="C59" s="870">
        <f>+Ingresos!C75+Ingresos!C76+Ingresos!C36</f>
        <v>107876</v>
      </c>
      <c r="D59" s="870">
        <f>+Ingresos!E75+Ingresos!E76+Ingresos!E36</f>
        <v>207876</v>
      </c>
      <c r="E59" s="872">
        <f>+Ingresos!H75+Ingresos!H76+Ingresos!H36</f>
        <v>207876</v>
      </c>
      <c r="F59" s="863"/>
      <c r="G59" s="863"/>
    </row>
    <row r="60" spans="1:7" s="723" customFormat="1" ht="15.75" customHeight="1">
      <c r="A60" s="858" t="s">
        <v>894</v>
      </c>
      <c r="B60" s="859" t="s">
        <v>882</v>
      </c>
      <c r="C60" s="865">
        <f>SUM(C61:C62)</f>
        <v>2047122.075</v>
      </c>
      <c r="D60" s="866">
        <f>SUM(D61:D62)</f>
        <v>1931410.075</v>
      </c>
      <c r="E60" s="835">
        <f>SUM(E61:E62)</f>
        <v>1931410.075</v>
      </c>
      <c r="F60" s="867">
        <f t="shared" si="2"/>
        <v>1</v>
      </c>
      <c r="G60" s="867">
        <f>+E60/C60</f>
        <v>0.94347576951413603</v>
      </c>
    </row>
    <row r="61" spans="1:7" s="723" customFormat="1" ht="15.75" customHeight="1">
      <c r="A61" s="858" t="s">
        <v>895</v>
      </c>
      <c r="B61" s="869" t="s">
        <v>884</v>
      </c>
      <c r="C61" s="871">
        <f>+Gastos!D84+Gastos!D85+Gastos!D86+Gastos!D95+Gastos!D107+Gastos!D132+Gastos!D144+Gastos!D169+Gastos!D181</f>
        <v>0</v>
      </c>
      <c r="D61" s="871">
        <f>+Gastos!G84+Gastos!G85+Gastos!G86+Gastos!G95+Gastos!G107+Gastos!G132+Gastos!G144+Gastos!G169+Gastos!G181</f>
        <v>47661.075000000004</v>
      </c>
      <c r="E61" s="842">
        <f>+Gastos!J84+Gastos!J85+Gastos!J86+Gastos!J95+Gastos!J107+Gastos!J132+Gastos!J144+Gastos!J169+Gastos!J181</f>
        <v>0</v>
      </c>
      <c r="F61" s="873">
        <f t="shared" si="2"/>
        <v>0</v>
      </c>
      <c r="G61" s="873" t="e">
        <f>+E61/C61</f>
        <v>#DIV/0!</v>
      </c>
    </row>
    <row r="62" spans="1:7" s="723" customFormat="1" ht="15.75" customHeight="1">
      <c r="A62" s="858" t="s">
        <v>896</v>
      </c>
      <c r="B62" s="869" t="s">
        <v>886</v>
      </c>
      <c r="C62" s="871">
        <f>+Gastos!D82+Gastos!D83+Gastos!D87+Gastos!D116+Gastos!D153+Gastos!D189</f>
        <v>2047122.075</v>
      </c>
      <c r="D62" s="871">
        <f>+Gastos!G82+Gastos!G83+Gastos!G87+Gastos!G116+Gastos!G153+Gastos!G189</f>
        <v>1883749</v>
      </c>
      <c r="E62" s="842">
        <f>+Gastos!J82+Gastos!J83+Gastos!J87+Gastos!J116+Gastos!J153+Gastos!J189</f>
        <v>1931410.075</v>
      </c>
      <c r="F62" s="873">
        <f t="shared" si="2"/>
        <v>1.0253011813144957</v>
      </c>
      <c r="G62" s="873">
        <f>+E62/C62</f>
        <v>0.94347576951413603</v>
      </c>
    </row>
    <row r="63" spans="1:7" s="723" customFormat="1" ht="15.75" customHeight="1">
      <c r="A63" s="858" t="s">
        <v>897</v>
      </c>
      <c r="B63" s="869" t="s">
        <v>888</v>
      </c>
      <c r="C63" s="865">
        <f>+C57-C60</f>
        <v>-168050.95499999984</v>
      </c>
      <c r="D63" s="866">
        <f>+D57-D60</f>
        <v>47661.045000000158</v>
      </c>
      <c r="E63" s="835">
        <f>+E57-E60</f>
        <v>47661.045000000158</v>
      </c>
      <c r="F63" s="867">
        <f t="shared" si="2"/>
        <v>1</v>
      </c>
      <c r="G63" s="867">
        <f>+E63/C63</f>
        <v>-0.28361067629755632</v>
      </c>
    </row>
    <row r="64" spans="1:7" s="723" customFormat="1" ht="15.75" customHeight="1">
      <c r="A64" s="858" t="s">
        <v>898</v>
      </c>
      <c r="B64" s="859" t="s">
        <v>899</v>
      </c>
      <c r="C64" s="860"/>
      <c r="D64" s="861"/>
      <c r="E64" s="862"/>
      <c r="F64" s="863"/>
      <c r="G64" s="863"/>
    </row>
    <row r="65" spans="1:7" s="723" customFormat="1" ht="15.75" customHeight="1">
      <c r="A65" s="858" t="s">
        <v>900</v>
      </c>
      <c r="B65" s="859" t="s">
        <v>879</v>
      </c>
      <c r="C65" s="865">
        <f>+C66</f>
        <v>308566</v>
      </c>
      <c r="D65" s="866">
        <f>+D66</f>
        <v>308566</v>
      </c>
      <c r="E65" s="835">
        <f>+E66</f>
        <v>308566</v>
      </c>
      <c r="F65" s="867">
        <f t="shared" si="2"/>
        <v>1</v>
      </c>
      <c r="G65" s="867">
        <f t="shared" ref="G65:G70" si="4">+E65/C65</f>
        <v>1</v>
      </c>
    </row>
    <row r="66" spans="1:7" s="723" customFormat="1" ht="15.75" customHeight="1">
      <c r="A66" s="868" t="s">
        <v>1340</v>
      </c>
      <c r="B66" s="869" t="s">
        <v>880</v>
      </c>
      <c r="C66" s="1177">
        <f>+Ingresos!C71*0.41</f>
        <v>308566</v>
      </c>
      <c r="D66" s="1177">
        <f>+Ingresos!E71*0.41</f>
        <v>308566</v>
      </c>
      <c r="E66" s="1183">
        <f>Ingresos!H71*0.41</f>
        <v>308566</v>
      </c>
      <c r="F66" s="873">
        <f t="shared" si="2"/>
        <v>1</v>
      </c>
      <c r="G66" s="873">
        <f t="shared" si="4"/>
        <v>1</v>
      </c>
    </row>
    <row r="67" spans="1:7" s="723" customFormat="1" ht="15.75" customHeight="1">
      <c r="A67" s="858" t="s">
        <v>901</v>
      </c>
      <c r="B67" s="859" t="s">
        <v>882</v>
      </c>
      <c r="C67" s="865">
        <f>SUM(C68:C69)</f>
        <v>539903</v>
      </c>
      <c r="D67" s="866">
        <f>SUM(D68:D69)</f>
        <v>451711</v>
      </c>
      <c r="E67" s="835">
        <f>SUM(E68:E69)</f>
        <v>451711</v>
      </c>
      <c r="F67" s="867">
        <f t="shared" si="2"/>
        <v>1</v>
      </c>
      <c r="G67" s="867">
        <f t="shared" si="4"/>
        <v>0.83665213936577498</v>
      </c>
    </row>
    <row r="68" spans="1:7" s="723" customFormat="1" ht="15.75" customHeight="1">
      <c r="A68" s="858" t="s">
        <v>902</v>
      </c>
      <c r="B68" s="869" t="s">
        <v>884</v>
      </c>
      <c r="C68" s="871">
        <f>+Gastos!D90+Gastos!D104+Gastos!D127+Gastos!D141+Gastos!D164+Gastos!D178</f>
        <v>88192</v>
      </c>
      <c r="D68" s="871">
        <f>+Gastos!G90+Gastos!G104+Gastos!G127+Gastos!G141+Gastos!G164+Gastos!G178</f>
        <v>0</v>
      </c>
      <c r="E68" s="842">
        <f>+Gastos!J90+Gastos!J104+Gastos!J127+Gastos!J141+Gastos!J164+Gastos!J178</f>
        <v>0</v>
      </c>
      <c r="F68" s="873" t="e">
        <f t="shared" si="2"/>
        <v>#DIV/0!</v>
      </c>
      <c r="G68" s="873">
        <f t="shared" si="4"/>
        <v>0</v>
      </c>
    </row>
    <row r="69" spans="1:7" s="723" customFormat="1" ht="15.75" customHeight="1">
      <c r="A69" s="858" t="s">
        <v>903</v>
      </c>
      <c r="B69" s="869" t="s">
        <v>886</v>
      </c>
      <c r="C69" s="871">
        <f>+Gastos!D111+Gastos!D148+Gastos!D184</f>
        <v>451711</v>
      </c>
      <c r="D69" s="871">
        <f>+Gastos!G111+Gastos!G148+Gastos!G184</f>
        <v>451711</v>
      </c>
      <c r="E69" s="842">
        <f>+Gastos!J111+Gastos!J148+Gastos!J184</f>
        <v>451711</v>
      </c>
      <c r="F69" s="873">
        <f t="shared" si="2"/>
        <v>1</v>
      </c>
      <c r="G69" s="873">
        <f t="shared" si="4"/>
        <v>1</v>
      </c>
    </row>
    <row r="70" spans="1:7" s="723" customFormat="1" ht="15.75" customHeight="1">
      <c r="A70" s="858" t="s">
        <v>904</v>
      </c>
      <c r="B70" s="869" t="s">
        <v>888</v>
      </c>
      <c r="C70" s="865">
        <f>+C65-C67</f>
        <v>-231337</v>
      </c>
      <c r="D70" s="866">
        <f>+D65-D67</f>
        <v>-143145</v>
      </c>
      <c r="E70" s="835">
        <f>+E65-E67</f>
        <v>-143145</v>
      </c>
      <c r="F70" s="867">
        <f t="shared" si="2"/>
        <v>1</v>
      </c>
      <c r="G70" s="867">
        <f t="shared" si="4"/>
        <v>0.6187726131142014</v>
      </c>
    </row>
    <row r="71" spans="1:7" s="723" customFormat="1" ht="15.75" customHeight="1">
      <c r="A71" s="858" t="s">
        <v>905</v>
      </c>
      <c r="B71" s="859" t="s">
        <v>906</v>
      </c>
      <c r="C71" s="860"/>
      <c r="D71" s="861"/>
      <c r="E71" s="862"/>
      <c r="F71" s="863"/>
      <c r="G71" s="863"/>
    </row>
    <row r="72" spans="1:7" s="723" customFormat="1" ht="15.75" customHeight="1">
      <c r="A72" s="858" t="s">
        <v>907</v>
      </c>
      <c r="B72" s="859" t="s">
        <v>879</v>
      </c>
      <c r="C72" s="865">
        <f>+C73</f>
        <v>52682.000000000007</v>
      </c>
      <c r="D72" s="866">
        <f>+D73</f>
        <v>52682.000000000007</v>
      </c>
      <c r="E72" s="835">
        <f>+E73</f>
        <v>52682.000000000007</v>
      </c>
      <c r="F72" s="867">
        <f t="shared" si="2"/>
        <v>1</v>
      </c>
      <c r="G72" s="867">
        <f t="shared" ref="G72:G77" si="5">+E72/C72</f>
        <v>1</v>
      </c>
    </row>
    <row r="73" spans="1:7" s="723" customFormat="1" ht="15.75" customHeight="1">
      <c r="A73" s="868" t="s">
        <v>1340</v>
      </c>
      <c r="B73" s="869" t="s">
        <v>880</v>
      </c>
      <c r="C73" s="1176">
        <f>IF(Ingresos!B10&lt;=2003,Ingresos!C71*0.1,Ingresos!C71*0.07)</f>
        <v>52682.000000000007</v>
      </c>
      <c r="D73" s="1177">
        <f>IF(Ingresos!B10&lt;=2003,Ingresos!E71*0.1,Ingresos!E71*0.07)</f>
        <v>52682.000000000007</v>
      </c>
      <c r="E73" s="1179">
        <f>IF(Ingresos!B10&lt;=2003,Ingresos!H71*0.1,Ingresos!H71*0.07)</f>
        <v>52682.000000000007</v>
      </c>
      <c r="F73" s="873">
        <f t="shared" si="2"/>
        <v>1</v>
      </c>
      <c r="G73" s="873">
        <f t="shared" si="5"/>
        <v>1</v>
      </c>
    </row>
    <row r="74" spans="1:7" s="723" customFormat="1" ht="15.75" customHeight="1">
      <c r="A74" s="858" t="s">
        <v>908</v>
      </c>
      <c r="B74" s="859" t="s">
        <v>882</v>
      </c>
      <c r="C74" s="865">
        <f>SUM(C75:C76)</f>
        <v>119978</v>
      </c>
      <c r="D74" s="866">
        <f>SUM(D75:D76)</f>
        <v>119978</v>
      </c>
      <c r="E74" s="835">
        <f>SUM(E75:E76)</f>
        <v>119978</v>
      </c>
      <c r="F74" s="867">
        <f t="shared" si="2"/>
        <v>1</v>
      </c>
      <c r="G74" s="867">
        <f t="shared" si="5"/>
        <v>1</v>
      </c>
    </row>
    <row r="75" spans="1:7" s="723" customFormat="1" ht="15.75" customHeight="1">
      <c r="A75" s="858" t="s">
        <v>909</v>
      </c>
      <c r="B75" s="869" t="s">
        <v>884</v>
      </c>
      <c r="C75" s="871">
        <f>+Gastos!D94+Gastos!D96+Gastos!D131+Gastos!D133+Gastos!D168+Gastos!D170</f>
        <v>0</v>
      </c>
      <c r="D75" s="871">
        <f>+Gastos!G94+Gastos!G96+Gastos!G131+Gastos!G133+Gastos!G168+Gastos!G170</f>
        <v>43687</v>
      </c>
      <c r="E75" s="842">
        <f>+Gastos!J94+Gastos!J96+Gastos!J131+Gastos!J133+Gastos!J168+Gastos!J170</f>
        <v>0</v>
      </c>
      <c r="F75" s="873">
        <f t="shared" si="2"/>
        <v>0</v>
      </c>
      <c r="G75" s="873" t="e">
        <f t="shared" si="5"/>
        <v>#DIV/0!</v>
      </c>
    </row>
    <row r="76" spans="1:7" s="723" customFormat="1" ht="15.75" customHeight="1">
      <c r="A76" s="858" t="s">
        <v>910</v>
      </c>
      <c r="B76" s="869" t="s">
        <v>886</v>
      </c>
      <c r="C76" s="871">
        <f>+Gastos!D115+Gastos!D117+Gastos!D152+Gastos!D154+Gastos!D188+Gastos!D190</f>
        <v>119978</v>
      </c>
      <c r="D76" s="871">
        <f>+Gastos!G115+Gastos!G117+Gastos!G152+Gastos!G154+Gastos!G188+Gastos!G190</f>
        <v>76291</v>
      </c>
      <c r="E76" s="842">
        <f>+Gastos!J115+Gastos!J117+Gastos!J152+Gastos!J154+Gastos!J188+Gastos!J190</f>
        <v>119978</v>
      </c>
      <c r="F76" s="873">
        <f t="shared" si="2"/>
        <v>1.572636352911877</v>
      </c>
      <c r="G76" s="873">
        <f t="shared" si="5"/>
        <v>1</v>
      </c>
    </row>
    <row r="77" spans="1:7" s="723" customFormat="1" ht="15.75" customHeight="1">
      <c r="A77" s="858" t="s">
        <v>911</v>
      </c>
      <c r="B77" s="869" t="s">
        <v>888</v>
      </c>
      <c r="C77" s="865">
        <f>+C72-C74</f>
        <v>-67296</v>
      </c>
      <c r="D77" s="866">
        <f>+D72-D74</f>
        <v>-67296</v>
      </c>
      <c r="E77" s="835">
        <f>+E72-E74</f>
        <v>-67296</v>
      </c>
      <c r="F77" s="867">
        <f t="shared" si="2"/>
        <v>1</v>
      </c>
      <c r="G77" s="867">
        <f t="shared" si="5"/>
        <v>1</v>
      </c>
    </row>
    <row r="78" spans="1:7" s="723" customFormat="1" ht="15.75" customHeight="1">
      <c r="A78" s="858" t="s">
        <v>912</v>
      </c>
      <c r="B78" s="877" t="s">
        <v>913</v>
      </c>
      <c r="C78" s="878"/>
      <c r="D78" s="879"/>
      <c r="E78" s="880"/>
      <c r="F78" s="881"/>
      <c r="G78" s="881"/>
    </row>
    <row r="79" spans="1:7" s="723" customFormat="1" ht="15.75" customHeight="1">
      <c r="A79" s="858" t="s">
        <v>914</v>
      </c>
      <c r="B79" s="859" t="s">
        <v>879</v>
      </c>
      <c r="C79" s="882">
        <f>+C80+C87+C91+C92</f>
        <v>1553409.9791999999</v>
      </c>
      <c r="D79" s="882">
        <f>+D80+D87+D91+D92</f>
        <v>1553410</v>
      </c>
      <c r="E79" s="883">
        <f>+E80+E87+E91+E92</f>
        <v>1553410</v>
      </c>
      <c r="F79" s="867">
        <f t="shared" ref="F79:F86" si="6">+E79/D79</f>
        <v>1</v>
      </c>
      <c r="G79" s="867">
        <f t="shared" ref="G79:G86" si="7">+E79/C79</f>
        <v>1.0000000133898972</v>
      </c>
    </row>
    <row r="80" spans="1:7" s="723" customFormat="1" ht="15.75" customHeight="1">
      <c r="A80" s="858" t="s">
        <v>915</v>
      </c>
      <c r="B80" s="877" t="s">
        <v>916</v>
      </c>
      <c r="C80" s="882">
        <f>SUM(C81:C86)</f>
        <v>170016</v>
      </c>
      <c r="D80" s="882">
        <f>SUM(D81:D86)</f>
        <v>170016</v>
      </c>
      <c r="E80" s="883">
        <f>SUM(E81:E86)</f>
        <v>170016</v>
      </c>
      <c r="F80" s="867">
        <f t="shared" si="6"/>
        <v>1</v>
      </c>
      <c r="G80" s="867">
        <f t="shared" si="7"/>
        <v>1</v>
      </c>
    </row>
    <row r="81" spans="1:7" s="723" customFormat="1" ht="15.75" customHeight="1">
      <c r="A81" s="884" t="s">
        <v>1258</v>
      </c>
      <c r="B81" s="885" t="s">
        <v>917</v>
      </c>
      <c r="C81" s="886">
        <f>+Ingresos!C30-'Ley 617'!D27</f>
        <v>0</v>
      </c>
      <c r="D81" s="886">
        <f>+Ingresos!E30-'Ley 617'!E27</f>
        <v>0</v>
      </c>
      <c r="E81" s="887">
        <f>+Ingresos!H30-'Ley 617'!F27</f>
        <v>0</v>
      </c>
      <c r="F81" s="873" t="e">
        <f t="shared" si="6"/>
        <v>#DIV/0!</v>
      </c>
      <c r="G81" s="873" t="e">
        <f t="shared" si="7"/>
        <v>#DIV/0!</v>
      </c>
    </row>
    <row r="82" spans="1:7" s="723" customFormat="1" ht="15.75" customHeight="1">
      <c r="A82" s="884" t="s">
        <v>853</v>
      </c>
      <c r="B82" s="885" t="s">
        <v>918</v>
      </c>
      <c r="C82" s="886">
        <f>+Ingresos!C32-'Ley 617'!D29</f>
        <v>0</v>
      </c>
      <c r="D82" s="886">
        <f>+Ingresos!E32-'Ley 617'!E29</f>
        <v>0</v>
      </c>
      <c r="E82" s="887">
        <f>+Ingresos!H32-'Ley 617'!F29</f>
        <v>0</v>
      </c>
      <c r="F82" s="873" t="e">
        <f t="shared" si="6"/>
        <v>#DIV/0!</v>
      </c>
      <c r="G82" s="873" t="e">
        <f t="shared" si="7"/>
        <v>#DIV/0!</v>
      </c>
    </row>
    <row r="83" spans="1:7" s="723" customFormat="1" ht="15.75" customHeight="1">
      <c r="A83" s="884" t="s">
        <v>1264</v>
      </c>
      <c r="B83" s="885" t="s">
        <v>919</v>
      </c>
      <c r="C83" s="886">
        <f>+Ingresos!C33-'Ley 617'!D30</f>
        <v>0</v>
      </c>
      <c r="D83" s="886">
        <f>+Ingresos!E33-'Ley 617'!E30</f>
        <v>0</v>
      </c>
      <c r="E83" s="887">
        <f>+Ingresos!H33-'Ley 617'!F30</f>
        <v>0</v>
      </c>
      <c r="F83" s="873" t="e">
        <f t="shared" si="6"/>
        <v>#DIV/0!</v>
      </c>
      <c r="G83" s="873" t="e">
        <f t="shared" si="7"/>
        <v>#DIV/0!</v>
      </c>
    </row>
    <row r="84" spans="1:7" s="723" customFormat="1" ht="15.75" customHeight="1">
      <c r="A84" s="888" t="s">
        <v>1266</v>
      </c>
      <c r="B84" s="885" t="s">
        <v>920</v>
      </c>
      <c r="C84" s="1351">
        <f>(+Ingresos!C34-'Ley 617'!D31)*(1-(VLOOKUP($A$84,'Ingresos Proyecciones'!$A$154:$Q$172,LOOKUP($C$25,'Ingresos Proyecciones'!$C$22:$Q$22,'Ingresos Proyecciones'!$C$184:$Q$184),FALSE)))</f>
        <v>42951</v>
      </c>
      <c r="D84" s="1351">
        <f>(+Ingresos!E34-'Ley 617'!E31)*(1-(VLOOKUP($A$84,'Ingresos Proyecciones'!$A$154:$Q$172,LOOKUP($C$25,'Ingresos Proyecciones'!$C$22:$Q$22,'Ingresos Proyecciones'!$C$184:$Q$184),FALSE)))</f>
        <v>42951</v>
      </c>
      <c r="E84" s="1351">
        <f>(+Ingresos!H34-'Ley 617'!F31)*(1-(VLOOKUP($A$84,'Ingresos Proyecciones'!$A$154:$Q$172,LOOKUP($C$25,'Ingresos Proyecciones'!$C$22:$Q$22,'Ingresos Proyecciones'!$C$184:$Q$184),FALSE)))</f>
        <v>42951</v>
      </c>
      <c r="F84" s="873">
        <f t="shared" si="6"/>
        <v>1</v>
      </c>
      <c r="G84" s="873">
        <f t="shared" si="7"/>
        <v>1</v>
      </c>
    </row>
    <row r="85" spans="1:7" s="723" customFormat="1" ht="15.75" customHeight="1">
      <c r="A85" s="888" t="s">
        <v>1280</v>
      </c>
      <c r="B85" s="885" t="s">
        <v>921</v>
      </c>
      <c r="C85" s="1351">
        <f>(+Ingresos!C41-'Ley 617'!D38)*(1-(VLOOKUP($A$85,'Ingresos Proyecciones'!$A$154:$Q$172,LOOKUP($C$25,'Ingresos Proyecciones'!$C$22:$Q$22,'Ingresos Proyecciones'!$C$184:$Q$184),FALSE)))</f>
        <v>0</v>
      </c>
      <c r="D85" s="1351">
        <f>(+Ingresos!E41-'Ley 617'!E38)*(1-(VLOOKUP($A$85,'Ingresos Proyecciones'!$A$154:$Q$172,LOOKUP($C$25,'Ingresos Proyecciones'!$C$22:$Q$22,'Ingresos Proyecciones'!$C$184:$Q$184),FALSE)))</f>
        <v>0</v>
      </c>
      <c r="E85" s="1351">
        <f>(+Ingresos!H41-'Ley 617'!F38)*(1-(VLOOKUP($A$85,'Ingresos Proyecciones'!$A$154:$Q$172,LOOKUP($C$25,'Ingresos Proyecciones'!$C$22:$Q$22,'Ingresos Proyecciones'!$C$184:$Q$184),FALSE)))</f>
        <v>0</v>
      </c>
      <c r="F85" s="873" t="e">
        <f>+E85/D85</f>
        <v>#DIV/0!</v>
      </c>
      <c r="G85" s="873" t="e">
        <f>+E85/C85</f>
        <v>#DIV/0!</v>
      </c>
    </row>
    <row r="86" spans="1:7" s="723" customFormat="1" ht="15.75" customHeight="1">
      <c r="A86" s="858" t="s">
        <v>922</v>
      </c>
      <c r="B86" s="885" t="s">
        <v>923</v>
      </c>
      <c r="C86" s="886">
        <f>+(Ingresos!C29-Ingresos!C30-Ingresos!C32-Ingresos!C33-Ingresos!C34-Ingresos!C36-Ingresos!C41)-('Ley 617'!D26-'Ley 617'!D27-'Ley 617'!D29-'Ley 617'!D30-'Ley 617'!D31-'Ley 617'!D33-'Ley 617'!D38)</f>
        <v>127065</v>
      </c>
      <c r="D86" s="886">
        <f>+(Ingresos!E29-Ingresos!E30-Ingresos!E32-Ingresos!E33-Ingresos!E34-Ingresos!E36-Ingresos!E41)-('Ley 617'!E26-'Ley 617'!E27-'Ley 617'!E29-'Ley 617'!E30-'Ley 617'!E31-'Ley 617'!E33-'Ley 617'!E38)</f>
        <v>127065</v>
      </c>
      <c r="E86" s="887">
        <f>+(Ingresos!H29-Ingresos!H30-Ingresos!H32-Ingresos!H33-Ingresos!H34-Ingresos!H36-Ingresos!H41)-('Ley 617'!F26-'Ley 617'!F27-'Ley 617'!F29-'Ley 617'!F30-'Ley 617'!F31-'Ley 617'!F33-'Ley 617'!F38)</f>
        <v>127065</v>
      </c>
      <c r="F86" s="873">
        <f t="shared" si="6"/>
        <v>1</v>
      </c>
      <c r="G86" s="873">
        <f t="shared" si="7"/>
        <v>1</v>
      </c>
    </row>
    <row r="87" spans="1:7" s="723" customFormat="1" ht="15.75" customHeight="1">
      <c r="A87" s="858" t="s">
        <v>924</v>
      </c>
      <c r="B87" s="859" t="s">
        <v>925</v>
      </c>
      <c r="C87" s="882">
        <f>+C88+C89+C90</f>
        <v>-419130</v>
      </c>
      <c r="D87" s="882">
        <f>+D88+D89+D90</f>
        <v>-419130</v>
      </c>
      <c r="E87" s="883">
        <f>+E88+E89+E90</f>
        <v>-419130</v>
      </c>
      <c r="F87" s="867">
        <f t="shared" ref="F87:F103" si="8">+E87/D87</f>
        <v>1</v>
      </c>
      <c r="G87" s="867">
        <f>+E87/C88</f>
        <v>-1.3259747162218594</v>
      </c>
    </row>
    <row r="88" spans="1:7" s="723" customFormat="1" ht="15.75" customHeight="1">
      <c r="A88" s="868" t="s">
        <v>1340</v>
      </c>
      <c r="B88" s="869" t="s">
        <v>926</v>
      </c>
      <c r="C88" s="1383">
        <f>IF(Ingresos!B10&lt;=2003,(Ingresos!C71*0.49*(1-(VLOOKUP($A$88,'Ingresos Proyecciones'!$A$154:$Q$172,LOOKUP($C$25,'Ingresos Proyecciones'!$C$22:$Q$22,'Ingresos Proyecciones'!$C$184:$Q$184),FALSE)))),(Ingresos!C71*0.42*(1-(VLOOKUP($A$88,'Ingresos Proyecciones'!$A$154:$Q$172,LOOKUP($C$25,'Ingresos Proyecciones'!$C$22:$Q$22,'Ingresos Proyecciones'!$C$184:$Q$184),FALSE)))))</f>
        <v>316092</v>
      </c>
      <c r="D88" s="1383">
        <f>IF(Ingresos!B10&lt;=2003,(Ingresos!E71*0.49*(1-(VLOOKUP($A$88,'Ingresos Proyecciones'!$A$154:$Q$172,LOOKUP($C$25,'Ingresos Proyecciones'!$C$22:$Q$22,'Ingresos Proyecciones'!$C$184:$Q$184),FALSE)))),(Ingresos!E71*0.42*(1-(VLOOKUP($A$88,'Ingresos Proyecciones'!$A$154:$Q$172,LOOKUP($C$25,'Ingresos Proyecciones'!$C$22:$Q$22,'Ingresos Proyecciones'!$C$184:$Q$184),FALSE)))))</f>
        <v>316092</v>
      </c>
      <c r="E88" s="1353">
        <f>IF(Ingresos!B10&lt;=2003,(Ingresos!H71*0.49*(1-(VLOOKUP($A$88,'Ingresos Proyecciones'!$A$154:$Q$172,LOOKUP($C$25,'Ingresos Proyecciones'!$C$22:$Q$22,'Ingresos Proyecciones'!$C$184:$Q$184),FALSE)))),(Ingresos!H71*0.42*(1-(VLOOKUP($A$88,'Ingresos Proyecciones'!$A$154:$Q$172,LOOKUP($C$25,'Ingresos Proyecciones'!$C$22:$Q$22,'Ingresos Proyecciones'!$C$184:$Q$184),FALSE)))))</f>
        <v>316092</v>
      </c>
      <c r="F88" s="873">
        <f t="shared" si="8"/>
        <v>1</v>
      </c>
      <c r="G88" s="873">
        <f>+E88/C88</f>
        <v>1</v>
      </c>
    </row>
    <row r="89" spans="1:7" s="723" customFormat="1" ht="15.75" customHeight="1">
      <c r="A89" s="889" t="s">
        <v>1344</v>
      </c>
      <c r="B89" s="869" t="s">
        <v>927</v>
      </c>
      <c r="C89" s="1351">
        <f>+(Ingresos!C73-'Ley 617'!D70)*(1-(VLOOKUP($A$89,'Ingresos Proyecciones'!$A$154:$Q$172,LOOKUP($C$25,'Ingresos Proyecciones'!$C$22:$Q$22,'Ingresos Proyecciones'!$C$184:$Q$184),FALSE)))</f>
        <v>0</v>
      </c>
      <c r="D89" s="1351">
        <f>+(Ingresos!E73-'Ley 617'!E70)*(1-(VLOOKUP($A$89,'Ingresos Proyecciones'!$A$154:$Q$172,LOOKUP($C$25,'Ingresos Proyecciones'!$C$22:$Q$22,'Ingresos Proyecciones'!$C$184:$Q$184),FALSE)))</f>
        <v>0</v>
      </c>
      <c r="E89" s="1351">
        <f>+(Ingresos!H73-'Ley 617'!F70)*(1-(VLOOKUP($A$89,'Ingresos Proyecciones'!$A$154:$Q$172,LOOKUP($C$25,'Ingresos Proyecciones'!$C$22:$Q$22,'Ingresos Proyecciones'!$C$184:$Q$184),FALSE)))</f>
        <v>0</v>
      </c>
      <c r="F89" s="873" t="e">
        <f t="shared" si="8"/>
        <v>#DIV/0!</v>
      </c>
      <c r="G89" s="873" t="e">
        <f>+E89/C89</f>
        <v>#DIV/0!</v>
      </c>
    </row>
    <row r="90" spans="1:7" s="723" customFormat="1" ht="15.75" customHeight="1">
      <c r="A90" s="858" t="s">
        <v>928</v>
      </c>
      <c r="B90" s="859" t="s">
        <v>929</v>
      </c>
      <c r="C90" s="882">
        <f>+(Ingresos!C50-'Ley 617'!D47)-Ingresos!C62-Ingresos!C65-Ingresos!C71-(Ingresos!C73-'Ley 617'!D70)-Ingresos!C75-Ingresos!C76</f>
        <v>-735222</v>
      </c>
      <c r="D90" s="882">
        <f>+(Ingresos!E50-'Ley 617'!E47)-Ingresos!E62-Ingresos!E65-Ingresos!E71-(Ingresos!E73-'Ley 617'!E70)-Ingresos!E75-Ingresos!E76</f>
        <v>-735222</v>
      </c>
      <c r="E90" s="883">
        <f>+(Ingresos!H50-'Ley 617'!F47)-Ingresos!H62-Ingresos!H65-Ingresos!H71-(Ingresos!H73-'Ley 617'!F70)-Ingresos!H75-Ingresos!H76</f>
        <v>-735222</v>
      </c>
      <c r="F90" s="867">
        <f>+E90/D90</f>
        <v>1</v>
      </c>
      <c r="G90" s="867">
        <f>+E90/C91</f>
        <v>-9.7690938081318102</v>
      </c>
    </row>
    <row r="91" spans="1:7" s="723" customFormat="1" ht="15.75" customHeight="1">
      <c r="A91" s="858" t="s">
        <v>930</v>
      </c>
      <c r="B91" s="1188" t="s">
        <v>931</v>
      </c>
      <c r="C91" s="1180">
        <f>+Ingresos!C121*0.15+(Ingresos!C71-'Fuentes y Usos Seguimiento'!C66-'Fuentes y Usos Seguimiento'!C73-'Fuentes y Usos Seguimiento'!C88-'Fuentes y Usos Seguimiento'!C123)</f>
        <v>75260</v>
      </c>
      <c r="D91" s="1180">
        <f>+Ingresos!E121*0.15+(Ingresos!E71-'Fuentes y Usos Seguimiento'!D66-'Fuentes y Usos Seguimiento'!D73-'Fuentes y Usos Seguimiento'!D88-'Fuentes y Usos Seguimiento'!D123)</f>
        <v>75260</v>
      </c>
      <c r="E91" s="1181">
        <f>+Ingresos!H121*0.15+(Ingresos!H71-'Fuentes y Usos Seguimiento'!E66-'Fuentes y Usos Seguimiento'!E73-'Fuentes y Usos Seguimiento'!E88-'Fuentes y Usos Seguimiento'!E123)</f>
        <v>75260</v>
      </c>
      <c r="F91" s="867">
        <f>+E91/D91</f>
        <v>1</v>
      </c>
      <c r="G91" s="867">
        <f>+E91/C92</f>
        <v>4.3571799624315351E-2</v>
      </c>
    </row>
    <row r="92" spans="1:7" s="723" customFormat="1" ht="15.75" customHeight="1">
      <c r="A92" s="858" t="s">
        <v>932</v>
      </c>
      <c r="B92" s="859" t="s">
        <v>933</v>
      </c>
      <c r="C92" s="882">
        <f>SUM(C93:C103)</f>
        <v>1727263.9791999999</v>
      </c>
      <c r="D92" s="882">
        <f>SUM(D93:D103)</f>
        <v>1727264</v>
      </c>
      <c r="E92" s="883">
        <f>SUM(E93:E103)</f>
        <v>1727264</v>
      </c>
      <c r="F92" s="867">
        <f t="shared" si="8"/>
        <v>1</v>
      </c>
      <c r="G92" s="867">
        <f t="shared" ref="G92:G103" si="9">+E92/C92</f>
        <v>1.0000000120421664</v>
      </c>
    </row>
    <row r="93" spans="1:7" s="723" customFormat="1" ht="15.75" customHeight="1">
      <c r="A93" s="868" t="s">
        <v>1</v>
      </c>
      <c r="B93" s="869" t="s">
        <v>934</v>
      </c>
      <c r="C93" s="886">
        <f>+Ingresos!C88</f>
        <v>0</v>
      </c>
      <c r="D93" s="886">
        <f>+Ingresos!E88</f>
        <v>0</v>
      </c>
      <c r="E93" s="887">
        <f>+Ingresos!H88</f>
        <v>0</v>
      </c>
      <c r="F93" s="873" t="e">
        <f t="shared" si="8"/>
        <v>#DIV/0!</v>
      </c>
      <c r="G93" s="873" t="e">
        <f t="shared" si="9"/>
        <v>#DIV/0!</v>
      </c>
    </row>
    <row r="94" spans="1:7" s="723" customFormat="1" ht="15.75" customHeight="1">
      <c r="A94" s="888" t="s">
        <v>935</v>
      </c>
      <c r="B94" s="869" t="s">
        <v>936</v>
      </c>
      <c r="C94" s="1351">
        <f>(+Ingresos!C129)*(1-(VLOOKUP($A$94,'Ingresos Proyecciones'!$A$154:$Q$172,LOOKUP($C$25,'Ingresos Proyecciones'!$C$22:$Q$22,'Ingresos Proyecciones'!$C$184:$Q$184),FALSE)))</f>
        <v>0</v>
      </c>
      <c r="D94" s="1351">
        <f>(+Ingresos!E129)*(1-(VLOOKUP($A$94,'Ingresos Proyecciones'!$A$154:$Q$172,LOOKUP($C$25,'Ingresos Proyecciones'!$C$22:$Q$22,'Ingresos Proyecciones'!$C$184:$Q$184),FALSE)))</f>
        <v>0</v>
      </c>
      <c r="E94" s="1351">
        <f>(+Ingresos!H129)*(1-(VLOOKUP($A$94,'Ingresos Proyecciones'!$A$154:$Q$172,LOOKUP($C$25,'Ingresos Proyecciones'!$C$22:$Q$22,'Ingresos Proyecciones'!$C$184:$Q$184),FALSE)))</f>
        <v>0</v>
      </c>
      <c r="F94" s="873" t="e">
        <f t="shared" si="8"/>
        <v>#DIV/0!</v>
      </c>
      <c r="G94" s="873" t="e">
        <f t="shared" si="9"/>
        <v>#DIV/0!</v>
      </c>
    </row>
    <row r="95" spans="1:7" s="723" customFormat="1" ht="15.75" customHeight="1">
      <c r="A95" s="868" t="s">
        <v>937</v>
      </c>
      <c r="B95" s="869" t="s">
        <v>4</v>
      </c>
      <c r="C95" s="886">
        <f>+Ingresos!C89</f>
        <v>0</v>
      </c>
      <c r="D95" s="886">
        <f>+Ingresos!E89</f>
        <v>0</v>
      </c>
      <c r="E95" s="887">
        <f>+Ingresos!H89</f>
        <v>0</v>
      </c>
      <c r="F95" s="873" t="e">
        <f t="shared" si="8"/>
        <v>#DIV/0!</v>
      </c>
      <c r="G95" s="873" t="e">
        <f t="shared" si="9"/>
        <v>#DIV/0!</v>
      </c>
    </row>
    <row r="96" spans="1:7" s="723" customFormat="1" ht="15.75" customHeight="1">
      <c r="A96" s="868" t="s">
        <v>5</v>
      </c>
      <c r="B96" s="869" t="s">
        <v>938</v>
      </c>
      <c r="C96" s="1351">
        <f>+Ingresos!C90*(1-(VLOOKUP($A$96,'Ingresos Proyecciones'!$A$154:$Q$172,LOOKUP($C$25,'Ingresos Proyecciones'!$C$22:$Q$22,'Ingresos Proyecciones'!$C$184:$Q$184),FALSE)))</f>
        <v>1496248</v>
      </c>
      <c r="D96" s="1351">
        <f>+Ingresos!E90*(1-(VLOOKUP($A$96,'Ingresos Proyecciones'!$A$154:$Q$172,LOOKUP($C$25,'Ingresos Proyecciones'!$C$22:$Q$22,'Ingresos Proyecciones'!$C$184:$Q$184),FALSE)))</f>
        <v>1496248</v>
      </c>
      <c r="E96" s="1398">
        <f>+Ingresos!H90*(1-(VLOOKUP($A$96,'Ingresos Proyecciones'!$A$154:$Q$172,LOOKUP($C$25,'Ingresos Proyecciones'!$C$22:$Q$22,'Ingresos Proyecciones'!$C$184:$Q$184),FALSE)))</f>
        <v>1496248</v>
      </c>
      <c r="F96" s="873">
        <f t="shared" si="8"/>
        <v>1</v>
      </c>
      <c r="G96" s="873">
        <f t="shared" si="9"/>
        <v>1</v>
      </c>
    </row>
    <row r="97" spans="1:7" s="723" customFormat="1" ht="15.75" customHeight="1">
      <c r="A97" s="858" t="s">
        <v>939</v>
      </c>
      <c r="B97" s="869" t="s">
        <v>940</v>
      </c>
      <c r="C97" s="886">
        <f>+Ingresos!C99-Ingresos!C107</f>
        <v>0</v>
      </c>
      <c r="D97" s="886">
        <f>+Ingresos!E99-Ingresos!E107</f>
        <v>0</v>
      </c>
      <c r="E97" s="887">
        <f>+Ingresos!H99-Ingresos!H107</f>
        <v>0</v>
      </c>
      <c r="F97" s="873" t="e">
        <f t="shared" si="8"/>
        <v>#DIV/0!</v>
      </c>
      <c r="G97" s="873" t="e">
        <f t="shared" si="9"/>
        <v>#DIV/0!</v>
      </c>
    </row>
    <row r="98" spans="1:7" s="723" customFormat="1" ht="15.75" customHeight="1">
      <c r="A98" s="858" t="s">
        <v>51</v>
      </c>
      <c r="B98" s="869" t="s">
        <v>941</v>
      </c>
      <c r="C98" s="1351">
        <f>+Ingresos!C111-( Ingresos!C121*0.15)-(Ingresos!C114*(VLOOKUP($A$98,'Ingresos Proyecciones'!$A$154:$Q$172,LOOKUP($C$25,'Ingresos Proyecciones'!$C$22:$Q$22,'Ingresos Proyecciones'!$C$184:$Q$184),FALSE)))</f>
        <v>231003</v>
      </c>
      <c r="D98" s="1351">
        <f>+Ingresos!E111-( Ingresos!E121*0.15)-(Ingresos!E114*(VLOOKUP($A$98,'Ingresos Proyecciones'!$A$154:$Q$172,LOOKUP($C$25,'Ingresos Proyecciones'!$C$22:$Q$22,'Ingresos Proyecciones'!$C$184:$Q$184),FALSE)))</f>
        <v>231003</v>
      </c>
      <c r="E98" s="1351">
        <f>+Ingresos!H111-( Ingresos!H121*0.15)-(Ingresos!H114*(VLOOKUP($A$98,'Ingresos Proyecciones'!$A$154:$Q$172,LOOKUP($C$25,'Ingresos Proyecciones'!$C$22:$Q$22,'Ingresos Proyecciones'!$C$184:$Q$184),FALSE)))</f>
        <v>231003</v>
      </c>
      <c r="F98" s="873">
        <f t="shared" si="8"/>
        <v>1</v>
      </c>
      <c r="G98" s="873">
        <f t="shared" si="9"/>
        <v>1</v>
      </c>
    </row>
    <row r="99" spans="1:7" s="723" customFormat="1" ht="15.75" customHeight="1">
      <c r="A99" s="868" t="s">
        <v>942</v>
      </c>
      <c r="B99" s="869" t="s">
        <v>943</v>
      </c>
      <c r="C99" s="1351">
        <f>(+Ingresos!C123)*(1-(VLOOKUP($A$99,'Ingresos Proyecciones'!$A$154:$Q$172,LOOKUP($C$25,'Ingresos Proyecciones'!$C$22:$Q$22,'Ingresos Proyecciones'!$C$184:$Q$184),FALSE)))</f>
        <v>0</v>
      </c>
      <c r="D99" s="1351">
        <f>(+Ingresos!E123)*(1-(VLOOKUP($A$99,'Ingresos Proyecciones'!$A$154:$Q$172,LOOKUP($C$25,'Ingresos Proyecciones'!$C$22:$Q$22,'Ingresos Proyecciones'!$C$184:$Q$184),FALSE)))</f>
        <v>0</v>
      </c>
      <c r="E99" s="1351">
        <f>(+Ingresos!H123)*(1-(VLOOKUP($A$99,'Ingresos Proyecciones'!$A$154:$Q$172,LOOKUP($C$25,'Ingresos Proyecciones'!$C$22:$Q$22,'Ingresos Proyecciones'!$C$184:$Q$184),FALSE)))</f>
        <v>0</v>
      </c>
      <c r="F99" s="873" t="e">
        <f t="shared" si="8"/>
        <v>#DIV/0!</v>
      </c>
      <c r="G99" s="873" t="e">
        <f t="shared" si="9"/>
        <v>#DIV/0!</v>
      </c>
    </row>
    <row r="100" spans="1:7" s="723" customFormat="1" ht="15.75" customHeight="1">
      <c r="A100" s="868" t="s">
        <v>73</v>
      </c>
      <c r="B100" s="869" t="s">
        <v>944</v>
      </c>
      <c r="C100" s="886">
        <f>+Ingresos!C124</f>
        <v>0</v>
      </c>
      <c r="D100" s="886">
        <f>+Ingresos!E124</f>
        <v>0</v>
      </c>
      <c r="E100" s="887">
        <f>+Ingresos!H124</f>
        <v>0</v>
      </c>
      <c r="F100" s="873" t="e">
        <f t="shared" si="8"/>
        <v>#DIV/0!</v>
      </c>
      <c r="G100" s="873" t="e">
        <f t="shared" si="9"/>
        <v>#DIV/0!</v>
      </c>
    </row>
    <row r="101" spans="1:7" s="723" customFormat="1" ht="15.75" customHeight="1">
      <c r="A101" s="868" t="s">
        <v>75</v>
      </c>
      <c r="B101" s="869" t="s">
        <v>945</v>
      </c>
      <c r="C101" s="886">
        <f>+Ingresos!C125</f>
        <v>12.979200000000001</v>
      </c>
      <c r="D101" s="886">
        <f>+Ingresos!E125</f>
        <v>13</v>
      </c>
      <c r="E101" s="887">
        <f>+Ingresos!H125</f>
        <v>13</v>
      </c>
      <c r="F101" s="873">
        <f t="shared" si="8"/>
        <v>1</v>
      </c>
      <c r="G101" s="873">
        <f t="shared" si="9"/>
        <v>1.0016025641025641</v>
      </c>
    </row>
    <row r="102" spans="1:7" s="723" customFormat="1" ht="15.75" customHeight="1">
      <c r="A102" s="868" t="s">
        <v>81</v>
      </c>
      <c r="B102" s="869" t="s">
        <v>946</v>
      </c>
      <c r="C102" s="886">
        <f>+Ingresos!C128</f>
        <v>0</v>
      </c>
      <c r="D102" s="886">
        <f>+Ingresos!E128</f>
        <v>0</v>
      </c>
      <c r="E102" s="887">
        <f>+Ingresos!H128</f>
        <v>0</v>
      </c>
      <c r="F102" s="873" t="e">
        <f t="shared" si="8"/>
        <v>#DIV/0!</v>
      </c>
      <c r="G102" s="873" t="e">
        <f t="shared" si="9"/>
        <v>#DIV/0!</v>
      </c>
    </row>
    <row r="103" spans="1:7" s="723" customFormat="1" ht="15.75" customHeight="1">
      <c r="A103" s="890" t="s">
        <v>85</v>
      </c>
      <c r="B103" s="869" t="s">
        <v>947</v>
      </c>
      <c r="C103" s="886">
        <f>+Ingresos!C130</f>
        <v>0</v>
      </c>
      <c r="D103" s="886">
        <f>+Ingresos!E130</f>
        <v>0</v>
      </c>
      <c r="E103" s="887">
        <f>+Ingresos!H130</f>
        <v>0</v>
      </c>
      <c r="F103" s="873" t="e">
        <f t="shared" si="8"/>
        <v>#DIV/0!</v>
      </c>
      <c r="G103" s="873" t="e">
        <f t="shared" si="9"/>
        <v>#DIV/0!</v>
      </c>
    </row>
    <row r="104" spans="1:7" s="723" customFormat="1" ht="15.75" customHeight="1">
      <c r="A104" s="891" t="s">
        <v>948</v>
      </c>
      <c r="B104" s="859" t="s">
        <v>949</v>
      </c>
      <c r="C104" s="882">
        <f>+C105+C108</f>
        <v>1057726.3699999999</v>
      </c>
      <c r="D104" s="882">
        <f>+D105+D108</f>
        <v>1168278.3699999999</v>
      </c>
      <c r="E104" s="883">
        <f>+E105+E108</f>
        <v>1168278.3699999999</v>
      </c>
      <c r="F104" s="867">
        <f t="shared" ref="F104:F111" si="10">+E104/D104</f>
        <v>1</v>
      </c>
      <c r="G104" s="867">
        <f t="shared" ref="G104:G111" si="11">+E104/C104</f>
        <v>1.1045185249565064</v>
      </c>
    </row>
    <row r="105" spans="1:7" s="723" customFormat="1" ht="15.75" customHeight="1">
      <c r="A105" s="891" t="s">
        <v>950</v>
      </c>
      <c r="B105" s="859" t="s">
        <v>951</v>
      </c>
      <c r="C105" s="865">
        <f>SUM(C106:C107)</f>
        <v>1044784.3699999999</v>
      </c>
      <c r="D105" s="866">
        <f>SUM(D106:D107)</f>
        <v>1155336.3699999999</v>
      </c>
      <c r="E105" s="835">
        <f>SUM(E106:E107)</f>
        <v>1155336.3699999999</v>
      </c>
      <c r="F105" s="867">
        <f t="shared" si="10"/>
        <v>1</v>
      </c>
      <c r="G105" s="867">
        <f t="shared" si="11"/>
        <v>1.1058132215358467</v>
      </c>
    </row>
    <row r="106" spans="1:7" s="723" customFormat="1" ht="15.75" customHeight="1">
      <c r="A106" s="891" t="s">
        <v>952</v>
      </c>
      <c r="B106" s="869" t="s">
        <v>884</v>
      </c>
      <c r="C106" s="871">
        <f>+(Gastos!D89-Gastos!D90-Gastos!D93-Gastos!D95-Gastos!D94-Gastos!D96)+(Gastos!D103-Gastos!D104-Gastos!D106-Gastos!D107)+(Gastos!D126-Gastos!D127-Gastos!D130-Gastos!D131-Gastos!D132-Gastos!D133)+(Gastos!D140-Gastos!D141-Gastos!D143-Gastos!D144)+(Gastos!D163-Gastos!D164-Gastos!D167-Gastos!D168-Gastos!D169-Gastos!D170)+(Gastos!D177-Gastos!D178-Gastos!D180-Gastos!D181)+Gastos!D230</f>
        <v>0</v>
      </c>
      <c r="D106" s="871">
        <f>+(Gastos!G89-Gastos!G90-Gastos!G93-Gastos!G95-Gastos!G94-Gastos!G96)+(Gastos!G103-Gastos!G104-Gastos!G106-Gastos!G107)+(Gastos!G126-Gastos!G127-Gastos!G130-Gastos!G131-Gastos!G132-Gastos!G133)+(Gastos!G140-Gastos!G141-Gastos!G143-Gastos!G144)+(Gastos!G163-Gastos!G164-Gastos!G167-Gastos!G168-Gastos!G169-Gastos!G170)+(Gastos!G177-Gastos!G178-Gastos!G180-Gastos!G181)+Gastos!G230</f>
        <v>347434.72000000003</v>
      </c>
      <c r="E106" s="842">
        <f>+(Gastos!J89-Gastos!J90-Gastos!J93-Gastos!J95-Gastos!J94-Gastos!J96)+(Gastos!J103-Gastos!J104-Gastos!J106-Gastos!J107)+(Gastos!J126-Gastos!J127-Gastos!J130-Gastos!J131-Gastos!J132-Gastos!J133)+(Gastos!J140-Gastos!J141-Gastos!J143-Gastos!J144)+(Gastos!J163-Gastos!J164-Gastos!J167-Gastos!J168-Gastos!J169-Gastos!J170)+(Gastos!J177-Gastos!J178-Gastos!J180-Gastos!J181)+Gastos!J230</f>
        <v>0</v>
      </c>
      <c r="F106" s="873">
        <f t="shared" si="10"/>
        <v>0</v>
      </c>
      <c r="G106" s="873" t="e">
        <f t="shared" si="11"/>
        <v>#DIV/0!</v>
      </c>
    </row>
    <row r="107" spans="1:7" s="723" customFormat="1" ht="15.75" customHeight="1">
      <c r="A107" s="891" t="s">
        <v>953</v>
      </c>
      <c r="B107" s="869" t="s">
        <v>886</v>
      </c>
      <c r="C107" s="871">
        <f>+(Gastos!D110-Gastos!D111-Gastos!D114-Gastos!D115-Gastos!D116-Gastos!D117)+(Gastos!D147-Gastos!D148-Gastos!D151-Gastos!D152-Gastos!D153-Gastos!D154)+(Gastos!D183-Gastos!D184-Gastos!D187-Gastos!D188-Gastos!D189-Gastos!D190)</f>
        <v>1044784.3699999999</v>
      </c>
      <c r="D107" s="871">
        <f>+(Gastos!G110-Gastos!G111-Gastos!G114-Gastos!G115-Gastos!G116-Gastos!G117)+(Gastos!G147-Gastos!G148-Gastos!G151-Gastos!G152-Gastos!G153-Gastos!G154)+(Gastos!G183-Gastos!G184-Gastos!G187-Gastos!G188-Gastos!G189-Gastos!G190)</f>
        <v>807901.64999999991</v>
      </c>
      <c r="E107" s="842">
        <f>+(Gastos!J110-Gastos!J111-Gastos!J114-Gastos!J115-Gastos!J116-Gastos!J117)+(Gastos!J147-Gastos!J148-Gastos!J151-Gastos!J152-Gastos!J153-Gastos!J154)+(Gastos!J183-Gastos!J184-Gastos!J187-Gastos!J188-Gastos!J189-Gastos!J190)</f>
        <v>1155336.3699999999</v>
      </c>
      <c r="F107" s="873">
        <f t="shared" si="10"/>
        <v>1.4300458106503433</v>
      </c>
      <c r="G107" s="873">
        <f t="shared" si="11"/>
        <v>1.1058132215358467</v>
      </c>
    </row>
    <row r="108" spans="1:7" s="723" customFormat="1" ht="15.75" customHeight="1">
      <c r="A108" s="891" t="s">
        <v>954</v>
      </c>
      <c r="B108" s="859" t="s">
        <v>955</v>
      </c>
      <c r="C108" s="882">
        <f>SUM(C109:C109)</f>
        <v>12942</v>
      </c>
      <c r="D108" s="882">
        <f>SUM(D109:D109)</f>
        <v>12942</v>
      </c>
      <c r="E108" s="883">
        <f>SUM(E109:E109)</f>
        <v>12942</v>
      </c>
      <c r="F108" s="867">
        <f t="shared" si="10"/>
        <v>1</v>
      </c>
      <c r="G108" s="867">
        <f t="shared" si="11"/>
        <v>1</v>
      </c>
    </row>
    <row r="109" spans="1:7" s="723" customFormat="1" ht="15.75" customHeight="1">
      <c r="A109" s="892" t="s">
        <v>186</v>
      </c>
      <c r="B109" s="869" t="s">
        <v>956</v>
      </c>
      <c r="C109" s="1178">
        <f>+Gastos!D66+Gastos!D68+Gastos!D53</f>
        <v>12942</v>
      </c>
      <c r="D109" s="1178">
        <f>+Gastos!G66+Gastos!G68+Gastos!G53</f>
        <v>12942</v>
      </c>
      <c r="E109" s="1182">
        <f>+Gastos!J66+Gastos!J68+Gastos!J53</f>
        <v>12942</v>
      </c>
      <c r="F109" s="873">
        <f t="shared" si="10"/>
        <v>1</v>
      </c>
      <c r="G109" s="873">
        <f t="shared" si="11"/>
        <v>1</v>
      </c>
    </row>
    <row r="110" spans="1:7" s="723" customFormat="1" ht="15.75" customHeight="1">
      <c r="A110" s="891" t="s">
        <v>957</v>
      </c>
      <c r="B110" s="859" t="s">
        <v>958</v>
      </c>
      <c r="C110" s="882">
        <f>+C79-C104</f>
        <v>495683.60920000006</v>
      </c>
      <c r="D110" s="882">
        <f>+D79-D104</f>
        <v>385131.63000000012</v>
      </c>
      <c r="E110" s="883">
        <f>+E79-E104</f>
        <v>385131.63000000012</v>
      </c>
      <c r="F110" s="867">
        <f t="shared" si="10"/>
        <v>1</v>
      </c>
      <c r="G110" s="867">
        <f t="shared" si="11"/>
        <v>0.77697067817428256</v>
      </c>
    </row>
    <row r="111" spans="1:7" s="723" customFormat="1" ht="15.75" customHeight="1" thickBot="1">
      <c r="A111" s="893" t="s">
        <v>959</v>
      </c>
      <c r="B111" s="894" t="s">
        <v>960</v>
      </c>
      <c r="C111" s="895">
        <f>+C55+C63+C70+C77+C110</f>
        <v>-1752929.3458</v>
      </c>
      <c r="D111" s="895">
        <f>+D55+D63+D70+D77+D110</f>
        <v>-1454747.3249999997</v>
      </c>
      <c r="E111" s="849">
        <f>+E55+E63+E70+E77+E110</f>
        <v>41500.675000000279</v>
      </c>
      <c r="F111" s="896">
        <f t="shared" si="10"/>
        <v>-2.852775481130394E-2</v>
      </c>
      <c r="G111" s="896">
        <f t="shared" si="11"/>
        <v>-2.3675041495217965E-2</v>
      </c>
    </row>
    <row r="112" spans="1:7" s="723" customFormat="1" ht="15.75" customHeight="1">
      <c r="A112" s="897" t="s">
        <v>961</v>
      </c>
      <c r="B112" s="898" t="s">
        <v>962</v>
      </c>
      <c r="C112" s="899"/>
      <c r="D112" s="900"/>
      <c r="E112" s="856"/>
      <c r="F112" s="900"/>
      <c r="G112" s="900"/>
    </row>
    <row r="113" spans="1:7" s="723" customFormat="1" ht="15.75" customHeight="1">
      <c r="A113" s="901" t="s">
        <v>963</v>
      </c>
      <c r="B113" s="902" t="s">
        <v>964</v>
      </c>
      <c r="C113" s="903"/>
      <c r="D113" s="904"/>
      <c r="E113" s="862"/>
      <c r="F113" s="904"/>
      <c r="G113" s="904"/>
    </row>
    <row r="114" spans="1:7" s="723" customFormat="1" ht="15.75" customHeight="1">
      <c r="A114" s="901" t="s">
        <v>965</v>
      </c>
      <c r="B114" s="902" t="s">
        <v>966</v>
      </c>
      <c r="C114" s="905">
        <f>+C115+C116+C125</f>
        <v>1805358</v>
      </c>
      <c r="D114" s="905">
        <f>+D115+D116+D125</f>
        <v>1507176</v>
      </c>
      <c r="E114" s="835">
        <f>+E115+E116+E125</f>
        <v>1507176</v>
      </c>
      <c r="F114" s="907">
        <f t="shared" ref="F114:F137" si="12">+E114/D114</f>
        <v>1</v>
      </c>
      <c r="G114" s="907">
        <f t="shared" ref="G114:G126" si="13">+E114/C114</f>
        <v>0.83483497455906253</v>
      </c>
    </row>
    <row r="115" spans="1:7" s="723" customFormat="1" ht="15.75" customHeight="1">
      <c r="A115" s="908" t="s">
        <v>872</v>
      </c>
      <c r="B115" s="909" t="s">
        <v>967</v>
      </c>
      <c r="C115" s="910">
        <f>+C47</f>
        <v>1805358</v>
      </c>
      <c r="D115" s="911">
        <f>+D47</f>
        <v>1507176</v>
      </c>
      <c r="E115" s="842">
        <f>+E47</f>
        <v>1507176</v>
      </c>
      <c r="F115" s="907">
        <f t="shared" si="12"/>
        <v>1</v>
      </c>
      <c r="G115" s="907">
        <f t="shared" si="13"/>
        <v>0.83483497455906253</v>
      </c>
    </row>
    <row r="116" spans="1:7" s="764" customFormat="1" ht="15.75" customHeight="1">
      <c r="A116" s="912" t="s">
        <v>968</v>
      </c>
      <c r="B116" s="902" t="s">
        <v>969</v>
      </c>
      <c r="C116" s="905">
        <f>SUM(C117:C124)</f>
        <v>0</v>
      </c>
      <c r="D116" s="905">
        <f>SUM(D117:D124)</f>
        <v>0</v>
      </c>
      <c r="E116" s="913">
        <f>SUM(E117:E124)</f>
        <v>0</v>
      </c>
      <c r="F116" s="907" t="e">
        <f t="shared" si="12"/>
        <v>#DIV/0!</v>
      </c>
      <c r="G116" s="907" t="e">
        <f t="shared" si="13"/>
        <v>#DIV/0!</v>
      </c>
    </row>
    <row r="117" spans="1:7" s="764" customFormat="1" ht="15.75" customHeight="1">
      <c r="A117" s="914" t="s">
        <v>1266</v>
      </c>
      <c r="B117" s="909" t="s">
        <v>970</v>
      </c>
      <c r="C117" s="1349">
        <f>(+Ingresos!C34*'Ley 617'!$G$31)*(VLOOKUP($A$117,'Ingresos Proyecciones'!$A$154:$Q$172,LOOKUP($C$25,'Ingresos Proyecciones'!$C$22:$Q$22,'Ingresos Proyecciones'!$C$184:$Q$184),FALSE))</f>
        <v>0</v>
      </c>
      <c r="D117" s="841">
        <f>(+Ingresos!E34*'Ley 617'!$G$31)*(VLOOKUP($A$117,'Ingresos Proyecciones'!$A$154:$Q$172,LOOKUP($C$25,'Ingresos Proyecciones'!$C$22:$Q$22,'Ingresos Proyecciones'!$C$184:$Q$184),FALSE))</f>
        <v>0</v>
      </c>
      <c r="E117" s="1349">
        <f>(+Ingresos!H34*'Ley 617'!$G$31)*(VLOOKUP($A$117,'Ingresos Proyecciones'!$A$154:$Q$172,LOOKUP($C$25,'Ingresos Proyecciones'!$C$22:$Q$22,'Ingresos Proyecciones'!$C$184:$Q$184),FALSE))</f>
        <v>0</v>
      </c>
      <c r="F117" s="907" t="e">
        <f t="shared" si="12"/>
        <v>#DIV/0!</v>
      </c>
      <c r="G117" s="907" t="e">
        <f t="shared" si="13"/>
        <v>#DIV/0!</v>
      </c>
    </row>
    <row r="118" spans="1:7" s="764" customFormat="1" ht="15.75" customHeight="1">
      <c r="A118" s="915" t="s">
        <v>1280</v>
      </c>
      <c r="B118" s="909" t="s">
        <v>971</v>
      </c>
      <c r="C118" s="1349">
        <f>(+Ingresos!C41*'Ley 617'!$G$38)*(VLOOKUP($A$118,'Ingresos Proyecciones'!$A$154:$Q$172,LOOKUP($C$25,'Ingresos Proyecciones'!$C$22:$Q$22,'Ingresos Proyecciones'!$C$184:$Q$184),FALSE))</f>
        <v>0</v>
      </c>
      <c r="D118" s="841">
        <f>(+Ingresos!E41*'Ley 617'!$G$38)*(VLOOKUP($A$118,'Ingresos Proyecciones'!$A$154:$Q$172,LOOKUP($C$25,'Ingresos Proyecciones'!$C$22:$Q$22,'Ingresos Proyecciones'!$C$184:$Q$184),FALSE))</f>
        <v>0</v>
      </c>
      <c r="E118" s="1349">
        <f>(+Ingresos!H41*'Ley 617'!$G$38)*(VLOOKUP($A$118,'Ingresos Proyecciones'!$A$154:$Q$172,LOOKUP($C$25,'Ingresos Proyecciones'!$C$22:$Q$22,'Ingresos Proyecciones'!$C$184:$Q$184),FALSE))</f>
        <v>0</v>
      </c>
      <c r="F118" s="907" t="e">
        <f t="shared" si="12"/>
        <v>#DIV/0!</v>
      </c>
      <c r="G118" s="907" t="e">
        <f t="shared" si="13"/>
        <v>#DIV/0!</v>
      </c>
    </row>
    <row r="119" spans="1:7" s="764" customFormat="1" ht="15.75" customHeight="1">
      <c r="A119" s="916" t="s">
        <v>5</v>
      </c>
      <c r="B119" s="909" t="s">
        <v>972</v>
      </c>
      <c r="C119" s="1349">
        <f>+Ingresos!C90*(VLOOKUP($A$119,'Ingresos Proyecciones'!$A$154:$Q$172,LOOKUP($C$25,'Ingresos Proyecciones'!$C$22:$Q$22,'Ingresos Proyecciones'!$C$184:$Q$184),FALSE))</f>
        <v>0</v>
      </c>
      <c r="D119" s="1349">
        <f>+Ingresos!E90*(VLOOKUP($A$119,'Ingresos Proyecciones'!$A$154:$Q$172,LOOKUP($C$25,'Ingresos Proyecciones'!$C$22:$Q$22,'Ingresos Proyecciones'!$C$184:$Q$184),FALSE))</f>
        <v>0</v>
      </c>
      <c r="E119" s="1349">
        <f>+Ingresos!H90*(VLOOKUP($A$119,'Ingresos Proyecciones'!$A$154:$Q$172,LOOKUP($C$25,'Ingresos Proyecciones'!$C$22:$Q$22,'Ingresos Proyecciones'!$C$184:$Q$184),FALSE))</f>
        <v>0</v>
      </c>
      <c r="F119" s="907" t="e">
        <f t="shared" ref="F119:F124" si="14">+E119/D119</f>
        <v>#DIV/0!</v>
      </c>
      <c r="G119" s="907" t="e">
        <f t="shared" si="13"/>
        <v>#DIV/0!</v>
      </c>
    </row>
    <row r="120" spans="1:7" s="764" customFormat="1" ht="15.75" customHeight="1">
      <c r="A120" s="917" t="s">
        <v>51</v>
      </c>
      <c r="B120" s="909" t="s">
        <v>973</v>
      </c>
      <c r="C120" s="1349">
        <f>+(Ingresos!C114*'Ley 617'!$G$85)*(VLOOKUP($A$120,'Ingresos Proyecciones'!$A$154:$Q$172,LOOKUP($C$25,'Ingresos Proyecciones'!$C$22:$Q$22,'Ingresos Proyecciones'!$C$184:$Q$184),FALSE))</f>
        <v>0</v>
      </c>
      <c r="D120" s="1349">
        <f>+(Ingresos!E114*'Ley 617'!$G$85)*(VLOOKUP($A$120,'Ingresos Proyecciones'!$A$154:$Q$172,LOOKUP($C$25,'Ingresos Proyecciones'!$C$22:$Q$22,'Ingresos Proyecciones'!$C$184:$Q$184),FALSE))</f>
        <v>0</v>
      </c>
      <c r="E120" s="1349">
        <f>+(Ingresos!H114*'Ley 617'!$G$85)*(VLOOKUP($A$120,'Ingresos Proyecciones'!$A$154:$Q$172,LOOKUP($C$25,'Ingresos Proyecciones'!$C$22:$Q$22,'Ingresos Proyecciones'!$C$184:$Q$184),FALSE))</f>
        <v>0</v>
      </c>
      <c r="F120" s="907" t="e">
        <f t="shared" si="14"/>
        <v>#DIV/0!</v>
      </c>
      <c r="G120" s="907" t="e">
        <f t="shared" si="13"/>
        <v>#DIV/0!</v>
      </c>
    </row>
    <row r="121" spans="1:7" s="764" customFormat="1" ht="15.75" customHeight="1">
      <c r="A121" s="954" t="s">
        <v>935</v>
      </c>
      <c r="B121" s="922" t="s">
        <v>974</v>
      </c>
      <c r="C121" s="1349">
        <f>+Ingresos!C129*(VLOOKUP($A$121,'Ingresos Proyecciones'!$A$154:$Q$172,LOOKUP($C$25,'Ingresos Proyecciones'!$C$22:$Q$22,'Ingresos Proyecciones'!$C$184:$Q$184),FALSE))</f>
        <v>0</v>
      </c>
      <c r="D121" s="1349">
        <f>+Ingresos!E129*(VLOOKUP($A$121,'Ingresos Proyecciones'!$A$154:$Q$172,LOOKUP($C$25,'Ingresos Proyecciones'!$C$22:$Q$22,'Ingresos Proyecciones'!$C$184:$Q$184),FALSE))</f>
        <v>0</v>
      </c>
      <c r="E121" s="1349">
        <f>+Ingresos!H129*(VLOOKUP($A$121,'Ingresos Proyecciones'!$A$154:$Q$172,LOOKUP($C$25,'Ingresos Proyecciones'!$C$22:$Q$22,'Ingresos Proyecciones'!$C$184:$Q$184),FALSE))</f>
        <v>0</v>
      </c>
      <c r="F121" s="907" t="e">
        <f t="shared" si="14"/>
        <v>#DIV/0!</v>
      </c>
      <c r="G121" s="907" t="e">
        <f>+E121/C121</f>
        <v>#DIV/0!</v>
      </c>
    </row>
    <row r="122" spans="1:7" s="764" customFormat="1" ht="15.75" customHeight="1">
      <c r="A122" s="954" t="s">
        <v>942</v>
      </c>
      <c r="B122" s="922" t="s">
        <v>975</v>
      </c>
      <c r="C122" s="1349">
        <f>+Ingresos!C123*(VLOOKUP($A$122,'Ingresos Proyecciones'!$A$154:$Q$172,LOOKUP($C$25,'Ingresos Proyecciones'!$C$22:$Q$22,'Ingresos Proyecciones'!$C$184:$Q$184),FALSE))</f>
        <v>0</v>
      </c>
      <c r="D122" s="1349">
        <f>+Ingresos!E123*(VLOOKUP($A$122,'Ingresos Proyecciones'!$A$154:$Q$172,LOOKUP($C$25,'Ingresos Proyecciones'!$C$22:$Q$22,'Ingresos Proyecciones'!$C$184:$Q$184),FALSE))</f>
        <v>0</v>
      </c>
      <c r="E122" s="1349">
        <f>+Ingresos!H123*(VLOOKUP($A$122,'Ingresos Proyecciones'!$A$154:$Q$172,LOOKUP($C$25,'Ingresos Proyecciones'!$C$22:$Q$22,'Ingresos Proyecciones'!$C$184:$Q$184),FALSE))</f>
        <v>0</v>
      </c>
      <c r="F122" s="907" t="e">
        <f t="shared" si="14"/>
        <v>#DIV/0!</v>
      </c>
      <c r="G122" s="907" t="e">
        <f>+E122/C122</f>
        <v>#DIV/0!</v>
      </c>
    </row>
    <row r="123" spans="1:7" s="764" customFormat="1" ht="15.75" customHeight="1">
      <c r="A123" s="918" t="s">
        <v>1340</v>
      </c>
      <c r="B123" s="909" t="s">
        <v>976</v>
      </c>
      <c r="C123" s="1352">
        <f>IF(Ingresos!B10&lt;=2003,(Ingresos!C71*0.49*(VLOOKUP($A$123,'Ingresos Proyecciones'!$A$154:$Q$172,LOOKUP($C$25,'Ingresos Proyecciones'!$C$22:$Q$22,'Ingresos Proyecciones'!$C$184:$Q$184),FALSE))),IF(Ingresos!D22="NO",(Ingresos!C71*0.42*(VLOOKUP($A$123,'Ingresos Proyecciones'!$A$154:$Q$172,LOOKUP($C$25,'Ingresos Proyecciones'!$C$22:$Q$22,'Ingresos Proyecciones'!$C$184:$Q$184),FALSE))),IF(Ingresos!D22="SI",Ingresos!C71*0.52*(VLOOKUP($A$123,'Ingresos Proyecciones'!$A$154:$Q$172,LOOKUP($C$25,'Ingresos Proyecciones'!$C$22:$Q$22,'Ingresos Proyecciones'!$C$184:$Q$184),FALSE)))))</f>
        <v>0</v>
      </c>
      <c r="D123" s="1352">
        <f>IF(Ingresos!B10&lt;=2003,(Ingresos!E71*0.49*(VLOOKUP($A$123,'Ingresos Proyecciones'!$A$154:$Q$172,LOOKUP($C$25,'Ingresos Proyecciones'!$C$22:$Q$22,'Ingresos Proyecciones'!$C$184:$Q$184),FALSE))),IF(Ingresos!D22="NO",(Ingresos!E71*0.42*(VLOOKUP($A$123,'Ingresos Proyecciones'!$A$154:$Q$172,LOOKUP($C$25,'Ingresos Proyecciones'!$C$22:$Q$22,'Ingresos Proyecciones'!$C$184:$Q$184),FALSE))),IF(Ingresos!D22="SI",Ingresos!E71*0.52*(VLOOKUP($A$123,'Ingresos Proyecciones'!$A$154:$Q$172,LOOKUP($C$25,'Ingresos Proyecciones'!$C$22:$Q$22,'Ingresos Proyecciones'!$C$184:$Q$184),FALSE)))))</f>
        <v>0</v>
      </c>
      <c r="E123" s="1352">
        <f>IF(Ingresos!B10&lt;=2003,(Ingresos!H71*0.49*(VLOOKUP($A$123,'Ingresos Proyecciones'!$A$154:$Q$172,LOOKUP($C$25,'Ingresos Proyecciones'!$C$22:$Q$22,'Ingresos Proyecciones'!$C$184:$Q$184),FALSE))),IF(Ingresos!D22="NO",(Ingresos!H71*0.42*(VLOOKUP($A$123,'Ingresos Proyecciones'!$A$154:$Q$172,LOOKUP($C$25,'Ingresos Proyecciones'!$C$22:$Q$22,'Ingresos Proyecciones'!$C$184:$Q$184),FALSE))),IF(Ingresos!D22="SI",Ingresos!H71*0.52*(VLOOKUP($A$123,'Ingresos Proyecciones'!$A$154:$Q$172,LOOKUP($C$25,'Ingresos Proyecciones'!$C$22:$Q$22,'Ingresos Proyecciones'!$C$184:$Q$184),FALSE)))))</f>
        <v>0</v>
      </c>
      <c r="F123" s="907" t="e">
        <f t="shared" si="14"/>
        <v>#DIV/0!</v>
      </c>
      <c r="G123" s="907" t="e">
        <f t="shared" si="13"/>
        <v>#DIV/0!</v>
      </c>
    </row>
    <row r="124" spans="1:7" s="764" customFormat="1" ht="15.75" customHeight="1">
      <c r="A124" s="919" t="s">
        <v>1344</v>
      </c>
      <c r="B124" s="909" t="s">
        <v>977</v>
      </c>
      <c r="C124" s="1349">
        <f>+(Ingresos!C73-'Ley 617'!D70)*(VLOOKUP($A$124,'Ingresos Proyecciones'!$A$154:$Q$172,LOOKUP($C$25,'Ingresos Proyecciones'!$C$22:$Q$22,'Ingresos Proyecciones'!$C$184:$Q$184),FALSE))</f>
        <v>0</v>
      </c>
      <c r="D124" s="1349">
        <f>+(Ingresos!E73-'Ley 617'!E70)*(VLOOKUP($A$124,'Ingresos Proyecciones'!$A$154:$Q$172,LOOKUP($C$25,'Ingresos Proyecciones'!$C$22:$Q$22,'Ingresos Proyecciones'!$C$184:$Q$184),FALSE))</f>
        <v>0</v>
      </c>
      <c r="E124" s="1349">
        <f>+(Ingresos!H73-'Ley 617'!F70)*(VLOOKUP($A$124,'Ingresos Proyecciones'!$A$154:$Q$172,LOOKUP($C$25,'Ingresos Proyecciones'!$C$22:$Q$22,'Ingresos Proyecciones'!$C$184:$Q$184),FALSE))</f>
        <v>0</v>
      </c>
      <c r="F124" s="907" t="e">
        <f t="shared" si="14"/>
        <v>#DIV/0!</v>
      </c>
      <c r="G124" s="907" t="e">
        <f t="shared" si="13"/>
        <v>#DIV/0!</v>
      </c>
    </row>
    <row r="125" spans="1:7" s="764" customFormat="1" ht="15.75" customHeight="1">
      <c r="A125" s="919" t="s">
        <v>978</v>
      </c>
      <c r="B125" s="909" t="s">
        <v>979</v>
      </c>
      <c r="C125" s="910">
        <f>+Ingresos!C107</f>
        <v>0</v>
      </c>
      <c r="D125" s="910">
        <f>+Ingresos!E107</f>
        <v>0</v>
      </c>
      <c r="E125" s="872">
        <f>+Ingresos!H107</f>
        <v>0</v>
      </c>
      <c r="F125" s="907" t="e">
        <f t="shared" si="12"/>
        <v>#DIV/0!</v>
      </c>
      <c r="G125" s="907" t="e">
        <f t="shared" si="13"/>
        <v>#DIV/0!</v>
      </c>
    </row>
    <row r="126" spans="1:7" s="764" customFormat="1" ht="15.75" customHeight="1">
      <c r="A126" s="912" t="s">
        <v>980</v>
      </c>
      <c r="B126" s="902" t="s">
        <v>981</v>
      </c>
      <c r="C126" s="1349">
        <f>+C179</f>
        <v>0</v>
      </c>
      <c r="D126" s="1349">
        <f>+D179</f>
        <v>0</v>
      </c>
      <c r="E126" s="834">
        <f>+E179</f>
        <v>0</v>
      </c>
      <c r="F126" s="920" t="e">
        <f>+E126/D126</f>
        <v>#DIV/0!</v>
      </c>
      <c r="G126" s="920" t="e">
        <f t="shared" si="13"/>
        <v>#DIV/0!</v>
      </c>
    </row>
    <row r="127" spans="1:7" s="764" customFormat="1" ht="15.75" customHeight="1">
      <c r="A127" s="921" t="s">
        <v>760</v>
      </c>
      <c r="B127" s="902" t="s">
        <v>761</v>
      </c>
      <c r="C127" s="905">
        <f>SUM(C128:C137)</f>
        <v>0</v>
      </c>
      <c r="D127" s="1397">
        <f>SUM(D128:D137)</f>
        <v>0</v>
      </c>
      <c r="E127" s="835">
        <f>SUM(E128:E137)</f>
        <v>0</v>
      </c>
      <c r="F127" s="920" t="e">
        <f t="shared" si="12"/>
        <v>#DIV/0!</v>
      </c>
      <c r="G127" s="920" t="e">
        <f t="shared" ref="G127:G138" si="15">+E127/C127</f>
        <v>#DIV/0!</v>
      </c>
    </row>
    <row r="128" spans="1:7" s="764" customFormat="1" ht="15.75" customHeight="1">
      <c r="A128" s="921" t="s">
        <v>762</v>
      </c>
      <c r="B128" s="909" t="s">
        <v>763</v>
      </c>
      <c r="C128" s="910">
        <f>IF(Ingresos!$D$22="SI",(VLOOKUP(A128,'Pasivo a Cancelar y Deuda'!$A$54:$Q$84,LOOKUP($C$25,'Pasivo a Cancelar y Deuda'!$C$52:$Q$52,'Pasivo a Cancelar y Deuda'!$C$105:$Q$105),FALSE)),VLOOKUP("159A2",'Pasivo a Cancelar y Deuda'!$A$54:$Q$84,LOOKUP($C$25,'Pasivo a Cancelar y Deuda'!$C$52:$Q$52,'Pasivo a Cancelar y Deuda'!$C$105:$Q$105)))</f>
        <v>0</v>
      </c>
      <c r="D128" s="1396">
        <f>'Pasivo a Cancelar y Deuda'!D28-D42</f>
        <v>0</v>
      </c>
      <c r="E128" s="872">
        <f>IF(Ingresos!$D$22="SI",('Pasivo a Cancelar y Deuda'!F28+'Pasivo a Cancelar y Deuda'!G28),'Pasivo a Cancelar y Deuda'!G28)</f>
        <v>0</v>
      </c>
      <c r="F128" s="907" t="e">
        <f t="shared" si="12"/>
        <v>#DIV/0!</v>
      </c>
      <c r="G128" s="907" t="e">
        <f t="shared" si="15"/>
        <v>#DIV/0!</v>
      </c>
    </row>
    <row r="129" spans="1:7" s="764" customFormat="1" ht="15.75" customHeight="1">
      <c r="A129" s="921" t="s">
        <v>764</v>
      </c>
      <c r="B129" s="909" t="s">
        <v>765</v>
      </c>
      <c r="C129" s="910">
        <f>IF(Ingresos!$D$22="SI",(VLOOKUP(A129,'Pasivo a Cancelar y Deuda'!$A$54:$Q$84,LOOKUP($C$25,'Pasivo a Cancelar y Deuda'!$C$52:$Q$52,'Pasivo a Cancelar y Deuda'!$C$105:$Q$105),FALSE)),VLOOKUP("160A2",'Pasivo a Cancelar y Deuda'!$A$54:$Q$84,LOOKUP($C$25,'Pasivo a Cancelar y Deuda'!$C$52:$Q$52,'Pasivo a Cancelar y Deuda'!$C$105:$Q$105)))</f>
        <v>0</v>
      </c>
      <c r="D129" s="910">
        <f>'Pasivo a Cancelar y Deuda'!D29</f>
        <v>0</v>
      </c>
      <c r="E129" s="872">
        <f>IF(Ingresos!$D$22="SI",('Pasivo a Cancelar y Deuda'!F29+'Pasivo a Cancelar y Deuda'!G29),'Pasivo a Cancelar y Deuda'!G29)</f>
        <v>0</v>
      </c>
      <c r="F129" s="907" t="e">
        <f t="shared" si="12"/>
        <v>#DIV/0!</v>
      </c>
      <c r="G129" s="907" t="e">
        <f t="shared" si="15"/>
        <v>#DIV/0!</v>
      </c>
    </row>
    <row r="130" spans="1:7" s="764" customFormat="1" ht="15.75" customHeight="1">
      <c r="A130" s="921" t="s">
        <v>766</v>
      </c>
      <c r="B130" s="909" t="s">
        <v>767</v>
      </c>
      <c r="C130" s="910">
        <f>IF(Ingresos!$D$22="SI",(VLOOKUP(A130,'Pasivo a Cancelar y Deuda'!$A$54:$Q$84,LOOKUP($C$25,'Pasivo a Cancelar y Deuda'!$C$52:$Q$52,'Pasivo a Cancelar y Deuda'!$C$105:$Q$105),FALSE)),VLOOKUP("161A2",'Pasivo a Cancelar y Deuda'!$A$54:$Q$84,LOOKUP($C$25,'Pasivo a Cancelar y Deuda'!$C$52:$Q$52,'Pasivo a Cancelar y Deuda'!$C$105:$Q$105)))</f>
        <v>0</v>
      </c>
      <c r="D130" s="910">
        <f>'Pasivo a Cancelar y Deuda'!D30</f>
        <v>0</v>
      </c>
      <c r="E130" s="872">
        <f>IF(Ingresos!$D$22="SI",('Pasivo a Cancelar y Deuda'!F30+'Pasivo a Cancelar y Deuda'!G30),'Pasivo a Cancelar y Deuda'!G30)</f>
        <v>0</v>
      </c>
      <c r="F130" s="907" t="e">
        <f t="shared" si="12"/>
        <v>#DIV/0!</v>
      </c>
      <c r="G130" s="907" t="e">
        <f t="shared" si="15"/>
        <v>#DIV/0!</v>
      </c>
    </row>
    <row r="131" spans="1:7" s="764" customFormat="1" ht="15.75" customHeight="1">
      <c r="A131" s="921" t="s">
        <v>768</v>
      </c>
      <c r="B131" s="909" t="s">
        <v>769</v>
      </c>
      <c r="C131" s="910">
        <f>IF(Ingresos!$D$22="SI",(VLOOKUP(A131,'Pasivo a Cancelar y Deuda'!$A$54:$Q$84,LOOKUP($C$25,'Pasivo a Cancelar y Deuda'!$C$52:$Q$52,'Pasivo a Cancelar y Deuda'!$C$105:$Q$105),FALSE)),VLOOKUP("162A2",'Pasivo a Cancelar y Deuda'!$A$54:$Q$84,LOOKUP($C$25,'Pasivo a Cancelar y Deuda'!$C$52:$Q$52,'Pasivo a Cancelar y Deuda'!$C$105:$Q$105)))</f>
        <v>0</v>
      </c>
      <c r="D131" s="910">
        <f>'Pasivo a Cancelar y Deuda'!D31</f>
        <v>0</v>
      </c>
      <c r="E131" s="872">
        <f>IF(Ingresos!$D$22="SI",('Pasivo a Cancelar y Deuda'!F31+'Pasivo a Cancelar y Deuda'!G31),'Pasivo a Cancelar y Deuda'!G31)</f>
        <v>0</v>
      </c>
      <c r="F131" s="907" t="e">
        <f t="shared" si="12"/>
        <v>#DIV/0!</v>
      </c>
      <c r="G131" s="907" t="e">
        <f t="shared" si="15"/>
        <v>#DIV/0!</v>
      </c>
    </row>
    <row r="132" spans="1:7" s="764" customFormat="1" ht="15.75" customHeight="1">
      <c r="A132" s="921" t="s">
        <v>770</v>
      </c>
      <c r="B132" s="909" t="s">
        <v>771</v>
      </c>
      <c r="C132" s="910">
        <f>IF(Ingresos!$D$22="SI",(VLOOKUP(A132,'Pasivo a Cancelar y Deuda'!$A$54:$Q$84,LOOKUP($C$25,'Pasivo a Cancelar y Deuda'!$C$52:$Q$52,'Pasivo a Cancelar y Deuda'!$C$105:$Q$105),FALSE)),VLOOKUP("163A2",'Pasivo a Cancelar y Deuda'!$A$54:$Q$84,LOOKUP($C$25,'Pasivo a Cancelar y Deuda'!$C$52:$Q$52,'Pasivo a Cancelar y Deuda'!$C$105:$Q$105)))</f>
        <v>0</v>
      </c>
      <c r="D132" s="910">
        <f>'Pasivo a Cancelar y Deuda'!D32</f>
        <v>0</v>
      </c>
      <c r="E132" s="872">
        <f>IF(Ingresos!$D$22="SI",('Pasivo a Cancelar y Deuda'!F32+'Pasivo a Cancelar y Deuda'!G32),'Pasivo a Cancelar y Deuda'!G32)</f>
        <v>0</v>
      </c>
      <c r="F132" s="907" t="e">
        <f t="shared" si="12"/>
        <v>#DIV/0!</v>
      </c>
      <c r="G132" s="907" t="e">
        <f t="shared" si="15"/>
        <v>#DIV/0!</v>
      </c>
    </row>
    <row r="133" spans="1:7" s="764" customFormat="1" ht="15.75" customHeight="1">
      <c r="A133" s="921" t="s">
        <v>772</v>
      </c>
      <c r="B133" s="909" t="s">
        <v>773</v>
      </c>
      <c r="C133" s="910">
        <f>IF(Ingresos!$D$22="SI",(VLOOKUP(A133,'Pasivo a Cancelar y Deuda'!$A$54:$Q$84,LOOKUP($C$25,'Pasivo a Cancelar y Deuda'!$C$52:$Q$52,'Pasivo a Cancelar y Deuda'!$C$105:$Q$105),FALSE)),VLOOKUP("164A2",'Pasivo a Cancelar y Deuda'!$A$54:$Q$84,LOOKUP($C$25,'Pasivo a Cancelar y Deuda'!$C$52:$Q$52,'Pasivo a Cancelar y Deuda'!$C$105:$Q$105)))</f>
        <v>0</v>
      </c>
      <c r="D133" s="910">
        <f>'Pasivo a Cancelar y Deuda'!D33</f>
        <v>0</v>
      </c>
      <c r="E133" s="872">
        <f>IF(Ingresos!$D$22="SI",('Pasivo a Cancelar y Deuda'!F33+'Pasivo a Cancelar y Deuda'!G33),'Pasivo a Cancelar y Deuda'!G33)</f>
        <v>0</v>
      </c>
      <c r="F133" s="907" t="e">
        <f t="shared" si="12"/>
        <v>#DIV/0!</v>
      </c>
      <c r="G133" s="907" t="e">
        <f t="shared" si="15"/>
        <v>#DIV/0!</v>
      </c>
    </row>
    <row r="134" spans="1:7" s="764" customFormat="1" ht="15.75" customHeight="1">
      <c r="A134" s="921" t="s">
        <v>774</v>
      </c>
      <c r="B134" s="909" t="s">
        <v>775</v>
      </c>
      <c r="C134" s="910">
        <f>IF(Ingresos!$D$22="SI",(VLOOKUP(A134,'Pasivo a Cancelar y Deuda'!$A$54:$Q$84,LOOKUP($C$25,'Pasivo a Cancelar y Deuda'!$C$52:$Q$52,'Pasivo a Cancelar y Deuda'!$C$105:$Q$105),FALSE)),VLOOKUP("165A2",'Pasivo a Cancelar y Deuda'!$A$54:$Q$84,LOOKUP($C$25,'Pasivo a Cancelar y Deuda'!$C$52:$Q$52,'Pasivo a Cancelar y Deuda'!$C$105:$Q$105)))</f>
        <v>0</v>
      </c>
      <c r="D134" s="910">
        <f>'Pasivo a Cancelar y Deuda'!D34</f>
        <v>0</v>
      </c>
      <c r="E134" s="872">
        <f>IF(Ingresos!$D$22="SI",('Pasivo a Cancelar y Deuda'!F34+'Pasivo a Cancelar y Deuda'!G34),'Pasivo a Cancelar y Deuda'!G34)</f>
        <v>0</v>
      </c>
      <c r="F134" s="907" t="e">
        <f t="shared" si="12"/>
        <v>#DIV/0!</v>
      </c>
      <c r="G134" s="907" t="e">
        <f t="shared" si="15"/>
        <v>#DIV/0!</v>
      </c>
    </row>
    <row r="135" spans="1:7" s="764" customFormat="1" ht="15.75" customHeight="1">
      <c r="A135" s="921" t="s">
        <v>776</v>
      </c>
      <c r="B135" s="922" t="s">
        <v>777</v>
      </c>
      <c r="C135" s="910">
        <f>IF(Ingresos!$D$22="SI",(VLOOKUP(A135,'Pasivo a Cancelar y Deuda'!$A$54:$Q$84,LOOKUP($C$25,'Pasivo a Cancelar y Deuda'!$C$52:$Q$52,'Pasivo a Cancelar y Deuda'!$C$105:$Q$105),FALSE)),VLOOKUP("166A2",'Pasivo a Cancelar y Deuda'!$A$54:$Q$84,LOOKUP($C$25,'Pasivo a Cancelar y Deuda'!$C$52:$Q$52,'Pasivo a Cancelar y Deuda'!$C$105:$Q$105)))</f>
        <v>0</v>
      </c>
      <c r="D135" s="910">
        <f>'Pasivo a Cancelar y Deuda'!D35</f>
        <v>0</v>
      </c>
      <c r="E135" s="872">
        <f>IF(Ingresos!$D$22="SI",('Pasivo a Cancelar y Deuda'!F35+'Pasivo a Cancelar y Deuda'!G35),'Pasivo a Cancelar y Deuda'!G35)</f>
        <v>0</v>
      </c>
      <c r="F135" s="907" t="e">
        <f t="shared" si="12"/>
        <v>#DIV/0!</v>
      </c>
      <c r="G135" s="907" t="e">
        <f t="shared" si="15"/>
        <v>#DIV/0!</v>
      </c>
    </row>
    <row r="136" spans="1:7" s="764" customFormat="1" ht="15.75" customHeight="1">
      <c r="A136" s="921" t="s">
        <v>778</v>
      </c>
      <c r="B136" s="922" t="s">
        <v>779</v>
      </c>
      <c r="C136" s="910">
        <f>IF(Ingresos!$D$22="SI",(VLOOKUP(A136,'Pasivo a Cancelar y Deuda'!$A$54:$Q$84,LOOKUP($C$25,'Pasivo a Cancelar y Deuda'!$C$52:$Q$52,'Pasivo a Cancelar y Deuda'!$C$105:$Q$105),FALSE)),VLOOKUP("167A2",'Pasivo a Cancelar y Deuda'!$A$54:$Q$84,LOOKUP($C$25,'Pasivo a Cancelar y Deuda'!$C$52:$Q$52,'Pasivo a Cancelar y Deuda'!$C$105:$Q$105)))</f>
        <v>0</v>
      </c>
      <c r="D136" s="910">
        <f>'Pasivo a Cancelar y Deuda'!D36</f>
        <v>0</v>
      </c>
      <c r="E136" s="872">
        <f>IF(Ingresos!$D$22="SI",('Pasivo a Cancelar y Deuda'!F36+'Pasivo a Cancelar y Deuda'!G36),'Pasivo a Cancelar y Deuda'!G36)</f>
        <v>0</v>
      </c>
      <c r="F136" s="907" t="e">
        <f t="shared" si="12"/>
        <v>#DIV/0!</v>
      </c>
      <c r="G136" s="907" t="e">
        <f t="shared" si="15"/>
        <v>#DIV/0!</v>
      </c>
    </row>
    <row r="137" spans="1:7" s="764" customFormat="1" ht="15.75" customHeight="1">
      <c r="A137" s="921" t="s">
        <v>780</v>
      </c>
      <c r="B137" s="922" t="s">
        <v>781</v>
      </c>
      <c r="C137" s="910">
        <f>IF(Ingresos!$D$22="SI",(VLOOKUP(A137,'Pasivo a Cancelar y Deuda'!$A$54:$Q$84,LOOKUP($C$25,'Pasivo a Cancelar y Deuda'!$C$52:$Q$52,'Pasivo a Cancelar y Deuda'!$C$105:$Q$105),FALSE)),VLOOKUP("168A2",'Pasivo a Cancelar y Deuda'!$A$54:$Q$84,LOOKUP($C$25,'Pasivo a Cancelar y Deuda'!$C$52:$Q$52,'Pasivo a Cancelar y Deuda'!$C$105:$Q$105)))</f>
        <v>0</v>
      </c>
      <c r="D137" s="910">
        <f>'Pasivo a Cancelar y Deuda'!D37</f>
        <v>0</v>
      </c>
      <c r="E137" s="872">
        <f>IF(Ingresos!$D$22="SI",('Pasivo a Cancelar y Deuda'!F37+'Pasivo a Cancelar y Deuda'!G37),'Pasivo a Cancelar y Deuda'!G37)</f>
        <v>0</v>
      </c>
      <c r="F137" s="907" t="e">
        <f t="shared" si="12"/>
        <v>#DIV/0!</v>
      </c>
      <c r="G137" s="907" t="e">
        <f t="shared" si="15"/>
        <v>#DIV/0!</v>
      </c>
    </row>
    <row r="138" spans="1:7" s="764" customFormat="1" ht="15.75" customHeight="1">
      <c r="A138" s="912" t="s">
        <v>982</v>
      </c>
      <c r="B138" s="902" t="s">
        <v>983</v>
      </c>
      <c r="C138" s="905">
        <f>+C114-C127</f>
        <v>1805358</v>
      </c>
      <c r="D138" s="905">
        <f>+D114-D127</f>
        <v>1507176</v>
      </c>
      <c r="E138" s="913">
        <f>+E114-E127</f>
        <v>1507176</v>
      </c>
      <c r="F138" s="920">
        <f>+E138/D138</f>
        <v>1</v>
      </c>
      <c r="G138" s="920">
        <f t="shared" si="15"/>
        <v>0.83483497455906253</v>
      </c>
    </row>
    <row r="139" spans="1:7" s="723" customFormat="1" ht="15.75" customHeight="1">
      <c r="A139" s="912" t="s">
        <v>984</v>
      </c>
      <c r="B139" s="902" t="s">
        <v>985</v>
      </c>
      <c r="C139" s="923"/>
      <c r="D139" s="924"/>
      <c r="E139" s="862"/>
      <c r="F139" s="920"/>
      <c r="G139" s="920"/>
    </row>
    <row r="140" spans="1:7" s="723" customFormat="1" ht="15.75" customHeight="1">
      <c r="A140" s="912" t="s">
        <v>986</v>
      </c>
      <c r="B140" s="902" t="s">
        <v>879</v>
      </c>
      <c r="C140" s="905">
        <f>SUM(C141:C142)</f>
        <v>52428.65419999999</v>
      </c>
      <c r="D140" s="906">
        <f>SUM(D141:D142)</f>
        <v>52428.675000000279</v>
      </c>
      <c r="E140" s="835">
        <f>SUM(E141:E142)</f>
        <v>1548676.6750000003</v>
      </c>
      <c r="F140" s="920">
        <f t="shared" ref="F140:F151" si="16">+E140/D140</f>
        <v>29.538733813127873</v>
      </c>
      <c r="G140" s="920">
        <f>+E140/C140</f>
        <v>29.538745532018645</v>
      </c>
    </row>
    <row r="141" spans="1:7" s="723" customFormat="1" ht="15.75" customHeight="1">
      <c r="A141" s="912" t="s">
        <v>982</v>
      </c>
      <c r="B141" s="909" t="s">
        <v>987</v>
      </c>
      <c r="C141" s="910">
        <f>+C138</f>
        <v>1805358</v>
      </c>
      <c r="D141" s="911">
        <f>+D138</f>
        <v>1507176</v>
      </c>
      <c r="E141" s="842">
        <f>+E138</f>
        <v>1507176</v>
      </c>
      <c r="F141" s="907">
        <f>+E141/D141</f>
        <v>1</v>
      </c>
      <c r="G141" s="907">
        <f>+E141/C141</f>
        <v>0.83483497455906253</v>
      </c>
    </row>
    <row r="142" spans="1:7" s="723" customFormat="1" ht="15.75" customHeight="1">
      <c r="A142" s="921" t="s">
        <v>959</v>
      </c>
      <c r="B142" s="909" t="s">
        <v>988</v>
      </c>
      <c r="C142" s="910">
        <f>+C111</f>
        <v>-1752929.3458</v>
      </c>
      <c r="D142" s="911">
        <f>+D111</f>
        <v>-1454747.3249999997</v>
      </c>
      <c r="E142" s="842">
        <f>+E111</f>
        <v>41500.675000000279</v>
      </c>
      <c r="F142" s="907">
        <f t="shared" si="16"/>
        <v>-2.852775481130394E-2</v>
      </c>
      <c r="G142" s="907">
        <f>+E142/C142</f>
        <v>-2.3675041495217965E-2</v>
      </c>
    </row>
    <row r="143" spans="1:7" s="723" customFormat="1" ht="15.75" customHeight="1">
      <c r="A143" s="921" t="s">
        <v>782</v>
      </c>
      <c r="B143" s="902" t="s">
        <v>783</v>
      </c>
      <c r="C143" s="905">
        <f>SUM(C144:C151)</f>
        <v>0</v>
      </c>
      <c r="D143" s="906">
        <f>SUM(D144:D151)</f>
        <v>0</v>
      </c>
      <c r="E143" s="835">
        <f>SUM(E144:E151)</f>
        <v>0</v>
      </c>
      <c r="F143" s="920" t="e">
        <f t="shared" si="16"/>
        <v>#DIV/0!</v>
      </c>
      <c r="G143" s="920" t="e">
        <f t="shared" ref="G143:G152" si="17">+E143/C143</f>
        <v>#DIV/0!</v>
      </c>
    </row>
    <row r="144" spans="1:7" s="723" customFormat="1" ht="15.75" customHeight="1">
      <c r="A144" s="921" t="s">
        <v>784</v>
      </c>
      <c r="B144" s="909" t="s">
        <v>785</v>
      </c>
      <c r="C144" s="910">
        <f>VLOOKUP(A144,'Pasivo a Cancelar y Deuda'!$A$85:$Q$93,LOOKUP($C$25,'Pasivo a Cancelar y Deuda'!$C$52:$Q$52,'Pasivo a Cancelar y Deuda'!$C$105:$Q$105),FALSE)</f>
        <v>0</v>
      </c>
      <c r="D144" s="910">
        <f>'Pasivo a Cancelar y Deuda'!D39</f>
        <v>0</v>
      </c>
      <c r="E144" s="872">
        <f>'Pasivo a Cancelar y Deuda'!F39+'Pasivo a Cancelar y Deuda'!G39</f>
        <v>0</v>
      </c>
      <c r="F144" s="907" t="e">
        <f t="shared" si="16"/>
        <v>#DIV/0!</v>
      </c>
      <c r="G144" s="907" t="e">
        <f t="shared" si="17"/>
        <v>#DIV/0!</v>
      </c>
    </row>
    <row r="145" spans="1:11" s="723" customFormat="1" ht="15.75" customHeight="1">
      <c r="A145" s="921" t="s">
        <v>786</v>
      </c>
      <c r="B145" s="909" t="s">
        <v>787</v>
      </c>
      <c r="C145" s="910">
        <f>VLOOKUP(A145,'Pasivo a Cancelar y Deuda'!$A$85:$Q$93,LOOKUP($C$25,'Pasivo a Cancelar y Deuda'!$C$52:$Q$52,'Pasivo a Cancelar y Deuda'!$C$105:$Q$105),FALSE)</f>
        <v>0</v>
      </c>
      <c r="D145" s="910">
        <f>'Pasivo a Cancelar y Deuda'!D40</f>
        <v>0</v>
      </c>
      <c r="E145" s="872">
        <f>'Pasivo a Cancelar y Deuda'!F40+'Pasivo a Cancelar y Deuda'!G40</f>
        <v>0</v>
      </c>
      <c r="F145" s="907" t="e">
        <f t="shared" si="16"/>
        <v>#DIV/0!</v>
      </c>
      <c r="G145" s="907" t="e">
        <f t="shared" si="17"/>
        <v>#DIV/0!</v>
      </c>
    </row>
    <row r="146" spans="1:11" s="723" customFormat="1" ht="15.75" customHeight="1">
      <c r="A146" s="921" t="s">
        <v>788</v>
      </c>
      <c r="B146" s="909" t="s">
        <v>789</v>
      </c>
      <c r="C146" s="910">
        <f>VLOOKUP(A146,'Pasivo a Cancelar y Deuda'!$A$85:$Q$93,LOOKUP($C$25,'Pasivo a Cancelar y Deuda'!$C$52:$Q$52,'Pasivo a Cancelar y Deuda'!$C$105:$Q$105),FALSE)</f>
        <v>0</v>
      </c>
      <c r="D146" s="910">
        <f>'Pasivo a Cancelar y Deuda'!D41</f>
        <v>0</v>
      </c>
      <c r="E146" s="872">
        <f>'Pasivo a Cancelar y Deuda'!F41+'Pasivo a Cancelar y Deuda'!G41</f>
        <v>0</v>
      </c>
      <c r="F146" s="907" t="e">
        <f t="shared" si="16"/>
        <v>#DIV/0!</v>
      </c>
      <c r="G146" s="907" t="e">
        <f t="shared" si="17"/>
        <v>#DIV/0!</v>
      </c>
    </row>
    <row r="147" spans="1:11" s="723" customFormat="1" ht="15.75" customHeight="1">
      <c r="A147" s="921" t="s">
        <v>790</v>
      </c>
      <c r="B147" s="909" t="s">
        <v>791</v>
      </c>
      <c r="C147" s="910">
        <f>VLOOKUP(A147,'Pasivo a Cancelar y Deuda'!$A$85:$Q$93,LOOKUP($C$25,'Pasivo a Cancelar y Deuda'!$C$52:$Q$52,'Pasivo a Cancelar y Deuda'!$C$105:$Q$105),FALSE)</f>
        <v>0</v>
      </c>
      <c r="D147" s="910">
        <f>'Pasivo a Cancelar y Deuda'!D42</f>
        <v>0</v>
      </c>
      <c r="E147" s="872">
        <f>'Pasivo a Cancelar y Deuda'!F42+'Pasivo a Cancelar y Deuda'!G42</f>
        <v>0</v>
      </c>
      <c r="F147" s="907" t="e">
        <f t="shared" si="16"/>
        <v>#DIV/0!</v>
      </c>
      <c r="G147" s="907" t="e">
        <f t="shared" si="17"/>
        <v>#DIV/0!</v>
      </c>
    </row>
    <row r="148" spans="1:11" s="723" customFormat="1" ht="15.75" customHeight="1">
      <c r="A148" s="921" t="s">
        <v>792</v>
      </c>
      <c r="B148" s="909" t="s">
        <v>793</v>
      </c>
      <c r="C148" s="910">
        <f>VLOOKUP(A148,'Pasivo a Cancelar y Deuda'!$A$85:$Q$93,LOOKUP($C$25,'Pasivo a Cancelar y Deuda'!$C$52:$Q$52,'Pasivo a Cancelar y Deuda'!$C$105:$Q$105),FALSE)</f>
        <v>0</v>
      </c>
      <c r="D148" s="910">
        <f>'Pasivo a Cancelar y Deuda'!D43</f>
        <v>0</v>
      </c>
      <c r="E148" s="872">
        <f>'Pasivo a Cancelar y Deuda'!F43+'Pasivo a Cancelar y Deuda'!G43</f>
        <v>0</v>
      </c>
      <c r="F148" s="907" t="e">
        <f t="shared" si="16"/>
        <v>#DIV/0!</v>
      </c>
      <c r="G148" s="907" t="e">
        <f t="shared" si="17"/>
        <v>#DIV/0!</v>
      </c>
    </row>
    <row r="149" spans="1:11" s="723" customFormat="1" ht="15.75" customHeight="1">
      <c r="A149" s="921" t="s">
        <v>794</v>
      </c>
      <c r="B149" s="922" t="s">
        <v>777</v>
      </c>
      <c r="C149" s="910">
        <f>VLOOKUP(A149,'Pasivo a Cancelar y Deuda'!$A$85:$Q$93,LOOKUP($C$25,'Pasivo a Cancelar y Deuda'!$C$52:$Q$52,'Pasivo a Cancelar y Deuda'!$C$105:$Q$105),FALSE)</f>
        <v>0</v>
      </c>
      <c r="D149" s="910">
        <f>'Pasivo a Cancelar y Deuda'!D44</f>
        <v>0</v>
      </c>
      <c r="E149" s="872">
        <f>'Pasivo a Cancelar y Deuda'!F44+'Pasivo a Cancelar y Deuda'!G44</f>
        <v>0</v>
      </c>
      <c r="F149" s="907" t="e">
        <f t="shared" si="16"/>
        <v>#DIV/0!</v>
      </c>
      <c r="G149" s="907" t="e">
        <f t="shared" si="17"/>
        <v>#DIV/0!</v>
      </c>
    </row>
    <row r="150" spans="1:11" s="723" customFormat="1" ht="15.75" customHeight="1">
      <c r="A150" s="921" t="s">
        <v>795</v>
      </c>
      <c r="B150" s="922" t="s">
        <v>779</v>
      </c>
      <c r="C150" s="910">
        <f>VLOOKUP(A150,'Pasivo a Cancelar y Deuda'!$A$85:$Q$93,LOOKUP($C$25,'Pasivo a Cancelar y Deuda'!$C$52:$Q$52,'Pasivo a Cancelar y Deuda'!$C$105:$Q$105),FALSE)</f>
        <v>0</v>
      </c>
      <c r="D150" s="910">
        <f>'Pasivo a Cancelar y Deuda'!D45</f>
        <v>0</v>
      </c>
      <c r="E150" s="872">
        <f>'Pasivo a Cancelar y Deuda'!F45+'Pasivo a Cancelar y Deuda'!G45</f>
        <v>0</v>
      </c>
      <c r="F150" s="907" t="e">
        <f t="shared" si="16"/>
        <v>#DIV/0!</v>
      </c>
      <c r="G150" s="907" t="e">
        <f t="shared" si="17"/>
        <v>#DIV/0!</v>
      </c>
    </row>
    <row r="151" spans="1:11" s="723" customFormat="1" ht="15.75" customHeight="1">
      <c r="A151" s="921" t="s">
        <v>796</v>
      </c>
      <c r="B151" s="922" t="s">
        <v>781</v>
      </c>
      <c r="C151" s="910">
        <f>VLOOKUP(A151,'Pasivo a Cancelar y Deuda'!$A$85:$Q$93,LOOKUP($C$25,'Pasivo a Cancelar y Deuda'!$C$52:$Q$52,'Pasivo a Cancelar y Deuda'!$C$105:$Q$105),FALSE)</f>
        <v>0</v>
      </c>
      <c r="D151" s="910">
        <f>'Pasivo a Cancelar y Deuda'!D46</f>
        <v>0</v>
      </c>
      <c r="E151" s="872">
        <f>'Pasivo a Cancelar y Deuda'!F46+'Pasivo a Cancelar y Deuda'!G46</f>
        <v>0</v>
      </c>
      <c r="F151" s="907" t="e">
        <f t="shared" si="16"/>
        <v>#DIV/0!</v>
      </c>
      <c r="G151" s="907" t="e">
        <f t="shared" si="17"/>
        <v>#DIV/0!</v>
      </c>
    </row>
    <row r="152" spans="1:11" s="723" customFormat="1" ht="15.75" customHeight="1" thickBot="1">
      <c r="A152" s="925" t="s">
        <v>989</v>
      </c>
      <c r="B152" s="926" t="s">
        <v>990</v>
      </c>
      <c r="C152" s="927">
        <f>+C140-C143</f>
        <v>52428.65419999999</v>
      </c>
      <c r="D152" s="928">
        <f>+D140-D143</f>
        <v>52428.675000000279</v>
      </c>
      <c r="E152" s="849">
        <f>+E140-E143</f>
        <v>1548676.6750000003</v>
      </c>
      <c r="F152" s="929">
        <f>+E152/D152</f>
        <v>29.538733813127873</v>
      </c>
      <c r="G152" s="929">
        <f t="shared" si="17"/>
        <v>29.538745532018645</v>
      </c>
    </row>
    <row r="153" spans="1:11" s="723" customFormat="1" ht="15.75" customHeight="1">
      <c r="A153" s="930" t="s">
        <v>991</v>
      </c>
      <c r="B153" s="931" t="s">
        <v>992</v>
      </c>
      <c r="C153" s="932"/>
      <c r="D153" s="933"/>
      <c r="E153" s="933"/>
      <c r="F153" s="934"/>
      <c r="G153" s="934"/>
    </row>
    <row r="154" spans="1:11" s="723" customFormat="1" ht="15.75" customHeight="1">
      <c r="A154" s="935" t="s">
        <v>993</v>
      </c>
      <c r="B154" s="936" t="s">
        <v>879</v>
      </c>
      <c r="C154" s="937">
        <f>+C155</f>
        <v>52428.65419999999</v>
      </c>
      <c r="D154" s="938">
        <f>+D155</f>
        <v>52428.675000000279</v>
      </c>
      <c r="E154" s="938">
        <f>+E155</f>
        <v>1548676.6750000003</v>
      </c>
      <c r="F154" s="939">
        <f>+E154/D154</f>
        <v>29.538733813127873</v>
      </c>
      <c r="G154" s="939">
        <f>+E154/C154</f>
        <v>29.538745532018645</v>
      </c>
    </row>
    <row r="155" spans="1:11" s="723" customFormat="1" ht="15.75" customHeight="1">
      <c r="A155" s="940" t="s">
        <v>989</v>
      </c>
      <c r="B155" s="941" t="s">
        <v>994</v>
      </c>
      <c r="C155" s="942">
        <f>+C152</f>
        <v>52428.65419999999</v>
      </c>
      <c r="D155" s="943">
        <f>+D152</f>
        <v>52428.675000000279</v>
      </c>
      <c r="E155" s="943">
        <f>+E152</f>
        <v>1548676.6750000003</v>
      </c>
      <c r="F155" s="944">
        <f>+E155/D155</f>
        <v>29.538733813127873</v>
      </c>
      <c r="G155" s="944">
        <f>+E155/C155</f>
        <v>29.538745532018645</v>
      </c>
    </row>
    <row r="156" spans="1:11" s="723" customFormat="1" ht="15.75" customHeight="1">
      <c r="A156" s="945" t="s">
        <v>469</v>
      </c>
      <c r="B156" s="946" t="s">
        <v>995</v>
      </c>
      <c r="C156" s="937">
        <f>+Gastos!D199</f>
        <v>52429</v>
      </c>
      <c r="D156" s="937">
        <f>+Gastos!G199</f>
        <v>52429</v>
      </c>
      <c r="E156" s="937">
        <f>+Gastos!J199</f>
        <v>52429</v>
      </c>
      <c r="F156" s="939">
        <f>+E156/D156</f>
        <v>1</v>
      </c>
      <c r="G156" s="939">
        <f>+E156/C156</f>
        <v>1</v>
      </c>
    </row>
    <row r="157" spans="1:11" s="723" customFormat="1" ht="15.75" customHeight="1" thickBot="1">
      <c r="A157" s="947" t="s">
        <v>996</v>
      </c>
      <c r="B157" s="948" t="s">
        <v>997</v>
      </c>
      <c r="C157" s="949">
        <f>+C154-C156</f>
        <v>-0.34580000001005828</v>
      </c>
      <c r="D157" s="950">
        <f>+D154-D156</f>
        <v>-0.32499999972060323</v>
      </c>
      <c r="E157" s="950">
        <f>+E154-E156</f>
        <v>1496247.6750000003</v>
      </c>
      <c r="F157" s="951">
        <f>+E157/D157</f>
        <v>-4603839.0039578397</v>
      </c>
      <c r="G157" s="951">
        <f>+E157/C157</f>
        <v>-4326916.3532576021</v>
      </c>
      <c r="H157" s="764"/>
      <c r="I157" s="764"/>
      <c r="J157" s="764"/>
      <c r="K157" s="764"/>
    </row>
    <row r="158" spans="1:11" s="723" customFormat="1" ht="15.75" customHeight="1" thickBot="1">
      <c r="A158" s="952" t="s">
        <v>998</v>
      </c>
      <c r="B158" s="894" t="s">
        <v>999</v>
      </c>
      <c r="C158" s="953">
        <f>+C126+C157</f>
        <v>-0.34580000001005828</v>
      </c>
      <c r="D158" s="895">
        <f>+D126+D157</f>
        <v>-0.32499999972060323</v>
      </c>
      <c r="E158" s="895">
        <f>+E126+E157</f>
        <v>1496247.6750000003</v>
      </c>
      <c r="F158" s="896">
        <f>+E158/D158</f>
        <v>-4603839.0039578397</v>
      </c>
      <c r="G158" s="896">
        <f>+E158/C158</f>
        <v>-4326916.3532576021</v>
      </c>
      <c r="H158" s="764"/>
      <c r="I158" s="764"/>
      <c r="J158" s="764"/>
      <c r="K158" s="764"/>
    </row>
    <row r="159" spans="1:11" s="723" customFormat="1" ht="15.75" customHeight="1">
      <c r="B159" s="723" t="s">
        <v>1000</v>
      </c>
      <c r="C159" s="764"/>
      <c r="D159" s="764"/>
    </row>
    <row r="160" spans="1:11">
      <c r="E160" s="658"/>
    </row>
    <row r="161" spans="3:3" hidden="1"/>
    <row r="162" spans="3:3" hidden="1"/>
    <row r="163" spans="3:3" hidden="1">
      <c r="C163" s="1347"/>
    </row>
    <row r="164" spans="3:3" hidden="1"/>
    <row r="165" spans="3:3" hidden="1"/>
    <row r="166" spans="3:3" hidden="1"/>
    <row r="167" spans="3:3" hidden="1"/>
    <row r="168" spans="3:3" hidden="1"/>
    <row r="169" spans="3:3" hidden="1"/>
    <row r="170" spans="3:3" hidden="1"/>
    <row r="171" spans="3:3" hidden="1"/>
    <row r="172" spans="3:3" hidden="1"/>
    <row r="173" spans="3:3" hidden="1"/>
    <row r="174" spans="3:3" hidden="1"/>
    <row r="175" spans="3:3" hidden="1"/>
    <row r="176" spans="3:3" hidden="1"/>
    <row r="177" spans="1:7" ht="15.75" thickBot="1"/>
    <row r="178" spans="1:7" ht="45.75" thickBot="1">
      <c r="A178" s="1354"/>
      <c r="B178" s="1369" t="s">
        <v>1001</v>
      </c>
      <c r="C178" s="1363" t="str">
        <f>+C25</f>
        <v>Escenario Financiero Año 2011</v>
      </c>
      <c r="D178" s="1363" t="str">
        <f>+D25</f>
        <v>Presupuesto Definitivo    (2)</v>
      </c>
      <c r="E178" s="1364" t="str">
        <f>+E25</f>
        <v xml:space="preserve">Ejecución  al mes            </v>
      </c>
      <c r="F178" s="1354"/>
      <c r="G178" s="1354"/>
    </row>
    <row r="179" spans="1:7" ht="15.75" thickBot="1">
      <c r="A179" s="1357" t="s">
        <v>1002</v>
      </c>
      <c r="B179" s="1365" t="s">
        <v>1003</v>
      </c>
      <c r="C179" s="1366">
        <f>SUM(C180:C189)</f>
        <v>0</v>
      </c>
      <c r="D179" s="1366">
        <f>SUM(D180:D189)</f>
        <v>0</v>
      </c>
      <c r="E179" s="1366">
        <f>SUM(E180:E189)</f>
        <v>0</v>
      </c>
    </row>
    <row r="180" spans="1:7" ht="15.75" thickBot="1">
      <c r="A180" s="1358" t="s">
        <v>1004</v>
      </c>
      <c r="B180" s="1368" t="s">
        <v>1005</v>
      </c>
      <c r="C180" s="1367">
        <f>((SUM($C$30:$C$35)+$C$37)*(VLOOKUP(A180,'Ingresos Proyecciones'!$A$154:$Q$172,LOOKUP($C$25,'Ingresos Proyecciones'!$C$22:$Q$22,'Ingresos Proyecciones'!$C$184:$Q$184),FALSE)))</f>
        <v>0</v>
      </c>
      <c r="D180" s="1367">
        <f>((SUM($D$30:$D$35)+$D$37)*(VLOOKUP(A180,'Ingresos Proyecciones'!$A$154:$Q$172,LOOKUP($C$25,'Ingresos Proyecciones'!$C$22:$Q$22,'Ingresos Proyecciones'!$C$184:$Q$184),FALSE)))</f>
        <v>0</v>
      </c>
      <c r="E180" s="1367">
        <f>((SUM($E$30:$E$35)+$E$37)*(VLOOKUP(A180,'Ingresos Proyecciones'!$A$154:$Q$172,LOOKUP($C$25,'Ingresos Proyecciones'!$C$22:$Q$22,'Ingresos Proyecciones'!$C$184:$Q$184),FALSE)))</f>
        <v>0</v>
      </c>
    </row>
    <row r="181" spans="1:7" ht="15.75" thickBot="1">
      <c r="A181" s="1359" t="s">
        <v>1256</v>
      </c>
      <c r="B181" s="1368" t="s">
        <v>850</v>
      </c>
      <c r="C181" s="1367">
        <f>+(SUM($C$30:$C$35)*(VLOOKUP(A181,'Ingresos Proyecciones'!$A$154:$Q$172,LOOKUP($C$25,'Ingresos Proyecciones'!$C$22:$Q$22,'Ingresos Proyecciones'!$C$184:$Q$184),FALSE)))</f>
        <v>0</v>
      </c>
      <c r="D181" s="1367">
        <f>+(SUM($D$30:$D$35)*(VLOOKUP(A181,'Ingresos Proyecciones'!$A$154:$Q$172,LOOKUP($C$25,'Ingresos Proyecciones'!$C$22:$Q$22,'Ingresos Proyecciones'!$C$184:$Q$184),FALSE)))</f>
        <v>0</v>
      </c>
      <c r="E181" s="1367">
        <f>+(SUM($E$30:$E$35)*(VLOOKUP(A181,'Ingresos Proyecciones'!$A$154:$Q$172,LOOKUP($C$25,'Ingresos Proyecciones'!$C$22:$Q$22,'Ingresos Proyecciones'!$C$184:$Q$184),FALSE)))</f>
        <v>0</v>
      </c>
    </row>
    <row r="182" spans="1:7" ht="15.75" thickBot="1">
      <c r="A182" s="470" t="s">
        <v>1258</v>
      </c>
      <c r="B182" s="1368" t="s">
        <v>852</v>
      </c>
      <c r="C182" s="1367">
        <f>+('Fuentes y Usos Seguimiento'!$C$30*(VLOOKUP(A182,'Ingresos Proyecciones'!$A$154:$Q$172,LOOKUP($C$25,'Ingresos Proyecciones'!$C$22:$Q$22,'Ingresos Proyecciones'!$C$184:$Q$184),FALSE)))</f>
        <v>0</v>
      </c>
      <c r="D182" s="1367">
        <f>+('Fuentes y Usos Seguimiento'!$D$30*(VLOOKUP(A182,'Ingresos Proyecciones'!$A$154:$Q$172,LOOKUP($C$25,'Ingresos Proyecciones'!$C$22:$Q$22,'Ingresos Proyecciones'!$C$184:$Q$184),FALSE)))</f>
        <v>0</v>
      </c>
      <c r="E182" s="1367">
        <f>+('Fuentes y Usos Seguimiento'!$E$30*(VLOOKUP(A182,'Ingresos Proyecciones'!$A$154:$Q$172,LOOKUP($C$25,'Ingresos Proyecciones'!$C$22:$Q$22,'Ingresos Proyecciones'!$C$184:$Q$184),FALSE)))</f>
        <v>0</v>
      </c>
    </row>
    <row r="183" spans="1:7" ht="15.75" thickBot="1">
      <c r="A183" s="470" t="s">
        <v>853</v>
      </c>
      <c r="B183" s="1368" t="s">
        <v>1263</v>
      </c>
      <c r="C183" s="1367">
        <f>(('Fuentes y Usos Seguimiento'!$C$31*(VLOOKUP(A183,'Ingresos Proyecciones'!$A$154:$Q$172,LOOKUP($C$25,'Ingresos Proyecciones'!$C$22:$Q$22,'Ingresos Proyecciones'!$C$184:$Q$184),FALSE))))</f>
        <v>0</v>
      </c>
      <c r="D183" s="1367">
        <f>(('Fuentes y Usos Seguimiento'!$D$31*(VLOOKUP(A183,'Ingresos Proyecciones'!$A$154:$Q$172,LOOKUP($C$25,'Ingresos Proyecciones'!$C$22:$Q$22,'Ingresos Proyecciones'!$C$184:$Q$184),FALSE))))</f>
        <v>0</v>
      </c>
      <c r="E183" s="1367">
        <f>(('Fuentes y Usos Seguimiento'!$E$31*(VLOOKUP(A183,'Ingresos Proyecciones'!$A$154:$Q$172,LOOKUP($C$25,'Ingresos Proyecciones'!$C$22:$Q$22,'Ingresos Proyecciones'!$C$184:$Q$184),FALSE))))</f>
        <v>0</v>
      </c>
    </row>
    <row r="184" spans="1:7" ht="15.75" thickBot="1">
      <c r="A184" s="470" t="s">
        <v>1264</v>
      </c>
      <c r="B184" s="1368" t="s">
        <v>1265</v>
      </c>
      <c r="C184" s="1367">
        <f>(('Fuentes y Usos Seguimiento'!$C$32*(VLOOKUP(A184,'Ingresos Proyecciones'!$A$154:$Q$172,LOOKUP($C$25,'Ingresos Proyecciones'!$C$22:$Q$22,'Ingresos Proyecciones'!$C$184:$Q$184),FALSE))))</f>
        <v>0</v>
      </c>
      <c r="D184" s="1367">
        <f>(('Fuentes y Usos Seguimiento'!$D$32*(VLOOKUP(A184,'Ingresos Proyecciones'!$A$154:$Q$172,LOOKUP($C$25,'Ingresos Proyecciones'!$C$22:$Q$22,'Ingresos Proyecciones'!$C$184:$Q$184),FALSE))))</f>
        <v>0</v>
      </c>
      <c r="E184" s="1367">
        <f>(('Fuentes y Usos Seguimiento'!$E$32*(VLOOKUP(A184,'Ingresos Proyecciones'!$A$154:$Q$172,LOOKUP($C$25,'Ingresos Proyecciones'!$C$22:$Q$22,'Ingresos Proyecciones'!$C$184:$Q$184),FALSE))))</f>
        <v>0</v>
      </c>
    </row>
    <row r="185" spans="1:7" ht="15.75" thickBot="1">
      <c r="A185" s="1360" t="s">
        <v>1266</v>
      </c>
      <c r="B185" s="1368" t="s">
        <v>1267</v>
      </c>
      <c r="C185" s="1367">
        <f>+('Fuentes y Usos Seguimiento'!$C$33*(VLOOKUP(A185,'Ingresos Proyecciones'!$A$154:$Q$172,LOOKUP($C$25,'Ingresos Proyecciones'!$C$22:$Q$22,'Ingresos Proyecciones'!$C$184:$Q$184),FALSE)))</f>
        <v>0</v>
      </c>
      <c r="D185" s="1367">
        <f>+('Fuentes y Usos Seguimiento'!$D$33*(VLOOKUP(A185,'Ingresos Proyecciones'!$A$154:$Q$172,LOOKUP($C$25,'Ingresos Proyecciones'!$C$22:$Q$22,'Ingresos Proyecciones'!$C$184:$Q$184),FALSE)))</f>
        <v>0</v>
      </c>
      <c r="E185" s="1367">
        <f>+('Fuentes y Usos Seguimiento'!$E$33*(VLOOKUP(A185,'Ingresos Proyecciones'!$A$154:$Q$172,LOOKUP($C$25,'Ingresos Proyecciones'!$C$22:$Q$22,'Ingresos Proyecciones'!$C$184:$Q$184),FALSE)))</f>
        <v>0</v>
      </c>
    </row>
    <row r="186" spans="1:7" ht="15.75" thickBot="1">
      <c r="A186" s="470" t="s">
        <v>1280</v>
      </c>
      <c r="B186" s="1368" t="s">
        <v>1006</v>
      </c>
      <c r="C186" s="1367">
        <f>+(('Fuentes y Usos Seguimiento'!$C$34*(VLOOKUP(A186,'Ingresos Proyecciones'!$A$154:$Q$172,LOOKUP($C$25,'Ingresos Proyecciones'!$C$22:$Q$22,'Ingresos Proyecciones'!$C$184:$Q$184),FALSE))))</f>
        <v>0</v>
      </c>
      <c r="D186" s="1367">
        <f>+(('Fuentes y Usos Seguimiento'!$D$34*(VLOOKUP(A186,'Ingresos Proyecciones'!$A$154:$Q$172,LOOKUP($C$25,'Ingresos Proyecciones'!$C$22:$Q$22,'Ingresos Proyecciones'!$C$184:$Q$184),FALSE))))</f>
        <v>0</v>
      </c>
      <c r="E186" s="1367">
        <f>+(('Fuentes y Usos Seguimiento'!$E$34*(VLOOKUP(A186,'Ingresos Proyecciones'!$A$154:$Q$172,LOOKUP($C$25,'Ingresos Proyecciones'!$C$22:$Q$22,'Ingresos Proyecciones'!$C$184:$Q$184),FALSE))))</f>
        <v>0</v>
      </c>
    </row>
    <row r="187" spans="1:7" ht="15.75" thickBot="1">
      <c r="A187" s="1358" t="s">
        <v>1296</v>
      </c>
      <c r="B187" s="1368" t="s">
        <v>1007</v>
      </c>
      <c r="C187" s="1367">
        <f>+(('Fuentes y Usos Seguimiento'!$C$35*(VLOOKUP(A187,'Ingresos Proyecciones'!$A$154:$Q$172,LOOKUP($C$25,'Ingresos Proyecciones'!$C$22:$Q$22,'Ingresos Proyecciones'!$C$184:$Q$184),FALSE))))</f>
        <v>0</v>
      </c>
      <c r="D187" s="1367">
        <f>+(('Fuentes y Usos Seguimiento'!$D$35*(VLOOKUP(A187,'Ingresos Proyecciones'!$A$154:$Q$172,LOOKUP($C$25,'Ingresos Proyecciones'!$C$22:$Q$22,'Ingresos Proyecciones'!$C$184:$Q$184),FALSE))))</f>
        <v>0</v>
      </c>
      <c r="E187" s="1367">
        <f>+(('Fuentes y Usos Seguimiento'!$E$35*(VLOOKUP(A187,'Ingresos Proyecciones'!$A$154:$Q$172,LOOKUP($C$25,'Ingresos Proyecciones'!$C$22:$Q$22,'Ingresos Proyecciones'!$C$184:$Q$184),FALSE))))</f>
        <v>0</v>
      </c>
    </row>
    <row r="188" spans="1:7" ht="15.75" thickBot="1">
      <c r="A188" s="1361" t="s">
        <v>1008</v>
      </c>
      <c r="B188" s="1368" t="s">
        <v>1009</v>
      </c>
      <c r="C188" s="1384">
        <f>(VLOOKUP(A188,'Ingresos Proyecciones'!$A$154:$Q$172,LOOKUP($C$25,'Ingresos Proyecciones'!$C$22:$Q$22,'Ingresos Proyecciones'!$C$184:$Q$184),FALSE))</f>
        <v>0</v>
      </c>
      <c r="D188" s="1384">
        <f>(VLOOKUP(A188,'Ingresos Proyecciones'!$A$154:$Q$172,LOOKUP($C$25,'Ingresos Proyecciones'!$C$22:$Q$22,'Ingresos Proyecciones'!$C$184:$Q$184),FALSE))</f>
        <v>0</v>
      </c>
      <c r="E188" s="1384">
        <f>(VLOOKUP(A188,'Ingresos Proyecciones'!$A$154:$Q$172,LOOKUP($C$25,'Ingresos Proyecciones'!$C$22:$Q$22,'Ingresos Proyecciones'!$C$184:$Q$184),FALSE))</f>
        <v>0</v>
      </c>
    </row>
    <row r="189" spans="1:7" ht="15.75" thickBot="1">
      <c r="A189" s="1362" t="s">
        <v>1010</v>
      </c>
      <c r="B189" s="1368" t="s">
        <v>1011</v>
      </c>
      <c r="C189" s="1384">
        <f>(VLOOKUP(A189,'Ingresos Proyecciones'!$A$154:$Q$172,LOOKUP($C$25,'Ingresos Proyecciones'!$C$22:$Q$22,'Ingresos Proyecciones'!$C$184:$Q$184),FALSE))</f>
        <v>0</v>
      </c>
      <c r="D189" s="1384">
        <f>(VLOOKUP(A189,'Ingresos Proyecciones'!$A$154:$Q$172,LOOKUP($C$25,'Ingresos Proyecciones'!$C$22:$Q$22,'Ingresos Proyecciones'!$C$184:$Q$184),FALSE))</f>
        <v>0</v>
      </c>
      <c r="E189" s="1384">
        <f>(VLOOKUP(A189,'Ingresos Proyecciones'!$A$154:$Q$172,LOOKUP($C$25,'Ingresos Proyecciones'!$C$22:$Q$22,'Ingresos Proyecciones'!$C$184:$Q$184),FALSE))</f>
        <v>0</v>
      </c>
    </row>
    <row r="191" spans="1:7">
      <c r="B191" s="1401"/>
      <c r="C191" s="1401"/>
      <c r="D191" s="1401"/>
      <c r="E191" s="1402"/>
      <c r="F191" s="1402"/>
      <c r="G191" s="1402"/>
    </row>
  </sheetData>
  <sheetProtection password="95B1" sheet="1" objects="1" scenarios="1"/>
  <phoneticPr fontId="34" type="noConversion"/>
  <printOptions horizontalCentered="1" verticalCentered="1"/>
  <pageMargins left="0.19685039370078741" right="0.19685039370078741" top="0.39370078740157483" bottom="0.55118110236220474" header="0.19685039370078741" footer="0.19685039370078741"/>
  <pageSetup scale="63" orientation="portrait" horizontalDpi="4294967293" r:id="rId1"/>
  <headerFooter alignWithMargins="0">
    <oddHeader>&amp;C&amp;"Arial,Negrita"&amp;12&amp;F</oddHeader>
    <oddFooter>&amp;L&amp;"Arial,Negrita"&amp;F &amp;A&amp;R&amp;"Arial,Negrita"Página &amp;P de &amp;N</oddFooter>
  </headerFooter>
  <colBreaks count="1" manualBreakCount="1">
    <brk id="7" max="1048575" man="1"/>
  </colBreaks>
  <legacyDrawing r:id="rId2"/>
</worksheet>
</file>

<file path=xl/worksheets/sheet8.xml><?xml version="1.0" encoding="utf-8"?>
<worksheet xmlns="http://schemas.openxmlformats.org/spreadsheetml/2006/main" xmlns:r="http://schemas.openxmlformats.org/officeDocument/2006/relationships">
  <sheetPr codeName="Hoja8"/>
  <dimension ref="A1:Q1023"/>
  <sheetViews>
    <sheetView topLeftCell="B1" zoomScale="80" workbookViewId="0">
      <pane xSplit="1" ySplit="24" topLeftCell="C28" activePane="bottomRight" state="frozen"/>
      <selection activeCell="B1" sqref="B1"/>
      <selection pane="topRight" activeCell="C1" sqref="C1"/>
      <selection pane="bottomLeft" activeCell="B25" sqref="B25"/>
      <selection pane="bottomRight" activeCell="A44" sqref="A44"/>
    </sheetView>
  </sheetViews>
  <sheetFormatPr baseColWidth="10" defaultRowHeight="15"/>
  <cols>
    <col min="1" max="1" width="14.5703125" style="646" customWidth="1"/>
    <col min="2" max="2" width="70.5703125" style="647" customWidth="1"/>
    <col min="3" max="4" width="14.85546875" style="647" customWidth="1"/>
    <col min="5" max="17" width="14.85546875" style="646" customWidth="1"/>
    <col min="18" max="16384" width="11.42578125" style="646"/>
  </cols>
  <sheetData>
    <row r="1" spans="2:7" ht="24" customHeight="1" thickBot="1">
      <c r="B1" s="807" t="s">
        <v>1012</v>
      </c>
    </row>
    <row r="2" spans="2:7" hidden="1">
      <c r="B2" s="646"/>
    </row>
    <row r="3" spans="2:7" ht="17.25" hidden="1">
      <c r="B3" s="808" t="s">
        <v>1224</v>
      </c>
    </row>
    <row r="4" spans="2:7" ht="17.25" hidden="1">
      <c r="B4" s="808" t="s">
        <v>1225</v>
      </c>
    </row>
    <row r="5" spans="2:7" ht="17.25" hidden="1">
      <c r="B5" s="808"/>
    </row>
    <row r="6" spans="2:7" ht="15.75" hidden="1" thickBot="1">
      <c r="B6" s="646"/>
    </row>
    <row r="7" spans="2:7" hidden="1">
      <c r="B7" s="809" t="s">
        <v>752</v>
      </c>
      <c r="C7" s="968">
        <f>Ingresos!B6</f>
        <v>0</v>
      </c>
      <c r="D7" s="810"/>
      <c r="E7" s="810"/>
      <c r="F7" s="647"/>
      <c r="G7" s="647"/>
    </row>
    <row r="8" spans="2:7">
      <c r="B8" s="809" t="s">
        <v>639</v>
      </c>
      <c r="C8" s="968" t="str">
        <f>Ingresos!B8</f>
        <v>MUNICIPIO DE CUNDAY</v>
      </c>
      <c r="D8" s="810"/>
      <c r="E8" s="810"/>
      <c r="F8" s="810"/>
      <c r="G8" s="810"/>
    </row>
    <row r="9" spans="2:7">
      <c r="B9" s="811" t="s">
        <v>834</v>
      </c>
      <c r="C9" s="969">
        <f>Ingresos!B10</f>
        <v>2011</v>
      </c>
      <c r="E9" s="647"/>
      <c r="F9" s="812"/>
      <c r="G9" s="647"/>
    </row>
    <row r="10" spans="2:7" ht="15.75" thickBot="1">
      <c r="B10" s="813" t="s">
        <v>835</v>
      </c>
      <c r="C10" s="970">
        <f>Ingresos!B12</f>
        <v>6</v>
      </c>
      <c r="E10" s="647"/>
      <c r="F10" s="647"/>
      <c r="G10" s="647"/>
    </row>
    <row r="11" spans="2:7" ht="15.75" hidden="1" thickBot="1">
      <c r="B11" s="813" t="s">
        <v>836</v>
      </c>
      <c r="C11" s="970">
        <f>Ingresos!B14</f>
        <v>0</v>
      </c>
      <c r="D11" s="810"/>
      <c r="E11" s="810"/>
      <c r="F11" s="647"/>
      <c r="G11" s="647"/>
    </row>
    <row r="12" spans="2:7" hidden="1">
      <c r="B12" s="646"/>
      <c r="E12" s="647"/>
      <c r="F12" s="647"/>
      <c r="G12" s="647"/>
    </row>
    <row r="13" spans="2:7" hidden="1">
      <c r="B13" s="816" t="s">
        <v>1232</v>
      </c>
      <c r="C13" s="816"/>
      <c r="D13" s="816"/>
    </row>
    <row r="14" spans="2:7" ht="15.75" hidden="1" thickBot="1">
      <c r="B14" s="646"/>
    </row>
    <row r="15" spans="2:7" hidden="1">
      <c r="B15" s="809" t="s">
        <v>837</v>
      </c>
      <c r="C15" s="968">
        <f>Ingresos!B17</f>
        <v>617</v>
      </c>
    </row>
    <row r="16" spans="2:7" hidden="1">
      <c r="B16" s="811" t="s">
        <v>838</v>
      </c>
      <c r="C16" s="969">
        <f>Ingresos!B18</f>
        <v>0</v>
      </c>
    </row>
    <row r="17" spans="1:17" ht="15.75" hidden="1" thickBot="1">
      <c r="B17" s="813" t="s">
        <v>839</v>
      </c>
      <c r="C17" s="970">
        <f>Ingresos!B19</f>
        <v>0</v>
      </c>
    </row>
    <row r="18" spans="1:17" ht="15.75" hidden="1" thickBot="1">
      <c r="B18" s="646"/>
    </row>
    <row r="19" spans="1:17" ht="15.75" hidden="1" thickBot="1">
      <c r="B19" s="816" t="s">
        <v>519</v>
      </c>
      <c r="C19" s="816">
        <f>Ingresos!D21</f>
        <v>0</v>
      </c>
      <c r="D19" s="816"/>
      <c r="E19" s="820" t="s">
        <v>1237</v>
      </c>
      <c r="F19" s="820"/>
      <c r="G19" s="955"/>
      <c r="H19" s="971">
        <f>Ingresos!I21</f>
        <v>40178</v>
      </c>
    </row>
    <row r="20" spans="1:17" ht="15.75" hidden="1" thickBot="1">
      <c r="B20" s="816"/>
      <c r="C20" s="816"/>
      <c r="D20" s="816"/>
      <c r="E20" s="816" t="s">
        <v>1239</v>
      </c>
      <c r="F20" s="816"/>
      <c r="G20" s="955"/>
      <c r="H20" s="972">
        <f>Ingresos!I22</f>
        <v>45291</v>
      </c>
    </row>
    <row r="21" spans="1:17" ht="15.75" thickBot="1">
      <c r="B21" s="646"/>
      <c r="C21" s="989">
        <f>+C26+C48+C55+C63+C70+C77+C115+C116+C117+C118+C119+C120+C121+C122+C123+C34</f>
        <v>6642691</v>
      </c>
      <c r="D21" s="989">
        <f t="shared" ref="D21:Q21" si="0">+D26+D48+D55+D63+D70+D77+D115+D116+D117+D118+D119+D120+D121+D122+D123+D34</f>
        <v>6291226.4800000004</v>
      </c>
      <c r="E21" s="989">
        <f t="shared" si="0"/>
        <v>6706172.0992000001</v>
      </c>
      <c r="F21" s="989">
        <f t="shared" si="0"/>
        <v>6618634.5031680008</v>
      </c>
      <c r="G21" s="989">
        <f t="shared" si="0"/>
        <v>5957129.6032947209</v>
      </c>
      <c r="H21" s="989">
        <f t="shared" si="0"/>
        <v>6137684.3874265086</v>
      </c>
      <c r="I21" s="989">
        <f t="shared" si="0"/>
        <v>6383191.7629235703</v>
      </c>
      <c r="J21" s="989">
        <f t="shared" si="0"/>
        <v>6638519.433440512</v>
      </c>
      <c r="K21" s="989">
        <f t="shared" si="0"/>
        <v>7704060.2107781349</v>
      </c>
      <c r="L21" s="989">
        <f t="shared" si="0"/>
        <v>7180222.6192092597</v>
      </c>
      <c r="M21" s="989">
        <f t="shared" si="0"/>
        <v>7467431.5239776289</v>
      </c>
      <c r="N21" s="989">
        <f t="shared" si="0"/>
        <v>7766128.7849367345</v>
      </c>
      <c r="O21" s="989">
        <f t="shared" si="0"/>
        <v>8076773.9363342049</v>
      </c>
      <c r="P21" s="989">
        <f t="shared" si="0"/>
        <v>8399844.893787574</v>
      </c>
      <c r="Q21" s="989">
        <f t="shared" si="0"/>
        <v>8735838.6895390768</v>
      </c>
    </row>
    <row r="22" spans="1:17" ht="15.75" thickBot="1">
      <c r="B22" s="815" t="s">
        <v>840</v>
      </c>
      <c r="C22" s="979">
        <f>+C36+C41+C50+C58+C65+C72+C102+C125+C141+C154</f>
        <v>6642691</v>
      </c>
      <c r="D22" s="956">
        <f t="shared" ref="D22:Q22" si="1">+D36+D41+D50+D58+D65+D72+D102+D125+D141+D154</f>
        <v>6291226.1999999993</v>
      </c>
      <c r="E22" s="956">
        <f t="shared" si="1"/>
        <v>6706172.4450000003</v>
      </c>
      <c r="F22" s="956">
        <f t="shared" si="1"/>
        <v>6618635.4172499999</v>
      </c>
      <c r="G22" s="956">
        <f t="shared" si="1"/>
        <v>5957129.8881125003</v>
      </c>
      <c r="H22" s="956">
        <f t="shared" si="1"/>
        <v>6137685.0835181251</v>
      </c>
      <c r="I22" s="956">
        <f t="shared" si="1"/>
        <v>6383192.4636140317</v>
      </c>
      <c r="J22" s="956">
        <f t="shared" si="1"/>
        <v>6638519.8395395335</v>
      </c>
      <c r="K22" s="956">
        <f t="shared" si="1"/>
        <v>7704061.0723510776</v>
      </c>
      <c r="L22" s="956">
        <f t="shared" si="1"/>
        <v>7180222.7782420944</v>
      </c>
      <c r="M22" s="956">
        <f t="shared" si="1"/>
        <v>7467432.016420288</v>
      </c>
      <c r="N22" s="956">
        <f t="shared" si="1"/>
        <v>7766128.843592966</v>
      </c>
      <c r="O22" s="956">
        <f t="shared" si="1"/>
        <v>8076773.8423776375</v>
      </c>
      <c r="P22" s="956">
        <f t="shared" si="1"/>
        <v>8399845.2406703923</v>
      </c>
      <c r="Q22" s="956">
        <f t="shared" si="1"/>
        <v>8735838.9552614223</v>
      </c>
    </row>
    <row r="23" spans="1:17" ht="45">
      <c r="A23" s="662" t="s">
        <v>841</v>
      </c>
      <c r="B23" s="662" t="s">
        <v>1241</v>
      </c>
      <c r="C23" s="662" t="str">
        <f>+'Ingresos Proyecciones'!C22</f>
        <v>Escenario Financiero Año 2009</v>
      </c>
      <c r="D23" s="662" t="str">
        <f>+'Ingresos Proyecciones'!D22</f>
        <v>Escenario Financiero Año 2010</v>
      </c>
      <c r="E23" s="662" t="str">
        <f>+'Ingresos Proyecciones'!E22</f>
        <v>Escenario Financiero Año 2011</v>
      </c>
      <c r="F23" s="662" t="str">
        <f>+'Ingresos Proyecciones'!F22</f>
        <v>Escenario Financiero Año 2012</v>
      </c>
      <c r="G23" s="662" t="str">
        <f>+'Ingresos Proyecciones'!G22</f>
        <v>Escenario Financiero Año 2013</v>
      </c>
      <c r="H23" s="662" t="str">
        <f>+'Ingresos Proyecciones'!H22</f>
        <v>Escenario Financiero Año 2014</v>
      </c>
      <c r="I23" s="662" t="str">
        <f>+'Ingresos Proyecciones'!I22</f>
        <v>Escenario Financiero Año 2015</v>
      </c>
      <c r="J23" s="662" t="str">
        <f>+'Ingresos Proyecciones'!J22</f>
        <v>Escenario Financiero Año 2016</v>
      </c>
      <c r="K23" s="662" t="str">
        <f>+'Ingresos Proyecciones'!K22</f>
        <v>Escenario Financiero Año 2017</v>
      </c>
      <c r="L23" s="662" t="str">
        <f>+'Ingresos Proyecciones'!L22</f>
        <v>Escenario Financiero Año 2018</v>
      </c>
      <c r="M23" s="662" t="str">
        <f>+'Ingresos Proyecciones'!M22</f>
        <v>Escenario Financiero Año 2019</v>
      </c>
      <c r="N23" s="662" t="str">
        <f>+'Ingresos Proyecciones'!N22</f>
        <v>Escenario Financiero Año 2020</v>
      </c>
      <c r="O23" s="662" t="str">
        <f>+'Ingresos Proyecciones'!O22</f>
        <v>Escenario Financiero Año 2021</v>
      </c>
      <c r="P23" s="662" t="str">
        <f>+'Ingresos Proyecciones'!P22</f>
        <v>Escenario Financiero Año 2022</v>
      </c>
      <c r="Q23" s="662" t="str">
        <f>+'Ingresos Proyecciones'!Q22</f>
        <v>Escenario Financiero Año 2023</v>
      </c>
    </row>
    <row r="24" spans="1:17" ht="19.5" customHeight="1" thickBot="1">
      <c r="A24" s="664"/>
      <c r="B24" s="664"/>
      <c r="C24" s="664"/>
      <c r="D24" s="664"/>
      <c r="E24" s="664"/>
      <c r="F24" s="664"/>
      <c r="G24" s="664"/>
      <c r="H24" s="664"/>
      <c r="I24" s="664"/>
      <c r="J24" s="664"/>
      <c r="K24" s="664"/>
      <c r="L24" s="664"/>
      <c r="M24" s="664"/>
      <c r="N24" s="664"/>
      <c r="O24" s="664"/>
      <c r="P24" s="664"/>
      <c r="Q24" s="664"/>
    </row>
    <row r="25" spans="1:17" s="723" customFormat="1" ht="18.75" customHeight="1">
      <c r="A25" s="828" t="s">
        <v>846</v>
      </c>
      <c r="B25" s="719" t="s">
        <v>847</v>
      </c>
      <c r="C25" s="1107"/>
      <c r="D25" s="1107"/>
      <c r="E25" s="1107"/>
      <c r="F25" s="1107"/>
      <c r="G25" s="1107"/>
      <c r="H25" s="1107"/>
      <c r="I25" s="1107"/>
      <c r="J25" s="1107"/>
      <c r="K25" s="1107"/>
      <c r="L25" s="1107"/>
      <c r="M25" s="1107"/>
      <c r="N25" s="1107"/>
      <c r="O25" s="1107"/>
      <c r="P25" s="1107"/>
      <c r="Q25" s="1107"/>
    </row>
    <row r="26" spans="1:17" s="723" customFormat="1" ht="18.75" customHeight="1">
      <c r="A26" s="828" t="s">
        <v>848</v>
      </c>
      <c r="B26" s="833" t="s">
        <v>849</v>
      </c>
      <c r="C26" s="1108">
        <f t="shared" ref="C26:Q26" si="2">+C27-C34+C35</f>
        <v>3310561</v>
      </c>
      <c r="D26" s="1108">
        <f t="shared" si="2"/>
        <v>3129421</v>
      </c>
      <c r="E26" s="1108">
        <f t="shared" si="2"/>
        <v>2670581</v>
      </c>
      <c r="F26" s="1108">
        <f t="shared" si="2"/>
        <v>2947135.5599999996</v>
      </c>
      <c r="G26" s="1108">
        <f t="shared" si="2"/>
        <v>2970770.7024000003</v>
      </c>
      <c r="H26" s="1108">
        <f t="shared" si="2"/>
        <v>3031871.1304959999</v>
      </c>
      <c r="I26" s="1108">
        <f t="shared" si="2"/>
        <v>3153145.9757158407</v>
      </c>
      <c r="J26" s="1108">
        <f t="shared" si="2"/>
        <v>3279271.8147444744</v>
      </c>
      <c r="K26" s="1108">
        <f t="shared" si="2"/>
        <v>3410442.687334253</v>
      </c>
      <c r="L26" s="1108">
        <f t="shared" si="2"/>
        <v>3546860.3948276229</v>
      </c>
      <c r="M26" s="1108">
        <f t="shared" si="2"/>
        <v>3688734.8106207284</v>
      </c>
      <c r="N26" s="1108">
        <f t="shared" si="2"/>
        <v>3836284.2030455573</v>
      </c>
      <c r="O26" s="1108">
        <f t="shared" si="2"/>
        <v>3989735.5711673805</v>
      </c>
      <c r="P26" s="1108">
        <f t="shared" si="2"/>
        <v>4149324.994014075</v>
      </c>
      <c r="Q26" s="1108">
        <f t="shared" si="2"/>
        <v>4315297.9937746385</v>
      </c>
    </row>
    <row r="27" spans="1:17" s="723" customFormat="1" ht="18.75" customHeight="1">
      <c r="A27" s="957" t="str">
        <f>+Ingresos!A29</f>
        <v>111</v>
      </c>
      <c r="B27" s="833" t="s">
        <v>850</v>
      </c>
      <c r="C27" s="1108">
        <f>+C28+C29+C30+C31+C32+C33</f>
        <v>303158</v>
      </c>
      <c r="D27" s="1108">
        <f t="shared" ref="D27:Q27" si="3">+D28+D29+D30+D31+D32+D33</f>
        <v>487564</v>
      </c>
      <c r="E27" s="1108">
        <f t="shared" si="3"/>
        <v>497946</v>
      </c>
      <c r="F27" s="1108">
        <f t="shared" si="3"/>
        <v>464801.88000000012</v>
      </c>
      <c r="G27" s="1108">
        <f t="shared" si="3"/>
        <v>483393.95520000003</v>
      </c>
      <c r="H27" s="1108">
        <f t="shared" si="3"/>
        <v>502729.71340799995</v>
      </c>
      <c r="I27" s="1108">
        <f t="shared" si="3"/>
        <v>522838.90194432001</v>
      </c>
      <c r="J27" s="1108">
        <f t="shared" si="3"/>
        <v>543752.45802209282</v>
      </c>
      <c r="K27" s="1108">
        <f t="shared" si="3"/>
        <v>565502.55634297652</v>
      </c>
      <c r="L27" s="1108">
        <f t="shared" si="3"/>
        <v>588122.65859669563</v>
      </c>
      <c r="M27" s="1108">
        <f t="shared" si="3"/>
        <v>611647.5649405634</v>
      </c>
      <c r="N27" s="1108">
        <f t="shared" si="3"/>
        <v>636113.46753818588</v>
      </c>
      <c r="O27" s="1108">
        <f t="shared" si="3"/>
        <v>661558.0062397134</v>
      </c>
      <c r="P27" s="1108">
        <f t="shared" si="3"/>
        <v>688020.3264893021</v>
      </c>
      <c r="Q27" s="1108">
        <f t="shared" si="3"/>
        <v>715541.13954887423</v>
      </c>
    </row>
    <row r="28" spans="1:17" s="723" customFormat="1" ht="26.25" customHeight="1">
      <c r="A28" s="958" t="s">
        <v>851</v>
      </c>
      <c r="B28" s="840" t="s">
        <v>852</v>
      </c>
      <c r="C28" s="1109">
        <f>+'Ley 617'!P27</f>
        <v>184253</v>
      </c>
      <c r="D28" s="1109">
        <f>+'Ley 617'!Q27</f>
        <v>310512</v>
      </c>
      <c r="E28" s="1109">
        <f>+'Ley 617'!R27</f>
        <v>375912</v>
      </c>
      <c r="F28" s="1109">
        <f>+'Ley 617'!S27</f>
        <v>342244</v>
      </c>
      <c r="G28" s="1109">
        <f>+'Ley 617'!T27</f>
        <v>355933.76</v>
      </c>
      <c r="H28" s="1109">
        <f>+'Ley 617'!U27</f>
        <v>370171.11040000001</v>
      </c>
      <c r="I28" s="1109">
        <f>+'Ley 617'!V27</f>
        <v>384977.95481600001</v>
      </c>
      <c r="J28" s="1109">
        <f>+'Ley 617'!W27</f>
        <v>400377.07300864003</v>
      </c>
      <c r="K28" s="1109">
        <f>+'Ley 617'!X27</f>
        <v>416392.15592898562</v>
      </c>
      <c r="L28" s="1109">
        <f>+'Ley 617'!Y27</f>
        <v>433047.84216614504</v>
      </c>
      <c r="M28" s="1109">
        <f>+'Ley 617'!Z27</f>
        <v>450369.75585279084</v>
      </c>
      <c r="N28" s="1109">
        <f>+'Ley 617'!AA27</f>
        <v>468384.5460869025</v>
      </c>
      <c r="O28" s="1109">
        <f>+'Ley 617'!AB27</f>
        <v>487119.92793037859</v>
      </c>
      <c r="P28" s="1109">
        <f>+'Ley 617'!AC27</f>
        <v>506604.72504759376</v>
      </c>
      <c r="Q28" s="1109">
        <f>+'Ley 617'!AD27</f>
        <v>526868.91404949757</v>
      </c>
    </row>
    <row r="29" spans="1:17" s="723" customFormat="1" ht="18.75" customHeight="1">
      <c r="A29" s="958" t="s">
        <v>853</v>
      </c>
      <c r="B29" s="725" t="s">
        <v>1263</v>
      </c>
      <c r="C29" s="1109">
        <f>+'Ley 617'!P29</f>
        <v>0</v>
      </c>
      <c r="D29" s="1109">
        <f>+'Ley 617'!Q29</f>
        <v>0</v>
      </c>
      <c r="E29" s="1109">
        <f>+'Ley 617'!R29</f>
        <v>0</v>
      </c>
      <c r="F29" s="1109">
        <f>+'Ley 617'!S29</f>
        <v>0</v>
      </c>
      <c r="G29" s="1109">
        <f>+'Ley 617'!T29</f>
        <v>0</v>
      </c>
      <c r="H29" s="1109">
        <f>+'Ley 617'!U29</f>
        <v>0</v>
      </c>
      <c r="I29" s="1109">
        <f>+'Ley 617'!V29</f>
        <v>0</v>
      </c>
      <c r="J29" s="1109">
        <f>+'Ley 617'!W29</f>
        <v>0</v>
      </c>
      <c r="K29" s="1109">
        <f>+'Ley 617'!X29</f>
        <v>0</v>
      </c>
      <c r="L29" s="1109">
        <f>+'Ley 617'!Y29</f>
        <v>0</v>
      </c>
      <c r="M29" s="1109">
        <f>+'Ley 617'!Z29</f>
        <v>0</v>
      </c>
      <c r="N29" s="1109">
        <f>+'Ley 617'!AA29</f>
        <v>0</v>
      </c>
      <c r="O29" s="1109">
        <f>+'Ley 617'!AB29</f>
        <v>0</v>
      </c>
      <c r="P29" s="1109">
        <f>+'Ley 617'!AC29</f>
        <v>0</v>
      </c>
      <c r="Q29" s="1109">
        <f>+'Ley 617'!AD29</f>
        <v>0</v>
      </c>
    </row>
    <row r="30" spans="1:17" s="723" customFormat="1" ht="18.75" customHeight="1">
      <c r="A30" s="958" t="s">
        <v>1264</v>
      </c>
      <c r="B30" s="725" t="s">
        <v>1265</v>
      </c>
      <c r="C30" s="1109">
        <f>+'Ley 617'!P30</f>
        <v>69578</v>
      </c>
      <c r="D30" s="1109">
        <f>+'Ley 617'!Q30</f>
        <v>31883</v>
      </c>
      <c r="E30" s="1109">
        <f>+'Ley 617'!R30</f>
        <v>42779</v>
      </c>
      <c r="F30" s="1109">
        <f>+'Ley 617'!S30</f>
        <v>44490.16</v>
      </c>
      <c r="G30" s="1109">
        <f>+'Ley 617'!T30</f>
        <v>46269.766400000008</v>
      </c>
      <c r="H30" s="1109">
        <f>+'Ley 617'!U30</f>
        <v>48120.557056000012</v>
      </c>
      <c r="I30" s="1109">
        <f>+'Ley 617'!V30</f>
        <v>50045.379338240018</v>
      </c>
      <c r="J30" s="1109">
        <f>+'Ley 617'!W30</f>
        <v>52047.194511769623</v>
      </c>
      <c r="K30" s="1109">
        <f>+'Ley 617'!X30</f>
        <v>54129.082292240411</v>
      </c>
      <c r="L30" s="1109">
        <f>+'Ley 617'!Y30</f>
        <v>56294.245583930031</v>
      </c>
      <c r="M30" s="1109">
        <f>+'Ley 617'!Z30</f>
        <v>58546.015407287232</v>
      </c>
      <c r="N30" s="1109">
        <f>+'Ley 617'!AA30</f>
        <v>60887.856023578723</v>
      </c>
      <c r="O30" s="1109">
        <f>+'Ley 617'!AB30</f>
        <v>63323.370264521873</v>
      </c>
      <c r="P30" s="1109">
        <f>+'Ley 617'!AC30</f>
        <v>65856.305075102748</v>
      </c>
      <c r="Q30" s="1109">
        <f>+'Ley 617'!AD30</f>
        <v>68490.557278106862</v>
      </c>
    </row>
    <row r="31" spans="1:17" s="723" customFormat="1" ht="18.75" customHeight="1">
      <c r="A31" s="958" t="s">
        <v>1282</v>
      </c>
      <c r="B31" s="725" t="s">
        <v>1267</v>
      </c>
      <c r="C31" s="1109">
        <f>'Ley 617'!P31</f>
        <v>0</v>
      </c>
      <c r="D31" s="1109">
        <f>'Ley 617'!Q31</f>
        <v>0</v>
      </c>
      <c r="E31" s="1109">
        <f>'Ley 617'!R31</f>
        <v>0</v>
      </c>
      <c r="F31" s="1109">
        <f>'Ley 617'!S31</f>
        <v>0</v>
      </c>
      <c r="G31" s="1109">
        <f>'Ley 617'!T31</f>
        <v>0</v>
      </c>
      <c r="H31" s="1109">
        <f>'Ley 617'!U31</f>
        <v>0</v>
      </c>
      <c r="I31" s="1109">
        <f>'Ley 617'!V31</f>
        <v>0</v>
      </c>
      <c r="J31" s="1109">
        <f>'Ley 617'!W31</f>
        <v>0</v>
      </c>
      <c r="K31" s="1109">
        <f>'Ley 617'!X31</f>
        <v>0</v>
      </c>
      <c r="L31" s="1109">
        <f>'Ley 617'!Y31</f>
        <v>0</v>
      </c>
      <c r="M31" s="1109">
        <f>'Ley 617'!Z31</f>
        <v>0</v>
      </c>
      <c r="N31" s="1109">
        <f>'Ley 617'!AA31</f>
        <v>0</v>
      </c>
      <c r="O31" s="1109">
        <f>'Ley 617'!AB31</f>
        <v>0</v>
      </c>
      <c r="P31" s="1109">
        <f>'Ley 617'!AC31</f>
        <v>0</v>
      </c>
      <c r="Q31" s="1109">
        <f>'Ley 617'!AD31</f>
        <v>0</v>
      </c>
    </row>
    <row r="32" spans="1:17" s="723" customFormat="1" ht="18.75" customHeight="1">
      <c r="A32" s="837" t="s">
        <v>854</v>
      </c>
      <c r="B32" s="725" t="s">
        <v>1006</v>
      </c>
      <c r="C32" s="1109">
        <f>+'Ley 617'!P38</f>
        <v>0</v>
      </c>
      <c r="D32" s="1109">
        <f>+'Ley 617'!Q38</f>
        <v>0</v>
      </c>
      <c r="E32" s="1109">
        <f>+'Ley 617'!R38</f>
        <v>0</v>
      </c>
      <c r="F32" s="1109">
        <f>+'Ley 617'!S38</f>
        <v>0</v>
      </c>
      <c r="G32" s="1109">
        <f>+'Ley 617'!T38</f>
        <v>0</v>
      </c>
      <c r="H32" s="1109">
        <f>+'Ley 617'!U38</f>
        <v>0</v>
      </c>
      <c r="I32" s="1109">
        <f>+'Ley 617'!V38</f>
        <v>0</v>
      </c>
      <c r="J32" s="1109">
        <f>+'Ley 617'!W38</f>
        <v>0</v>
      </c>
      <c r="K32" s="1109">
        <f>+'Ley 617'!X38</f>
        <v>0</v>
      </c>
      <c r="L32" s="1109">
        <f>+'Ley 617'!Y38</f>
        <v>0</v>
      </c>
      <c r="M32" s="1109">
        <f>+'Ley 617'!Z38</f>
        <v>0</v>
      </c>
      <c r="N32" s="1109">
        <f>+'Ley 617'!AA38</f>
        <v>0</v>
      </c>
      <c r="O32" s="1109">
        <f>+'Ley 617'!AB38</f>
        <v>0</v>
      </c>
      <c r="P32" s="1109">
        <f>+'Ley 617'!AC38</f>
        <v>0</v>
      </c>
      <c r="Q32" s="1109">
        <f>+'Ley 617'!AD38</f>
        <v>0</v>
      </c>
    </row>
    <row r="33" spans="1:17" s="723" customFormat="1" ht="18.75" customHeight="1">
      <c r="A33" s="837" t="s">
        <v>856</v>
      </c>
      <c r="B33" s="725" t="s">
        <v>1007</v>
      </c>
      <c r="C33" s="1109">
        <f>+'Ley 617'!P26-'Ley 617'!P27-'Ley 617'!P29-'Ley 617'!P30-'Ley 617'!P31-'Ley 617'!P38</f>
        <v>49327</v>
      </c>
      <c r="D33" s="1109">
        <f>+'Ley 617'!Q26-'Ley 617'!Q27-'Ley 617'!Q29-'Ley 617'!Q30-'Ley 617'!Q31-'Ley 617'!Q38</f>
        <v>145169</v>
      </c>
      <c r="E33" s="1109">
        <f>+'Ley 617'!R26-'Ley 617'!R27-'Ley 617'!R29-'Ley 617'!R30-'Ley 617'!R31-'Ley 617'!R38</f>
        <v>79255</v>
      </c>
      <c r="F33" s="1109">
        <f>+'Ley 617'!S26-'Ley 617'!S27-'Ley 617'!S29-'Ley 617'!S30-'Ley 617'!S31-'Ley 617'!S38</f>
        <v>78067.720000000059</v>
      </c>
      <c r="G33" s="1109">
        <f>+'Ley 617'!T26-'Ley 617'!T27-'Ley 617'!T29-'Ley 617'!T30-'Ley 617'!T31-'Ley 617'!T38</f>
        <v>81190.428800000009</v>
      </c>
      <c r="H33" s="1109">
        <f>+'Ley 617'!U26-'Ley 617'!U27-'Ley 617'!U29-'Ley 617'!U30-'Ley 617'!U31-'Ley 617'!U38</f>
        <v>84438.045951999928</v>
      </c>
      <c r="I33" s="1109">
        <f>+'Ley 617'!V26-'Ley 617'!V27-'Ley 617'!V29-'Ley 617'!V30-'Ley 617'!V31-'Ley 617'!V38</f>
        <v>87815.567790079978</v>
      </c>
      <c r="J33" s="1109">
        <f>+'Ley 617'!W26-'Ley 617'!W27-'Ley 617'!W29-'Ley 617'!W30-'Ley 617'!W31-'Ley 617'!W38</f>
        <v>91328.190501683159</v>
      </c>
      <c r="K33" s="1109">
        <f>+'Ley 617'!X26-'Ley 617'!X27-'Ley 617'!X29-'Ley 617'!X30-'Ley 617'!X31-'Ley 617'!X38</f>
        <v>94981.31812175049</v>
      </c>
      <c r="L33" s="1109">
        <f>+'Ley 617'!Y26-'Ley 617'!Y27-'Ley 617'!Y29-'Ley 617'!Y30-'Ley 617'!Y31-'Ley 617'!Y38</f>
        <v>98780.570846620569</v>
      </c>
      <c r="M33" s="1109">
        <f>+'Ley 617'!Z26-'Ley 617'!Z27-'Ley 617'!Z29-'Ley 617'!Z30-'Ley 617'!Z31-'Ley 617'!Z38</f>
        <v>102731.79368048534</v>
      </c>
      <c r="N33" s="1109">
        <f>+'Ley 617'!AA26-'Ley 617'!AA27-'Ley 617'!AA29-'Ley 617'!AA30-'Ley 617'!AA31-'Ley 617'!AA38</f>
        <v>106841.06542770477</v>
      </c>
      <c r="O33" s="1109">
        <f>+'Ley 617'!AB26-'Ley 617'!AB27-'Ley 617'!AB29-'Ley 617'!AB30-'Ley 617'!AB31-'Ley 617'!AB38</f>
        <v>111114.70804481294</v>
      </c>
      <c r="P33" s="1109">
        <f>+'Ley 617'!AC26-'Ley 617'!AC27-'Ley 617'!AC29-'Ley 617'!AC30-'Ley 617'!AC31-'Ley 617'!AC38</f>
        <v>115559.29636660559</v>
      </c>
      <c r="Q33" s="1109">
        <f>+'Ley 617'!AD26-'Ley 617'!AD27-'Ley 617'!AD29-'Ley 617'!AD30-'Ley 617'!AD31-'Ley 617'!AD38</f>
        <v>120181.66822126979</v>
      </c>
    </row>
    <row r="34" spans="1:17" s="723" customFormat="1" ht="18.75" customHeight="1">
      <c r="A34" s="828" t="s">
        <v>858</v>
      </c>
      <c r="B34" s="725" t="s">
        <v>859</v>
      </c>
      <c r="C34" s="1114">
        <f>((SUM(C28:C33)+C35)*'Ingresos Proyecciones'!C163)+(SUM(C28:C33)*'Ingresos Proyecciones'!C164)+('Fuentes y Usos Proyecciones'!C28*'Ingresos Proyecciones'!C165)+('Fuentes y Usos Proyecciones'!C29*'Ingresos Proyecciones'!C166)+('Fuentes y Usos Proyecciones'!C30*'Ingresos Proyecciones'!C167)+('Fuentes y Usos Proyecciones'!C31*'Ingresos Proyecciones'!C168)+('Fuentes y Usos Proyecciones'!C32*'Ingresos Proyecciones'!C169)+('Fuentes y Usos Proyecciones'!C33*'Ingresos Proyecciones'!C170)+'Ingresos Proyecciones'!C171+'Ingresos Proyecciones'!C172</f>
        <v>0</v>
      </c>
      <c r="D34" s="1114">
        <f>((SUM(D28:D33)+D35)*'Ingresos Proyecciones'!D163)+(SUM(D28:D33)*'Ingresos Proyecciones'!D164)+('Fuentes y Usos Proyecciones'!D28*'Ingresos Proyecciones'!D165)+('Fuentes y Usos Proyecciones'!D29*'Ingresos Proyecciones'!D166)+('Fuentes y Usos Proyecciones'!D30*'Ingresos Proyecciones'!D167)+('Fuentes y Usos Proyecciones'!D31*'Ingresos Proyecciones'!D168)+('Fuentes y Usos Proyecciones'!D32*'Ingresos Proyecciones'!D169)+('Fuentes y Usos Proyecciones'!D33*'Ingresos Proyecciones'!D170)+'Ingresos Proyecciones'!D171+'Ingresos Proyecciones'!D172</f>
        <v>0</v>
      </c>
      <c r="E34" s="1114">
        <f>((SUM(E28:E33)+E35)*'Ingresos Proyecciones'!E163)+(SUM(E28:E33)*'Ingresos Proyecciones'!E164)+('Fuentes y Usos Proyecciones'!E28*'Ingresos Proyecciones'!E165)+('Fuentes y Usos Proyecciones'!E29*'Ingresos Proyecciones'!E166)+('Fuentes y Usos Proyecciones'!E30*'Ingresos Proyecciones'!E167)+('Fuentes y Usos Proyecciones'!E31*'Ingresos Proyecciones'!E168)+('Fuentes y Usos Proyecciones'!E32*'Ingresos Proyecciones'!E169)+('Fuentes y Usos Proyecciones'!E33*'Ingresos Proyecciones'!E170)+'Ingresos Proyecciones'!E171+'Ingresos Proyecciones'!E172</f>
        <v>0</v>
      </c>
      <c r="F34" s="1114">
        <f>((SUM(F28:F33)+F35)*'Ingresos Proyecciones'!F163)+(SUM(F28:F33)*'Ingresos Proyecciones'!F164)+('Fuentes y Usos Proyecciones'!F28*'Ingresos Proyecciones'!F165)+('Fuentes y Usos Proyecciones'!F29*'Ingresos Proyecciones'!F166)+('Fuentes y Usos Proyecciones'!F30*'Ingresos Proyecciones'!F167)+('Fuentes y Usos Proyecciones'!F31*'Ingresos Proyecciones'!F168)+('Fuentes y Usos Proyecciones'!F32*'Ingresos Proyecciones'!F169)+('Fuentes y Usos Proyecciones'!F33*'Ingresos Proyecciones'!F170)+'Ingresos Proyecciones'!F171+'Ingresos Proyecciones'!F172</f>
        <v>0</v>
      </c>
      <c r="G34" s="1114">
        <f>((SUM(G28:G33)+G35)*'Ingresos Proyecciones'!G163)+(SUM(G28:G33)*'Ingresos Proyecciones'!G164)+('Fuentes y Usos Proyecciones'!G28*'Ingresos Proyecciones'!G165)+('Fuentes y Usos Proyecciones'!G29*'Ingresos Proyecciones'!G166)+('Fuentes y Usos Proyecciones'!G30*'Ingresos Proyecciones'!G167)+('Fuentes y Usos Proyecciones'!G31*'Ingresos Proyecciones'!G168)+('Fuentes y Usos Proyecciones'!G32*'Ingresos Proyecciones'!G169)+('Fuentes y Usos Proyecciones'!G33*'Ingresos Proyecciones'!G170)+'Ingresos Proyecciones'!G171+'Ingresos Proyecciones'!G172</f>
        <v>0</v>
      </c>
      <c r="H34" s="1114">
        <f>((SUM(H28:H33)+H35)*'Ingresos Proyecciones'!H163)+(SUM(H28:H33)*'Ingresos Proyecciones'!H164)+('Fuentes y Usos Proyecciones'!H28*'Ingresos Proyecciones'!H165)+('Fuentes y Usos Proyecciones'!H29*'Ingresos Proyecciones'!H166)+('Fuentes y Usos Proyecciones'!H30*'Ingresos Proyecciones'!H167)+('Fuentes y Usos Proyecciones'!H31*'Ingresos Proyecciones'!H168)+('Fuentes y Usos Proyecciones'!H32*'Ingresos Proyecciones'!H169)+('Fuentes y Usos Proyecciones'!H33*'Ingresos Proyecciones'!H170)+'Ingresos Proyecciones'!H171+'Ingresos Proyecciones'!H172</f>
        <v>0</v>
      </c>
      <c r="I34" s="1114">
        <f>((SUM(I28:I33)+I35)*'Ingresos Proyecciones'!I163)+(SUM(I28:I33)*'Ingresos Proyecciones'!I164)+('Fuentes y Usos Proyecciones'!I28*'Ingresos Proyecciones'!I165)+('Fuentes y Usos Proyecciones'!I29*'Ingresos Proyecciones'!I166)+('Fuentes y Usos Proyecciones'!I30*'Ingresos Proyecciones'!I167)+('Fuentes y Usos Proyecciones'!I31*'Ingresos Proyecciones'!I168)+('Fuentes y Usos Proyecciones'!I32*'Ingresos Proyecciones'!I169)+('Fuentes y Usos Proyecciones'!I33*'Ingresos Proyecciones'!I170)+'Ingresos Proyecciones'!I171+'Ingresos Proyecciones'!I172</f>
        <v>0</v>
      </c>
      <c r="J34" s="1114">
        <f>((SUM(J28:J33)+J35)*'Ingresos Proyecciones'!J163)+(SUM(J28:J33)*'Ingresos Proyecciones'!J164)+('Fuentes y Usos Proyecciones'!J28*'Ingresos Proyecciones'!J165)+('Fuentes y Usos Proyecciones'!J29*'Ingresos Proyecciones'!J166)+('Fuentes y Usos Proyecciones'!J30*'Ingresos Proyecciones'!J167)+('Fuentes y Usos Proyecciones'!J31*'Ingresos Proyecciones'!J168)+('Fuentes y Usos Proyecciones'!J32*'Ingresos Proyecciones'!J169)+('Fuentes y Usos Proyecciones'!J33*'Ingresos Proyecciones'!J170)+'Ingresos Proyecciones'!J171+'Ingresos Proyecciones'!J172</f>
        <v>0</v>
      </c>
      <c r="K34" s="1114">
        <f>((SUM(K28:K33)+K35)*'Ingresos Proyecciones'!K163)+(SUM(K28:K33)*'Ingresos Proyecciones'!K164)+('Fuentes y Usos Proyecciones'!K28*'Ingresos Proyecciones'!K165)+('Fuentes y Usos Proyecciones'!K29*'Ingresos Proyecciones'!K166)+('Fuentes y Usos Proyecciones'!K30*'Ingresos Proyecciones'!K167)+('Fuentes y Usos Proyecciones'!K31*'Ingresos Proyecciones'!K168)+('Fuentes y Usos Proyecciones'!K32*'Ingresos Proyecciones'!K169)+('Fuentes y Usos Proyecciones'!K33*'Ingresos Proyecciones'!K170)+'Ingresos Proyecciones'!K171+'Ingresos Proyecciones'!K172</f>
        <v>0</v>
      </c>
      <c r="L34" s="1114">
        <f>((SUM(L28:L33)+L35)*'Ingresos Proyecciones'!L163)+(SUM(L28:L33)*'Ingresos Proyecciones'!L164)+('Fuentes y Usos Proyecciones'!L28*'Ingresos Proyecciones'!L165)+('Fuentes y Usos Proyecciones'!L29*'Ingresos Proyecciones'!L166)+('Fuentes y Usos Proyecciones'!L30*'Ingresos Proyecciones'!L167)+('Fuentes y Usos Proyecciones'!L31*'Ingresos Proyecciones'!L168)+('Fuentes y Usos Proyecciones'!L32*'Ingresos Proyecciones'!L169)+('Fuentes y Usos Proyecciones'!L33*'Ingresos Proyecciones'!L170)+'Ingresos Proyecciones'!L171+'Ingresos Proyecciones'!L172</f>
        <v>0</v>
      </c>
      <c r="M34" s="1114">
        <f>((SUM(M28:M33)+M35)*'Ingresos Proyecciones'!M163)+(SUM(M28:M33)*'Ingresos Proyecciones'!M164)+('Fuentes y Usos Proyecciones'!M28*'Ingresos Proyecciones'!M165)+('Fuentes y Usos Proyecciones'!M29*'Ingresos Proyecciones'!M166)+('Fuentes y Usos Proyecciones'!M30*'Ingresos Proyecciones'!M167)+('Fuentes y Usos Proyecciones'!M31*'Ingresos Proyecciones'!M168)+('Fuentes y Usos Proyecciones'!M32*'Ingresos Proyecciones'!M169)+('Fuentes y Usos Proyecciones'!M33*'Ingresos Proyecciones'!M170)+'Ingresos Proyecciones'!M171+'Ingresos Proyecciones'!M172</f>
        <v>0</v>
      </c>
      <c r="N34" s="1114">
        <f>((SUM(N28:N33)+N35)*'Ingresos Proyecciones'!N163)+(SUM(N28:N33)*'Ingresos Proyecciones'!N164)+('Fuentes y Usos Proyecciones'!N28*'Ingresos Proyecciones'!N165)+('Fuentes y Usos Proyecciones'!N29*'Ingresos Proyecciones'!N166)+('Fuentes y Usos Proyecciones'!N30*'Ingresos Proyecciones'!N167)+('Fuentes y Usos Proyecciones'!N31*'Ingresos Proyecciones'!N168)+('Fuentes y Usos Proyecciones'!N32*'Ingresos Proyecciones'!N169)+('Fuentes y Usos Proyecciones'!N33*'Ingresos Proyecciones'!N170)+'Ingresos Proyecciones'!N171+'Ingresos Proyecciones'!N172</f>
        <v>0</v>
      </c>
      <c r="O34" s="1114">
        <f>((SUM(O28:O33)+O35)*'Ingresos Proyecciones'!O163)+(SUM(O28:O33)*'Ingresos Proyecciones'!O164)+('Fuentes y Usos Proyecciones'!O28*'Ingresos Proyecciones'!O165)+('Fuentes y Usos Proyecciones'!O29*'Ingresos Proyecciones'!O166)+('Fuentes y Usos Proyecciones'!O30*'Ingresos Proyecciones'!O167)+('Fuentes y Usos Proyecciones'!O31*'Ingresos Proyecciones'!O168)+('Fuentes y Usos Proyecciones'!O32*'Ingresos Proyecciones'!O169)+('Fuentes y Usos Proyecciones'!O33*'Ingresos Proyecciones'!O170)+'Ingresos Proyecciones'!O171+'Ingresos Proyecciones'!O172</f>
        <v>0</v>
      </c>
      <c r="P34" s="1114">
        <f>((SUM(P28:P33)+P35)*'Ingresos Proyecciones'!P163)+(SUM(P28:P33)*'Ingresos Proyecciones'!P164)+('Fuentes y Usos Proyecciones'!P28*'Ingresos Proyecciones'!P165)+('Fuentes y Usos Proyecciones'!P29*'Ingresos Proyecciones'!P166)+('Fuentes y Usos Proyecciones'!P30*'Ingresos Proyecciones'!P167)+('Fuentes y Usos Proyecciones'!P31*'Ingresos Proyecciones'!P168)+('Fuentes y Usos Proyecciones'!P32*'Ingresos Proyecciones'!P169)+('Fuentes y Usos Proyecciones'!P33*'Ingresos Proyecciones'!P170)+'Ingresos Proyecciones'!P171+'Ingresos Proyecciones'!P172</f>
        <v>0</v>
      </c>
      <c r="Q34" s="1114">
        <f>((SUM(Q28:Q33)+Q35)*'Ingresos Proyecciones'!Q163)+(SUM(Q28:Q33)*'Ingresos Proyecciones'!Q164)+('Fuentes y Usos Proyecciones'!Q28*'Ingresos Proyecciones'!Q165)+('Fuentes y Usos Proyecciones'!Q29*'Ingresos Proyecciones'!Q166)+('Fuentes y Usos Proyecciones'!Q30*'Ingresos Proyecciones'!Q167)+('Fuentes y Usos Proyecciones'!Q31*'Ingresos Proyecciones'!Q168)+('Fuentes y Usos Proyecciones'!Q32*'Ingresos Proyecciones'!Q169)+('Fuentes y Usos Proyecciones'!Q33*'Ingresos Proyecciones'!Q170)+'Ingresos Proyecciones'!Q171+'Ingresos Proyecciones'!Q172</f>
        <v>0</v>
      </c>
    </row>
    <row r="35" spans="1:17" s="959" customFormat="1" ht="18.75" customHeight="1">
      <c r="A35" s="957" t="str">
        <f>+Ingresos!A50</f>
        <v>112</v>
      </c>
      <c r="B35" s="833" t="s">
        <v>860</v>
      </c>
      <c r="C35" s="1108">
        <f>+'Ley 617'!P47</f>
        <v>3007403</v>
      </c>
      <c r="D35" s="1108">
        <f>+'Ley 617'!Q47</f>
        <v>2641857</v>
      </c>
      <c r="E35" s="1108">
        <f>+'Ley 617'!R47</f>
        <v>2172635</v>
      </c>
      <c r="F35" s="1108">
        <f>+'Ley 617'!S47</f>
        <v>2482333.6799999997</v>
      </c>
      <c r="G35" s="1108">
        <f>+'Ley 617'!T47</f>
        <v>2487376.7472000001</v>
      </c>
      <c r="H35" s="1108">
        <f>+'Ley 617'!U47</f>
        <v>2529141.4170880001</v>
      </c>
      <c r="I35" s="1108">
        <f>+'Ley 617'!V47</f>
        <v>2630307.0737715205</v>
      </c>
      <c r="J35" s="1108">
        <f>+'Ley 617'!W47</f>
        <v>2735519.3567223814</v>
      </c>
      <c r="K35" s="1108">
        <f>+'Ley 617'!X47</f>
        <v>2844940.1309912764</v>
      </c>
      <c r="L35" s="1108">
        <f>+'Ley 617'!Y47</f>
        <v>2958737.7362309271</v>
      </c>
      <c r="M35" s="1108">
        <f>+'Ley 617'!Z47</f>
        <v>3077087.245680165</v>
      </c>
      <c r="N35" s="1108">
        <f>+'Ley 617'!AA47</f>
        <v>3200170.7355073714</v>
      </c>
      <c r="O35" s="1108">
        <f>+'Ley 617'!AB47</f>
        <v>3328177.5649276669</v>
      </c>
      <c r="P35" s="1108">
        <f>+'Ley 617'!AC47</f>
        <v>3461304.6675247732</v>
      </c>
      <c r="Q35" s="1108">
        <f>+'Ley 617'!AD47</f>
        <v>3599756.8542257641</v>
      </c>
    </row>
    <row r="36" spans="1:17" s="723" customFormat="1" ht="18.75" customHeight="1">
      <c r="A36" s="828" t="s">
        <v>861</v>
      </c>
      <c r="B36" s="963" t="s">
        <v>862</v>
      </c>
      <c r="C36" s="1108">
        <f>SUM(C37:C40)</f>
        <v>760843</v>
      </c>
      <c r="D36" s="1108">
        <f>SUM(D37:D40)</f>
        <v>671337.85</v>
      </c>
      <c r="E36" s="1108">
        <f t="shared" ref="E36:Q36" si="4">SUM(E37:E40)</f>
        <v>620786</v>
      </c>
      <c r="F36" s="1108">
        <f t="shared" si="4"/>
        <v>651825.30000000005</v>
      </c>
      <c r="G36" s="1108">
        <f t="shared" si="4"/>
        <v>684416.56500000018</v>
      </c>
      <c r="H36" s="1108">
        <f t="shared" si="4"/>
        <v>718637.39325000008</v>
      </c>
      <c r="I36" s="1108">
        <f t="shared" si="4"/>
        <v>754569.26291250018</v>
      </c>
      <c r="J36" s="1108">
        <f t="shared" si="4"/>
        <v>792297.72605812526</v>
      </c>
      <c r="K36" s="1108">
        <f t="shared" si="4"/>
        <v>831912.61236103147</v>
      </c>
      <c r="L36" s="1108">
        <f t="shared" si="4"/>
        <v>873508.24297908298</v>
      </c>
      <c r="M36" s="1108">
        <f t="shared" si="4"/>
        <v>917183.65512803732</v>
      </c>
      <c r="N36" s="1108">
        <f t="shared" si="4"/>
        <v>963042.83788443904</v>
      </c>
      <c r="O36" s="1108">
        <f t="shared" si="4"/>
        <v>1011194.9797786612</v>
      </c>
      <c r="P36" s="1108">
        <f t="shared" si="4"/>
        <v>1061754.7287675943</v>
      </c>
      <c r="Q36" s="1108">
        <f t="shared" si="4"/>
        <v>1114842.4652059739</v>
      </c>
    </row>
    <row r="37" spans="1:17" s="723" customFormat="1" ht="18.75" customHeight="1">
      <c r="A37" s="957" t="str">
        <f>+Gastos!A27</f>
        <v>211</v>
      </c>
      <c r="B37" s="725" t="s">
        <v>863</v>
      </c>
      <c r="C37" s="1109">
        <f>+'Ley 617'!P93</f>
        <v>310428</v>
      </c>
      <c r="D37" s="1109">
        <f>+'Ley 617'!Q93</f>
        <v>316296.84999999998</v>
      </c>
      <c r="E37" s="1109">
        <f>+'Ley 617'!R93</f>
        <v>248973</v>
      </c>
      <c r="F37" s="1109">
        <f>+'Ley 617'!S93</f>
        <v>261421.65</v>
      </c>
      <c r="G37" s="1109">
        <f>+'Ley 617'!T93</f>
        <v>274492.73250000004</v>
      </c>
      <c r="H37" s="1109">
        <f>+'Ley 617'!U93</f>
        <v>288217.36912500003</v>
      </c>
      <c r="I37" s="1109">
        <f>+'Ley 617'!V93</f>
        <v>302628.23758125008</v>
      </c>
      <c r="J37" s="1109">
        <f>+'Ley 617'!W93</f>
        <v>317759.64946031256</v>
      </c>
      <c r="K37" s="1109">
        <f>+'Ley 617'!X93</f>
        <v>333647.63193332823</v>
      </c>
      <c r="L37" s="1109">
        <f>+'Ley 617'!Y93</f>
        <v>350330.01352999464</v>
      </c>
      <c r="M37" s="1109">
        <f>+'Ley 617'!Z93</f>
        <v>367846.51420649444</v>
      </c>
      <c r="N37" s="1109">
        <f>+'Ley 617'!AA93</f>
        <v>386238.83991681912</v>
      </c>
      <c r="O37" s="1109">
        <f>+'Ley 617'!AB93</f>
        <v>405550.78191266011</v>
      </c>
      <c r="P37" s="1109">
        <f>+'Ley 617'!AC93</f>
        <v>425828.32100829313</v>
      </c>
      <c r="Q37" s="1109">
        <f>+'Ley 617'!AD93</f>
        <v>447119.73705870786</v>
      </c>
    </row>
    <row r="38" spans="1:17" s="723" customFormat="1" ht="18.75" customHeight="1">
      <c r="A38" s="957" t="str">
        <f>+Gastos!A42</f>
        <v>212</v>
      </c>
      <c r="B38" s="725" t="s">
        <v>864</v>
      </c>
      <c r="C38" s="1109">
        <f>+'Ley 617'!P94</f>
        <v>134441</v>
      </c>
      <c r="D38" s="1109">
        <f>+'Ley 617'!Q94</f>
        <v>19671</v>
      </c>
      <c r="E38" s="1109">
        <f>+'Ley 617'!R94</f>
        <v>17213</v>
      </c>
      <c r="F38" s="1109">
        <f>+'Ley 617'!S94</f>
        <v>18073.650000000001</v>
      </c>
      <c r="G38" s="1109">
        <f>+'Ley 617'!T94</f>
        <v>18977.332500000004</v>
      </c>
      <c r="H38" s="1109">
        <f>+'Ley 617'!U94</f>
        <v>19926.199125000006</v>
      </c>
      <c r="I38" s="1109">
        <f>+'Ley 617'!V94</f>
        <v>20922.509081250006</v>
      </c>
      <c r="J38" s="1109">
        <f>+'Ley 617'!W94</f>
        <v>21968.634535312507</v>
      </c>
      <c r="K38" s="1109">
        <f>+'Ley 617'!X94</f>
        <v>23067.06626207813</v>
      </c>
      <c r="L38" s="1109">
        <f>+'Ley 617'!Y94</f>
        <v>24220.419575182037</v>
      </c>
      <c r="M38" s="1109">
        <f>+'Ley 617'!Z94</f>
        <v>25431.440553941142</v>
      </c>
      <c r="N38" s="1109">
        <f>+'Ley 617'!AA94</f>
        <v>26703.012581638199</v>
      </c>
      <c r="O38" s="1109">
        <f>+'Ley 617'!AB94</f>
        <v>28038.163210720111</v>
      </c>
      <c r="P38" s="1109">
        <f>+'Ley 617'!AC94</f>
        <v>29440.071371256119</v>
      </c>
      <c r="Q38" s="1109">
        <f>+'Ley 617'!AD94</f>
        <v>30912.074939818922</v>
      </c>
    </row>
    <row r="39" spans="1:17" s="723" customFormat="1" ht="18.75" customHeight="1">
      <c r="A39" s="957" t="str">
        <f>+Gastos!A47</f>
        <v>21301</v>
      </c>
      <c r="B39" s="725" t="s">
        <v>865</v>
      </c>
      <c r="C39" s="1109">
        <f>+'Ley 617'!P95</f>
        <v>315974</v>
      </c>
      <c r="D39" s="1109">
        <f>+'Ley 617'!Q95</f>
        <v>335370</v>
      </c>
      <c r="E39" s="1109">
        <f>+'Ley 617'!R95</f>
        <v>354600</v>
      </c>
      <c r="F39" s="1109">
        <f>+'Ley 617'!S95</f>
        <v>372330</v>
      </c>
      <c r="G39" s="1109">
        <f>+'Ley 617'!T95</f>
        <v>390946.50000000006</v>
      </c>
      <c r="H39" s="1109">
        <f>+'Ley 617'!U95</f>
        <v>410493.82500000007</v>
      </c>
      <c r="I39" s="1109">
        <f>+'Ley 617'!V95</f>
        <v>431018.5162500001</v>
      </c>
      <c r="J39" s="1109">
        <f>+'Ley 617'!W95</f>
        <v>452569.44206250011</v>
      </c>
      <c r="K39" s="1109">
        <f>+'Ley 617'!X95</f>
        <v>475197.91416562512</v>
      </c>
      <c r="L39" s="1109">
        <f>+'Ley 617'!Y95</f>
        <v>498957.80987390637</v>
      </c>
      <c r="M39" s="1109">
        <f>+'Ley 617'!Z95</f>
        <v>523905.7003676017</v>
      </c>
      <c r="N39" s="1109">
        <f>+'Ley 617'!AA95</f>
        <v>550100.98538598174</v>
      </c>
      <c r="O39" s="1109">
        <f>+'Ley 617'!AB95</f>
        <v>577606.03465528088</v>
      </c>
      <c r="P39" s="1109">
        <f>+'Ley 617'!AC95</f>
        <v>606486.33638804499</v>
      </c>
      <c r="Q39" s="1109">
        <f>+'Ley 617'!AD95</f>
        <v>636810.65320744715</v>
      </c>
    </row>
    <row r="40" spans="1:17" s="723" customFormat="1" ht="18.75" customHeight="1">
      <c r="A40" s="957" t="str">
        <f>+Gastos!A69</f>
        <v>217</v>
      </c>
      <c r="B40" s="725" t="s">
        <v>866</v>
      </c>
      <c r="C40" s="1109">
        <f>+'Ley 617'!P98</f>
        <v>0</v>
      </c>
      <c r="D40" s="1109">
        <f>+'Ley 617'!Q98</f>
        <v>0</v>
      </c>
      <c r="E40" s="1109">
        <f>+'Ley 617'!R98</f>
        <v>0</v>
      </c>
      <c r="F40" s="1109">
        <f>+'Ley 617'!S98</f>
        <v>0</v>
      </c>
      <c r="G40" s="1109">
        <f>+'Ley 617'!T98</f>
        <v>0</v>
      </c>
      <c r="H40" s="1109">
        <f>+'Ley 617'!U98</f>
        <v>0</v>
      </c>
      <c r="I40" s="1109">
        <f>+'Ley 617'!V98</f>
        <v>0</v>
      </c>
      <c r="J40" s="1109">
        <f>+'Ley 617'!W98</f>
        <v>0</v>
      </c>
      <c r="K40" s="1109">
        <f>+'Ley 617'!X98</f>
        <v>0</v>
      </c>
      <c r="L40" s="1109">
        <f>+'Ley 617'!Y98</f>
        <v>0</v>
      </c>
      <c r="M40" s="1109">
        <f>+'Ley 617'!Z98</f>
        <v>0</v>
      </c>
      <c r="N40" s="1109">
        <f>+'Ley 617'!AA98</f>
        <v>0</v>
      </c>
      <c r="O40" s="1109">
        <f>+'Ley 617'!AB98</f>
        <v>0</v>
      </c>
      <c r="P40" s="1109">
        <f>+'Ley 617'!AC98</f>
        <v>0</v>
      </c>
      <c r="Q40" s="1109">
        <f>+'Ley 617'!AD98</f>
        <v>0</v>
      </c>
    </row>
    <row r="41" spans="1:17" s="723" customFormat="1" ht="18.75" customHeight="1">
      <c r="A41" s="828" t="s">
        <v>867</v>
      </c>
      <c r="B41" s="833" t="s">
        <v>868</v>
      </c>
      <c r="C41" s="1108">
        <f>SUM(C42:C44)</f>
        <v>163187</v>
      </c>
      <c r="D41" s="1108">
        <f>SUM(D42:D44)</f>
        <v>175285</v>
      </c>
      <c r="E41" s="1108">
        <f t="shared" ref="E41:Q41" si="5">SUM(E42:E44)</f>
        <v>179461</v>
      </c>
      <c r="F41" s="1108">
        <f t="shared" si="5"/>
        <v>187680</v>
      </c>
      <c r="G41" s="1108">
        <f t="shared" si="5"/>
        <v>195187.20000000001</v>
      </c>
      <c r="H41" s="1108">
        <f t="shared" si="5"/>
        <v>202994.68800000002</v>
      </c>
      <c r="I41" s="1108">
        <f t="shared" si="5"/>
        <v>211114.47552000004</v>
      </c>
      <c r="J41" s="1108">
        <f t="shared" si="5"/>
        <v>219559.05454080005</v>
      </c>
      <c r="K41" s="1108">
        <f t="shared" si="5"/>
        <v>228341.41672243207</v>
      </c>
      <c r="L41" s="1108">
        <f t="shared" si="5"/>
        <v>237475.07339132932</v>
      </c>
      <c r="M41" s="1108">
        <f t="shared" si="5"/>
        <v>246974.07632698253</v>
      </c>
      <c r="N41" s="1108">
        <f t="shared" si="5"/>
        <v>256853.03938006185</v>
      </c>
      <c r="O41" s="1108">
        <f t="shared" si="5"/>
        <v>267127.16095526435</v>
      </c>
      <c r="P41" s="1108">
        <f t="shared" si="5"/>
        <v>277812.24739347491</v>
      </c>
      <c r="Q41" s="1108">
        <f t="shared" si="5"/>
        <v>288924.73728921392</v>
      </c>
    </row>
    <row r="42" spans="1:17" s="723" customFormat="1" ht="18.75" customHeight="1">
      <c r="A42" s="957" t="str">
        <f>+Gastos!A223</f>
        <v>242</v>
      </c>
      <c r="B42" s="725" t="s">
        <v>869</v>
      </c>
      <c r="C42" s="1109">
        <f>+'Gastos Proyecciones'!D223</f>
        <v>89809</v>
      </c>
      <c r="D42" s="1109">
        <f>+'Gastos Proyecciones'!E223</f>
        <v>98035</v>
      </c>
      <c r="E42" s="1109">
        <f>+'Gastos Proyecciones'!F223</f>
        <v>99121</v>
      </c>
      <c r="F42" s="1109">
        <f>+'Gastos Proyecciones'!G223</f>
        <v>102520</v>
      </c>
      <c r="G42" s="1109">
        <f>+'Gastos Proyecciones'!H223</f>
        <v>106620.8</v>
      </c>
      <c r="H42" s="1109">
        <f>+'Gastos Proyecciones'!I223</f>
        <v>110885.63200000001</v>
      </c>
      <c r="I42" s="1109">
        <f>+'Gastos Proyecciones'!J223</f>
        <v>115321.05728000002</v>
      </c>
      <c r="J42" s="1109">
        <f>+'Gastos Proyecciones'!K223</f>
        <v>119933.89957120003</v>
      </c>
      <c r="K42" s="1109">
        <f>+'Gastos Proyecciones'!L223</f>
        <v>124731.25555404804</v>
      </c>
      <c r="L42" s="1109">
        <f>+'Gastos Proyecciones'!M223</f>
        <v>129720.50577620996</v>
      </c>
      <c r="M42" s="1109">
        <f>+'Gastos Proyecciones'!N223</f>
        <v>134909.32600725835</v>
      </c>
      <c r="N42" s="1109">
        <f>+'Gastos Proyecciones'!O223</f>
        <v>140305.6990475487</v>
      </c>
      <c r="O42" s="1109">
        <f>+'Gastos Proyecciones'!P223</f>
        <v>145917.92700945065</v>
      </c>
      <c r="P42" s="1109">
        <f>+'Gastos Proyecciones'!Q223</f>
        <v>151754.64408982868</v>
      </c>
      <c r="Q42" s="1109">
        <f>+'Gastos Proyecciones'!R223</f>
        <v>157824.82985342183</v>
      </c>
    </row>
    <row r="43" spans="1:17" s="723" customFormat="1" ht="18.75" customHeight="1">
      <c r="A43" s="957" t="str">
        <f>+Gastos!A224</f>
        <v>243</v>
      </c>
      <c r="B43" s="725" t="s">
        <v>870</v>
      </c>
      <c r="C43" s="1109">
        <f>+'Gastos Proyecciones'!D224</f>
        <v>0</v>
      </c>
      <c r="D43" s="1109">
        <f>+'Gastos Proyecciones'!E224</f>
        <v>0</v>
      </c>
      <c r="E43" s="1109">
        <f>+'Gastos Proyecciones'!F224</f>
        <v>0</v>
      </c>
      <c r="F43" s="1109">
        <f>+'Gastos Proyecciones'!G224</f>
        <v>0</v>
      </c>
      <c r="G43" s="1109">
        <f>+'Gastos Proyecciones'!H224</f>
        <v>0</v>
      </c>
      <c r="H43" s="1109">
        <f>+'Gastos Proyecciones'!I224</f>
        <v>0</v>
      </c>
      <c r="I43" s="1109">
        <f>+'Gastos Proyecciones'!J224</f>
        <v>0</v>
      </c>
      <c r="J43" s="1109">
        <f>+'Gastos Proyecciones'!K224</f>
        <v>0</v>
      </c>
      <c r="K43" s="1109">
        <f>+'Gastos Proyecciones'!L224</f>
        <v>0</v>
      </c>
      <c r="L43" s="1109">
        <f>+'Gastos Proyecciones'!M224</f>
        <v>0</v>
      </c>
      <c r="M43" s="1109">
        <f>+'Gastos Proyecciones'!N224</f>
        <v>0</v>
      </c>
      <c r="N43" s="1109">
        <f>+'Gastos Proyecciones'!O224</f>
        <v>0</v>
      </c>
      <c r="O43" s="1109">
        <f>+'Gastos Proyecciones'!P224</f>
        <v>0</v>
      </c>
      <c r="P43" s="1109">
        <f>+'Gastos Proyecciones'!Q224</f>
        <v>0</v>
      </c>
      <c r="Q43" s="1109">
        <f>+'Gastos Proyecciones'!R224</f>
        <v>0</v>
      </c>
    </row>
    <row r="44" spans="1:17" s="723" customFormat="1" ht="18.75" customHeight="1">
      <c r="A44" s="957" t="str">
        <f>+Gastos!A225</f>
        <v>244</v>
      </c>
      <c r="B44" s="725" t="s">
        <v>871</v>
      </c>
      <c r="C44" s="1109">
        <f>+'Gastos Proyecciones'!D225</f>
        <v>73378</v>
      </c>
      <c r="D44" s="1109">
        <f>+'Gastos Proyecciones'!E225</f>
        <v>77250</v>
      </c>
      <c r="E44" s="1109">
        <f>+'Gastos Proyecciones'!F225</f>
        <v>80340</v>
      </c>
      <c r="F44" s="1109">
        <f>+'Gastos Proyecciones'!G225</f>
        <v>85160</v>
      </c>
      <c r="G44" s="1109">
        <f>+'Gastos Proyecciones'!H225</f>
        <v>88566.400000000009</v>
      </c>
      <c r="H44" s="1109">
        <f>+'Gastos Proyecciones'!I225</f>
        <v>92109.056000000011</v>
      </c>
      <c r="I44" s="1109">
        <f>+'Gastos Proyecciones'!J225</f>
        <v>95793.418240000014</v>
      </c>
      <c r="J44" s="1109">
        <f>+'Gastos Proyecciones'!K225</f>
        <v>99625.154969600015</v>
      </c>
      <c r="K44" s="1109">
        <f>+'Gastos Proyecciones'!L225</f>
        <v>103610.16116838402</v>
      </c>
      <c r="L44" s="1109">
        <f>+'Gastos Proyecciones'!M225</f>
        <v>107754.56761511938</v>
      </c>
      <c r="M44" s="1109">
        <f>+'Gastos Proyecciones'!N225</f>
        <v>112064.75031972416</v>
      </c>
      <c r="N44" s="1109">
        <f>+'Gastos Proyecciones'!O225</f>
        <v>116547.34033251314</v>
      </c>
      <c r="O44" s="1109">
        <f>+'Gastos Proyecciones'!P225</f>
        <v>121209.23394581367</v>
      </c>
      <c r="P44" s="1109">
        <f>+'Gastos Proyecciones'!Q225</f>
        <v>126057.60330364622</v>
      </c>
      <c r="Q44" s="1109">
        <f>+'Gastos Proyecciones'!R225</f>
        <v>131099.90743579206</v>
      </c>
    </row>
    <row r="45" spans="1:17" s="723" customFormat="1" ht="18.75" customHeight="1" thickBot="1">
      <c r="A45" s="845" t="s">
        <v>872</v>
      </c>
      <c r="B45" s="846" t="s">
        <v>873</v>
      </c>
      <c r="C45" s="1110">
        <f>+C26-C36-C41</f>
        <v>2386531</v>
      </c>
      <c r="D45" s="1110">
        <f t="shared" ref="D45:Q45" si="6">+D26-D36-D41</f>
        <v>2282798.15</v>
      </c>
      <c r="E45" s="1110">
        <f t="shared" si="6"/>
        <v>1870334</v>
      </c>
      <c r="F45" s="1110">
        <f t="shared" si="6"/>
        <v>2107630.2599999998</v>
      </c>
      <c r="G45" s="1110">
        <f t="shared" si="6"/>
        <v>2091166.9374000004</v>
      </c>
      <c r="H45" s="1110">
        <f t="shared" si="6"/>
        <v>2110239.0492459997</v>
      </c>
      <c r="I45" s="1110">
        <f t="shared" si="6"/>
        <v>2187462.2372833407</v>
      </c>
      <c r="J45" s="1110">
        <f t="shared" si="6"/>
        <v>2267415.0341455489</v>
      </c>
      <c r="K45" s="1110">
        <f t="shared" si="6"/>
        <v>2350188.6582507892</v>
      </c>
      <c r="L45" s="1110">
        <f t="shared" si="6"/>
        <v>2435877.0784572102</v>
      </c>
      <c r="M45" s="1110">
        <f t="shared" si="6"/>
        <v>2524577.0791657087</v>
      </c>
      <c r="N45" s="1110">
        <f t="shared" si="6"/>
        <v>2616388.3257810562</v>
      </c>
      <c r="O45" s="1110">
        <f t="shared" si="6"/>
        <v>2711413.4304334549</v>
      </c>
      <c r="P45" s="1110">
        <f t="shared" si="6"/>
        <v>2809758.0178530058</v>
      </c>
      <c r="Q45" s="1110">
        <f t="shared" si="6"/>
        <v>2911530.7912794505</v>
      </c>
    </row>
    <row r="46" spans="1:17" s="723" customFormat="1" ht="18.75" customHeight="1">
      <c r="A46" s="852" t="s">
        <v>874</v>
      </c>
      <c r="B46" s="853" t="s">
        <v>875</v>
      </c>
      <c r="C46" s="1111"/>
      <c r="D46" s="1111"/>
      <c r="E46" s="1111"/>
      <c r="F46" s="1111"/>
      <c r="G46" s="1111"/>
      <c r="H46" s="1111"/>
      <c r="I46" s="1111"/>
      <c r="J46" s="1111"/>
      <c r="K46" s="1111"/>
      <c r="L46" s="1111"/>
      <c r="M46" s="1111"/>
      <c r="N46" s="1111"/>
      <c r="O46" s="1111"/>
      <c r="P46" s="1111"/>
      <c r="Q46" s="1111"/>
    </row>
    <row r="47" spans="1:17" s="723" customFormat="1" ht="18.75" customHeight="1">
      <c r="A47" s="858" t="s">
        <v>876</v>
      </c>
      <c r="B47" s="859" t="s">
        <v>877</v>
      </c>
      <c r="C47" s="1112"/>
      <c r="D47" s="1112"/>
      <c r="E47" s="1112"/>
      <c r="F47" s="1112"/>
      <c r="G47" s="1112"/>
      <c r="H47" s="1112"/>
      <c r="I47" s="1112"/>
      <c r="J47" s="1112"/>
      <c r="K47" s="1112"/>
      <c r="L47" s="1112"/>
      <c r="M47" s="1112"/>
      <c r="N47" s="1112"/>
      <c r="O47" s="1112"/>
      <c r="P47" s="1112"/>
      <c r="Q47" s="1112"/>
    </row>
    <row r="48" spans="1:17" s="723" customFormat="1" ht="18.75" customHeight="1">
      <c r="A48" s="864" t="s">
        <v>878</v>
      </c>
      <c r="B48" s="859" t="s">
        <v>879</v>
      </c>
      <c r="C48" s="1113">
        <f>+C49</f>
        <v>233314</v>
      </c>
      <c r="D48" s="1113">
        <f>+D49</f>
        <v>242632</v>
      </c>
      <c r="E48" s="1113">
        <f t="shared" ref="E48:Q48" si="7">+E49</f>
        <v>306838</v>
      </c>
      <c r="F48" s="1113">
        <f t="shared" si="7"/>
        <v>319111.52</v>
      </c>
      <c r="G48" s="1113">
        <f t="shared" si="7"/>
        <v>331875.98080000002</v>
      </c>
      <c r="H48" s="1113">
        <f t="shared" si="7"/>
        <v>345151.02003200003</v>
      </c>
      <c r="I48" s="1113">
        <f t="shared" si="7"/>
        <v>358957.06083328003</v>
      </c>
      <c r="J48" s="1113">
        <f t="shared" si="7"/>
        <v>373315.34326661122</v>
      </c>
      <c r="K48" s="1113">
        <f t="shared" si="7"/>
        <v>388247.95699727564</v>
      </c>
      <c r="L48" s="1113">
        <f t="shared" si="7"/>
        <v>403777.87527716672</v>
      </c>
      <c r="M48" s="1113">
        <f t="shared" si="7"/>
        <v>419928.99028825341</v>
      </c>
      <c r="N48" s="1113">
        <f t="shared" si="7"/>
        <v>436726.1498997836</v>
      </c>
      <c r="O48" s="1113">
        <f t="shared" si="7"/>
        <v>454195.19589577493</v>
      </c>
      <c r="P48" s="1113">
        <f t="shared" si="7"/>
        <v>472363.00373160595</v>
      </c>
      <c r="Q48" s="1113">
        <f t="shared" si="7"/>
        <v>491257.5238808702</v>
      </c>
    </row>
    <row r="49" spans="1:17" s="723" customFormat="1" ht="18.75" customHeight="1">
      <c r="A49" s="868" t="s">
        <v>1322</v>
      </c>
      <c r="B49" s="869" t="s">
        <v>880</v>
      </c>
      <c r="C49" s="1114">
        <f>+'Ingresos Proyecciones'!C59</f>
        <v>233314</v>
      </c>
      <c r="D49" s="1114">
        <f>+'Ingresos Proyecciones'!D59</f>
        <v>242632</v>
      </c>
      <c r="E49" s="1114">
        <f>+'Ingresos Proyecciones'!E59</f>
        <v>306838</v>
      </c>
      <c r="F49" s="1114">
        <f>+'Ingresos Proyecciones'!F59</f>
        <v>319111.52</v>
      </c>
      <c r="G49" s="1114">
        <f>+'Ingresos Proyecciones'!G59</f>
        <v>331875.98080000002</v>
      </c>
      <c r="H49" s="1114">
        <f>+'Ingresos Proyecciones'!H59</f>
        <v>345151.02003200003</v>
      </c>
      <c r="I49" s="1114">
        <f>+'Ingresos Proyecciones'!I59</f>
        <v>358957.06083328003</v>
      </c>
      <c r="J49" s="1114">
        <f>+'Ingresos Proyecciones'!J59</f>
        <v>373315.34326661122</v>
      </c>
      <c r="K49" s="1114">
        <f>+'Ingresos Proyecciones'!K59</f>
        <v>388247.95699727564</v>
      </c>
      <c r="L49" s="1114">
        <f>+'Ingresos Proyecciones'!L59</f>
        <v>403777.87527716672</v>
      </c>
      <c r="M49" s="1114">
        <f>+'Ingresos Proyecciones'!M59</f>
        <v>419928.99028825341</v>
      </c>
      <c r="N49" s="1114">
        <f>+'Ingresos Proyecciones'!N59</f>
        <v>436726.1498997836</v>
      </c>
      <c r="O49" s="1114">
        <f>+'Ingresos Proyecciones'!O59</f>
        <v>454195.19589577493</v>
      </c>
      <c r="P49" s="1114">
        <f>+'Ingresos Proyecciones'!P59</f>
        <v>472363.00373160595</v>
      </c>
      <c r="Q49" s="1114">
        <f>+'Ingresos Proyecciones'!Q59</f>
        <v>491257.5238808702</v>
      </c>
    </row>
    <row r="50" spans="1:17" s="723" customFormat="1" ht="18.75" customHeight="1">
      <c r="A50" s="858" t="s">
        <v>881</v>
      </c>
      <c r="B50" s="859" t="s">
        <v>882</v>
      </c>
      <c r="C50" s="1113">
        <f>SUM(C51:C52)</f>
        <v>442663</v>
      </c>
      <c r="D50" s="1113">
        <f>SUM(D51:D52)</f>
        <v>469798</v>
      </c>
      <c r="E50" s="1113">
        <f t="shared" ref="E50:Q50" si="8">SUM(E51:E52)</f>
        <v>2088767</v>
      </c>
      <c r="F50" s="1113">
        <f t="shared" si="8"/>
        <v>564573.44999999995</v>
      </c>
      <c r="G50" s="1113">
        <f t="shared" si="8"/>
        <v>592802.12250000006</v>
      </c>
      <c r="H50" s="1113">
        <f t="shared" si="8"/>
        <v>622442.22862499999</v>
      </c>
      <c r="I50" s="1113">
        <f t="shared" si="8"/>
        <v>653564.3400562501</v>
      </c>
      <c r="J50" s="1113">
        <f t="shared" si="8"/>
        <v>686242.55705906264</v>
      </c>
      <c r="K50" s="1113">
        <f t="shared" si="8"/>
        <v>720554.68491201568</v>
      </c>
      <c r="L50" s="1113">
        <f t="shared" si="8"/>
        <v>756582.41915761656</v>
      </c>
      <c r="M50" s="1113">
        <f t="shared" si="8"/>
        <v>794411.54011549742</v>
      </c>
      <c r="N50" s="1113">
        <f t="shared" si="8"/>
        <v>834132.11712127237</v>
      </c>
      <c r="O50" s="1113">
        <f t="shared" si="8"/>
        <v>875838.72297733603</v>
      </c>
      <c r="P50" s="1113">
        <f t="shared" si="8"/>
        <v>919630.65912620281</v>
      </c>
      <c r="Q50" s="1113">
        <f t="shared" si="8"/>
        <v>965612.19208251289</v>
      </c>
    </row>
    <row r="51" spans="1:17" s="723" customFormat="1" ht="18.75" customHeight="1">
      <c r="A51" s="858" t="s">
        <v>883</v>
      </c>
      <c r="B51" s="869" t="s">
        <v>884</v>
      </c>
      <c r="C51" s="1114">
        <f>+'Gastos Proyecciones'!D77+'Gastos Proyecciones'!D78+'Gastos Proyecciones'!D79+'Gastos Proyecciones'!D93+'Gastos Proyecciones'!D106+'Gastos Proyecciones'!D130+'Gastos Proyecciones'!D143+'Gastos Proyecciones'!D167+'Gastos Proyecciones'!D180</f>
        <v>0</v>
      </c>
      <c r="D51" s="1114">
        <f>+'Gastos Proyecciones'!E77+'Gastos Proyecciones'!E78+'Gastos Proyecciones'!E79+'Gastos Proyecciones'!E93+'Gastos Proyecciones'!E106+'Gastos Proyecciones'!E130+'Gastos Proyecciones'!E143+'Gastos Proyecciones'!E167+'Gastos Proyecciones'!E180</f>
        <v>0</v>
      </c>
      <c r="E51" s="1114">
        <f>+'Gastos Proyecciones'!F77+'Gastos Proyecciones'!F78+'Gastos Proyecciones'!F79+'Gastos Proyecciones'!F93+'Gastos Proyecciones'!F106+'Gastos Proyecciones'!F130+'Gastos Proyecciones'!F143+'Gastos Proyecciones'!F167+'Gastos Proyecciones'!F180</f>
        <v>0</v>
      </c>
      <c r="F51" s="1114">
        <f>+'Gastos Proyecciones'!G77+'Gastos Proyecciones'!G78+'Gastos Proyecciones'!G79+'Gastos Proyecciones'!G93+'Gastos Proyecciones'!G106+'Gastos Proyecciones'!G130+'Gastos Proyecciones'!G143+'Gastos Proyecciones'!G167+'Gastos Proyecciones'!G180</f>
        <v>0</v>
      </c>
      <c r="G51" s="1114">
        <f>+'Gastos Proyecciones'!H77+'Gastos Proyecciones'!H78+'Gastos Proyecciones'!H79+'Gastos Proyecciones'!H93+'Gastos Proyecciones'!H106+'Gastos Proyecciones'!H130+'Gastos Proyecciones'!H143+'Gastos Proyecciones'!H167+'Gastos Proyecciones'!H180</f>
        <v>0</v>
      </c>
      <c r="H51" s="1114">
        <f>+'Gastos Proyecciones'!I77+'Gastos Proyecciones'!I78+'Gastos Proyecciones'!I79+'Gastos Proyecciones'!I93+'Gastos Proyecciones'!I106+'Gastos Proyecciones'!I130+'Gastos Proyecciones'!I143+'Gastos Proyecciones'!I167+'Gastos Proyecciones'!I180</f>
        <v>0</v>
      </c>
      <c r="I51" s="1114">
        <f>+'Gastos Proyecciones'!J77+'Gastos Proyecciones'!J78+'Gastos Proyecciones'!J79+'Gastos Proyecciones'!J93+'Gastos Proyecciones'!J106+'Gastos Proyecciones'!J130+'Gastos Proyecciones'!J143+'Gastos Proyecciones'!J167+'Gastos Proyecciones'!J180</f>
        <v>0</v>
      </c>
      <c r="J51" s="1114">
        <f>+'Gastos Proyecciones'!K77+'Gastos Proyecciones'!K78+'Gastos Proyecciones'!K79+'Gastos Proyecciones'!K93+'Gastos Proyecciones'!K106+'Gastos Proyecciones'!K130+'Gastos Proyecciones'!K143+'Gastos Proyecciones'!K167+'Gastos Proyecciones'!K180</f>
        <v>0</v>
      </c>
      <c r="K51" s="1114">
        <f>+'Gastos Proyecciones'!L77+'Gastos Proyecciones'!L78+'Gastos Proyecciones'!L79+'Gastos Proyecciones'!L93+'Gastos Proyecciones'!L106+'Gastos Proyecciones'!L130+'Gastos Proyecciones'!L143+'Gastos Proyecciones'!L167+'Gastos Proyecciones'!L180</f>
        <v>0</v>
      </c>
      <c r="L51" s="1114">
        <f>+'Gastos Proyecciones'!M77+'Gastos Proyecciones'!M78+'Gastos Proyecciones'!M79+'Gastos Proyecciones'!M93+'Gastos Proyecciones'!M106+'Gastos Proyecciones'!M130+'Gastos Proyecciones'!M143+'Gastos Proyecciones'!M167+'Gastos Proyecciones'!M180</f>
        <v>0</v>
      </c>
      <c r="M51" s="1114">
        <f>+'Gastos Proyecciones'!N77+'Gastos Proyecciones'!N78+'Gastos Proyecciones'!N79+'Gastos Proyecciones'!N93+'Gastos Proyecciones'!N106+'Gastos Proyecciones'!N130+'Gastos Proyecciones'!N143+'Gastos Proyecciones'!N167+'Gastos Proyecciones'!N180</f>
        <v>0</v>
      </c>
      <c r="N51" s="1114">
        <f>+'Gastos Proyecciones'!O77+'Gastos Proyecciones'!O78+'Gastos Proyecciones'!O79+'Gastos Proyecciones'!O93+'Gastos Proyecciones'!O106+'Gastos Proyecciones'!O130+'Gastos Proyecciones'!O143+'Gastos Proyecciones'!O167+'Gastos Proyecciones'!O180</f>
        <v>0</v>
      </c>
      <c r="O51" s="1114">
        <f>+'Gastos Proyecciones'!P77+'Gastos Proyecciones'!P78+'Gastos Proyecciones'!P79+'Gastos Proyecciones'!P93+'Gastos Proyecciones'!P106+'Gastos Proyecciones'!P130+'Gastos Proyecciones'!P143+'Gastos Proyecciones'!P167+'Gastos Proyecciones'!P180</f>
        <v>0</v>
      </c>
      <c r="P51" s="1114">
        <f>+'Gastos Proyecciones'!Q77+'Gastos Proyecciones'!Q78+'Gastos Proyecciones'!Q79+'Gastos Proyecciones'!Q93+'Gastos Proyecciones'!Q106+'Gastos Proyecciones'!Q130+'Gastos Proyecciones'!Q143+'Gastos Proyecciones'!Q167+'Gastos Proyecciones'!Q180</f>
        <v>0</v>
      </c>
      <c r="Q51" s="1114">
        <f>+'Gastos Proyecciones'!R77+'Gastos Proyecciones'!R78+'Gastos Proyecciones'!R79+'Gastos Proyecciones'!R93+'Gastos Proyecciones'!R106+'Gastos Proyecciones'!R130+'Gastos Proyecciones'!R143+'Gastos Proyecciones'!R167+'Gastos Proyecciones'!R180</f>
        <v>0</v>
      </c>
    </row>
    <row r="52" spans="1:17" s="723" customFormat="1" ht="18.75" customHeight="1">
      <c r="A52" s="858" t="s">
        <v>885</v>
      </c>
      <c r="B52" s="869" t="s">
        <v>886</v>
      </c>
      <c r="C52" s="1114">
        <f>+'Gastos Proyecciones'!D75+'Gastos Proyecciones'!D76+'Gastos Proyecciones'!D80+'Gastos Proyecciones'!D114+'Gastos Proyecciones'!D151+'Gastos Proyecciones'!D187</f>
        <v>442663</v>
      </c>
      <c r="D52" s="1114">
        <f>+'Gastos Proyecciones'!E75+'Gastos Proyecciones'!E76+'Gastos Proyecciones'!E80+'Gastos Proyecciones'!E114+'Gastos Proyecciones'!E151+'Gastos Proyecciones'!E187</f>
        <v>469798</v>
      </c>
      <c r="E52" s="1114">
        <f>+'Gastos Proyecciones'!F75+'Gastos Proyecciones'!F76+'Gastos Proyecciones'!F80+'Gastos Proyecciones'!F114+'Gastos Proyecciones'!F151+'Gastos Proyecciones'!F187</f>
        <v>2088767</v>
      </c>
      <c r="F52" s="1114">
        <f>+'Gastos Proyecciones'!G75+'Gastos Proyecciones'!G76+'Gastos Proyecciones'!G80+'Gastos Proyecciones'!G114+'Gastos Proyecciones'!G151+'Gastos Proyecciones'!G187</f>
        <v>564573.44999999995</v>
      </c>
      <c r="G52" s="1114">
        <f>+'Gastos Proyecciones'!H75+'Gastos Proyecciones'!H76+'Gastos Proyecciones'!H80+'Gastos Proyecciones'!H114+'Gastos Proyecciones'!H151+'Gastos Proyecciones'!H187</f>
        <v>592802.12250000006</v>
      </c>
      <c r="H52" s="1114">
        <f>+'Gastos Proyecciones'!I75+'Gastos Proyecciones'!I76+'Gastos Proyecciones'!I80+'Gastos Proyecciones'!I114+'Gastos Proyecciones'!I151+'Gastos Proyecciones'!I187</f>
        <v>622442.22862499999</v>
      </c>
      <c r="I52" s="1114">
        <f>+'Gastos Proyecciones'!J75+'Gastos Proyecciones'!J76+'Gastos Proyecciones'!J80+'Gastos Proyecciones'!J114+'Gastos Proyecciones'!J151+'Gastos Proyecciones'!J187</f>
        <v>653564.3400562501</v>
      </c>
      <c r="J52" s="1114">
        <f>+'Gastos Proyecciones'!K75+'Gastos Proyecciones'!K76+'Gastos Proyecciones'!K80+'Gastos Proyecciones'!K114+'Gastos Proyecciones'!K151+'Gastos Proyecciones'!K187</f>
        <v>686242.55705906264</v>
      </c>
      <c r="K52" s="1114">
        <f>+'Gastos Proyecciones'!L75+'Gastos Proyecciones'!L76+'Gastos Proyecciones'!L80+'Gastos Proyecciones'!L114+'Gastos Proyecciones'!L151+'Gastos Proyecciones'!L187</f>
        <v>720554.68491201568</v>
      </c>
      <c r="L52" s="1114">
        <f>+'Gastos Proyecciones'!M75+'Gastos Proyecciones'!M76+'Gastos Proyecciones'!M80+'Gastos Proyecciones'!M114+'Gastos Proyecciones'!M151+'Gastos Proyecciones'!M187</f>
        <v>756582.41915761656</v>
      </c>
      <c r="M52" s="1114">
        <f>+'Gastos Proyecciones'!N75+'Gastos Proyecciones'!N76+'Gastos Proyecciones'!N80+'Gastos Proyecciones'!N114+'Gastos Proyecciones'!N151+'Gastos Proyecciones'!N187</f>
        <v>794411.54011549742</v>
      </c>
      <c r="N52" s="1114">
        <f>+'Gastos Proyecciones'!O75+'Gastos Proyecciones'!O76+'Gastos Proyecciones'!O80+'Gastos Proyecciones'!O114+'Gastos Proyecciones'!O151+'Gastos Proyecciones'!O187</f>
        <v>834132.11712127237</v>
      </c>
      <c r="O52" s="1114">
        <f>+'Gastos Proyecciones'!P75+'Gastos Proyecciones'!P76+'Gastos Proyecciones'!P80+'Gastos Proyecciones'!P114+'Gastos Proyecciones'!P151+'Gastos Proyecciones'!P187</f>
        <v>875838.72297733603</v>
      </c>
      <c r="P52" s="1114">
        <f>+'Gastos Proyecciones'!Q75+'Gastos Proyecciones'!Q76+'Gastos Proyecciones'!Q80+'Gastos Proyecciones'!Q114+'Gastos Proyecciones'!Q151+'Gastos Proyecciones'!Q187</f>
        <v>919630.65912620281</v>
      </c>
      <c r="Q52" s="1114">
        <f>+'Gastos Proyecciones'!R75+'Gastos Proyecciones'!R76+'Gastos Proyecciones'!R80+'Gastos Proyecciones'!R114+'Gastos Proyecciones'!R151+'Gastos Proyecciones'!R187</f>
        <v>965612.19208251289</v>
      </c>
    </row>
    <row r="53" spans="1:17" s="723" customFormat="1" ht="18.75" customHeight="1">
      <c r="A53" s="858" t="s">
        <v>887</v>
      </c>
      <c r="B53" s="869" t="s">
        <v>888</v>
      </c>
      <c r="C53" s="1113">
        <f>+C48-C50</f>
        <v>-209349</v>
      </c>
      <c r="D53" s="1113">
        <f>+D48-D50</f>
        <v>-227166</v>
      </c>
      <c r="E53" s="1113">
        <f t="shared" ref="E53:Q53" si="9">+E48-E50</f>
        <v>-1781929</v>
      </c>
      <c r="F53" s="1113">
        <f t="shared" si="9"/>
        <v>-245461.92999999993</v>
      </c>
      <c r="G53" s="1113">
        <f t="shared" si="9"/>
        <v>-260926.14170000004</v>
      </c>
      <c r="H53" s="1113">
        <f t="shared" si="9"/>
        <v>-277291.20859299996</v>
      </c>
      <c r="I53" s="1113">
        <f t="shared" si="9"/>
        <v>-294607.27922297007</v>
      </c>
      <c r="J53" s="1113">
        <f t="shared" si="9"/>
        <v>-312927.21379245142</v>
      </c>
      <c r="K53" s="1113">
        <f t="shared" si="9"/>
        <v>-332306.72791474004</v>
      </c>
      <c r="L53" s="1113">
        <f t="shared" si="9"/>
        <v>-352804.54388044984</v>
      </c>
      <c r="M53" s="1113">
        <f t="shared" si="9"/>
        <v>-374482.54982724402</v>
      </c>
      <c r="N53" s="1113">
        <f t="shared" si="9"/>
        <v>-397405.96722148877</v>
      </c>
      <c r="O53" s="1113">
        <f t="shared" si="9"/>
        <v>-421643.5270815611</v>
      </c>
      <c r="P53" s="1113">
        <f t="shared" si="9"/>
        <v>-447267.65539459686</v>
      </c>
      <c r="Q53" s="1113">
        <f t="shared" si="9"/>
        <v>-474354.66820164269</v>
      </c>
    </row>
    <row r="54" spans="1:17" s="723" customFormat="1" ht="18.75" customHeight="1">
      <c r="A54" s="858" t="s">
        <v>889</v>
      </c>
      <c r="B54" s="859" t="s">
        <v>890</v>
      </c>
      <c r="C54" s="1114"/>
      <c r="D54" s="1114"/>
      <c r="E54" s="1114"/>
      <c r="F54" s="1114"/>
      <c r="G54" s="1114"/>
      <c r="H54" s="1114"/>
      <c r="I54" s="1114"/>
      <c r="J54" s="1114"/>
      <c r="K54" s="1114"/>
      <c r="L54" s="1114"/>
      <c r="M54" s="1114"/>
      <c r="N54" s="1114"/>
      <c r="O54" s="1114"/>
      <c r="P54" s="1114"/>
      <c r="Q54" s="1114"/>
    </row>
    <row r="55" spans="1:17" s="723" customFormat="1" ht="18.75" customHeight="1">
      <c r="A55" s="858" t="s">
        <v>891</v>
      </c>
      <c r="B55" s="859" t="s">
        <v>879</v>
      </c>
      <c r="C55" s="1113">
        <f>+C56+C57</f>
        <v>2335941</v>
      </c>
      <c r="D55" s="1113">
        <f>+D56+D57</f>
        <v>2432569</v>
      </c>
      <c r="E55" s="1113">
        <f t="shared" ref="E55:Q55" si="10">+E56+E57</f>
        <v>1879071.12</v>
      </c>
      <c r="F55" s="1113">
        <f t="shared" si="10"/>
        <v>2004057.4448000002</v>
      </c>
      <c r="G55" s="1113">
        <f t="shared" si="10"/>
        <v>2084219.7425920002</v>
      </c>
      <c r="H55" s="1113">
        <f t="shared" si="10"/>
        <v>2167588.5322956801</v>
      </c>
      <c r="I55" s="1113">
        <f t="shared" si="10"/>
        <v>2254292.0735875075</v>
      </c>
      <c r="J55" s="1113">
        <f t="shared" si="10"/>
        <v>2344463.7565310085</v>
      </c>
      <c r="K55" s="1113">
        <f t="shared" si="10"/>
        <v>2438242.3067922485</v>
      </c>
      <c r="L55" s="1113">
        <f t="shared" si="10"/>
        <v>2535771.9990639384</v>
      </c>
      <c r="M55" s="1113">
        <f t="shared" si="10"/>
        <v>2637202.8790264963</v>
      </c>
      <c r="N55" s="1113">
        <f t="shared" si="10"/>
        <v>2742690.9941875567</v>
      </c>
      <c r="O55" s="1113">
        <f t="shared" si="10"/>
        <v>2852398.6339550582</v>
      </c>
      <c r="P55" s="1113">
        <f t="shared" si="10"/>
        <v>2966494.5793132614</v>
      </c>
      <c r="Q55" s="1113">
        <f t="shared" si="10"/>
        <v>3085154.3624857916</v>
      </c>
    </row>
    <row r="56" spans="1:17" s="723" customFormat="1" ht="18.75" customHeight="1">
      <c r="A56" s="868" t="s">
        <v>1328</v>
      </c>
      <c r="B56" s="869" t="s">
        <v>880</v>
      </c>
      <c r="C56" s="1114">
        <f>+'Ingresos Proyecciones'!C62</f>
        <v>1308197</v>
      </c>
      <c r="D56" s="1114">
        <f>+'Ingresos Proyecciones'!D62</f>
        <v>1405815</v>
      </c>
      <c r="E56" s="1114">
        <f>+'Ingresos Proyecciones'!E62</f>
        <v>1771195.12</v>
      </c>
      <c r="F56" s="1114">
        <f>+'Ingresos Proyecciones'!F62</f>
        <v>1891866.4048000001</v>
      </c>
      <c r="G56" s="1114">
        <f>+'Ingresos Proyecciones'!G62</f>
        <v>1967541.0609920002</v>
      </c>
      <c r="H56" s="1114">
        <f>+'Ingresos Proyecciones'!H62</f>
        <v>2046242.7034316801</v>
      </c>
      <c r="I56" s="1114">
        <f>+'Ingresos Proyecciones'!I62</f>
        <v>2128092.4115689476</v>
      </c>
      <c r="J56" s="1114">
        <f>+'Ingresos Proyecciones'!J62</f>
        <v>2213216.108031706</v>
      </c>
      <c r="K56" s="1114">
        <f>+'Ingresos Proyecciones'!K62</f>
        <v>2301744.7523529739</v>
      </c>
      <c r="L56" s="1114">
        <f>+'Ingresos Proyecciones'!L62</f>
        <v>2393814.5424470929</v>
      </c>
      <c r="M56" s="1114">
        <f>+'Ingresos Proyecciones'!M62</f>
        <v>2489567.124144977</v>
      </c>
      <c r="N56" s="1114">
        <f>+'Ingresos Proyecciones'!N62</f>
        <v>2589149.8091107765</v>
      </c>
      <c r="O56" s="1114">
        <f>+'Ingresos Proyecciones'!O62</f>
        <v>2692715.8014752069</v>
      </c>
      <c r="P56" s="1114">
        <f>+'Ingresos Proyecciones'!P62</f>
        <v>2800424.4335342161</v>
      </c>
      <c r="Q56" s="1114">
        <f>+'Ingresos Proyecciones'!Q62</f>
        <v>2912441.4108755845</v>
      </c>
    </row>
    <row r="57" spans="1:17" s="723" customFormat="1" ht="18.75" customHeight="1">
      <c r="A57" s="858" t="s">
        <v>892</v>
      </c>
      <c r="B57" s="869" t="s">
        <v>893</v>
      </c>
      <c r="C57" s="1114">
        <f>+'Ingresos Proyecciones'!C33+'Ingresos Proyecciones'!C72+'Ingresos Proyecciones'!C73</f>
        <v>1027744</v>
      </c>
      <c r="D57" s="1114">
        <f>+'Ingresos Proyecciones'!D33+'Ingresos Proyecciones'!D72+'Ingresos Proyecciones'!D73</f>
        <v>1026754</v>
      </c>
      <c r="E57" s="1114">
        <f>+'Ingresos Proyecciones'!E33+'Ingresos Proyecciones'!E72+'Ingresos Proyecciones'!E73</f>
        <v>107876</v>
      </c>
      <c r="F57" s="1114">
        <f>+'Ingresos Proyecciones'!F33+'Ingresos Proyecciones'!F72+'Ingresos Proyecciones'!F73</f>
        <v>112191.04000000001</v>
      </c>
      <c r="G57" s="1114">
        <f>+'Ingresos Proyecciones'!G33+'Ingresos Proyecciones'!G72+'Ingresos Proyecciones'!G73</f>
        <v>116678.68160000001</v>
      </c>
      <c r="H57" s="1114">
        <f>+'Ingresos Proyecciones'!H33+'Ingresos Proyecciones'!H72+'Ingresos Proyecciones'!H73</f>
        <v>121345.82886400001</v>
      </c>
      <c r="I57" s="1114">
        <f>+'Ingresos Proyecciones'!I33+'Ingresos Proyecciones'!I72+'Ingresos Proyecciones'!I73</f>
        <v>126199.66201856002</v>
      </c>
      <c r="J57" s="1114">
        <f>+'Ingresos Proyecciones'!J33+'Ingresos Proyecciones'!J72+'Ingresos Proyecciones'!J73</f>
        <v>131247.64849930242</v>
      </c>
      <c r="K57" s="1114">
        <f>+'Ingresos Proyecciones'!K33+'Ingresos Proyecciones'!K72+'Ingresos Proyecciones'!K73</f>
        <v>136497.55443927454</v>
      </c>
      <c r="L57" s="1114">
        <f>+'Ingresos Proyecciones'!L33+'Ingresos Proyecciones'!L72+'Ingresos Proyecciones'!L73</f>
        <v>141957.45661684553</v>
      </c>
      <c r="M57" s="1114">
        <f>+'Ingresos Proyecciones'!M33+'Ingresos Proyecciones'!M72+'Ingresos Proyecciones'!M73</f>
        <v>147635.75488151936</v>
      </c>
      <c r="N57" s="1114">
        <f>+'Ingresos Proyecciones'!N33+'Ingresos Proyecciones'!N72+'Ingresos Proyecciones'!N73</f>
        <v>153541.18507678015</v>
      </c>
      <c r="O57" s="1114">
        <f>+'Ingresos Proyecciones'!O33+'Ingresos Proyecciones'!O72+'Ingresos Proyecciones'!O73</f>
        <v>159682.83247985135</v>
      </c>
      <c r="P57" s="1114">
        <f>+'Ingresos Proyecciones'!P33+'Ingresos Proyecciones'!P72+'Ingresos Proyecciones'!P73</f>
        <v>166070.14577904542</v>
      </c>
      <c r="Q57" s="1114">
        <f>+'Ingresos Proyecciones'!Q33+'Ingresos Proyecciones'!Q72+'Ingresos Proyecciones'!Q73</f>
        <v>172712.95161020724</v>
      </c>
    </row>
    <row r="58" spans="1:17" s="723" customFormat="1" ht="18.75" customHeight="1">
      <c r="A58" s="858" t="s">
        <v>894</v>
      </c>
      <c r="B58" s="859" t="s">
        <v>882</v>
      </c>
      <c r="C58" s="1113">
        <f>SUM(C59:C60)</f>
        <v>2936755</v>
      </c>
      <c r="D58" s="1113">
        <f>SUM(D59:D60)</f>
        <v>2539616.5</v>
      </c>
      <c r="E58" s="1113">
        <f t="shared" ref="E58:Q58" si="11">SUM(E59:E60)</f>
        <v>2047122.075</v>
      </c>
      <c r="F58" s="1113">
        <f t="shared" si="11"/>
        <v>2149478.5787500003</v>
      </c>
      <c r="G58" s="1113">
        <f t="shared" si="11"/>
        <v>2129379.6076875003</v>
      </c>
      <c r="H58" s="1113">
        <f t="shared" si="11"/>
        <v>2235848.5880718753</v>
      </c>
      <c r="I58" s="1113">
        <f t="shared" si="11"/>
        <v>2347641.017475469</v>
      </c>
      <c r="J58" s="1113">
        <f t="shared" si="11"/>
        <v>2465023.0683492427</v>
      </c>
      <c r="K58" s="1113">
        <f t="shared" si="11"/>
        <v>2588274.2217667047</v>
      </c>
      <c r="L58" s="1113">
        <f t="shared" si="11"/>
        <v>2717687.9328550398</v>
      </c>
      <c r="M58" s="1113">
        <f t="shared" si="11"/>
        <v>2853572.3294977923</v>
      </c>
      <c r="N58" s="1113">
        <f t="shared" si="11"/>
        <v>2996250.9459726824</v>
      </c>
      <c r="O58" s="1113">
        <f t="shared" si="11"/>
        <v>3146063.4932713169</v>
      </c>
      <c r="P58" s="1113">
        <f t="shared" si="11"/>
        <v>3303366.6679348825</v>
      </c>
      <c r="Q58" s="1113">
        <f t="shared" si="11"/>
        <v>3468535.0013316269</v>
      </c>
    </row>
    <row r="59" spans="1:17" s="723" customFormat="1" ht="18.75" customHeight="1">
      <c r="A59" s="858" t="s">
        <v>895</v>
      </c>
      <c r="B59" s="869" t="s">
        <v>884</v>
      </c>
      <c r="C59" s="1114">
        <f>+'Gastos Proyecciones'!D84+'Gastos Proyecciones'!D85+'Gastos Proyecciones'!D86+'Gastos Proyecciones'!D95+'Gastos Proyecciones'!D107+'Gastos Proyecciones'!D132+'Gastos Proyecciones'!D144+'Gastos Proyecciones'!D169+'Gastos Proyecciones'!D181</f>
        <v>0</v>
      </c>
      <c r="D59" s="1114">
        <f>+'Gastos Proyecciones'!E84+'Gastos Proyecciones'!E85+'Gastos Proyecciones'!E86+'Gastos Proyecciones'!E95+'Gastos Proyecciones'!E107+'Gastos Proyecciones'!E132+'Gastos Proyecciones'!E144+'Gastos Proyecciones'!E169+'Gastos Proyecciones'!E181</f>
        <v>0</v>
      </c>
      <c r="E59" s="1114">
        <f>+'Gastos Proyecciones'!F84+'Gastos Proyecciones'!F85+'Gastos Proyecciones'!F86+'Gastos Proyecciones'!F95+'Gastos Proyecciones'!F107+'Gastos Proyecciones'!F132+'Gastos Proyecciones'!F144+'Gastos Proyecciones'!F169+'Gastos Proyecciones'!F181</f>
        <v>0</v>
      </c>
      <c r="F59" s="1114">
        <f>+'Gastos Proyecciones'!G84+'Gastos Proyecciones'!G85+'Gastos Proyecciones'!G86+'Gastos Proyecciones'!G95+'Gastos Proyecciones'!G107+'Gastos Proyecciones'!G132+'Gastos Proyecciones'!G144+'Gastos Proyecciones'!G169+'Gastos Proyecciones'!G181</f>
        <v>0</v>
      </c>
      <c r="G59" s="1114">
        <f>+'Gastos Proyecciones'!H84+'Gastos Proyecciones'!H85+'Gastos Proyecciones'!H86+'Gastos Proyecciones'!H95+'Gastos Proyecciones'!H107+'Gastos Proyecciones'!H132+'Gastos Proyecciones'!H144+'Gastos Proyecciones'!H169+'Gastos Proyecciones'!H181</f>
        <v>0</v>
      </c>
      <c r="H59" s="1114">
        <f>+'Gastos Proyecciones'!I84+'Gastos Proyecciones'!I85+'Gastos Proyecciones'!I86+'Gastos Proyecciones'!I95+'Gastos Proyecciones'!I107+'Gastos Proyecciones'!I132+'Gastos Proyecciones'!I144+'Gastos Proyecciones'!I169+'Gastos Proyecciones'!I181</f>
        <v>0</v>
      </c>
      <c r="I59" s="1114">
        <f>+'Gastos Proyecciones'!J84+'Gastos Proyecciones'!J85+'Gastos Proyecciones'!J86+'Gastos Proyecciones'!J95+'Gastos Proyecciones'!J107+'Gastos Proyecciones'!J132+'Gastos Proyecciones'!J144+'Gastos Proyecciones'!J169+'Gastos Proyecciones'!J181</f>
        <v>0</v>
      </c>
      <c r="J59" s="1114">
        <f>+'Gastos Proyecciones'!K84+'Gastos Proyecciones'!K85+'Gastos Proyecciones'!K86+'Gastos Proyecciones'!K95+'Gastos Proyecciones'!K107+'Gastos Proyecciones'!K132+'Gastos Proyecciones'!K144+'Gastos Proyecciones'!K169+'Gastos Proyecciones'!K181</f>
        <v>0</v>
      </c>
      <c r="K59" s="1114">
        <f>+'Gastos Proyecciones'!L84+'Gastos Proyecciones'!L85+'Gastos Proyecciones'!L86+'Gastos Proyecciones'!L95+'Gastos Proyecciones'!L107+'Gastos Proyecciones'!L132+'Gastos Proyecciones'!L144+'Gastos Proyecciones'!L169+'Gastos Proyecciones'!L181</f>
        <v>0</v>
      </c>
      <c r="L59" s="1114">
        <f>+'Gastos Proyecciones'!M84+'Gastos Proyecciones'!M85+'Gastos Proyecciones'!M86+'Gastos Proyecciones'!M95+'Gastos Proyecciones'!M107+'Gastos Proyecciones'!M132+'Gastos Proyecciones'!M144+'Gastos Proyecciones'!M169+'Gastos Proyecciones'!M181</f>
        <v>0</v>
      </c>
      <c r="M59" s="1114">
        <f>+'Gastos Proyecciones'!N84+'Gastos Proyecciones'!N85+'Gastos Proyecciones'!N86+'Gastos Proyecciones'!N95+'Gastos Proyecciones'!N107+'Gastos Proyecciones'!N132+'Gastos Proyecciones'!N144+'Gastos Proyecciones'!N169+'Gastos Proyecciones'!N181</f>
        <v>0</v>
      </c>
      <c r="N59" s="1114">
        <f>+'Gastos Proyecciones'!O84+'Gastos Proyecciones'!O85+'Gastos Proyecciones'!O86+'Gastos Proyecciones'!O95+'Gastos Proyecciones'!O107+'Gastos Proyecciones'!O132+'Gastos Proyecciones'!O144+'Gastos Proyecciones'!O169+'Gastos Proyecciones'!O181</f>
        <v>0</v>
      </c>
      <c r="O59" s="1114">
        <f>+'Gastos Proyecciones'!P84+'Gastos Proyecciones'!P85+'Gastos Proyecciones'!P86+'Gastos Proyecciones'!P95+'Gastos Proyecciones'!P107+'Gastos Proyecciones'!P132+'Gastos Proyecciones'!P144+'Gastos Proyecciones'!P169+'Gastos Proyecciones'!P181</f>
        <v>0</v>
      </c>
      <c r="P59" s="1114">
        <f>+'Gastos Proyecciones'!Q84+'Gastos Proyecciones'!Q85+'Gastos Proyecciones'!Q86+'Gastos Proyecciones'!Q95+'Gastos Proyecciones'!Q107+'Gastos Proyecciones'!Q132+'Gastos Proyecciones'!Q144+'Gastos Proyecciones'!Q169+'Gastos Proyecciones'!Q181</f>
        <v>0</v>
      </c>
      <c r="Q59" s="1114">
        <f>+'Gastos Proyecciones'!R84+'Gastos Proyecciones'!R85+'Gastos Proyecciones'!R86+'Gastos Proyecciones'!R95+'Gastos Proyecciones'!R107+'Gastos Proyecciones'!R132+'Gastos Proyecciones'!R144+'Gastos Proyecciones'!R169+'Gastos Proyecciones'!R181</f>
        <v>0</v>
      </c>
    </row>
    <row r="60" spans="1:17" s="723" customFormat="1" ht="18.75" customHeight="1">
      <c r="A60" s="858" t="s">
        <v>896</v>
      </c>
      <c r="B60" s="869" t="s">
        <v>886</v>
      </c>
      <c r="C60" s="1114">
        <f>+'Gastos Proyecciones'!D82+'Gastos Proyecciones'!D83+'Gastos Proyecciones'!D87+'Gastos Proyecciones'!D116+'Gastos Proyecciones'!D153+'Gastos Proyecciones'!D189</f>
        <v>2936755</v>
      </c>
      <c r="D60" s="1114">
        <f>+'Gastos Proyecciones'!E82+'Gastos Proyecciones'!E83+'Gastos Proyecciones'!E87+'Gastos Proyecciones'!E116+'Gastos Proyecciones'!E153+'Gastos Proyecciones'!E189</f>
        <v>2539616.5</v>
      </c>
      <c r="E60" s="1114">
        <f>+'Gastos Proyecciones'!F82+'Gastos Proyecciones'!F83+'Gastos Proyecciones'!F87+'Gastos Proyecciones'!F116+'Gastos Proyecciones'!F153+'Gastos Proyecciones'!F189</f>
        <v>2047122.075</v>
      </c>
      <c r="F60" s="1114">
        <f>+'Gastos Proyecciones'!G82+'Gastos Proyecciones'!G83+'Gastos Proyecciones'!G87+'Gastos Proyecciones'!G116+'Gastos Proyecciones'!G153+'Gastos Proyecciones'!G189</f>
        <v>2149478.5787500003</v>
      </c>
      <c r="G60" s="1114">
        <f>+'Gastos Proyecciones'!H82+'Gastos Proyecciones'!H83+'Gastos Proyecciones'!H87+'Gastos Proyecciones'!H116+'Gastos Proyecciones'!H153+'Gastos Proyecciones'!H189</f>
        <v>2129379.6076875003</v>
      </c>
      <c r="H60" s="1114">
        <f>+'Gastos Proyecciones'!I82+'Gastos Proyecciones'!I83+'Gastos Proyecciones'!I87+'Gastos Proyecciones'!I116+'Gastos Proyecciones'!I153+'Gastos Proyecciones'!I189</f>
        <v>2235848.5880718753</v>
      </c>
      <c r="I60" s="1114">
        <f>+'Gastos Proyecciones'!J82+'Gastos Proyecciones'!J83+'Gastos Proyecciones'!J87+'Gastos Proyecciones'!J116+'Gastos Proyecciones'!J153+'Gastos Proyecciones'!J189</f>
        <v>2347641.017475469</v>
      </c>
      <c r="J60" s="1114">
        <f>+'Gastos Proyecciones'!K82+'Gastos Proyecciones'!K83+'Gastos Proyecciones'!K87+'Gastos Proyecciones'!K116+'Gastos Proyecciones'!K153+'Gastos Proyecciones'!K189</f>
        <v>2465023.0683492427</v>
      </c>
      <c r="K60" s="1114">
        <f>+'Gastos Proyecciones'!L82+'Gastos Proyecciones'!L83+'Gastos Proyecciones'!L87+'Gastos Proyecciones'!L116+'Gastos Proyecciones'!L153+'Gastos Proyecciones'!L189</f>
        <v>2588274.2217667047</v>
      </c>
      <c r="L60" s="1114">
        <f>+'Gastos Proyecciones'!M82+'Gastos Proyecciones'!M83+'Gastos Proyecciones'!M87+'Gastos Proyecciones'!M116+'Gastos Proyecciones'!M153+'Gastos Proyecciones'!M189</f>
        <v>2717687.9328550398</v>
      </c>
      <c r="M60" s="1114">
        <f>+'Gastos Proyecciones'!N82+'Gastos Proyecciones'!N83+'Gastos Proyecciones'!N87+'Gastos Proyecciones'!N116+'Gastos Proyecciones'!N153+'Gastos Proyecciones'!N189</f>
        <v>2853572.3294977923</v>
      </c>
      <c r="N60" s="1114">
        <f>+'Gastos Proyecciones'!O82+'Gastos Proyecciones'!O83+'Gastos Proyecciones'!O87+'Gastos Proyecciones'!O116+'Gastos Proyecciones'!O153+'Gastos Proyecciones'!O189</f>
        <v>2996250.9459726824</v>
      </c>
      <c r="O60" s="1114">
        <f>+'Gastos Proyecciones'!P82+'Gastos Proyecciones'!P83+'Gastos Proyecciones'!P87+'Gastos Proyecciones'!P116+'Gastos Proyecciones'!P153+'Gastos Proyecciones'!P189</f>
        <v>3146063.4932713169</v>
      </c>
      <c r="P60" s="1114">
        <f>+'Gastos Proyecciones'!Q82+'Gastos Proyecciones'!Q83+'Gastos Proyecciones'!Q87+'Gastos Proyecciones'!Q116+'Gastos Proyecciones'!Q153+'Gastos Proyecciones'!Q189</f>
        <v>3303366.6679348825</v>
      </c>
      <c r="Q60" s="1114">
        <f>+'Gastos Proyecciones'!R82+'Gastos Proyecciones'!R83+'Gastos Proyecciones'!R87+'Gastos Proyecciones'!R116+'Gastos Proyecciones'!R153+'Gastos Proyecciones'!R189</f>
        <v>3468535.0013316269</v>
      </c>
    </row>
    <row r="61" spans="1:17" s="723" customFormat="1" ht="18.75" customHeight="1">
      <c r="A61" s="858" t="s">
        <v>897</v>
      </c>
      <c r="B61" s="869" t="s">
        <v>888</v>
      </c>
      <c r="C61" s="1113">
        <f>+C55-C58</f>
        <v>-600814</v>
      </c>
      <c r="D61" s="1113">
        <f>+D55-D58</f>
        <v>-107047.5</v>
      </c>
      <c r="E61" s="1113">
        <f t="shared" ref="E61:Q61" si="12">+E55-E58</f>
        <v>-168050.95499999984</v>
      </c>
      <c r="F61" s="1113">
        <f t="shared" si="12"/>
        <v>-145421.13395000016</v>
      </c>
      <c r="G61" s="1113">
        <f t="shared" si="12"/>
        <v>-45159.865095500136</v>
      </c>
      <c r="H61" s="1113">
        <f t="shared" si="12"/>
        <v>-68260.055776195135</v>
      </c>
      <c r="I61" s="1113">
        <f t="shared" si="12"/>
        <v>-93348.943887961563</v>
      </c>
      <c r="J61" s="1113">
        <f t="shared" si="12"/>
        <v>-120559.31181823416</v>
      </c>
      <c r="K61" s="1113">
        <f t="shared" si="12"/>
        <v>-150031.91497445619</v>
      </c>
      <c r="L61" s="1113">
        <f t="shared" si="12"/>
        <v>-181915.93379110144</v>
      </c>
      <c r="M61" s="1113">
        <f t="shared" si="12"/>
        <v>-216369.45047129598</v>
      </c>
      <c r="N61" s="1113">
        <f t="shared" si="12"/>
        <v>-253559.95178512577</v>
      </c>
      <c r="O61" s="1113">
        <f t="shared" si="12"/>
        <v>-293664.85931625869</v>
      </c>
      <c r="P61" s="1113">
        <f t="shared" si="12"/>
        <v>-336872.08862162102</v>
      </c>
      <c r="Q61" s="1113">
        <f t="shared" si="12"/>
        <v>-383380.63884583535</v>
      </c>
    </row>
    <row r="62" spans="1:17" s="723" customFormat="1" ht="18.75" customHeight="1">
      <c r="A62" s="858" t="s">
        <v>898</v>
      </c>
      <c r="B62" s="859" t="s">
        <v>899</v>
      </c>
      <c r="C62" s="1113"/>
      <c r="D62" s="1113"/>
      <c r="E62" s="1113"/>
      <c r="F62" s="1113"/>
      <c r="G62" s="1113"/>
      <c r="H62" s="1113"/>
      <c r="I62" s="1113"/>
      <c r="J62" s="1113"/>
      <c r="K62" s="1113"/>
      <c r="L62" s="1113"/>
      <c r="M62" s="1113"/>
      <c r="N62" s="1113"/>
      <c r="O62" s="1113"/>
      <c r="P62" s="1113"/>
      <c r="Q62" s="1113"/>
    </row>
    <row r="63" spans="1:17" s="723" customFormat="1" ht="18.75" customHeight="1">
      <c r="A63" s="858" t="s">
        <v>900</v>
      </c>
      <c r="B63" s="859" t="s">
        <v>879</v>
      </c>
      <c r="C63" s="1113">
        <f>+C64</f>
        <v>367808.13</v>
      </c>
      <c r="D63" s="1113">
        <f>+D64</f>
        <v>347278.61</v>
      </c>
      <c r="E63" s="1113">
        <f t="shared" ref="E63:Q63" si="13">+E64</f>
        <v>308566</v>
      </c>
      <c r="F63" s="1113">
        <f t="shared" si="13"/>
        <v>320908.63999999996</v>
      </c>
      <c r="G63" s="1113">
        <f t="shared" si="13"/>
        <v>333744.98560000001</v>
      </c>
      <c r="H63" s="1113">
        <f t="shared" si="13"/>
        <v>347094.78502400004</v>
      </c>
      <c r="I63" s="1113">
        <f t="shared" si="13"/>
        <v>360978.57642496005</v>
      </c>
      <c r="J63" s="1113">
        <f t="shared" si="13"/>
        <v>375417.71948195843</v>
      </c>
      <c r="K63" s="1113">
        <f t="shared" si="13"/>
        <v>390434.42826123681</v>
      </c>
      <c r="L63" s="1113">
        <f t="shared" si="13"/>
        <v>406051.80539168633</v>
      </c>
      <c r="M63" s="1113">
        <f t="shared" si="13"/>
        <v>422293.87760735379</v>
      </c>
      <c r="N63" s="1113">
        <f t="shared" si="13"/>
        <v>439185.63271164795</v>
      </c>
      <c r="O63" s="1113">
        <f t="shared" si="13"/>
        <v>456753.05802011391</v>
      </c>
      <c r="P63" s="1113">
        <f t="shared" si="13"/>
        <v>475023.18034091854</v>
      </c>
      <c r="Q63" s="1113">
        <f t="shared" si="13"/>
        <v>494024.10755455523</v>
      </c>
    </row>
    <row r="64" spans="1:17" s="723" customFormat="1" ht="18.75" customHeight="1">
      <c r="A64" s="868" t="s">
        <v>1340</v>
      </c>
      <c r="B64" s="869" t="s">
        <v>880</v>
      </c>
      <c r="C64" s="1186">
        <f>+'Ingresos Proyecciones'!C68*0.41</f>
        <v>367808.13</v>
      </c>
      <c r="D64" s="1186">
        <f>+'Ingresos Proyecciones'!D68*0.41</f>
        <v>347278.61</v>
      </c>
      <c r="E64" s="1186">
        <f>+'Ingresos Proyecciones'!E68*0.41</f>
        <v>308566</v>
      </c>
      <c r="F64" s="1186">
        <f>+'Ingresos Proyecciones'!F68*0.41</f>
        <v>320908.63999999996</v>
      </c>
      <c r="G64" s="1186">
        <f>+'Ingresos Proyecciones'!G68*0.41</f>
        <v>333744.98560000001</v>
      </c>
      <c r="H64" s="1186">
        <f>+'Ingresos Proyecciones'!H68*0.41</f>
        <v>347094.78502400004</v>
      </c>
      <c r="I64" s="1186">
        <f>+'Ingresos Proyecciones'!I68*0.41</f>
        <v>360978.57642496005</v>
      </c>
      <c r="J64" s="1186">
        <f>+'Ingresos Proyecciones'!J68*0.41</f>
        <v>375417.71948195843</v>
      </c>
      <c r="K64" s="1186">
        <f>+'Ingresos Proyecciones'!K68*0.41</f>
        <v>390434.42826123681</v>
      </c>
      <c r="L64" s="1186">
        <f>+'Ingresos Proyecciones'!L68*0.41</f>
        <v>406051.80539168633</v>
      </c>
      <c r="M64" s="1186">
        <f>+'Ingresos Proyecciones'!M68*0.41</f>
        <v>422293.87760735379</v>
      </c>
      <c r="N64" s="1186">
        <f>+'Ingresos Proyecciones'!N68*0.41</f>
        <v>439185.63271164795</v>
      </c>
      <c r="O64" s="1186">
        <f>+'Ingresos Proyecciones'!O68*0.41</f>
        <v>456753.05802011391</v>
      </c>
      <c r="P64" s="1186">
        <f>+'Ingresos Proyecciones'!P68*0.41</f>
        <v>475023.18034091854</v>
      </c>
      <c r="Q64" s="1186">
        <f>+'Ingresos Proyecciones'!Q68*0.41</f>
        <v>494024.10755455523</v>
      </c>
    </row>
    <row r="65" spans="1:17" s="723" customFormat="1" ht="18.75" customHeight="1">
      <c r="A65" s="858" t="s">
        <v>901</v>
      </c>
      <c r="B65" s="859" t="s">
        <v>882</v>
      </c>
      <c r="C65" s="1113">
        <f>SUM(C66:C67)</f>
        <v>364208</v>
      </c>
      <c r="D65" s="1113">
        <f>SUM(D66:D67)</f>
        <v>450889</v>
      </c>
      <c r="E65" s="1113">
        <f t="shared" ref="E65:Q65" si="14">SUM(E66:E67)</f>
        <v>539903</v>
      </c>
      <c r="F65" s="1113">
        <f t="shared" si="14"/>
        <v>624470.15</v>
      </c>
      <c r="G65" s="1113">
        <f t="shared" si="14"/>
        <v>595243.05750000011</v>
      </c>
      <c r="H65" s="1113">
        <f t="shared" si="14"/>
        <v>625672.21037500002</v>
      </c>
      <c r="I65" s="1113">
        <f t="shared" si="14"/>
        <v>596915.89369375003</v>
      </c>
      <c r="J65" s="1113">
        <f t="shared" si="14"/>
        <v>577245.78837843763</v>
      </c>
      <c r="K65" s="1113">
        <f t="shared" si="14"/>
        <v>606108.07779735955</v>
      </c>
      <c r="L65" s="1113">
        <f t="shared" si="14"/>
        <v>636413.4816872275</v>
      </c>
      <c r="M65" s="1113">
        <f t="shared" si="14"/>
        <v>668234.15577158891</v>
      </c>
      <c r="N65" s="1113">
        <f t="shared" si="14"/>
        <v>701645.86356016842</v>
      </c>
      <c r="O65" s="1113">
        <f t="shared" si="14"/>
        <v>736728.15673817694</v>
      </c>
      <c r="P65" s="1113">
        <f t="shared" si="14"/>
        <v>773564.56457508577</v>
      </c>
      <c r="Q65" s="1113">
        <f t="shared" si="14"/>
        <v>812242.79280384001</v>
      </c>
    </row>
    <row r="66" spans="1:17" s="723" customFormat="1" ht="18.75" customHeight="1">
      <c r="A66" s="858" t="s">
        <v>902</v>
      </c>
      <c r="B66" s="869" t="s">
        <v>884</v>
      </c>
      <c r="C66" s="1114">
        <f>+'Gastos Proyecciones'!D90+'Gastos Proyecciones'!D104+'Gastos Proyecciones'!D127+'Gastos Proyecciones'!D141+'Gastos Proyecciones'!D164+'Gastos Proyecciones'!D178</f>
        <v>0</v>
      </c>
      <c r="D66" s="1114">
        <f>+'Gastos Proyecciones'!E90+'Gastos Proyecciones'!E104+'Gastos Proyecciones'!E127+'Gastos Proyecciones'!E141+'Gastos Proyecciones'!E164+'Gastos Proyecciones'!E178</f>
        <v>0</v>
      </c>
      <c r="E66" s="1114">
        <f>+'Gastos Proyecciones'!F90+'Gastos Proyecciones'!F104+'Gastos Proyecciones'!F127+'Gastos Proyecciones'!F141+'Gastos Proyecciones'!F164+'Gastos Proyecciones'!F178</f>
        <v>88192</v>
      </c>
      <c r="F66" s="1114">
        <f>+'Gastos Proyecciones'!G90+'Gastos Proyecciones'!G104+'Gastos Proyecciones'!G127+'Gastos Proyecciones'!G141+'Gastos Proyecciones'!G164+'Gastos Proyecciones'!G178</f>
        <v>92601.600000000006</v>
      </c>
      <c r="G66" s="1114">
        <f>+'Gastos Proyecciones'!H90+'Gastos Proyecciones'!H104+'Gastos Proyecciones'!H127+'Gastos Proyecciones'!H141+'Gastos Proyecciones'!H164+'Gastos Proyecciones'!H178</f>
        <v>97231.680000000008</v>
      </c>
      <c r="H66" s="1114">
        <f>+'Gastos Proyecciones'!I90+'Gastos Proyecciones'!I104+'Gastos Proyecciones'!I127+'Gastos Proyecciones'!I141+'Gastos Proyecciones'!I164+'Gastos Proyecciones'!I178</f>
        <v>102093.26400000001</v>
      </c>
      <c r="I66" s="1114">
        <f>+'Gastos Proyecciones'!J90+'Gastos Proyecciones'!J104+'Gastos Proyecciones'!J127+'Gastos Proyecciones'!J141+'Gastos Proyecciones'!J164+'Gastos Proyecciones'!J178</f>
        <v>47158</v>
      </c>
      <c r="J66" s="1114">
        <f>+'Gastos Proyecciones'!K90+'Gastos Proyecciones'!K104+'Gastos Proyecciones'!K127+'Gastos Proyecciones'!K141+'Gastos Proyecciones'!K164+'Gastos Proyecciones'!K178</f>
        <v>0</v>
      </c>
      <c r="K66" s="1114">
        <f>+'Gastos Proyecciones'!L90+'Gastos Proyecciones'!L104+'Gastos Proyecciones'!L127+'Gastos Proyecciones'!L141+'Gastos Proyecciones'!L164+'Gastos Proyecciones'!L178</f>
        <v>0</v>
      </c>
      <c r="L66" s="1114">
        <f>+'Gastos Proyecciones'!M90+'Gastos Proyecciones'!M104+'Gastos Proyecciones'!M127+'Gastos Proyecciones'!M141+'Gastos Proyecciones'!M164+'Gastos Proyecciones'!M178</f>
        <v>0</v>
      </c>
      <c r="M66" s="1114">
        <f>+'Gastos Proyecciones'!N90+'Gastos Proyecciones'!N104+'Gastos Proyecciones'!N127+'Gastos Proyecciones'!N141+'Gastos Proyecciones'!N164+'Gastos Proyecciones'!N178</f>
        <v>0</v>
      </c>
      <c r="N66" s="1114">
        <f>+'Gastos Proyecciones'!O90+'Gastos Proyecciones'!O104+'Gastos Proyecciones'!O127+'Gastos Proyecciones'!O141+'Gastos Proyecciones'!O164+'Gastos Proyecciones'!O178</f>
        <v>0</v>
      </c>
      <c r="O66" s="1114">
        <f>+'Gastos Proyecciones'!P90+'Gastos Proyecciones'!P104+'Gastos Proyecciones'!P127+'Gastos Proyecciones'!P141+'Gastos Proyecciones'!P164+'Gastos Proyecciones'!P178</f>
        <v>0</v>
      </c>
      <c r="P66" s="1114">
        <f>+'Gastos Proyecciones'!Q90+'Gastos Proyecciones'!Q104+'Gastos Proyecciones'!Q127+'Gastos Proyecciones'!Q141+'Gastos Proyecciones'!Q164+'Gastos Proyecciones'!Q178</f>
        <v>0</v>
      </c>
      <c r="Q66" s="1114">
        <f>+'Gastos Proyecciones'!R90+'Gastos Proyecciones'!R104+'Gastos Proyecciones'!R127+'Gastos Proyecciones'!R141+'Gastos Proyecciones'!R164+'Gastos Proyecciones'!R178</f>
        <v>0</v>
      </c>
    </row>
    <row r="67" spans="1:17" s="723" customFormat="1" ht="18.75" customHeight="1">
      <c r="A67" s="858" t="s">
        <v>903</v>
      </c>
      <c r="B67" s="869" t="s">
        <v>886</v>
      </c>
      <c r="C67" s="1114">
        <f>+'Gastos Proyecciones'!D111+'Gastos Proyecciones'!D148+'Gastos Proyecciones'!D184</f>
        <v>364208</v>
      </c>
      <c r="D67" s="1114">
        <f>+'Gastos Proyecciones'!E111+'Gastos Proyecciones'!E148+'Gastos Proyecciones'!E184</f>
        <v>450889</v>
      </c>
      <c r="E67" s="1114">
        <f>+'Gastos Proyecciones'!F111+'Gastos Proyecciones'!F148+'Gastos Proyecciones'!F184</f>
        <v>451711</v>
      </c>
      <c r="F67" s="1114">
        <f>+'Gastos Proyecciones'!G111+'Gastos Proyecciones'!G148+'Gastos Proyecciones'!G184</f>
        <v>531868.55000000005</v>
      </c>
      <c r="G67" s="1114">
        <f>+'Gastos Proyecciones'!H111+'Gastos Proyecciones'!H148+'Gastos Proyecciones'!H184</f>
        <v>498011.37750000006</v>
      </c>
      <c r="H67" s="1114">
        <f>+'Gastos Proyecciones'!I111+'Gastos Proyecciones'!I148+'Gastos Proyecciones'!I184</f>
        <v>523578.94637500006</v>
      </c>
      <c r="I67" s="1114">
        <f>+'Gastos Proyecciones'!J111+'Gastos Proyecciones'!J148+'Gastos Proyecciones'!J184</f>
        <v>549757.89369375003</v>
      </c>
      <c r="J67" s="1114">
        <f>+'Gastos Proyecciones'!K111+'Gastos Proyecciones'!K148+'Gastos Proyecciones'!K184</f>
        <v>577245.78837843763</v>
      </c>
      <c r="K67" s="1114">
        <f>+'Gastos Proyecciones'!L111+'Gastos Proyecciones'!L148+'Gastos Proyecciones'!L184</f>
        <v>606108.07779735955</v>
      </c>
      <c r="L67" s="1114">
        <f>+'Gastos Proyecciones'!M111+'Gastos Proyecciones'!M148+'Gastos Proyecciones'!M184</f>
        <v>636413.4816872275</v>
      </c>
      <c r="M67" s="1114">
        <f>+'Gastos Proyecciones'!N111+'Gastos Proyecciones'!N148+'Gastos Proyecciones'!N184</f>
        <v>668234.15577158891</v>
      </c>
      <c r="N67" s="1114">
        <f>+'Gastos Proyecciones'!O111+'Gastos Proyecciones'!O148+'Gastos Proyecciones'!O184</f>
        <v>701645.86356016842</v>
      </c>
      <c r="O67" s="1114">
        <f>+'Gastos Proyecciones'!P111+'Gastos Proyecciones'!P148+'Gastos Proyecciones'!P184</f>
        <v>736728.15673817694</v>
      </c>
      <c r="P67" s="1114">
        <f>+'Gastos Proyecciones'!Q111+'Gastos Proyecciones'!Q148+'Gastos Proyecciones'!Q184</f>
        <v>773564.56457508577</v>
      </c>
      <c r="Q67" s="1114">
        <f>+'Gastos Proyecciones'!R111+'Gastos Proyecciones'!R148+'Gastos Proyecciones'!R184</f>
        <v>812242.79280384001</v>
      </c>
    </row>
    <row r="68" spans="1:17" s="723" customFormat="1" ht="18.75" customHeight="1">
      <c r="A68" s="858" t="s">
        <v>904</v>
      </c>
      <c r="B68" s="869" t="s">
        <v>888</v>
      </c>
      <c r="C68" s="1113">
        <f>+C63-C65</f>
        <v>3600.1300000000047</v>
      </c>
      <c r="D68" s="1113">
        <f>+D63-D65</f>
        <v>-103610.39000000001</v>
      </c>
      <c r="E68" s="1113">
        <f t="shared" ref="E68:Q68" si="15">+E63-E65</f>
        <v>-231337</v>
      </c>
      <c r="F68" s="1113">
        <f t="shared" si="15"/>
        <v>-303561.51000000007</v>
      </c>
      <c r="G68" s="1113">
        <f t="shared" si="15"/>
        <v>-261498.0719000001</v>
      </c>
      <c r="H68" s="1113">
        <f t="shared" si="15"/>
        <v>-278577.42535099998</v>
      </c>
      <c r="I68" s="1113">
        <f t="shared" si="15"/>
        <v>-235937.31726878998</v>
      </c>
      <c r="J68" s="1113">
        <f t="shared" si="15"/>
        <v>-201828.06889647921</v>
      </c>
      <c r="K68" s="1113">
        <f t="shared" si="15"/>
        <v>-215673.64953612274</v>
      </c>
      <c r="L68" s="1113">
        <f t="shared" si="15"/>
        <v>-230361.67629554117</v>
      </c>
      <c r="M68" s="1113">
        <f t="shared" si="15"/>
        <v>-245940.27816423512</v>
      </c>
      <c r="N68" s="1113">
        <f t="shared" si="15"/>
        <v>-262460.23084852047</v>
      </c>
      <c r="O68" s="1113">
        <f t="shared" si="15"/>
        <v>-279975.09871806303</v>
      </c>
      <c r="P68" s="1113">
        <f t="shared" si="15"/>
        <v>-298541.38423416723</v>
      </c>
      <c r="Q68" s="1113">
        <f t="shared" si="15"/>
        <v>-318218.68524928478</v>
      </c>
    </row>
    <row r="69" spans="1:17" s="723" customFormat="1" ht="18.75" customHeight="1">
      <c r="A69" s="858" t="s">
        <v>905</v>
      </c>
      <c r="B69" s="859" t="s">
        <v>906</v>
      </c>
      <c r="C69" s="1112"/>
      <c r="D69" s="1112"/>
      <c r="E69" s="1112"/>
      <c r="F69" s="1112"/>
      <c r="G69" s="1112"/>
      <c r="H69" s="1112"/>
      <c r="I69" s="1112"/>
      <c r="J69" s="1112"/>
      <c r="K69" s="1112"/>
      <c r="L69" s="1112"/>
      <c r="M69" s="1112"/>
      <c r="N69" s="1112"/>
      <c r="O69" s="1112"/>
      <c r="P69" s="1112"/>
      <c r="Q69" s="1112"/>
    </row>
    <row r="70" spans="1:17" s="723" customFormat="1" ht="18.75" customHeight="1">
      <c r="A70" s="858" t="s">
        <v>907</v>
      </c>
      <c r="B70" s="859" t="s">
        <v>879</v>
      </c>
      <c r="C70" s="1113">
        <f>+C71</f>
        <v>62796.510000000009</v>
      </c>
      <c r="D70" s="1113">
        <f>+D71</f>
        <v>59291.470000000008</v>
      </c>
      <c r="E70" s="1113">
        <f t="shared" ref="E70:Q70" si="16">+E71</f>
        <v>52682.000000000007</v>
      </c>
      <c r="F70" s="1113">
        <f t="shared" si="16"/>
        <v>54789.280000000006</v>
      </c>
      <c r="G70" s="1113">
        <f t="shared" si="16"/>
        <v>56980.851200000005</v>
      </c>
      <c r="H70" s="1113">
        <f t="shared" si="16"/>
        <v>59260.08524800001</v>
      </c>
      <c r="I70" s="1113">
        <f t="shared" si="16"/>
        <v>61630.48865792001</v>
      </c>
      <c r="J70" s="1113">
        <f t="shared" si="16"/>
        <v>64095.70820423682</v>
      </c>
      <c r="K70" s="1113">
        <f t="shared" si="16"/>
        <v>66659.536532406302</v>
      </c>
      <c r="L70" s="1113">
        <f t="shared" si="16"/>
        <v>69325.917993702547</v>
      </c>
      <c r="M70" s="1113">
        <f t="shared" si="16"/>
        <v>72098.954713450657</v>
      </c>
      <c r="N70" s="1113">
        <f t="shared" si="16"/>
        <v>74982.91290198869</v>
      </c>
      <c r="O70" s="1113">
        <f t="shared" si="16"/>
        <v>77982.229418068251</v>
      </c>
      <c r="P70" s="1113">
        <f t="shared" si="16"/>
        <v>81101.518594790978</v>
      </c>
      <c r="Q70" s="1113">
        <f t="shared" si="16"/>
        <v>84345.579338582611</v>
      </c>
    </row>
    <row r="71" spans="1:17" s="723" customFormat="1" ht="18.75" customHeight="1">
      <c r="A71" s="868" t="s">
        <v>1340</v>
      </c>
      <c r="B71" s="869" t="s">
        <v>880</v>
      </c>
      <c r="C71" s="1186">
        <f>IF(Ingresos!$B$10&lt;=2003,'Ingresos Proyecciones'!C68*0.1,'Ingresos Proyecciones'!C68*0.07)</f>
        <v>62796.510000000009</v>
      </c>
      <c r="D71" s="1186">
        <f>IF((Ingresos!$B$10+1)&lt;=2003,'Ingresos Proyecciones'!D68*0.1,'Ingresos Proyecciones'!D68*0.07)</f>
        <v>59291.470000000008</v>
      </c>
      <c r="E71" s="1186">
        <f>IF(Ingresos!$B$10+2&lt;=2003,'Ingresos Proyecciones'!E68*0.1,'Ingresos Proyecciones'!E68*0.07)</f>
        <v>52682.000000000007</v>
      </c>
      <c r="F71" s="1186">
        <f>IF(Ingresos!$B$10+3&lt;=2003,'Ingresos Proyecciones'!F68*0.1,'Ingresos Proyecciones'!F68*0.07)</f>
        <v>54789.280000000006</v>
      </c>
      <c r="G71" s="1186">
        <f>IF(Ingresos!$B$10+4&lt;=2003,'Ingresos Proyecciones'!G68*0.1,'Ingresos Proyecciones'!G68*0.07)</f>
        <v>56980.851200000005</v>
      </c>
      <c r="H71" s="1186">
        <f>IF(Ingresos!$B$10+5&lt;=2003,'Ingresos Proyecciones'!H68*0.1,'Ingresos Proyecciones'!H68*0.07)</f>
        <v>59260.08524800001</v>
      </c>
      <c r="I71" s="1186">
        <f>IF(Ingresos!$B$10+6&lt;=2003,'Ingresos Proyecciones'!I68*0.1,'Ingresos Proyecciones'!I68*0.07)</f>
        <v>61630.48865792001</v>
      </c>
      <c r="J71" s="1186">
        <f>IF(Ingresos!$B$10+7&lt;=2003,'Ingresos Proyecciones'!J68*0.1,'Ingresos Proyecciones'!J68*0.07)</f>
        <v>64095.70820423682</v>
      </c>
      <c r="K71" s="1186">
        <f>IF(Ingresos!$B$10+8&lt;=2003,'Ingresos Proyecciones'!K68*0.1,'Ingresos Proyecciones'!K68*0.07)</f>
        <v>66659.536532406302</v>
      </c>
      <c r="L71" s="1186">
        <f>IF(Ingresos!$B$10+9&lt;=2003,'Ingresos Proyecciones'!L68*0.1,'Ingresos Proyecciones'!L68*0.07)</f>
        <v>69325.917993702547</v>
      </c>
      <c r="M71" s="1186">
        <f>IF(Ingresos!$B$10+10&lt;=2003,'Ingresos Proyecciones'!M68*0.1,'Ingresos Proyecciones'!M68*0.07)</f>
        <v>72098.954713450657</v>
      </c>
      <c r="N71" s="1186">
        <f>IF(Ingresos!$B$10+11&lt;=2003,'Ingresos Proyecciones'!N68*0.1,'Ingresos Proyecciones'!N68*0.07)</f>
        <v>74982.91290198869</v>
      </c>
      <c r="O71" s="1186">
        <f>IF(Ingresos!$B$10+12&lt;=2003,'Ingresos Proyecciones'!O68*0.1,'Ingresos Proyecciones'!O68*0.07)</f>
        <v>77982.229418068251</v>
      </c>
      <c r="P71" s="1186">
        <f>IF(Ingresos!$B$10+13&lt;=2003,'Ingresos Proyecciones'!P68*0.1,'Ingresos Proyecciones'!P68*0.07)</f>
        <v>81101.518594790978</v>
      </c>
      <c r="Q71" s="1186">
        <f>IF(Ingresos!$B$10+14&lt;=2003,'Ingresos Proyecciones'!Q68*0.1,'Ingresos Proyecciones'!Q68*0.07)</f>
        <v>84345.579338582611</v>
      </c>
    </row>
    <row r="72" spans="1:17" s="723" customFormat="1" ht="18.75" customHeight="1">
      <c r="A72" s="858" t="s">
        <v>908</v>
      </c>
      <c r="B72" s="859" t="s">
        <v>882</v>
      </c>
      <c r="C72" s="1113">
        <f>SUM(C73:C74)</f>
        <v>129106</v>
      </c>
      <c r="D72" s="1113">
        <f>SUM(D73:D74)</f>
        <v>157222</v>
      </c>
      <c r="E72" s="1113">
        <f t="shared" ref="E72:Q72" si="17">SUM(E73:E74)</f>
        <v>119978</v>
      </c>
      <c r="F72" s="1113">
        <f t="shared" si="17"/>
        <v>125976.9</v>
      </c>
      <c r="G72" s="1113">
        <f t="shared" si="17"/>
        <v>132275.74500000002</v>
      </c>
      <c r="H72" s="1113">
        <f t="shared" si="17"/>
        <v>138889.53225000002</v>
      </c>
      <c r="I72" s="1113">
        <f t="shared" si="17"/>
        <v>145834.00886250002</v>
      </c>
      <c r="J72" s="1113">
        <f t="shared" si="17"/>
        <v>153125.70930562503</v>
      </c>
      <c r="K72" s="1113">
        <f t="shared" si="17"/>
        <v>160781.99477090631</v>
      </c>
      <c r="L72" s="1113">
        <f t="shared" si="17"/>
        <v>168821.09450945159</v>
      </c>
      <c r="M72" s="1113">
        <f t="shared" si="17"/>
        <v>177262.1492349242</v>
      </c>
      <c r="N72" s="1113">
        <f t="shared" si="17"/>
        <v>186125.2566966704</v>
      </c>
      <c r="O72" s="1113">
        <f t="shared" si="17"/>
        <v>195431.51953150393</v>
      </c>
      <c r="P72" s="1113">
        <f t="shared" si="17"/>
        <v>205203.09550807913</v>
      </c>
      <c r="Q72" s="1113">
        <f t="shared" si="17"/>
        <v>141113.57531492881</v>
      </c>
    </row>
    <row r="73" spans="1:17" s="723" customFormat="1" ht="18.75" customHeight="1">
      <c r="A73" s="858" t="s">
        <v>909</v>
      </c>
      <c r="B73" s="869" t="s">
        <v>884</v>
      </c>
      <c r="C73" s="1114">
        <f>+'Gastos Proyecciones'!D94+'Gastos Proyecciones'!D96+'Gastos Proyecciones'!D131+'Gastos Proyecciones'!D133+'Gastos Proyecciones'!D168+'Gastos Proyecciones'!D170</f>
        <v>0</v>
      </c>
      <c r="D73" s="1114">
        <f>+'Gastos Proyecciones'!E94+'Gastos Proyecciones'!E96+'Gastos Proyecciones'!E131+'Gastos Proyecciones'!E133+'Gastos Proyecciones'!E168+'Gastos Proyecciones'!E170</f>
        <v>0</v>
      </c>
      <c r="E73" s="1114">
        <f>+'Gastos Proyecciones'!F94+'Gastos Proyecciones'!F96+'Gastos Proyecciones'!F131+'Gastos Proyecciones'!F133+'Gastos Proyecciones'!F168+'Gastos Proyecciones'!F170</f>
        <v>0</v>
      </c>
      <c r="F73" s="1114">
        <f>+'Gastos Proyecciones'!G94+'Gastos Proyecciones'!G96+'Gastos Proyecciones'!G131+'Gastos Proyecciones'!G133+'Gastos Proyecciones'!G168+'Gastos Proyecciones'!G170</f>
        <v>0</v>
      </c>
      <c r="G73" s="1114">
        <f>+'Gastos Proyecciones'!H94+'Gastos Proyecciones'!H96+'Gastos Proyecciones'!H131+'Gastos Proyecciones'!H133+'Gastos Proyecciones'!H168+'Gastos Proyecciones'!H170</f>
        <v>0</v>
      </c>
      <c r="H73" s="1114">
        <f>+'Gastos Proyecciones'!I94+'Gastos Proyecciones'!I96+'Gastos Proyecciones'!I131+'Gastos Proyecciones'!I133+'Gastos Proyecciones'!I168+'Gastos Proyecciones'!I170</f>
        <v>0</v>
      </c>
      <c r="I73" s="1114">
        <f>+'Gastos Proyecciones'!J94+'Gastos Proyecciones'!J96+'Gastos Proyecciones'!J131+'Gastos Proyecciones'!J133+'Gastos Proyecciones'!J168+'Gastos Proyecciones'!J170</f>
        <v>0</v>
      </c>
      <c r="J73" s="1114">
        <f>+'Gastos Proyecciones'!K94+'Gastos Proyecciones'!K96+'Gastos Proyecciones'!K131+'Gastos Proyecciones'!K133+'Gastos Proyecciones'!K168+'Gastos Proyecciones'!K170</f>
        <v>0</v>
      </c>
      <c r="K73" s="1114">
        <f>+'Gastos Proyecciones'!L94+'Gastos Proyecciones'!L96+'Gastos Proyecciones'!L131+'Gastos Proyecciones'!L133+'Gastos Proyecciones'!L168+'Gastos Proyecciones'!L170</f>
        <v>0</v>
      </c>
      <c r="L73" s="1114">
        <f>+'Gastos Proyecciones'!M94+'Gastos Proyecciones'!M96+'Gastos Proyecciones'!M131+'Gastos Proyecciones'!M133+'Gastos Proyecciones'!M168+'Gastos Proyecciones'!M170</f>
        <v>0</v>
      </c>
      <c r="M73" s="1114">
        <f>+'Gastos Proyecciones'!N94+'Gastos Proyecciones'!N96+'Gastos Proyecciones'!N131+'Gastos Proyecciones'!N133+'Gastos Proyecciones'!N168+'Gastos Proyecciones'!N170</f>
        <v>0</v>
      </c>
      <c r="N73" s="1114">
        <f>+'Gastos Proyecciones'!O94+'Gastos Proyecciones'!O96+'Gastos Proyecciones'!O131+'Gastos Proyecciones'!O133+'Gastos Proyecciones'!O168+'Gastos Proyecciones'!O170</f>
        <v>0</v>
      </c>
      <c r="O73" s="1114">
        <f>+'Gastos Proyecciones'!P94+'Gastos Proyecciones'!P96+'Gastos Proyecciones'!P131+'Gastos Proyecciones'!P133+'Gastos Proyecciones'!P168+'Gastos Proyecciones'!P170</f>
        <v>0</v>
      </c>
      <c r="P73" s="1114">
        <f>+'Gastos Proyecciones'!Q94+'Gastos Proyecciones'!Q96+'Gastos Proyecciones'!Q131+'Gastos Proyecciones'!Q133+'Gastos Proyecciones'!Q168+'Gastos Proyecciones'!Q170</f>
        <v>0</v>
      </c>
      <c r="Q73" s="1114">
        <f>+'Gastos Proyecciones'!R94+'Gastos Proyecciones'!R96+'Gastos Proyecciones'!R131+'Gastos Proyecciones'!R133+'Gastos Proyecciones'!R168+'Gastos Proyecciones'!R170</f>
        <v>0</v>
      </c>
    </row>
    <row r="74" spans="1:17" s="723" customFormat="1" ht="18.75" customHeight="1">
      <c r="A74" s="858" t="s">
        <v>910</v>
      </c>
      <c r="B74" s="869" t="s">
        <v>886</v>
      </c>
      <c r="C74" s="1114">
        <f>+'Gastos Proyecciones'!D115+'Gastos Proyecciones'!D117+'Gastos Proyecciones'!D152+'Gastos Proyecciones'!D154+'Gastos Proyecciones'!D188+'Gastos Proyecciones'!D190</f>
        <v>129106</v>
      </c>
      <c r="D74" s="1114">
        <f>+'Gastos Proyecciones'!E115+'Gastos Proyecciones'!E117+'Gastos Proyecciones'!E152+'Gastos Proyecciones'!E154+'Gastos Proyecciones'!E188+'Gastos Proyecciones'!E190</f>
        <v>157222</v>
      </c>
      <c r="E74" s="1114">
        <f>+'Gastos Proyecciones'!F115+'Gastos Proyecciones'!F117+'Gastos Proyecciones'!F152+'Gastos Proyecciones'!F154+'Gastos Proyecciones'!F188+'Gastos Proyecciones'!F190</f>
        <v>119978</v>
      </c>
      <c r="F74" s="1114">
        <f>+'Gastos Proyecciones'!G115+'Gastos Proyecciones'!G117+'Gastos Proyecciones'!G152+'Gastos Proyecciones'!G154+'Gastos Proyecciones'!G188+'Gastos Proyecciones'!G190</f>
        <v>125976.9</v>
      </c>
      <c r="G74" s="1114">
        <f>+'Gastos Proyecciones'!H115+'Gastos Proyecciones'!H117+'Gastos Proyecciones'!H152+'Gastos Proyecciones'!H154+'Gastos Proyecciones'!H188+'Gastos Proyecciones'!H190</f>
        <v>132275.74500000002</v>
      </c>
      <c r="H74" s="1114">
        <f>+'Gastos Proyecciones'!I115+'Gastos Proyecciones'!I117+'Gastos Proyecciones'!I152+'Gastos Proyecciones'!I154+'Gastos Proyecciones'!I188+'Gastos Proyecciones'!I190</f>
        <v>138889.53225000002</v>
      </c>
      <c r="I74" s="1114">
        <f>+'Gastos Proyecciones'!J115+'Gastos Proyecciones'!J117+'Gastos Proyecciones'!J152+'Gastos Proyecciones'!J154+'Gastos Proyecciones'!J188+'Gastos Proyecciones'!J190</f>
        <v>145834.00886250002</v>
      </c>
      <c r="J74" s="1114">
        <f>+'Gastos Proyecciones'!K115+'Gastos Proyecciones'!K117+'Gastos Proyecciones'!K152+'Gastos Proyecciones'!K154+'Gastos Proyecciones'!K188+'Gastos Proyecciones'!K190</f>
        <v>153125.70930562503</v>
      </c>
      <c r="K74" s="1114">
        <f>+'Gastos Proyecciones'!L115+'Gastos Proyecciones'!L117+'Gastos Proyecciones'!L152+'Gastos Proyecciones'!L154+'Gastos Proyecciones'!L188+'Gastos Proyecciones'!L190</f>
        <v>160781.99477090631</v>
      </c>
      <c r="L74" s="1114">
        <f>+'Gastos Proyecciones'!M115+'Gastos Proyecciones'!M117+'Gastos Proyecciones'!M152+'Gastos Proyecciones'!M154+'Gastos Proyecciones'!M188+'Gastos Proyecciones'!M190</f>
        <v>168821.09450945159</v>
      </c>
      <c r="M74" s="1114">
        <f>+'Gastos Proyecciones'!N115+'Gastos Proyecciones'!N117+'Gastos Proyecciones'!N152+'Gastos Proyecciones'!N154+'Gastos Proyecciones'!N188+'Gastos Proyecciones'!N190</f>
        <v>177262.1492349242</v>
      </c>
      <c r="N74" s="1114">
        <f>+'Gastos Proyecciones'!O115+'Gastos Proyecciones'!O117+'Gastos Proyecciones'!O152+'Gastos Proyecciones'!O154+'Gastos Proyecciones'!O188+'Gastos Proyecciones'!O190</f>
        <v>186125.2566966704</v>
      </c>
      <c r="O74" s="1114">
        <f>+'Gastos Proyecciones'!P115+'Gastos Proyecciones'!P117+'Gastos Proyecciones'!P152+'Gastos Proyecciones'!P154+'Gastos Proyecciones'!P188+'Gastos Proyecciones'!P190</f>
        <v>195431.51953150393</v>
      </c>
      <c r="P74" s="1114">
        <f>+'Gastos Proyecciones'!Q115+'Gastos Proyecciones'!Q117+'Gastos Proyecciones'!Q152+'Gastos Proyecciones'!Q154+'Gastos Proyecciones'!Q188+'Gastos Proyecciones'!Q190</f>
        <v>205203.09550807913</v>
      </c>
      <c r="Q74" s="1114">
        <f>+'Gastos Proyecciones'!R115+'Gastos Proyecciones'!R117+'Gastos Proyecciones'!R152+'Gastos Proyecciones'!R154+'Gastos Proyecciones'!R188+'Gastos Proyecciones'!R190</f>
        <v>141113.57531492881</v>
      </c>
    </row>
    <row r="75" spans="1:17" s="723" customFormat="1" ht="18.75" customHeight="1">
      <c r="A75" s="858" t="s">
        <v>911</v>
      </c>
      <c r="B75" s="869" t="s">
        <v>888</v>
      </c>
      <c r="C75" s="1113">
        <f>+C70-C72</f>
        <v>-66309.489999999991</v>
      </c>
      <c r="D75" s="1113">
        <f>+D70-D72</f>
        <v>-97930.53</v>
      </c>
      <c r="E75" s="1113">
        <f t="shared" ref="E75:Q75" si="18">+E70-E72</f>
        <v>-67296</v>
      </c>
      <c r="F75" s="1113">
        <f t="shared" si="18"/>
        <v>-71187.62</v>
      </c>
      <c r="G75" s="1113">
        <f t="shared" si="18"/>
        <v>-75294.89380000002</v>
      </c>
      <c r="H75" s="1113">
        <f t="shared" si="18"/>
        <v>-79629.447002000001</v>
      </c>
      <c r="I75" s="1113">
        <f t="shared" si="18"/>
        <v>-84203.520204580011</v>
      </c>
      <c r="J75" s="1113">
        <f t="shared" si="18"/>
        <v>-89030.001101388218</v>
      </c>
      <c r="K75" s="1113">
        <f t="shared" si="18"/>
        <v>-94122.45823850001</v>
      </c>
      <c r="L75" s="1113">
        <f t="shared" si="18"/>
        <v>-99495.176515749044</v>
      </c>
      <c r="M75" s="1113">
        <f t="shared" si="18"/>
        <v>-105163.19452147355</v>
      </c>
      <c r="N75" s="1113">
        <f t="shared" si="18"/>
        <v>-111142.34379468171</v>
      </c>
      <c r="O75" s="1113">
        <f t="shared" si="18"/>
        <v>-117449.29011343568</v>
      </c>
      <c r="P75" s="1113">
        <f t="shared" si="18"/>
        <v>-124101.57691328815</v>
      </c>
      <c r="Q75" s="1113">
        <f t="shared" si="18"/>
        <v>-56767.995976346196</v>
      </c>
    </row>
    <row r="76" spans="1:17" s="723" customFormat="1" ht="18.75" customHeight="1">
      <c r="A76" s="858" t="s">
        <v>912</v>
      </c>
      <c r="B76" s="877" t="s">
        <v>913</v>
      </c>
      <c r="C76" s="1115"/>
      <c r="D76" s="1115"/>
      <c r="E76" s="1115"/>
      <c r="F76" s="1115"/>
      <c r="G76" s="1115"/>
      <c r="H76" s="1115"/>
      <c r="I76" s="1115"/>
      <c r="J76" s="1115"/>
      <c r="K76" s="1115"/>
      <c r="L76" s="1115"/>
      <c r="M76" s="1115"/>
      <c r="N76" s="1115"/>
      <c r="O76" s="1115"/>
      <c r="P76" s="1115"/>
      <c r="Q76" s="1115"/>
    </row>
    <row r="77" spans="1:17" s="723" customFormat="1" ht="18.75" customHeight="1">
      <c r="A77" s="858" t="s">
        <v>914</v>
      </c>
      <c r="B77" s="859" t="s">
        <v>879</v>
      </c>
      <c r="C77" s="1116">
        <f>+C78+C85+C89+C90</f>
        <v>332270.36</v>
      </c>
      <c r="D77" s="1116">
        <f t="shared" ref="D77:Q77" si="19">+D78+D85+D89+D90</f>
        <v>80034.399999999994</v>
      </c>
      <c r="E77" s="1116">
        <f t="shared" si="19"/>
        <v>1488433.9791999999</v>
      </c>
      <c r="F77" s="1116">
        <f t="shared" si="19"/>
        <v>972632.05836800102</v>
      </c>
      <c r="G77" s="1116">
        <f t="shared" si="19"/>
        <v>179537.34070272045</v>
      </c>
      <c r="H77" s="1116">
        <f t="shared" si="19"/>
        <v>186718.83433082834</v>
      </c>
      <c r="I77" s="1116">
        <f t="shared" si="19"/>
        <v>194187.587704062</v>
      </c>
      <c r="J77" s="1116">
        <f t="shared" si="19"/>
        <v>201955.0912122234</v>
      </c>
      <c r="K77" s="1116">
        <f t="shared" si="19"/>
        <v>1010033.2948607134</v>
      </c>
      <c r="L77" s="1116">
        <f t="shared" si="19"/>
        <v>218434.62665514316</v>
      </c>
      <c r="M77" s="1116">
        <f t="shared" si="19"/>
        <v>227172.01172134688</v>
      </c>
      <c r="N77" s="1116">
        <f t="shared" si="19"/>
        <v>236258.89219020132</v>
      </c>
      <c r="O77" s="1116">
        <f t="shared" si="19"/>
        <v>245709.2478778091</v>
      </c>
      <c r="P77" s="1116">
        <f t="shared" si="19"/>
        <v>255537.6177929221</v>
      </c>
      <c r="Q77" s="1116">
        <f t="shared" si="19"/>
        <v>265759.12250463903</v>
      </c>
    </row>
    <row r="78" spans="1:17" s="723" customFormat="1" ht="18.75" customHeight="1">
      <c r="A78" s="858" t="s">
        <v>915</v>
      </c>
      <c r="B78" s="877" t="s">
        <v>916</v>
      </c>
      <c r="C78" s="1116">
        <f>SUM(C79:C84)</f>
        <v>90324</v>
      </c>
      <c r="D78" s="1116">
        <f t="shared" ref="D78:Q78" si="20">SUM(D79:D84)</f>
        <v>83698</v>
      </c>
      <c r="E78" s="1116">
        <f t="shared" si="20"/>
        <v>105040</v>
      </c>
      <c r="F78" s="1116">
        <f t="shared" si="20"/>
        <v>113600.23999999993</v>
      </c>
      <c r="G78" s="1116">
        <f t="shared" si="20"/>
        <v>118144.24960000001</v>
      </c>
      <c r="H78" s="1116">
        <f t="shared" si="20"/>
        <v>122870.01958399998</v>
      </c>
      <c r="I78" s="1116">
        <f t="shared" si="20"/>
        <v>127784.82036736008</v>
      </c>
      <c r="J78" s="1116">
        <f t="shared" si="20"/>
        <v>132896.21318205434</v>
      </c>
      <c r="K78" s="1116">
        <f t="shared" si="20"/>
        <v>138212.0617093367</v>
      </c>
      <c r="L78" s="1116">
        <f t="shared" si="20"/>
        <v>143740.54417771008</v>
      </c>
      <c r="M78" s="1116">
        <f t="shared" si="20"/>
        <v>149490.16594481852</v>
      </c>
      <c r="N78" s="1116">
        <f t="shared" si="20"/>
        <v>155469.77258261119</v>
      </c>
      <c r="O78" s="1116">
        <f t="shared" si="20"/>
        <v>161688.56348591566</v>
      </c>
      <c r="P78" s="1116">
        <f t="shared" si="20"/>
        <v>168156.10602535211</v>
      </c>
      <c r="Q78" s="1116">
        <f t="shared" si="20"/>
        <v>174882.35026636638</v>
      </c>
    </row>
    <row r="79" spans="1:17" s="723" customFormat="1" ht="18.75" customHeight="1">
      <c r="A79" s="888" t="s">
        <v>1258</v>
      </c>
      <c r="B79" s="885" t="s">
        <v>917</v>
      </c>
      <c r="C79" s="1117">
        <f>+'Ingresos Proyecciones'!C27-'Ley 617'!P27</f>
        <v>0</v>
      </c>
      <c r="D79" s="1117">
        <f>+'Ingresos Proyecciones'!D27-'Ley 617'!Q27</f>
        <v>0</v>
      </c>
      <c r="E79" s="1117">
        <f>+'Ingresos Proyecciones'!E27-'Ley 617'!R27</f>
        <v>0</v>
      </c>
      <c r="F79" s="1117">
        <f>+'Ingresos Proyecciones'!F27-'Ley 617'!S27</f>
        <v>0</v>
      </c>
      <c r="G79" s="1117">
        <f>+'Ingresos Proyecciones'!G27-'Ley 617'!T27</f>
        <v>0</v>
      </c>
      <c r="H79" s="1117">
        <f>+'Ingresos Proyecciones'!H27-'Ley 617'!U27</f>
        <v>0</v>
      </c>
      <c r="I79" s="1117">
        <f>+'Ingresos Proyecciones'!I27-'Ley 617'!V27</f>
        <v>0</v>
      </c>
      <c r="J79" s="1117">
        <f>+'Ingresos Proyecciones'!J27-'Ley 617'!W27</f>
        <v>0</v>
      </c>
      <c r="K79" s="1117">
        <f>+'Ingresos Proyecciones'!K27-'Ley 617'!X27</f>
        <v>0</v>
      </c>
      <c r="L79" s="1117">
        <f>+'Ingresos Proyecciones'!L27-'Ley 617'!Y27</f>
        <v>0</v>
      </c>
      <c r="M79" s="1117">
        <f>+'Ingresos Proyecciones'!M27-'Ley 617'!Z27</f>
        <v>0</v>
      </c>
      <c r="N79" s="1117">
        <f>+'Ingresos Proyecciones'!N27-'Ley 617'!AA27</f>
        <v>0</v>
      </c>
      <c r="O79" s="1117">
        <f>+'Ingresos Proyecciones'!O27-'Ley 617'!AB27</f>
        <v>0</v>
      </c>
      <c r="P79" s="1117">
        <f>+'Ingresos Proyecciones'!P27-'Ley 617'!AC27</f>
        <v>0</v>
      </c>
      <c r="Q79" s="1117">
        <f>+'Ingresos Proyecciones'!Q27-'Ley 617'!AD27</f>
        <v>0</v>
      </c>
    </row>
    <row r="80" spans="1:17" s="723" customFormat="1" ht="18.75" customHeight="1">
      <c r="A80" s="888" t="s">
        <v>853</v>
      </c>
      <c r="B80" s="885" t="s">
        <v>918</v>
      </c>
      <c r="C80" s="1117">
        <f>+'Ingresos Proyecciones'!C29-'Ley 617'!P29</f>
        <v>0</v>
      </c>
      <c r="D80" s="1117">
        <f>+'Ingresos Proyecciones'!D29-'Ley 617'!Q29</f>
        <v>0</v>
      </c>
      <c r="E80" s="1117">
        <f>+'Ingresos Proyecciones'!E29-'Ley 617'!R29</f>
        <v>0</v>
      </c>
      <c r="F80" s="1117">
        <f>+'Ingresos Proyecciones'!F29-'Ley 617'!S29</f>
        <v>0</v>
      </c>
      <c r="G80" s="1117">
        <f>+'Ingresos Proyecciones'!G29-'Ley 617'!T29</f>
        <v>0</v>
      </c>
      <c r="H80" s="1117">
        <f>+'Ingresos Proyecciones'!H29-'Ley 617'!U29</f>
        <v>0</v>
      </c>
      <c r="I80" s="1117">
        <f>+'Ingresos Proyecciones'!I29-'Ley 617'!V29</f>
        <v>0</v>
      </c>
      <c r="J80" s="1117">
        <f>+'Ingresos Proyecciones'!J29-'Ley 617'!W29</f>
        <v>0</v>
      </c>
      <c r="K80" s="1117">
        <f>+'Ingresos Proyecciones'!K29-'Ley 617'!X29</f>
        <v>0</v>
      </c>
      <c r="L80" s="1117">
        <f>+'Ingresos Proyecciones'!L29-'Ley 617'!Y29</f>
        <v>0</v>
      </c>
      <c r="M80" s="1117">
        <f>+'Ingresos Proyecciones'!M29-'Ley 617'!Z29</f>
        <v>0</v>
      </c>
      <c r="N80" s="1117">
        <f>+'Ingresos Proyecciones'!N29-'Ley 617'!AA29</f>
        <v>0</v>
      </c>
      <c r="O80" s="1117">
        <f>+'Ingresos Proyecciones'!O29-'Ley 617'!AB29</f>
        <v>0</v>
      </c>
      <c r="P80" s="1117">
        <f>+'Ingresos Proyecciones'!P29-'Ley 617'!AC29</f>
        <v>0</v>
      </c>
      <c r="Q80" s="1117">
        <f>+'Ingresos Proyecciones'!Q29-'Ley 617'!AD29</f>
        <v>0</v>
      </c>
    </row>
    <row r="81" spans="1:17" s="723" customFormat="1" ht="18.75" customHeight="1">
      <c r="A81" s="888" t="s">
        <v>1264</v>
      </c>
      <c r="B81" s="885" t="s">
        <v>919</v>
      </c>
      <c r="C81" s="1117">
        <f>+'Ingresos Proyecciones'!C30-'Ley 617'!P30</f>
        <v>0</v>
      </c>
      <c r="D81" s="1117">
        <f>+'Ingresos Proyecciones'!D30-'Ley 617'!Q30</f>
        <v>0</v>
      </c>
      <c r="E81" s="1117">
        <f>+'Ingresos Proyecciones'!E30-'Ley 617'!R30</f>
        <v>0</v>
      </c>
      <c r="F81" s="1117">
        <f>+'Ingresos Proyecciones'!F30-'Ley 617'!S30</f>
        <v>0</v>
      </c>
      <c r="G81" s="1117">
        <f>+'Ingresos Proyecciones'!G30-'Ley 617'!T30</f>
        <v>0</v>
      </c>
      <c r="H81" s="1117">
        <f>+'Ingresos Proyecciones'!H30-'Ley 617'!U30</f>
        <v>0</v>
      </c>
      <c r="I81" s="1117">
        <f>+'Ingresos Proyecciones'!I30-'Ley 617'!V30</f>
        <v>0</v>
      </c>
      <c r="J81" s="1117">
        <f>+'Ingresos Proyecciones'!J30-'Ley 617'!W30</f>
        <v>0</v>
      </c>
      <c r="K81" s="1117">
        <f>+'Ingresos Proyecciones'!K30-'Ley 617'!X30</f>
        <v>0</v>
      </c>
      <c r="L81" s="1117">
        <f>+'Ingresos Proyecciones'!L30-'Ley 617'!Y30</f>
        <v>0</v>
      </c>
      <c r="M81" s="1117">
        <f>+'Ingresos Proyecciones'!M30-'Ley 617'!Z30</f>
        <v>0</v>
      </c>
      <c r="N81" s="1117">
        <f>+'Ingresos Proyecciones'!N30-'Ley 617'!AA30</f>
        <v>0</v>
      </c>
      <c r="O81" s="1117">
        <f>+'Ingresos Proyecciones'!O30-'Ley 617'!AB30</f>
        <v>0</v>
      </c>
      <c r="P81" s="1117">
        <f>+'Ingresos Proyecciones'!P30-'Ley 617'!AC30</f>
        <v>0</v>
      </c>
      <c r="Q81" s="1117">
        <f>+'Ingresos Proyecciones'!Q30-'Ley 617'!AD30</f>
        <v>0</v>
      </c>
    </row>
    <row r="82" spans="1:17" s="723" customFormat="1" ht="18.75" customHeight="1">
      <c r="A82" s="888" t="s">
        <v>1266</v>
      </c>
      <c r="B82" s="885" t="s">
        <v>920</v>
      </c>
      <c r="C82" s="1117">
        <f>('Ingresos Proyecciones'!C31-'Ley 617'!P31)*(1-'Ingresos Proyecciones'!C154)</f>
        <v>56514</v>
      </c>
      <c r="D82" s="1117">
        <f>('Ingresos Proyecciones'!D31-'Ley 617'!Q31)*(1-'Ingresos Proyecciones'!D154)</f>
        <v>46000</v>
      </c>
      <c r="E82" s="1117">
        <f>('Ingresos Proyecciones'!E31-'Ley 617'!R31)*(1-'Ingresos Proyecciones'!E154)</f>
        <v>42951</v>
      </c>
      <c r="F82" s="1117">
        <f>('Ingresos Proyecciones'!F31-'Ley 617'!S31)*(1-'Ingresos Proyecciones'!F154)</f>
        <v>44669.04</v>
      </c>
      <c r="G82" s="1117">
        <f>('Ingresos Proyecciones'!G31-'Ley 617'!T31)*(1-'Ingresos Proyecciones'!G154)</f>
        <v>46455.801599999999</v>
      </c>
      <c r="H82" s="1117">
        <f>('Ingresos Proyecciones'!H31-'Ley 617'!U31)*(1-'Ingresos Proyecciones'!H154)</f>
        <v>48314.033664000002</v>
      </c>
      <c r="I82" s="1117">
        <f>('Ingresos Proyecciones'!I31-'Ley 617'!V31)*(1-'Ingresos Proyecciones'!I154)</f>
        <v>50246.595010560006</v>
      </c>
      <c r="J82" s="1117">
        <f>('Ingresos Proyecciones'!J31-'Ley 617'!W31)*(1-'Ingresos Proyecciones'!J154)</f>
        <v>52256.458810982411</v>
      </c>
      <c r="K82" s="1117">
        <f>('Ingresos Proyecciones'!K31-'Ley 617'!X31)*(1-'Ingresos Proyecciones'!K154)</f>
        <v>54346.717163421708</v>
      </c>
      <c r="L82" s="1117">
        <f>('Ingresos Proyecciones'!L31-'Ley 617'!Y31)*(1-'Ingresos Proyecciones'!L154)</f>
        <v>56520.585849958581</v>
      </c>
      <c r="M82" s="1117">
        <f>('Ingresos Proyecciones'!M31-'Ley 617'!Z31)*(1-'Ingresos Proyecciones'!M154)</f>
        <v>58781.409283956928</v>
      </c>
      <c r="N82" s="1117">
        <f>('Ingresos Proyecciones'!N31-'Ley 617'!AA31)*(1-'Ingresos Proyecciones'!N154)</f>
        <v>61132.665655315206</v>
      </c>
      <c r="O82" s="1117">
        <f>('Ingresos Proyecciones'!O31-'Ley 617'!AB31)*(1-'Ingresos Proyecciones'!O154)</f>
        <v>63577.972281527815</v>
      </c>
      <c r="P82" s="1117">
        <f>('Ingresos Proyecciones'!P31-'Ley 617'!AC31)*(1-'Ingresos Proyecciones'!P154)</f>
        <v>66121.091172788932</v>
      </c>
      <c r="Q82" s="1117">
        <f>('Ingresos Proyecciones'!Q31-'Ley 617'!AD31)*(1-'Ingresos Proyecciones'!Q154)</f>
        <v>68765.934819700487</v>
      </c>
    </row>
    <row r="83" spans="1:17" s="723" customFormat="1" ht="18.75" customHeight="1">
      <c r="A83" s="888" t="s">
        <v>1280</v>
      </c>
      <c r="B83" s="885" t="s">
        <v>921</v>
      </c>
      <c r="C83" s="1117">
        <f>('Ingresos Proyecciones'!C38-'Ley 617'!P38)*(1-'Ingresos Proyecciones'!C155)</f>
        <v>0</v>
      </c>
      <c r="D83" s="1117">
        <f>('Ingresos Proyecciones'!D38-'Ley 617'!Q38)*(1-'Ingresos Proyecciones'!D155)</f>
        <v>0</v>
      </c>
      <c r="E83" s="1117">
        <f>('Ingresos Proyecciones'!E38-'Ley 617'!R38)*(1-'Ingresos Proyecciones'!E155)</f>
        <v>0</v>
      </c>
      <c r="F83" s="1117">
        <f>('Ingresos Proyecciones'!F38-'Ley 617'!S38)*(1-'Ingresos Proyecciones'!F155)</f>
        <v>0</v>
      </c>
      <c r="G83" s="1117">
        <f>('Ingresos Proyecciones'!G38-'Ley 617'!T38)*(1-'Ingresos Proyecciones'!G155)</f>
        <v>0</v>
      </c>
      <c r="H83" s="1117">
        <f>('Ingresos Proyecciones'!H38-'Ley 617'!U38)*(1-'Ingresos Proyecciones'!H155)</f>
        <v>0</v>
      </c>
      <c r="I83" s="1117">
        <f>('Ingresos Proyecciones'!I38-'Ley 617'!V38)*(1-'Ingresos Proyecciones'!I155)</f>
        <v>0</v>
      </c>
      <c r="J83" s="1117">
        <f>('Ingresos Proyecciones'!J38-'Ley 617'!W38)*(1-'Ingresos Proyecciones'!J155)</f>
        <v>0</v>
      </c>
      <c r="K83" s="1117">
        <f>('Ingresos Proyecciones'!K38-'Ley 617'!X38)*(1-'Ingresos Proyecciones'!K155)</f>
        <v>0</v>
      </c>
      <c r="L83" s="1117">
        <f>('Ingresos Proyecciones'!L38-'Ley 617'!Y38)*(1-'Ingresos Proyecciones'!L155)</f>
        <v>0</v>
      </c>
      <c r="M83" s="1117">
        <f>('Ingresos Proyecciones'!M38-'Ley 617'!Z38)*(1-'Ingresos Proyecciones'!M155)</f>
        <v>0</v>
      </c>
      <c r="N83" s="1117">
        <f>('Ingresos Proyecciones'!N38-'Ley 617'!AA38)*(1-'Ingresos Proyecciones'!N155)</f>
        <v>0</v>
      </c>
      <c r="O83" s="1117">
        <f>('Ingresos Proyecciones'!O38-'Ley 617'!AB38)*(1-'Ingresos Proyecciones'!O155)</f>
        <v>0</v>
      </c>
      <c r="P83" s="1117">
        <f>('Ingresos Proyecciones'!P38-'Ley 617'!AC38)*(1-'Ingresos Proyecciones'!P155)</f>
        <v>0</v>
      </c>
      <c r="Q83" s="1117">
        <f>('Ingresos Proyecciones'!Q38-'Ley 617'!AD38)*(1-'Ingresos Proyecciones'!Q155)</f>
        <v>0</v>
      </c>
    </row>
    <row r="84" spans="1:17" s="723" customFormat="1" ht="18.75" customHeight="1">
      <c r="A84" s="858" t="s">
        <v>922</v>
      </c>
      <c r="B84" s="885" t="s">
        <v>923</v>
      </c>
      <c r="C84" s="1117">
        <f>+('Ingresos Proyecciones'!C26-'Ingresos Proyecciones'!C27-'Ingresos Proyecciones'!C29-'Ingresos Proyecciones'!C30-'Ingresos Proyecciones'!C31-'Ingresos Proyecciones'!C33-'Ingresos Proyecciones'!C38)-('Ley 617'!P26-'Ley 617'!P27-'Ley 617'!P29-'Ley 617'!P30-'Ley 617'!P31-'Ley 617'!P33-'Ley 617'!P38)</f>
        <v>33810</v>
      </c>
      <c r="D84" s="1117">
        <f>+('Ingresos Proyecciones'!D26-'Ingresos Proyecciones'!D27-'Ingresos Proyecciones'!D29-'Ingresos Proyecciones'!D30-'Ingresos Proyecciones'!D31-'Ingresos Proyecciones'!D33-'Ingresos Proyecciones'!D38)-('Ley 617'!Q26-'Ley 617'!Q27-'Ley 617'!Q29-'Ley 617'!Q30-'Ley 617'!Q31-'Ley 617'!Q33-'Ley 617'!Q38)</f>
        <v>37698</v>
      </c>
      <c r="E84" s="1117">
        <f>+('Ingresos Proyecciones'!E26-'Ingresos Proyecciones'!E27-'Ingresos Proyecciones'!E29-'Ingresos Proyecciones'!E30-'Ingresos Proyecciones'!E31-'Ingresos Proyecciones'!E33-'Ingresos Proyecciones'!E38)-('Ley 617'!R26-'Ley 617'!R27-'Ley 617'!R29-'Ley 617'!R30-'Ley 617'!R31-'Ley 617'!R33-'Ley 617'!R38)</f>
        <v>62089</v>
      </c>
      <c r="F84" s="1117">
        <f>+('Ingresos Proyecciones'!F26-'Ingresos Proyecciones'!F27-'Ingresos Proyecciones'!F29-'Ingresos Proyecciones'!F30-'Ingresos Proyecciones'!F31-'Ingresos Proyecciones'!F33-'Ingresos Proyecciones'!F38)-('Ley 617'!S26-'Ley 617'!S27-'Ley 617'!S29-'Ley 617'!S30-'Ley 617'!S31-'Ley 617'!S33-'Ley 617'!S38)</f>
        <v>68931.199999999924</v>
      </c>
      <c r="G84" s="1117">
        <f>+('Ingresos Proyecciones'!G26-'Ingresos Proyecciones'!G27-'Ingresos Proyecciones'!G29-'Ingresos Proyecciones'!G30-'Ingresos Proyecciones'!G31-'Ingresos Proyecciones'!G33-'Ingresos Proyecciones'!G38)-('Ley 617'!T26-'Ley 617'!T27-'Ley 617'!T29-'Ley 617'!T30-'Ley 617'!T31-'Ley 617'!T33-'Ley 617'!T38)</f>
        <v>71688.448000000019</v>
      </c>
      <c r="H84" s="1117">
        <f>+('Ingresos Proyecciones'!H26-'Ingresos Proyecciones'!H27-'Ingresos Proyecciones'!H29-'Ingresos Proyecciones'!H30-'Ingresos Proyecciones'!H31-'Ingresos Proyecciones'!H33-'Ingresos Proyecciones'!H38)-('Ley 617'!U26-'Ley 617'!U27-'Ley 617'!U29-'Ley 617'!U30-'Ley 617'!U31-'Ley 617'!U33-'Ley 617'!U38)</f>
        <v>74555.985919999977</v>
      </c>
      <c r="I84" s="1117">
        <f>+('Ingresos Proyecciones'!I26-'Ingresos Proyecciones'!I27-'Ingresos Proyecciones'!I29-'Ingresos Proyecciones'!I30-'Ingresos Proyecciones'!I31-'Ingresos Proyecciones'!I33-'Ingresos Proyecciones'!I38)-('Ley 617'!V26-'Ley 617'!V27-'Ley 617'!V29-'Ley 617'!V30-'Ley 617'!V31-'Ley 617'!V33-'Ley 617'!V38)</f>
        <v>77538.225356800074</v>
      </c>
      <c r="J84" s="1117">
        <f>+('Ingresos Proyecciones'!J26-'Ingresos Proyecciones'!J27-'Ingresos Proyecciones'!J29-'Ingresos Proyecciones'!J30-'Ingresos Proyecciones'!J31-'Ingresos Proyecciones'!J33-'Ingresos Proyecciones'!J38)-('Ley 617'!W26-'Ley 617'!W27-'Ley 617'!W29-'Ley 617'!W30-'Ley 617'!W31-'Ley 617'!W33-'Ley 617'!W38)</f>
        <v>80639.754371071933</v>
      </c>
      <c r="K84" s="1117">
        <f>+('Ingresos Proyecciones'!K26-'Ingresos Proyecciones'!K27-'Ingresos Proyecciones'!K29-'Ingresos Proyecciones'!K30-'Ingresos Proyecciones'!K31-'Ingresos Proyecciones'!K33-'Ingresos Proyecciones'!K38)-('Ley 617'!X26-'Ley 617'!X27-'Ley 617'!X29-'Ley 617'!X30-'Ley 617'!X31-'Ley 617'!X33-'Ley 617'!X38)</f>
        <v>83865.344545914995</v>
      </c>
      <c r="L84" s="1117">
        <f>+('Ingresos Proyecciones'!L26-'Ingresos Proyecciones'!L27-'Ingresos Proyecciones'!L29-'Ingresos Proyecciones'!L30-'Ingresos Proyecciones'!L31-'Ingresos Proyecciones'!L33-'Ingresos Proyecciones'!L38)-('Ley 617'!Y26-'Ley 617'!Y27-'Ley 617'!Y29-'Ley 617'!Y30-'Ley 617'!Y31-'Ley 617'!Y33-'Ley 617'!Y38)</f>
        <v>87219.95832775149</v>
      </c>
      <c r="M84" s="1117">
        <f>+('Ingresos Proyecciones'!M26-'Ingresos Proyecciones'!M27-'Ingresos Proyecciones'!M29-'Ingresos Proyecciones'!M30-'Ingresos Proyecciones'!M31-'Ingresos Proyecciones'!M33-'Ingresos Proyecciones'!M38)-('Ley 617'!Z26-'Ley 617'!Z27-'Ley 617'!Z29-'Ley 617'!Z30-'Ley 617'!Z31-'Ley 617'!Z33-'Ley 617'!Z38)</f>
        <v>90708.756660861603</v>
      </c>
      <c r="N84" s="1117">
        <f>+('Ingresos Proyecciones'!N26-'Ingresos Proyecciones'!N27-'Ingresos Proyecciones'!N29-'Ingresos Proyecciones'!N30-'Ingresos Proyecciones'!N31-'Ingresos Proyecciones'!N33-'Ingresos Proyecciones'!N38)-('Ley 617'!AA26-'Ley 617'!AA27-'Ley 617'!AA29-'Ley 617'!AA30-'Ley 617'!AA31-'Ley 617'!AA33-'Ley 617'!AA38)</f>
        <v>94337.106927295972</v>
      </c>
      <c r="O84" s="1117">
        <f>+('Ingresos Proyecciones'!O26-'Ingresos Proyecciones'!O27-'Ingresos Proyecciones'!O29-'Ingresos Proyecciones'!O30-'Ingresos Proyecciones'!O31-'Ingresos Proyecciones'!O33-'Ingresos Proyecciones'!O38)-('Ley 617'!AB26-'Ley 617'!AB27-'Ley 617'!AB29-'Ley 617'!AB30-'Ley 617'!AB31-'Ley 617'!AB33-'Ley 617'!AB38)</f>
        <v>98110.591204387849</v>
      </c>
      <c r="P84" s="1117">
        <f>+('Ingresos Proyecciones'!P26-'Ingresos Proyecciones'!P27-'Ingresos Proyecciones'!P29-'Ingresos Proyecciones'!P30-'Ingresos Proyecciones'!P31-'Ingresos Proyecciones'!P33-'Ingresos Proyecciones'!P38)-('Ley 617'!AC26-'Ley 617'!AC27-'Ley 617'!AC29-'Ley 617'!AC30-'Ley 617'!AC31-'Ley 617'!AC33-'Ley 617'!AC38)</f>
        <v>102035.01485256318</v>
      </c>
      <c r="Q84" s="1117">
        <f>+('Ingresos Proyecciones'!Q26-'Ingresos Proyecciones'!Q27-'Ingresos Proyecciones'!Q29-'Ingresos Proyecciones'!Q30-'Ingresos Proyecciones'!Q31-'Ingresos Proyecciones'!Q33-'Ingresos Proyecciones'!Q38)-('Ley 617'!AD26-'Ley 617'!AD27-'Ley 617'!AD29-'Ley 617'!AD30-'Ley 617'!AD31-'Ley 617'!AD33-'Ley 617'!AD38)</f>
        <v>106116.41544666589</v>
      </c>
    </row>
    <row r="85" spans="1:17" s="723" customFormat="1" ht="18.75" customHeight="1">
      <c r="A85" s="858" t="s">
        <v>924</v>
      </c>
      <c r="B85" s="859" t="s">
        <v>925</v>
      </c>
      <c r="C85" s="1116">
        <f>+C86+C87+C88</f>
        <v>-61349.94</v>
      </c>
      <c r="D85" s="1116">
        <f t="shared" ref="D85:Q85" si="21">+D86+D87+D88</f>
        <v>-310496.18</v>
      </c>
      <c r="E85" s="1116">
        <f t="shared" si="21"/>
        <v>-419130</v>
      </c>
      <c r="F85" s="1116">
        <f t="shared" si="21"/>
        <v>-259495.19999999896</v>
      </c>
      <c r="G85" s="1116">
        <f t="shared" si="21"/>
        <v>-269875.00799999951</v>
      </c>
      <c r="H85" s="1116">
        <f t="shared" si="21"/>
        <v>-280670.00832000049</v>
      </c>
      <c r="I85" s="1116">
        <f t="shared" si="21"/>
        <v>-291896.80865279998</v>
      </c>
      <c r="J85" s="1116">
        <f t="shared" si="21"/>
        <v>-303572.68099891301</v>
      </c>
      <c r="K85" s="1116">
        <f t="shared" si="21"/>
        <v>-315715.58823886898</v>
      </c>
      <c r="L85" s="1116">
        <f t="shared" si="21"/>
        <v>-328344.2117684221</v>
      </c>
      <c r="M85" s="1116">
        <f t="shared" si="21"/>
        <v>-341477.98023916117</v>
      </c>
      <c r="N85" s="1116">
        <f t="shared" si="21"/>
        <v>-355137.09944872675</v>
      </c>
      <c r="O85" s="1116">
        <f t="shared" si="21"/>
        <v>-369342.58342667622</v>
      </c>
      <c r="P85" s="1116">
        <f t="shared" si="21"/>
        <v>-384116.28676374257</v>
      </c>
      <c r="Q85" s="1116">
        <f t="shared" si="21"/>
        <v>-399480.93823429244</v>
      </c>
    </row>
    <row r="86" spans="1:17" s="723" customFormat="1" ht="18.75" customHeight="1">
      <c r="A86" s="868" t="s">
        <v>1340</v>
      </c>
      <c r="B86" s="869" t="s">
        <v>926</v>
      </c>
      <c r="C86" s="1187">
        <f>IF(Ingresos!$B$10&lt;=2003,('Ingresos Proyecciones'!C68*0.49*(1-'Ingresos Proyecciones'!C158)),('Ingresos Proyecciones'!C68*0.42*(1-'Ingresos Proyecciones'!C158)))</f>
        <v>376779.06</v>
      </c>
      <c r="D86" s="1187">
        <f>IF(Ingresos!$B$10+1&lt;=2003,('Ingresos Proyecciones'!D68*0.49*(1-'Ingresos Proyecciones'!D158)),('Ingresos Proyecciones'!D68*0.42*(1-'Ingresos Proyecciones'!D158)))</f>
        <v>355748.82</v>
      </c>
      <c r="E86" s="1187">
        <f>IF(Ingresos!$B$10+2&lt;=2003,('Ingresos Proyecciones'!E68*0.49*(1-'Ingresos Proyecciones'!E158)),('Ingresos Proyecciones'!E68*0.42*(1-'Ingresos Proyecciones'!E158)))</f>
        <v>316092</v>
      </c>
      <c r="F86" s="1187">
        <f>IF(Ingresos!$B$10+3&lt;=2003,('Ingresos Proyecciones'!F68*0.49*(1-'Ingresos Proyecciones'!F158)),('Ingresos Proyecciones'!F68*0.42*(1-'Ingresos Proyecciones'!F158)))</f>
        <v>328735.68</v>
      </c>
      <c r="G86" s="1187">
        <f>IF(Ingresos!$B$10+4&lt;=2003,('Ingresos Proyecciones'!G68*0.49*(1-'Ingresos Proyecciones'!G158)),('Ingresos Proyecciones'!G68*0.42*(1-'Ingresos Proyecciones'!G158)))</f>
        <v>341885.10720000003</v>
      </c>
      <c r="H86" s="1187">
        <f>IF(Ingresos!$B$10+5&lt;=2003,('Ingresos Proyecciones'!H68*0.49*(1-'Ingresos Proyecciones'!H158)),('Ingresos Proyecciones'!H68*0.42*(1-'Ingresos Proyecciones'!H158)))</f>
        <v>355560.51148800005</v>
      </c>
      <c r="I86" s="1187">
        <f>IF(Ingresos!$B$10+6&lt;=2003,('Ingresos Proyecciones'!I68*0.49*(1-'Ingresos Proyecciones'!I158)),('Ingresos Proyecciones'!I68*0.42*(1-'Ingresos Proyecciones'!I158)))</f>
        <v>369782.93194752006</v>
      </c>
      <c r="J86" s="1187">
        <f>IF(Ingresos!$B$10+7&lt;=2003,('Ingresos Proyecciones'!J68*0.49*(1-'Ingresos Proyecciones'!J158)),('Ingresos Proyecciones'!J68*0.42*(1-'Ingresos Proyecciones'!J158)))</f>
        <v>384574.24922542088</v>
      </c>
      <c r="K86" s="1187">
        <f>IF(Ingresos!$B$10+8&lt;=2003,('Ingresos Proyecciones'!K68*0.49*(1-'Ingresos Proyecciones'!K158)),('Ingresos Proyecciones'!K68*0.42*(1-'Ingresos Proyecciones'!K158)))</f>
        <v>399957.21919443773</v>
      </c>
      <c r="L86" s="1187">
        <f>IF(Ingresos!$B$10+9&lt;=2003,('Ingresos Proyecciones'!L68*0.49*(1-'Ingresos Proyecciones'!L158)),('Ingresos Proyecciones'!L68*0.42*(1-'Ingresos Proyecciones'!L158)))</f>
        <v>415955.50796221528</v>
      </c>
      <c r="M86" s="1187">
        <f>IF(Ingresos!$B$10+10&lt;=2003,('Ingresos Proyecciones'!M68*0.49*(1-'Ingresos Proyecciones'!M158)),('Ingresos Proyecciones'!M68*0.42*(1-'Ingresos Proyecciones'!M158)))</f>
        <v>432593.72828070389</v>
      </c>
      <c r="N86" s="1187">
        <f>IF(Ingresos!$B$10+11&lt;=2003,('Ingresos Proyecciones'!N68*0.49*(1-'Ingresos Proyecciones'!N158)),('Ingresos Proyecciones'!N68*0.42*(1-'Ingresos Proyecciones'!N158)))</f>
        <v>449897.47741193208</v>
      </c>
      <c r="O86" s="1187">
        <f>IF(Ingresos!$B$10+12&lt;=2003,('Ingresos Proyecciones'!O68*0.49*(1-'Ingresos Proyecciones'!O158)),('Ingresos Proyecciones'!O68*0.42*(1-'Ingresos Proyecciones'!O158)))</f>
        <v>467893.37650840939</v>
      </c>
      <c r="P86" s="1187">
        <f>IF(Ingresos!$B$10+13&lt;=2003,('Ingresos Proyecciones'!P68*0.49*(1-'Ingresos Proyecciones'!P158)),('Ingresos Proyecciones'!P68*0.42*(1-'Ingresos Proyecciones'!P158)))</f>
        <v>486609.11156874581</v>
      </c>
      <c r="Q86" s="1187">
        <f>IF(Ingresos!$B$10+14&lt;=2003,('Ingresos Proyecciones'!Q68*0.49*(1-'Ingresos Proyecciones'!Q158)),('Ingresos Proyecciones'!Q68*0.42*(1-'Ingresos Proyecciones'!Q158)))</f>
        <v>506073.47603149561</v>
      </c>
    </row>
    <row r="87" spans="1:17" s="723" customFormat="1" ht="18.75" customHeight="1">
      <c r="A87" s="864" t="s">
        <v>1344</v>
      </c>
      <c r="B87" s="869" t="s">
        <v>927</v>
      </c>
      <c r="C87" s="1117">
        <f>+('Ingresos Proyecciones'!C70-'Ley 617'!P70)*(1-'Ingresos Proyecciones'!C159)</f>
        <v>0</v>
      </c>
      <c r="D87" s="1117">
        <f>+('Ingresos Proyecciones'!D70-'Ley 617'!Q70)*(1-'Ingresos Proyecciones'!D159)</f>
        <v>0</v>
      </c>
      <c r="E87" s="1117">
        <f>+('Ingresos Proyecciones'!E70-'Ley 617'!R70)*(1-'Ingresos Proyecciones'!E159)</f>
        <v>0</v>
      </c>
      <c r="F87" s="1117">
        <f>+('Ingresos Proyecciones'!F70-'Ley 617'!S70)*(1-'Ingresos Proyecciones'!F159)</f>
        <v>0</v>
      </c>
      <c r="G87" s="1117">
        <f>+('Ingresos Proyecciones'!G70-'Ley 617'!T70)*(1-'Ingresos Proyecciones'!G159)</f>
        <v>0</v>
      </c>
      <c r="H87" s="1117">
        <f>+('Ingresos Proyecciones'!H70-'Ley 617'!U70)*(1-'Ingresos Proyecciones'!H159)</f>
        <v>0</v>
      </c>
      <c r="I87" s="1117">
        <f>+('Ingresos Proyecciones'!I70-'Ley 617'!V70)*(1-'Ingresos Proyecciones'!I159)</f>
        <v>0</v>
      </c>
      <c r="J87" s="1117">
        <f>+('Ingresos Proyecciones'!J70-'Ley 617'!W70)*(1-'Ingresos Proyecciones'!J159)</f>
        <v>0</v>
      </c>
      <c r="K87" s="1117">
        <f>+('Ingresos Proyecciones'!K70-'Ley 617'!X70)*(1-'Ingresos Proyecciones'!K159)</f>
        <v>0</v>
      </c>
      <c r="L87" s="1117">
        <f>+('Ingresos Proyecciones'!L70-'Ley 617'!Y70)*(1-'Ingresos Proyecciones'!L159)</f>
        <v>0</v>
      </c>
      <c r="M87" s="1117">
        <f>+('Ingresos Proyecciones'!M70-'Ley 617'!Z70)*(1-'Ingresos Proyecciones'!M159)</f>
        <v>0</v>
      </c>
      <c r="N87" s="1117">
        <f>+('Ingresos Proyecciones'!N70-'Ley 617'!AA70)*(1-'Ingresos Proyecciones'!N159)</f>
        <v>0</v>
      </c>
      <c r="O87" s="1117">
        <f>+('Ingresos Proyecciones'!O70-'Ley 617'!AB70)*(1-'Ingresos Proyecciones'!O159)</f>
        <v>0</v>
      </c>
      <c r="P87" s="1117">
        <f>+('Ingresos Proyecciones'!P70-'Ley 617'!AC70)*(1-'Ingresos Proyecciones'!P159)</f>
        <v>0</v>
      </c>
      <c r="Q87" s="1117">
        <f>+('Ingresos Proyecciones'!Q70-'Ley 617'!AD70)*(1-'Ingresos Proyecciones'!Q159)</f>
        <v>0</v>
      </c>
    </row>
    <row r="88" spans="1:17" s="723" customFormat="1" ht="18.75" customHeight="1">
      <c r="A88" s="858" t="s">
        <v>928</v>
      </c>
      <c r="B88" s="869" t="s">
        <v>1013</v>
      </c>
      <c r="C88" s="1117">
        <f>+('Ingresos Proyecciones'!C47-'Ley 617'!P47)-'Ingresos Proyecciones'!C59-'Ingresos Proyecciones'!C62-'Ingresos Proyecciones'!C68-('Ingresos Proyecciones'!C70-'Ley 617'!P70)-'Ingresos Proyecciones'!C72-'Ingresos Proyecciones'!C73</f>
        <v>-438129</v>
      </c>
      <c r="D88" s="1117">
        <f>+('Ingresos Proyecciones'!D47-'Ley 617'!Q47)-'Ingresos Proyecciones'!D59-'Ingresos Proyecciones'!D62-'Ingresos Proyecciones'!D68-('Ingresos Proyecciones'!D70-'Ley 617'!Q70)-'Ingresos Proyecciones'!D72-'Ingresos Proyecciones'!D73</f>
        <v>-666245</v>
      </c>
      <c r="E88" s="1117">
        <f>+('Ingresos Proyecciones'!E47-'Ley 617'!R47)-'Ingresos Proyecciones'!E59-'Ingresos Proyecciones'!E62-'Ingresos Proyecciones'!E68-('Ingresos Proyecciones'!E70-'Ley 617'!R70)-'Ingresos Proyecciones'!E72-'Ingresos Proyecciones'!E73</f>
        <v>-735222</v>
      </c>
      <c r="F88" s="1117">
        <f>+('Ingresos Proyecciones'!F47-'Ley 617'!S47)-'Ingresos Proyecciones'!F59-'Ingresos Proyecciones'!F62-'Ingresos Proyecciones'!F68-('Ingresos Proyecciones'!F70-'Ley 617'!S70)-'Ingresos Proyecciones'!F72-'Ingresos Proyecciones'!F73</f>
        <v>-588230.87999999896</v>
      </c>
      <c r="G88" s="1117">
        <f>+('Ingresos Proyecciones'!G47-'Ley 617'!T47)-'Ingresos Proyecciones'!G59-'Ingresos Proyecciones'!G62-'Ingresos Proyecciones'!G68-('Ingresos Proyecciones'!G70-'Ley 617'!T70)-'Ingresos Proyecciones'!G72-'Ingresos Proyecciones'!G73</f>
        <v>-611760.11519999953</v>
      </c>
      <c r="H88" s="1117">
        <f>+('Ingresos Proyecciones'!H47-'Ley 617'!U47)-'Ingresos Proyecciones'!H59-'Ingresos Proyecciones'!H62-'Ingresos Proyecciones'!H68-('Ingresos Proyecciones'!H70-'Ley 617'!U70)-'Ingresos Proyecciones'!H72-'Ingresos Proyecciones'!H73</f>
        <v>-636230.51980800054</v>
      </c>
      <c r="I88" s="1117">
        <f>+('Ingresos Proyecciones'!I47-'Ley 617'!V47)-'Ingresos Proyecciones'!I59-'Ingresos Proyecciones'!I62-'Ingresos Proyecciones'!I68-('Ingresos Proyecciones'!I70-'Ley 617'!V70)-'Ingresos Proyecciones'!I72-'Ingresos Proyecciones'!I73</f>
        <v>-661679.74060032004</v>
      </c>
      <c r="J88" s="1117">
        <f>+('Ingresos Proyecciones'!J47-'Ley 617'!W47)-'Ingresos Proyecciones'!J59-'Ingresos Proyecciones'!J62-'Ingresos Proyecciones'!J68-('Ingresos Proyecciones'!J70-'Ley 617'!W70)-'Ingresos Proyecciones'!J72-'Ingresos Proyecciones'!J73</f>
        <v>-688146.93022433389</v>
      </c>
      <c r="K88" s="1117">
        <f>+('Ingresos Proyecciones'!K47-'Ley 617'!X47)-'Ingresos Proyecciones'!K59-'Ingresos Proyecciones'!K62-'Ingresos Proyecciones'!K68-('Ingresos Proyecciones'!K70-'Ley 617'!X70)-'Ingresos Proyecciones'!K72-'Ingresos Proyecciones'!K73</f>
        <v>-715672.80743330671</v>
      </c>
      <c r="L88" s="1117">
        <f>+('Ingresos Proyecciones'!L47-'Ley 617'!Y47)-'Ingresos Proyecciones'!L59-'Ingresos Proyecciones'!L62-'Ingresos Proyecciones'!L68-('Ingresos Proyecciones'!L70-'Ley 617'!Y70)-'Ingresos Proyecciones'!L72-'Ingresos Proyecciones'!L73</f>
        <v>-744299.71973063739</v>
      </c>
      <c r="M88" s="1117">
        <f>+('Ingresos Proyecciones'!M47-'Ley 617'!Z47)-'Ingresos Proyecciones'!M59-'Ingresos Proyecciones'!M62-'Ingresos Proyecciones'!M68-('Ingresos Proyecciones'!M70-'Ley 617'!Z70)-'Ingresos Proyecciones'!M72-'Ingresos Proyecciones'!M73</f>
        <v>-774071.70851986506</v>
      </c>
      <c r="N88" s="1117">
        <f>+('Ingresos Proyecciones'!N47-'Ley 617'!AA47)-'Ingresos Proyecciones'!N59-'Ingresos Proyecciones'!N62-'Ingresos Proyecciones'!N68-('Ingresos Proyecciones'!N70-'Ley 617'!AA70)-'Ingresos Proyecciones'!N72-'Ingresos Proyecciones'!N73</f>
        <v>-805034.57686065882</v>
      </c>
      <c r="O88" s="1117">
        <f>+('Ingresos Proyecciones'!O47-'Ley 617'!AB47)-'Ingresos Proyecciones'!O59-'Ingresos Proyecciones'!O62-'Ingresos Proyecciones'!O68-('Ingresos Proyecciones'!O70-'Ley 617'!AB70)-'Ingresos Proyecciones'!O72-'Ingresos Proyecciones'!O73</f>
        <v>-837235.95993508562</v>
      </c>
      <c r="P88" s="1117">
        <f>+('Ingresos Proyecciones'!P47-'Ley 617'!AC47)-'Ingresos Proyecciones'!P59-'Ingresos Proyecciones'!P62-'Ingresos Proyecciones'!P68-('Ingresos Proyecciones'!P70-'Ley 617'!AC70)-'Ingresos Proyecciones'!P72-'Ingresos Proyecciones'!P73</f>
        <v>-870725.39833248837</v>
      </c>
      <c r="Q88" s="1117">
        <f>+('Ingresos Proyecciones'!Q47-'Ley 617'!AD47)-'Ingresos Proyecciones'!Q59-'Ingresos Proyecciones'!Q62-'Ingresos Proyecciones'!Q68-('Ingresos Proyecciones'!Q70-'Ley 617'!AD70)-'Ingresos Proyecciones'!Q72-'Ingresos Proyecciones'!Q73</f>
        <v>-905554.41426578804</v>
      </c>
    </row>
    <row r="89" spans="1:17" s="723" customFormat="1" ht="18.75" customHeight="1">
      <c r="A89" s="858" t="s">
        <v>930</v>
      </c>
      <c r="B89" s="1188" t="s">
        <v>931</v>
      </c>
      <c r="C89" s="1190">
        <f>+'Ingresos Proyecciones'!C118*0.15+('Ingresos Proyecciones'!C68-'Fuentes y Usos Proyecciones'!C64-'Fuentes y Usos Proyecciones'!C71-'Fuentes y Usos Proyecciones'!C86-'Fuentes y Usos Proyecciones'!C121)</f>
        <v>89709.299999999988</v>
      </c>
      <c r="D89" s="1190">
        <f>+'Ingresos Proyecciones'!D118*0.15+('Ingresos Proyecciones'!D68-'Fuentes y Usos Proyecciones'!D64-'Fuentes y Usos Proyecciones'!D71-'Fuentes y Usos Proyecciones'!D86-'Fuentes y Usos Proyecciones'!D121)</f>
        <v>84702.099999999977</v>
      </c>
      <c r="E89" s="1190">
        <f>+'Ingresos Proyecciones'!E118*0.15+('Ingresos Proyecciones'!E68-'Fuentes y Usos Proyecciones'!E64-'Fuentes y Usos Proyecciones'!E71-'Fuentes y Usos Proyecciones'!E86-'Fuentes y Usos Proyecciones'!E121)</f>
        <v>75260</v>
      </c>
      <c r="F89" s="1190">
        <f>+'Ingresos Proyecciones'!F118*0.15+('Ingresos Proyecciones'!F68-'Fuentes y Usos Proyecciones'!F64-'Fuentes y Usos Proyecciones'!F71-'Fuentes y Usos Proyecciones'!F86-'Fuentes y Usos Proyecciones'!F121)</f>
        <v>78270.400000000023</v>
      </c>
      <c r="G89" s="1190">
        <f>+'Ingresos Proyecciones'!G118*0.15+('Ingresos Proyecciones'!G68-'Fuentes y Usos Proyecciones'!G64-'Fuentes y Usos Proyecciones'!G71-'Fuentes y Usos Proyecciones'!G86-'Fuentes y Usos Proyecciones'!G121)</f>
        <v>81401.215999999957</v>
      </c>
      <c r="H89" s="1190">
        <f>+'Ingresos Proyecciones'!H118*0.15+('Ingresos Proyecciones'!H68-'Fuentes y Usos Proyecciones'!H64-'Fuentes y Usos Proyecciones'!H71-'Fuentes y Usos Proyecciones'!H86-'Fuentes y Usos Proyecciones'!H121)</f>
        <v>84657.264640000009</v>
      </c>
      <c r="I89" s="1190">
        <f>+'Ingresos Proyecciones'!I118*0.15+('Ingresos Proyecciones'!I68-'Fuentes y Usos Proyecciones'!I64-'Fuentes y Usos Proyecciones'!I71-'Fuentes y Usos Proyecciones'!I86-'Fuentes y Usos Proyecciones'!I121)</f>
        <v>88043.555225599965</v>
      </c>
      <c r="J89" s="1190">
        <f>+'Ingresos Proyecciones'!J118*0.15+('Ingresos Proyecciones'!J68-'Fuentes y Usos Proyecciones'!J64-'Fuentes y Usos Proyecciones'!J71-'Fuentes y Usos Proyecciones'!J86-'Fuentes y Usos Proyecciones'!J121)</f>
        <v>91565.297434624052</v>
      </c>
      <c r="K89" s="1190">
        <f>+'Ingresos Proyecciones'!K118*0.15+('Ingresos Proyecciones'!K68-'Fuentes y Usos Proyecciones'!K64-'Fuentes y Usos Proyecciones'!K71-'Fuentes y Usos Proyecciones'!K86-'Fuentes y Usos Proyecciones'!K121)</f>
        <v>95227.909332009091</v>
      </c>
      <c r="L89" s="1190">
        <f>+'Ingresos Proyecciones'!L118*0.15+('Ingresos Proyecciones'!L68-'Fuentes y Usos Proyecciones'!L64-'Fuentes y Usos Proyecciones'!L71-'Fuentes y Usos Proyecciones'!L86-'Fuentes y Usos Proyecciones'!L121)</f>
        <v>99037.025705289387</v>
      </c>
      <c r="M89" s="1190">
        <f>+'Ingresos Proyecciones'!M118*0.15+('Ingresos Proyecciones'!M68-'Fuentes y Usos Proyecciones'!M64-'Fuentes y Usos Proyecciones'!M71-'Fuentes y Usos Proyecciones'!M86-'Fuentes y Usos Proyecciones'!M121)</f>
        <v>102998.5067335011</v>
      </c>
      <c r="N89" s="1190">
        <f>+'Ingresos Proyecciones'!N118*0.15+('Ingresos Proyecciones'!N68-'Fuentes y Usos Proyecciones'!N64-'Fuentes y Usos Proyecciones'!N71-'Fuentes y Usos Proyecciones'!N86-'Fuentes y Usos Proyecciones'!N121)</f>
        <v>107118.44700284093</v>
      </c>
      <c r="O89" s="1190">
        <f>+'Ingresos Proyecciones'!O118*0.15+('Ingresos Proyecciones'!O68-'Fuentes y Usos Proyecciones'!O64-'Fuentes y Usos Proyecciones'!O71-'Fuentes y Usos Proyecciones'!O86-'Fuentes y Usos Proyecciones'!O121)</f>
        <v>111403.18488295469</v>
      </c>
      <c r="P89" s="1190">
        <f>+'Ingresos Proyecciones'!P118*0.15+('Ingresos Proyecciones'!P68-'Fuentes y Usos Proyecciones'!P64-'Fuentes y Usos Proyecciones'!P71-'Fuentes y Usos Proyecciones'!P86-'Fuentes y Usos Proyecciones'!P121)</f>
        <v>115859.31227827293</v>
      </c>
      <c r="Q89" s="1190">
        <f>+'Ingresos Proyecciones'!Q118*0.15+('Ingresos Proyecciones'!Q68-'Fuentes y Usos Proyecciones'!Q64-'Fuentes y Usos Proyecciones'!Q71-'Fuentes y Usos Proyecciones'!Q86-'Fuentes y Usos Proyecciones'!Q121)</f>
        <v>120493.68476940389</v>
      </c>
    </row>
    <row r="90" spans="1:17" s="723" customFormat="1" ht="18.75" customHeight="1">
      <c r="A90" s="858" t="s">
        <v>932</v>
      </c>
      <c r="B90" s="859" t="s">
        <v>933</v>
      </c>
      <c r="C90" s="1116">
        <f t="shared" ref="C90:Q90" si="22">SUM(C91:C101)</f>
        <v>213587</v>
      </c>
      <c r="D90" s="1116">
        <f t="shared" si="22"/>
        <v>222130.48</v>
      </c>
      <c r="E90" s="1116">
        <f t="shared" si="22"/>
        <v>1727263.9791999999</v>
      </c>
      <c r="F90" s="1116">
        <f t="shared" si="22"/>
        <v>1040256.618368</v>
      </c>
      <c r="G90" s="1116">
        <f t="shared" si="22"/>
        <v>249866.88310271999</v>
      </c>
      <c r="H90" s="1116">
        <f t="shared" si="22"/>
        <v>259861.55842682882</v>
      </c>
      <c r="I90" s="1116">
        <f t="shared" si="22"/>
        <v>270256.02076390194</v>
      </c>
      <c r="J90" s="1116">
        <f t="shared" si="22"/>
        <v>281066.26159445802</v>
      </c>
      <c r="K90" s="1116">
        <f t="shared" si="22"/>
        <v>1092308.9120582365</v>
      </c>
      <c r="L90" s="1116">
        <f t="shared" si="22"/>
        <v>304001.2685405658</v>
      </c>
      <c r="M90" s="1116">
        <f t="shared" si="22"/>
        <v>316161.31928218843</v>
      </c>
      <c r="N90" s="1116">
        <f t="shared" si="22"/>
        <v>328807.77205347596</v>
      </c>
      <c r="O90" s="1116">
        <f t="shared" si="22"/>
        <v>341960.08293561498</v>
      </c>
      <c r="P90" s="1116">
        <f t="shared" si="22"/>
        <v>355638.48625303962</v>
      </c>
      <c r="Q90" s="1116">
        <f t="shared" si="22"/>
        <v>369864.0257031612</v>
      </c>
    </row>
    <row r="91" spans="1:17" s="723" customFormat="1" ht="18.75" customHeight="1">
      <c r="A91" s="868" t="s">
        <v>1</v>
      </c>
      <c r="B91" s="869" t="s">
        <v>934</v>
      </c>
      <c r="C91" s="1117">
        <f>+'Ingresos Proyecciones'!C85</f>
        <v>0</v>
      </c>
      <c r="D91" s="1117">
        <f>+'Ingresos Proyecciones'!D85</f>
        <v>0</v>
      </c>
      <c r="E91" s="1117">
        <f>+'Ingresos Proyecciones'!E85</f>
        <v>0</v>
      </c>
      <c r="F91" s="1117">
        <f>+'Ingresos Proyecciones'!F85</f>
        <v>0</v>
      </c>
      <c r="G91" s="1117">
        <f>+'Ingresos Proyecciones'!G85</f>
        <v>0</v>
      </c>
      <c r="H91" s="1117">
        <f>+'Ingresos Proyecciones'!H85</f>
        <v>0</v>
      </c>
      <c r="I91" s="1117">
        <f>+'Ingresos Proyecciones'!I85</f>
        <v>0</v>
      </c>
      <c r="J91" s="1117">
        <f>+'Ingresos Proyecciones'!J85</f>
        <v>0</v>
      </c>
      <c r="K91" s="1117">
        <f>+'Ingresos Proyecciones'!K85</f>
        <v>0</v>
      </c>
      <c r="L91" s="1117">
        <f>+'Ingresos Proyecciones'!L85</f>
        <v>0</v>
      </c>
      <c r="M91" s="1117">
        <f>+'Ingresos Proyecciones'!M85</f>
        <v>0</v>
      </c>
      <c r="N91" s="1117">
        <f>+'Ingresos Proyecciones'!N85</f>
        <v>0</v>
      </c>
      <c r="O91" s="1117">
        <f>+'Ingresos Proyecciones'!O85</f>
        <v>0</v>
      </c>
      <c r="P91" s="1117">
        <f>+'Ingresos Proyecciones'!P85</f>
        <v>0</v>
      </c>
      <c r="Q91" s="1117">
        <f>+'Ingresos Proyecciones'!Q85</f>
        <v>0</v>
      </c>
    </row>
    <row r="92" spans="1:17" s="723" customFormat="1" ht="18.75" customHeight="1">
      <c r="A92" s="888" t="s">
        <v>83</v>
      </c>
      <c r="B92" s="869" t="s">
        <v>936</v>
      </c>
      <c r="C92" s="1117">
        <f>(+'Ingresos Proyecciones'!C126)*(1-'Ingresos Proyecciones'!C161)</f>
        <v>0</v>
      </c>
      <c r="D92" s="1117">
        <f>(+'Ingresos Proyecciones'!D126)*(1-'Ingresos Proyecciones'!D161)</f>
        <v>0</v>
      </c>
      <c r="E92" s="1117">
        <f>(+'Ingresos Proyecciones'!E126)*(1-'Ingresos Proyecciones'!E161)</f>
        <v>0</v>
      </c>
      <c r="F92" s="1117">
        <f>(+'Ingresos Proyecciones'!F126)*(1-'Ingresos Proyecciones'!F161)</f>
        <v>0</v>
      </c>
      <c r="G92" s="1117">
        <f>(+'Ingresos Proyecciones'!G126)*(1-'Ingresos Proyecciones'!G161)</f>
        <v>0</v>
      </c>
      <c r="H92" s="1117">
        <f>(+'Ingresos Proyecciones'!H126)*(1-'Ingresos Proyecciones'!H161)</f>
        <v>0</v>
      </c>
      <c r="I92" s="1117">
        <f>(+'Ingresos Proyecciones'!I126)*(1-'Ingresos Proyecciones'!I161)</f>
        <v>0</v>
      </c>
      <c r="J92" s="1117">
        <f>(+'Ingresos Proyecciones'!J126)*(1-'Ingresos Proyecciones'!J161)</f>
        <v>0</v>
      </c>
      <c r="K92" s="1117">
        <f>(+'Ingresos Proyecciones'!K126)*(1-'Ingresos Proyecciones'!K161)</f>
        <v>0</v>
      </c>
      <c r="L92" s="1117">
        <f>(+'Ingresos Proyecciones'!L126)*(1-'Ingresos Proyecciones'!L161)</f>
        <v>0</v>
      </c>
      <c r="M92" s="1117">
        <f>(+'Ingresos Proyecciones'!M126)*(1-'Ingresos Proyecciones'!M161)</f>
        <v>0</v>
      </c>
      <c r="N92" s="1117">
        <f>(+'Ingresos Proyecciones'!N126)*(1-'Ingresos Proyecciones'!N161)</f>
        <v>0</v>
      </c>
      <c r="O92" s="1117">
        <f>(+'Ingresos Proyecciones'!O126)*(1-'Ingresos Proyecciones'!O161)</f>
        <v>0</v>
      </c>
      <c r="P92" s="1117">
        <f>(+'Ingresos Proyecciones'!P126)*(1-'Ingresos Proyecciones'!P161)</f>
        <v>0</v>
      </c>
      <c r="Q92" s="1117">
        <f>(+'Ingresos Proyecciones'!Q126)*(1-'Ingresos Proyecciones'!Q161)</f>
        <v>0</v>
      </c>
    </row>
    <row r="93" spans="1:17" s="723" customFormat="1" ht="18.75" customHeight="1">
      <c r="A93" s="868" t="s">
        <v>937</v>
      </c>
      <c r="B93" s="869" t="s">
        <v>4</v>
      </c>
      <c r="C93" s="1117">
        <f>+'Ingresos Proyecciones'!C86</f>
        <v>0</v>
      </c>
      <c r="D93" s="1117">
        <f>+'Ingresos Proyecciones'!D86</f>
        <v>0</v>
      </c>
      <c r="E93" s="1117">
        <f>+'Ingresos Proyecciones'!E86</f>
        <v>0</v>
      </c>
      <c r="F93" s="1117">
        <f>+'Ingresos Proyecciones'!F86</f>
        <v>0</v>
      </c>
      <c r="G93" s="1117">
        <f>+'Ingresos Proyecciones'!G86</f>
        <v>0</v>
      </c>
      <c r="H93" s="1117">
        <f>+'Ingresos Proyecciones'!H86</f>
        <v>0</v>
      </c>
      <c r="I93" s="1117">
        <f>+'Ingresos Proyecciones'!I86</f>
        <v>0</v>
      </c>
      <c r="J93" s="1117">
        <f>+'Ingresos Proyecciones'!J86</f>
        <v>0</v>
      </c>
      <c r="K93" s="1117">
        <f>+'Ingresos Proyecciones'!K86</f>
        <v>0</v>
      </c>
      <c r="L93" s="1117">
        <f>+'Ingresos Proyecciones'!L86</f>
        <v>0</v>
      </c>
      <c r="M93" s="1117">
        <f>+'Ingresos Proyecciones'!M86</f>
        <v>0</v>
      </c>
      <c r="N93" s="1117">
        <f>+'Ingresos Proyecciones'!N86</f>
        <v>0</v>
      </c>
      <c r="O93" s="1117">
        <f>+'Ingresos Proyecciones'!O86</f>
        <v>0</v>
      </c>
      <c r="P93" s="1117">
        <f>+'Ingresos Proyecciones'!P86</f>
        <v>0</v>
      </c>
      <c r="Q93" s="1117">
        <f>+'Ingresos Proyecciones'!Q86</f>
        <v>0</v>
      </c>
    </row>
    <row r="94" spans="1:17" s="723" customFormat="1" ht="18.75" customHeight="1">
      <c r="A94" s="868" t="s">
        <v>5</v>
      </c>
      <c r="B94" s="869" t="s">
        <v>938</v>
      </c>
      <c r="C94" s="1117">
        <f>(+'Ingresos Proyecciones'!C87)*(1-'Ingresos Proyecciones'!C156)</f>
        <v>0</v>
      </c>
      <c r="D94" s="1117">
        <f>(+'Ingresos Proyecciones'!D87)*(1-'Ingresos Proyecciones'!D156)</f>
        <v>0</v>
      </c>
      <c r="E94" s="1117">
        <f>(+'Ingresos Proyecciones'!E87)*(1-'Ingresos Proyecciones'!E156)</f>
        <v>1496248</v>
      </c>
      <c r="F94" s="1117">
        <f>(+'Ingresos Proyecciones'!F87)*(1-'Ingresos Proyecciones'!F156)</f>
        <v>0</v>
      </c>
      <c r="G94" s="1117">
        <f>(+'Ingresos Proyecciones'!G87)*(1-'Ingresos Proyecciones'!G156)</f>
        <v>0</v>
      </c>
      <c r="H94" s="1117">
        <f>(+'Ingresos Proyecciones'!H87)*(1-'Ingresos Proyecciones'!H156)</f>
        <v>0</v>
      </c>
      <c r="I94" s="1117">
        <f>(+'Ingresos Proyecciones'!I87)*(1-'Ingresos Proyecciones'!I156)</f>
        <v>0</v>
      </c>
      <c r="J94" s="1117">
        <f>(+'Ingresos Proyecciones'!J87)*(1-'Ingresos Proyecciones'!J156)</f>
        <v>0</v>
      </c>
      <c r="K94" s="1117">
        <f>(+'Ingresos Proyecciones'!K87)*(1-'Ingresos Proyecciones'!K156)</f>
        <v>0</v>
      </c>
      <c r="L94" s="1117">
        <f>(+'Ingresos Proyecciones'!L87)*(1-'Ingresos Proyecciones'!L156)</f>
        <v>0</v>
      </c>
      <c r="M94" s="1117">
        <f>(+'Ingresos Proyecciones'!M87)*(1-'Ingresos Proyecciones'!M156)</f>
        <v>0</v>
      </c>
      <c r="N94" s="1117">
        <f>(+'Ingresos Proyecciones'!N87)*(1-'Ingresos Proyecciones'!N156)</f>
        <v>0</v>
      </c>
      <c r="O94" s="1117">
        <f>(+'Ingresos Proyecciones'!O87)*(1-'Ingresos Proyecciones'!O156)</f>
        <v>0</v>
      </c>
      <c r="P94" s="1117">
        <f>(+'Ingresos Proyecciones'!P87)*(1-'Ingresos Proyecciones'!P156)</f>
        <v>0</v>
      </c>
      <c r="Q94" s="1117">
        <f>(+'Ingresos Proyecciones'!Q87)*(1-'Ingresos Proyecciones'!Q156)</f>
        <v>0</v>
      </c>
    </row>
    <row r="95" spans="1:17" s="723" customFormat="1" ht="18.75" customHeight="1">
      <c r="A95" s="858" t="s">
        <v>939</v>
      </c>
      <c r="B95" s="869" t="s">
        <v>940</v>
      </c>
      <c r="C95" s="1117">
        <f>+'Ingresos Proyecciones'!C96-'Ingresos Proyecciones'!C104</f>
        <v>0</v>
      </c>
      <c r="D95" s="1117">
        <f>+'Ingresos Proyecciones'!D96-'Ingresos Proyecciones'!D104</f>
        <v>0</v>
      </c>
      <c r="E95" s="1117">
        <f>+'Ingresos Proyecciones'!E96-'Ingresos Proyecciones'!E104</f>
        <v>0</v>
      </c>
      <c r="F95" s="1117">
        <f>+'Ingresos Proyecciones'!F96-'Ingresos Proyecciones'!F104</f>
        <v>800000</v>
      </c>
      <c r="G95" s="1117">
        <f>+'Ingresos Proyecciones'!G96-'Ingresos Proyecciones'!G104</f>
        <v>0</v>
      </c>
      <c r="H95" s="1117">
        <f>+'Ingresos Proyecciones'!H96-'Ingresos Proyecciones'!H104</f>
        <v>0</v>
      </c>
      <c r="I95" s="1117">
        <f>+'Ingresos Proyecciones'!I96-'Ingresos Proyecciones'!I104</f>
        <v>0</v>
      </c>
      <c r="J95" s="1117">
        <f>+'Ingresos Proyecciones'!J96-'Ingresos Proyecciones'!J104</f>
        <v>0</v>
      </c>
      <c r="K95" s="1117">
        <f>+'Ingresos Proyecciones'!K96-'Ingresos Proyecciones'!K104</f>
        <v>800000</v>
      </c>
      <c r="L95" s="1117">
        <f>+'Ingresos Proyecciones'!L96-'Ingresos Proyecciones'!L104</f>
        <v>0</v>
      </c>
      <c r="M95" s="1117">
        <f>+'Ingresos Proyecciones'!M96-'Ingresos Proyecciones'!M104</f>
        <v>0</v>
      </c>
      <c r="N95" s="1117">
        <f>+'Ingresos Proyecciones'!N96-'Ingresos Proyecciones'!N104</f>
        <v>0</v>
      </c>
      <c r="O95" s="1117">
        <f>+'Ingresos Proyecciones'!O96-'Ingresos Proyecciones'!O104</f>
        <v>0</v>
      </c>
      <c r="P95" s="1117">
        <f>+'Ingresos Proyecciones'!P96-'Ingresos Proyecciones'!P104</f>
        <v>0</v>
      </c>
      <c r="Q95" s="1117">
        <f>+'Ingresos Proyecciones'!Q96-'Ingresos Proyecciones'!Q104</f>
        <v>0</v>
      </c>
    </row>
    <row r="96" spans="1:17" s="723" customFormat="1" ht="18.75" customHeight="1">
      <c r="A96" s="858" t="s">
        <v>1014</v>
      </c>
      <c r="B96" s="869" t="s">
        <v>941</v>
      </c>
      <c r="C96" s="1117">
        <f>+'Ingresos Proyecciones'!C108-('Ingresos Proyecciones'!C118*0.15)-('Ingresos Proyecciones'!C111*'Ingresos Proyecciones'!C157)</f>
        <v>213575</v>
      </c>
      <c r="D96" s="1117">
        <f>+'Ingresos Proyecciones'!D108-('Ingresos Proyecciones'!D118*0.15)-('Ingresos Proyecciones'!D111*'Ingresos Proyecciones'!D157)</f>
        <v>222118</v>
      </c>
      <c r="E96" s="1117">
        <f>+'Ingresos Proyecciones'!E108-('Ingresos Proyecciones'!E118*0.15)-('Ingresos Proyecciones'!E111*'Ingresos Proyecciones'!E157)</f>
        <v>231003</v>
      </c>
      <c r="F96" s="1117">
        <f>+'Ingresos Proyecciones'!F108-('Ingresos Proyecciones'!F118*0.15)-('Ingresos Proyecciones'!F111*'Ingresos Proyecciones'!F157)</f>
        <v>240243.12</v>
      </c>
      <c r="G96" s="1117">
        <f>+'Ingresos Proyecciones'!G108-('Ingresos Proyecciones'!G118*0.15)-('Ingresos Proyecciones'!G111*'Ingresos Proyecciones'!G157)</f>
        <v>249852.84479999999</v>
      </c>
      <c r="H96" s="1117">
        <f>+'Ingresos Proyecciones'!H108-('Ingresos Proyecciones'!H118*0.15)-('Ingresos Proyecciones'!H111*'Ingresos Proyecciones'!H157)</f>
        <v>259846.95859200001</v>
      </c>
      <c r="I96" s="1117">
        <f>+'Ingresos Proyecciones'!I108-('Ingresos Proyecciones'!I118*0.15)-('Ingresos Proyecciones'!I111*'Ingresos Proyecciones'!I157)</f>
        <v>270240.83693568001</v>
      </c>
      <c r="J96" s="1117">
        <f>+'Ingresos Proyecciones'!J108-('Ingresos Proyecciones'!J118*0.15)-('Ingresos Proyecciones'!J111*'Ingresos Proyecciones'!J157)</f>
        <v>281050.47041310719</v>
      </c>
      <c r="K96" s="1117">
        <f>+'Ingresos Proyecciones'!K108-('Ingresos Proyecciones'!K118*0.15)-('Ingresos Proyecciones'!K111*'Ingresos Proyecciones'!K157)</f>
        <v>292292.48922963149</v>
      </c>
      <c r="L96" s="1117">
        <f>+'Ingresos Proyecciones'!L108-('Ingresos Proyecciones'!L118*0.15)-('Ingresos Proyecciones'!L111*'Ingresos Proyecciones'!L157)</f>
        <v>303984.18879881676</v>
      </c>
      <c r="M96" s="1117">
        <f>+'Ingresos Proyecciones'!M108-('Ingresos Proyecciones'!M118*0.15)-('Ingresos Proyecciones'!M111*'Ingresos Proyecciones'!M157)</f>
        <v>316143.55635076942</v>
      </c>
      <c r="N96" s="1117">
        <f>+'Ingresos Proyecciones'!N108-('Ingresos Proyecciones'!N118*0.15)-('Ingresos Proyecciones'!N111*'Ingresos Proyecciones'!N157)</f>
        <v>328789.29860480019</v>
      </c>
      <c r="O96" s="1117">
        <f>+'Ingresos Proyecciones'!O108-('Ingresos Proyecciones'!O118*0.15)-('Ingresos Proyecciones'!O111*'Ingresos Proyecciones'!O157)</f>
        <v>341940.87054899218</v>
      </c>
      <c r="P96" s="1117">
        <f>+'Ingresos Proyecciones'!P108-('Ingresos Proyecciones'!P118*0.15)-('Ingresos Proyecciones'!P111*'Ingresos Proyecciones'!P157)</f>
        <v>355618.5053709519</v>
      </c>
      <c r="Q96" s="1117">
        <f>+'Ingresos Proyecciones'!Q108-('Ingresos Proyecciones'!Q118*0.15)-('Ingresos Proyecciones'!Q111*'Ingresos Proyecciones'!Q157)</f>
        <v>369843.24558578996</v>
      </c>
    </row>
    <row r="97" spans="1:17" s="723" customFormat="1" ht="18.75" customHeight="1">
      <c r="A97" s="868" t="s">
        <v>71</v>
      </c>
      <c r="B97" s="869" t="s">
        <v>943</v>
      </c>
      <c r="C97" s="1117">
        <f>(+'Ingresos Proyecciones'!C120)*(1-'Ingresos Proyecciones'!C160)</f>
        <v>0</v>
      </c>
      <c r="D97" s="1117">
        <f>(+'Ingresos Proyecciones'!D120)*(1-'Ingresos Proyecciones'!D160)</f>
        <v>0</v>
      </c>
      <c r="E97" s="1117">
        <f>(+'Ingresos Proyecciones'!E120)*(1-'Ingresos Proyecciones'!E160)</f>
        <v>0</v>
      </c>
      <c r="F97" s="1117">
        <f>(+'Ingresos Proyecciones'!F120)*(1-'Ingresos Proyecciones'!F160)</f>
        <v>0</v>
      </c>
      <c r="G97" s="1117">
        <f>(+'Ingresos Proyecciones'!G120)*(1-'Ingresos Proyecciones'!G160)</f>
        <v>0</v>
      </c>
      <c r="H97" s="1117">
        <f>(+'Ingresos Proyecciones'!H120)*(1-'Ingresos Proyecciones'!H160)</f>
        <v>0</v>
      </c>
      <c r="I97" s="1117">
        <f>(+'Ingresos Proyecciones'!I120)*(1-'Ingresos Proyecciones'!I160)</f>
        <v>0</v>
      </c>
      <c r="J97" s="1117">
        <f>(+'Ingresos Proyecciones'!J120)*(1-'Ingresos Proyecciones'!J160)</f>
        <v>0</v>
      </c>
      <c r="K97" s="1117">
        <f>(+'Ingresos Proyecciones'!K120)*(1-'Ingresos Proyecciones'!K160)</f>
        <v>0</v>
      </c>
      <c r="L97" s="1117">
        <f>(+'Ingresos Proyecciones'!L120)*(1-'Ingresos Proyecciones'!L160)</f>
        <v>0</v>
      </c>
      <c r="M97" s="1117">
        <f>(+'Ingresos Proyecciones'!M120)*(1-'Ingresos Proyecciones'!M160)</f>
        <v>0</v>
      </c>
      <c r="N97" s="1117">
        <f>(+'Ingresos Proyecciones'!N120)*(1-'Ingresos Proyecciones'!N160)</f>
        <v>0</v>
      </c>
      <c r="O97" s="1117">
        <f>(+'Ingresos Proyecciones'!O120)*(1-'Ingresos Proyecciones'!O160)</f>
        <v>0</v>
      </c>
      <c r="P97" s="1117">
        <f>(+'Ingresos Proyecciones'!P120)*(1-'Ingresos Proyecciones'!P160)</f>
        <v>0</v>
      </c>
      <c r="Q97" s="1117">
        <f>(+'Ingresos Proyecciones'!Q120)*(1-'Ingresos Proyecciones'!Q160)</f>
        <v>0</v>
      </c>
    </row>
    <row r="98" spans="1:17" s="723" customFormat="1" ht="18.75" customHeight="1">
      <c r="A98" s="868" t="s">
        <v>73</v>
      </c>
      <c r="B98" s="869" t="s">
        <v>944</v>
      </c>
      <c r="C98" s="1117">
        <f>+'Ingresos Proyecciones'!C121</f>
        <v>0</v>
      </c>
      <c r="D98" s="1117">
        <f>+'Ingresos Proyecciones'!D121</f>
        <v>0</v>
      </c>
      <c r="E98" s="1117">
        <f>+'Ingresos Proyecciones'!E121</f>
        <v>0</v>
      </c>
      <c r="F98" s="1117">
        <f>+'Ingresos Proyecciones'!F121</f>
        <v>0</v>
      </c>
      <c r="G98" s="1117">
        <f>+'Ingresos Proyecciones'!G121</f>
        <v>0</v>
      </c>
      <c r="H98" s="1117">
        <f>+'Ingresos Proyecciones'!H121</f>
        <v>0</v>
      </c>
      <c r="I98" s="1117">
        <f>+'Ingresos Proyecciones'!I121</f>
        <v>0</v>
      </c>
      <c r="J98" s="1117">
        <f>+'Ingresos Proyecciones'!J121</f>
        <v>0</v>
      </c>
      <c r="K98" s="1117">
        <f>+'Ingresos Proyecciones'!K121</f>
        <v>0</v>
      </c>
      <c r="L98" s="1117">
        <f>+'Ingresos Proyecciones'!L121</f>
        <v>0</v>
      </c>
      <c r="M98" s="1117">
        <f>+'Ingresos Proyecciones'!M121</f>
        <v>0</v>
      </c>
      <c r="N98" s="1117">
        <f>+'Ingresos Proyecciones'!N121</f>
        <v>0</v>
      </c>
      <c r="O98" s="1117">
        <f>+'Ingresos Proyecciones'!O121</f>
        <v>0</v>
      </c>
      <c r="P98" s="1117">
        <f>+'Ingresos Proyecciones'!P121</f>
        <v>0</v>
      </c>
      <c r="Q98" s="1117">
        <f>+'Ingresos Proyecciones'!Q121</f>
        <v>0</v>
      </c>
    </row>
    <row r="99" spans="1:17" s="723" customFormat="1" ht="18.75" customHeight="1">
      <c r="A99" s="868" t="s">
        <v>75</v>
      </c>
      <c r="B99" s="869" t="s">
        <v>945</v>
      </c>
      <c r="C99" s="1117">
        <f>+'Ingresos Proyecciones'!C122</f>
        <v>12</v>
      </c>
      <c r="D99" s="1117">
        <f>+'Ingresos Proyecciones'!D122</f>
        <v>12.48</v>
      </c>
      <c r="E99" s="1117">
        <f>+'Ingresos Proyecciones'!E122</f>
        <v>12.979200000000001</v>
      </c>
      <c r="F99" s="1117">
        <f>+'Ingresos Proyecciones'!F122</f>
        <v>13.498368000000001</v>
      </c>
      <c r="G99" s="1117">
        <f>+'Ingresos Proyecciones'!G122</f>
        <v>14.038302720000001</v>
      </c>
      <c r="H99" s="1117">
        <f>+'Ingresos Proyecciones'!H122</f>
        <v>14.599834828800001</v>
      </c>
      <c r="I99" s="1117">
        <f>+'Ingresos Proyecciones'!I122</f>
        <v>15.183828221952002</v>
      </c>
      <c r="J99" s="1117">
        <f>+'Ingresos Proyecciones'!J122</f>
        <v>15.791181350830083</v>
      </c>
      <c r="K99" s="1117">
        <f>+'Ingresos Proyecciones'!K122</f>
        <v>16.422828604863287</v>
      </c>
      <c r="L99" s="1117">
        <f>+'Ingresos Proyecciones'!L122</f>
        <v>17.07974174905782</v>
      </c>
      <c r="M99" s="1117">
        <f>+'Ingresos Proyecciones'!M122</f>
        <v>17.762931419020134</v>
      </c>
      <c r="N99" s="1117">
        <f>+'Ingresos Proyecciones'!N122</f>
        <v>18.47344867578094</v>
      </c>
      <c r="O99" s="1117">
        <f>+'Ingresos Proyecciones'!O122</f>
        <v>19.212386622812179</v>
      </c>
      <c r="P99" s="1117">
        <f>+'Ingresos Proyecciones'!P122</f>
        <v>19.980882087724666</v>
      </c>
      <c r="Q99" s="1117">
        <f>+'Ingresos Proyecciones'!Q122</f>
        <v>20.780117371233654</v>
      </c>
    </row>
    <row r="100" spans="1:17" s="723" customFormat="1" ht="18.75" customHeight="1">
      <c r="A100" s="868" t="s">
        <v>81</v>
      </c>
      <c r="B100" s="869" t="s">
        <v>946</v>
      </c>
      <c r="C100" s="1117">
        <f>+'Ingresos Proyecciones'!C125</f>
        <v>0</v>
      </c>
      <c r="D100" s="1117">
        <f>+'Ingresos Proyecciones'!D125</f>
        <v>0</v>
      </c>
      <c r="E100" s="1117">
        <f>+'Ingresos Proyecciones'!E125</f>
        <v>0</v>
      </c>
      <c r="F100" s="1117">
        <f>+'Ingresos Proyecciones'!F125</f>
        <v>0</v>
      </c>
      <c r="G100" s="1117">
        <f>+'Ingresos Proyecciones'!G125</f>
        <v>0</v>
      </c>
      <c r="H100" s="1117">
        <f>+'Ingresos Proyecciones'!H125</f>
        <v>0</v>
      </c>
      <c r="I100" s="1117">
        <f>+'Ingresos Proyecciones'!I125</f>
        <v>0</v>
      </c>
      <c r="J100" s="1117">
        <f>+'Ingresos Proyecciones'!J125</f>
        <v>0</v>
      </c>
      <c r="K100" s="1117">
        <f>+'Ingresos Proyecciones'!K125</f>
        <v>0</v>
      </c>
      <c r="L100" s="1117">
        <f>+'Ingresos Proyecciones'!L125</f>
        <v>0</v>
      </c>
      <c r="M100" s="1117">
        <f>+'Ingresos Proyecciones'!M125</f>
        <v>0</v>
      </c>
      <c r="N100" s="1117">
        <f>+'Ingresos Proyecciones'!N125</f>
        <v>0</v>
      </c>
      <c r="O100" s="1117">
        <f>+'Ingresos Proyecciones'!O125</f>
        <v>0</v>
      </c>
      <c r="P100" s="1117">
        <f>+'Ingresos Proyecciones'!P125</f>
        <v>0</v>
      </c>
      <c r="Q100" s="1117">
        <f>+'Ingresos Proyecciones'!Q125</f>
        <v>0</v>
      </c>
    </row>
    <row r="101" spans="1:17" s="723" customFormat="1" ht="18.75" customHeight="1">
      <c r="A101" s="868" t="s">
        <v>85</v>
      </c>
      <c r="B101" s="869" t="s">
        <v>947</v>
      </c>
      <c r="C101" s="1117">
        <f>+'Ingresos Proyecciones'!C127</f>
        <v>0</v>
      </c>
      <c r="D101" s="1117">
        <f>+'Ingresos Proyecciones'!D127</f>
        <v>0</v>
      </c>
      <c r="E101" s="1117">
        <f>+'Ingresos Proyecciones'!E127</f>
        <v>0</v>
      </c>
      <c r="F101" s="1117">
        <f>+'Ingresos Proyecciones'!F127</f>
        <v>0</v>
      </c>
      <c r="G101" s="1117">
        <f>+'Ingresos Proyecciones'!G127</f>
        <v>0</v>
      </c>
      <c r="H101" s="1117">
        <f>+'Ingresos Proyecciones'!H127</f>
        <v>0</v>
      </c>
      <c r="I101" s="1117">
        <f>+'Ingresos Proyecciones'!I127</f>
        <v>0</v>
      </c>
      <c r="J101" s="1117">
        <f>+'Ingresos Proyecciones'!J127</f>
        <v>0</v>
      </c>
      <c r="K101" s="1117">
        <f>+'Ingresos Proyecciones'!K127</f>
        <v>0</v>
      </c>
      <c r="L101" s="1117">
        <f>+'Ingresos Proyecciones'!L127</f>
        <v>0</v>
      </c>
      <c r="M101" s="1117">
        <f>+'Ingresos Proyecciones'!M127</f>
        <v>0</v>
      </c>
      <c r="N101" s="1117">
        <f>+'Ingresos Proyecciones'!N127</f>
        <v>0</v>
      </c>
      <c r="O101" s="1117">
        <f>+'Ingresos Proyecciones'!O127</f>
        <v>0</v>
      </c>
      <c r="P101" s="1117">
        <f>+'Ingresos Proyecciones'!P127</f>
        <v>0</v>
      </c>
      <c r="Q101" s="1117">
        <f>+'Ingresos Proyecciones'!Q127</f>
        <v>0</v>
      </c>
    </row>
    <row r="102" spans="1:17" s="723" customFormat="1" ht="18.75" customHeight="1">
      <c r="A102" s="858" t="s">
        <v>948</v>
      </c>
      <c r="B102" s="859" t="s">
        <v>949</v>
      </c>
      <c r="C102" s="1116">
        <f t="shared" ref="C102:Q102" si="23">+C103+C106</f>
        <v>1785870</v>
      </c>
      <c r="D102" s="1116">
        <f t="shared" si="23"/>
        <v>1787077.8499999999</v>
      </c>
      <c r="E102" s="1116">
        <f t="shared" si="23"/>
        <v>1057726.3699999999</v>
      </c>
      <c r="F102" s="1116">
        <f t="shared" si="23"/>
        <v>1278631.0385000003</v>
      </c>
      <c r="G102" s="1116">
        <f t="shared" si="23"/>
        <v>1380025.5904250001</v>
      </c>
      <c r="H102" s="1116">
        <f t="shared" si="23"/>
        <v>1333010.4429462501</v>
      </c>
      <c r="I102" s="1116">
        <f t="shared" si="23"/>
        <v>1400353.9650935624</v>
      </c>
      <c r="J102" s="1116">
        <f t="shared" si="23"/>
        <v>1458166.4608482406</v>
      </c>
      <c r="K102" s="1116">
        <f t="shared" si="23"/>
        <v>1466885.6152706272</v>
      </c>
      <c r="L102" s="1116">
        <f t="shared" si="23"/>
        <v>1473471.9624748472</v>
      </c>
      <c r="M102" s="1116">
        <f t="shared" si="23"/>
        <v>1477718.4105985898</v>
      </c>
      <c r="N102" s="1116">
        <f t="shared" si="23"/>
        <v>1479399.298243453</v>
      </c>
      <c r="O102" s="1116">
        <f t="shared" si="23"/>
        <v>1478276.3501544481</v>
      </c>
      <c r="P102" s="1116">
        <f t="shared" si="23"/>
        <v>1474094.1454455971</v>
      </c>
      <c r="Q102" s="1116">
        <f t="shared" si="23"/>
        <v>1540928.1027178767</v>
      </c>
    </row>
    <row r="103" spans="1:17" s="723" customFormat="1" ht="18.75" customHeight="1">
      <c r="A103" s="858" t="s">
        <v>950</v>
      </c>
      <c r="B103" s="859" t="s">
        <v>951</v>
      </c>
      <c r="C103" s="1113">
        <f>SUM(C104:C105)</f>
        <v>1718885</v>
      </c>
      <c r="D103" s="1113">
        <f>SUM(D104:D105)</f>
        <v>1758271.8499999999</v>
      </c>
      <c r="E103" s="1113">
        <f t="shared" ref="E103:Q103" si="24">SUM(E104:E105)</f>
        <v>1044784.3699999999</v>
      </c>
      <c r="F103" s="1113">
        <f t="shared" si="24"/>
        <v>1265041.9385000002</v>
      </c>
      <c r="G103" s="1113">
        <f t="shared" si="24"/>
        <v>1365757.0354250001</v>
      </c>
      <c r="H103" s="1113">
        <f t="shared" si="24"/>
        <v>1318028.4601962501</v>
      </c>
      <c r="I103" s="1113">
        <f t="shared" si="24"/>
        <v>1384622.8832060625</v>
      </c>
      <c r="J103" s="1113">
        <f t="shared" si="24"/>
        <v>1441648.8248663656</v>
      </c>
      <c r="K103" s="1113">
        <f t="shared" si="24"/>
        <v>1449542.0974896585</v>
      </c>
      <c r="L103" s="1113">
        <f t="shared" si="24"/>
        <v>1455261.26880483</v>
      </c>
      <c r="M103" s="1113">
        <f t="shared" si="24"/>
        <v>1458597.1822450717</v>
      </c>
      <c r="N103" s="1113">
        <f t="shared" si="24"/>
        <v>1459322.0084722592</v>
      </c>
      <c r="O103" s="1113">
        <f t="shared" si="24"/>
        <v>1457195.1958946944</v>
      </c>
      <c r="P103" s="1113">
        <f t="shared" si="24"/>
        <v>1451958.9334728557</v>
      </c>
      <c r="Q103" s="1113">
        <f t="shared" si="24"/>
        <v>1517686.1301464983</v>
      </c>
    </row>
    <row r="104" spans="1:17" s="723" customFormat="1" ht="18.75" customHeight="1">
      <c r="A104" s="858" t="s">
        <v>952</v>
      </c>
      <c r="B104" s="869" t="s">
        <v>884</v>
      </c>
      <c r="C104" s="1114">
        <f>+('Gastos Proyecciones'!D89-'Gastos Proyecciones'!D90-'Gastos Proyecciones'!D93-'Gastos Proyecciones'!D95-'Gastos Proyecciones'!D94-'Gastos Proyecciones'!D96)+('Gastos Proyecciones'!D103-'Gastos Proyecciones'!D104-'Gastos Proyecciones'!D106-'Gastos Proyecciones'!D107)+('Gastos Proyecciones'!D126-'Gastos Proyecciones'!D127-'Gastos Proyecciones'!D130-'Gastos Proyecciones'!D131-'Gastos Proyecciones'!D132-'Gastos Proyecciones'!D133)+('Gastos Proyecciones'!D140-'Gastos Proyecciones'!D141-'Gastos Proyecciones'!D143-'Gastos Proyecciones'!D144)+('Gastos Proyecciones'!D163-'Gastos Proyecciones'!D164-'Gastos Proyecciones'!D167-'Gastos Proyecciones'!D168-'Gastos Proyecciones'!D169-'Gastos Proyecciones'!D170)+('Gastos Proyecciones'!D177-'Gastos Proyecciones'!D178-'Gastos Proyecciones'!D180-'Gastos Proyecciones'!D181)+'Gastos Proyecciones'!D230</f>
        <v>0</v>
      </c>
      <c r="D104" s="1114">
        <f>+('Gastos Proyecciones'!E89-'Gastos Proyecciones'!E90-'Gastos Proyecciones'!E93-'Gastos Proyecciones'!E95-'Gastos Proyecciones'!E94-'Gastos Proyecciones'!E96)+('Gastos Proyecciones'!E103-'Gastos Proyecciones'!E104-'Gastos Proyecciones'!E106-'Gastos Proyecciones'!E107)+('Gastos Proyecciones'!E126-'Gastos Proyecciones'!E127-'Gastos Proyecciones'!E130-'Gastos Proyecciones'!E131-'Gastos Proyecciones'!E132-'Gastos Proyecciones'!E133)+('Gastos Proyecciones'!E140-'Gastos Proyecciones'!E141-'Gastos Proyecciones'!E143-'Gastos Proyecciones'!E144)+('Gastos Proyecciones'!E163-'Gastos Proyecciones'!E164-'Gastos Proyecciones'!E167-'Gastos Proyecciones'!E168-'Gastos Proyecciones'!E169-'Gastos Proyecciones'!E170)+('Gastos Proyecciones'!E177-'Gastos Proyecciones'!E178-'Gastos Proyecciones'!E180-'Gastos Proyecciones'!E181)+'Gastos Proyecciones'!E230</f>
        <v>0</v>
      </c>
      <c r="E104" s="1114">
        <f>+('Gastos Proyecciones'!F89-'Gastos Proyecciones'!F90-'Gastos Proyecciones'!F93-'Gastos Proyecciones'!F95-'Gastos Proyecciones'!F94-'Gastos Proyecciones'!F96)+('Gastos Proyecciones'!F103-'Gastos Proyecciones'!F104-'Gastos Proyecciones'!F106-'Gastos Proyecciones'!F107)+('Gastos Proyecciones'!F126-'Gastos Proyecciones'!F127-'Gastos Proyecciones'!F130-'Gastos Proyecciones'!F131-'Gastos Proyecciones'!F132-'Gastos Proyecciones'!F133)+('Gastos Proyecciones'!F140-'Gastos Proyecciones'!F141-'Gastos Proyecciones'!F143-'Gastos Proyecciones'!F144)+('Gastos Proyecciones'!F163-'Gastos Proyecciones'!F164-'Gastos Proyecciones'!F167-'Gastos Proyecciones'!F168-'Gastos Proyecciones'!F169-'Gastos Proyecciones'!F170)+('Gastos Proyecciones'!F177-'Gastos Proyecciones'!F178-'Gastos Proyecciones'!F180-'Gastos Proyecciones'!F181)+'Gastos Proyecciones'!F230</f>
        <v>0</v>
      </c>
      <c r="F104" s="1114">
        <f>+('Gastos Proyecciones'!G89-'Gastos Proyecciones'!G90-'Gastos Proyecciones'!G93-'Gastos Proyecciones'!G95-'Gastos Proyecciones'!G94-'Gastos Proyecciones'!G96)+('Gastos Proyecciones'!G103-'Gastos Proyecciones'!G104-'Gastos Proyecciones'!G106-'Gastos Proyecciones'!G107)+('Gastos Proyecciones'!G126-'Gastos Proyecciones'!G127-'Gastos Proyecciones'!G130-'Gastos Proyecciones'!G131-'Gastos Proyecciones'!G132-'Gastos Proyecciones'!G133)+('Gastos Proyecciones'!G140-'Gastos Proyecciones'!G141-'Gastos Proyecciones'!G143-'Gastos Proyecciones'!G144)+('Gastos Proyecciones'!G163-'Gastos Proyecciones'!G164-'Gastos Proyecciones'!G167-'Gastos Proyecciones'!G168-'Gastos Proyecciones'!G169-'Gastos Proyecciones'!G170)+('Gastos Proyecciones'!G177-'Gastos Proyecciones'!G178-'Gastos Proyecciones'!G180-'Gastos Proyecciones'!G181)+'Gastos Proyecciones'!G230</f>
        <v>0</v>
      </c>
      <c r="G104" s="1114">
        <f>+('Gastos Proyecciones'!H89-'Gastos Proyecciones'!H90-'Gastos Proyecciones'!H93-'Gastos Proyecciones'!H95-'Gastos Proyecciones'!H94-'Gastos Proyecciones'!H96)+('Gastos Proyecciones'!H103-'Gastos Proyecciones'!H104-'Gastos Proyecciones'!H106-'Gastos Proyecciones'!H107)+('Gastos Proyecciones'!H126-'Gastos Proyecciones'!H127-'Gastos Proyecciones'!H130-'Gastos Proyecciones'!H131-'Gastos Proyecciones'!H132-'Gastos Proyecciones'!H133)+('Gastos Proyecciones'!H140-'Gastos Proyecciones'!H141-'Gastos Proyecciones'!H143-'Gastos Proyecciones'!H144)+('Gastos Proyecciones'!H163-'Gastos Proyecciones'!H164-'Gastos Proyecciones'!H167-'Gastos Proyecciones'!H168-'Gastos Proyecciones'!H169-'Gastos Proyecciones'!H170)+('Gastos Proyecciones'!H177-'Gastos Proyecciones'!H178-'Gastos Proyecciones'!H180-'Gastos Proyecciones'!H181)+'Gastos Proyecciones'!H230</f>
        <v>0</v>
      </c>
      <c r="H104" s="1114">
        <f>+('Gastos Proyecciones'!I89-'Gastos Proyecciones'!I90-'Gastos Proyecciones'!I93-'Gastos Proyecciones'!I95-'Gastos Proyecciones'!I94-'Gastos Proyecciones'!I96)+('Gastos Proyecciones'!I103-'Gastos Proyecciones'!I104-'Gastos Proyecciones'!I106-'Gastos Proyecciones'!I107)+('Gastos Proyecciones'!I126-'Gastos Proyecciones'!I127-'Gastos Proyecciones'!I130-'Gastos Proyecciones'!I131-'Gastos Proyecciones'!I132-'Gastos Proyecciones'!I133)+('Gastos Proyecciones'!I140-'Gastos Proyecciones'!I141-'Gastos Proyecciones'!I143-'Gastos Proyecciones'!I144)+('Gastos Proyecciones'!I163-'Gastos Proyecciones'!I164-'Gastos Proyecciones'!I167-'Gastos Proyecciones'!I168-'Gastos Proyecciones'!I169-'Gastos Proyecciones'!I170)+('Gastos Proyecciones'!I177-'Gastos Proyecciones'!I178-'Gastos Proyecciones'!I180-'Gastos Proyecciones'!I181)+'Gastos Proyecciones'!I230</f>
        <v>0</v>
      </c>
      <c r="I104" s="1114">
        <f>+('Gastos Proyecciones'!J89-'Gastos Proyecciones'!J90-'Gastos Proyecciones'!J93-'Gastos Proyecciones'!J95-'Gastos Proyecciones'!J94-'Gastos Proyecciones'!J96)+('Gastos Proyecciones'!J103-'Gastos Proyecciones'!J104-'Gastos Proyecciones'!J106-'Gastos Proyecciones'!J107)+('Gastos Proyecciones'!J126-'Gastos Proyecciones'!J127-'Gastos Proyecciones'!J130-'Gastos Proyecciones'!J131-'Gastos Proyecciones'!J132-'Gastos Proyecciones'!J133)+('Gastos Proyecciones'!J140-'Gastos Proyecciones'!J141-'Gastos Proyecciones'!J143-'Gastos Proyecciones'!J144)+('Gastos Proyecciones'!J163-'Gastos Proyecciones'!J164-'Gastos Proyecciones'!J167-'Gastos Proyecciones'!J168-'Gastos Proyecciones'!J169-'Gastos Proyecciones'!J170)+('Gastos Proyecciones'!J177-'Gastos Proyecciones'!J178-'Gastos Proyecciones'!J180-'Gastos Proyecciones'!J181)+'Gastos Proyecciones'!J230</f>
        <v>0</v>
      </c>
      <c r="J104" s="1114">
        <f>+('Gastos Proyecciones'!K89-'Gastos Proyecciones'!K90-'Gastos Proyecciones'!K93-'Gastos Proyecciones'!K95-'Gastos Proyecciones'!K94-'Gastos Proyecciones'!K96)+('Gastos Proyecciones'!K103-'Gastos Proyecciones'!K104-'Gastos Proyecciones'!K106-'Gastos Proyecciones'!K107)+('Gastos Proyecciones'!K126-'Gastos Proyecciones'!K127-'Gastos Proyecciones'!K130-'Gastos Proyecciones'!K131-'Gastos Proyecciones'!K132-'Gastos Proyecciones'!K133)+('Gastos Proyecciones'!K140-'Gastos Proyecciones'!K141-'Gastos Proyecciones'!K143-'Gastos Proyecciones'!K144)+('Gastos Proyecciones'!K163-'Gastos Proyecciones'!K164-'Gastos Proyecciones'!K167-'Gastos Proyecciones'!K168-'Gastos Proyecciones'!K169-'Gastos Proyecciones'!K170)+('Gastos Proyecciones'!K177-'Gastos Proyecciones'!K178-'Gastos Proyecciones'!K180-'Gastos Proyecciones'!K181)+'Gastos Proyecciones'!K230</f>
        <v>0</v>
      </c>
      <c r="K104" s="1114">
        <f>+('Gastos Proyecciones'!L89-'Gastos Proyecciones'!L90-'Gastos Proyecciones'!L93-'Gastos Proyecciones'!L95-'Gastos Proyecciones'!L94-'Gastos Proyecciones'!L96)+('Gastos Proyecciones'!L103-'Gastos Proyecciones'!L104-'Gastos Proyecciones'!L106-'Gastos Proyecciones'!L107)+('Gastos Proyecciones'!L126-'Gastos Proyecciones'!L127-'Gastos Proyecciones'!L130-'Gastos Proyecciones'!L131-'Gastos Proyecciones'!L132-'Gastos Proyecciones'!L133)+('Gastos Proyecciones'!L140-'Gastos Proyecciones'!L141-'Gastos Proyecciones'!L143-'Gastos Proyecciones'!L144)+('Gastos Proyecciones'!L163-'Gastos Proyecciones'!L164-'Gastos Proyecciones'!L167-'Gastos Proyecciones'!L168-'Gastos Proyecciones'!L169-'Gastos Proyecciones'!L170)+('Gastos Proyecciones'!L177-'Gastos Proyecciones'!L178-'Gastos Proyecciones'!L180-'Gastos Proyecciones'!L181)+'Gastos Proyecciones'!L230</f>
        <v>0</v>
      </c>
      <c r="L104" s="1114">
        <f>+('Gastos Proyecciones'!M89-'Gastos Proyecciones'!M90-'Gastos Proyecciones'!M93-'Gastos Proyecciones'!M95-'Gastos Proyecciones'!M94-'Gastos Proyecciones'!M96)+('Gastos Proyecciones'!M103-'Gastos Proyecciones'!M104-'Gastos Proyecciones'!M106-'Gastos Proyecciones'!M107)+('Gastos Proyecciones'!M126-'Gastos Proyecciones'!M127-'Gastos Proyecciones'!M130-'Gastos Proyecciones'!M131-'Gastos Proyecciones'!M132-'Gastos Proyecciones'!M133)+('Gastos Proyecciones'!M140-'Gastos Proyecciones'!M141-'Gastos Proyecciones'!M143-'Gastos Proyecciones'!M144)+('Gastos Proyecciones'!M163-'Gastos Proyecciones'!M164-'Gastos Proyecciones'!M167-'Gastos Proyecciones'!M168-'Gastos Proyecciones'!M169-'Gastos Proyecciones'!M170)+('Gastos Proyecciones'!M177-'Gastos Proyecciones'!M178-'Gastos Proyecciones'!M180-'Gastos Proyecciones'!M181)+'Gastos Proyecciones'!M230</f>
        <v>0</v>
      </c>
      <c r="M104" s="1114">
        <f>+('Gastos Proyecciones'!N89-'Gastos Proyecciones'!N90-'Gastos Proyecciones'!N93-'Gastos Proyecciones'!N95-'Gastos Proyecciones'!N94-'Gastos Proyecciones'!N96)+('Gastos Proyecciones'!N103-'Gastos Proyecciones'!N104-'Gastos Proyecciones'!N106-'Gastos Proyecciones'!N107)+('Gastos Proyecciones'!N126-'Gastos Proyecciones'!N127-'Gastos Proyecciones'!N130-'Gastos Proyecciones'!N131-'Gastos Proyecciones'!N132-'Gastos Proyecciones'!N133)+('Gastos Proyecciones'!N140-'Gastos Proyecciones'!N141-'Gastos Proyecciones'!N143-'Gastos Proyecciones'!N144)+('Gastos Proyecciones'!N163-'Gastos Proyecciones'!N164-'Gastos Proyecciones'!N167-'Gastos Proyecciones'!N168-'Gastos Proyecciones'!N169-'Gastos Proyecciones'!N170)+('Gastos Proyecciones'!N177-'Gastos Proyecciones'!N178-'Gastos Proyecciones'!N180-'Gastos Proyecciones'!N181)+'Gastos Proyecciones'!N230</f>
        <v>0</v>
      </c>
      <c r="N104" s="1114">
        <f>+('Gastos Proyecciones'!O89-'Gastos Proyecciones'!O90-'Gastos Proyecciones'!O93-'Gastos Proyecciones'!O95-'Gastos Proyecciones'!O94-'Gastos Proyecciones'!O96)+('Gastos Proyecciones'!O103-'Gastos Proyecciones'!O104-'Gastos Proyecciones'!O106-'Gastos Proyecciones'!O107)+('Gastos Proyecciones'!O126-'Gastos Proyecciones'!O127-'Gastos Proyecciones'!O130-'Gastos Proyecciones'!O131-'Gastos Proyecciones'!O132-'Gastos Proyecciones'!O133)+('Gastos Proyecciones'!O140-'Gastos Proyecciones'!O141-'Gastos Proyecciones'!O143-'Gastos Proyecciones'!O144)+('Gastos Proyecciones'!O163-'Gastos Proyecciones'!O164-'Gastos Proyecciones'!O167-'Gastos Proyecciones'!O168-'Gastos Proyecciones'!O169-'Gastos Proyecciones'!O170)+('Gastos Proyecciones'!O177-'Gastos Proyecciones'!O178-'Gastos Proyecciones'!O180-'Gastos Proyecciones'!O181)+'Gastos Proyecciones'!O230</f>
        <v>0</v>
      </c>
      <c r="O104" s="1114">
        <f>+('Gastos Proyecciones'!P89-'Gastos Proyecciones'!P90-'Gastos Proyecciones'!P93-'Gastos Proyecciones'!P95-'Gastos Proyecciones'!P94-'Gastos Proyecciones'!P96)+('Gastos Proyecciones'!P103-'Gastos Proyecciones'!P104-'Gastos Proyecciones'!P106-'Gastos Proyecciones'!P107)+('Gastos Proyecciones'!P126-'Gastos Proyecciones'!P127-'Gastos Proyecciones'!P130-'Gastos Proyecciones'!P131-'Gastos Proyecciones'!P132-'Gastos Proyecciones'!P133)+('Gastos Proyecciones'!P140-'Gastos Proyecciones'!P141-'Gastos Proyecciones'!P143-'Gastos Proyecciones'!P144)+('Gastos Proyecciones'!P163-'Gastos Proyecciones'!P164-'Gastos Proyecciones'!P167-'Gastos Proyecciones'!P168-'Gastos Proyecciones'!P169-'Gastos Proyecciones'!P170)+('Gastos Proyecciones'!P177-'Gastos Proyecciones'!P178-'Gastos Proyecciones'!P180-'Gastos Proyecciones'!P181)+'Gastos Proyecciones'!P230</f>
        <v>0</v>
      </c>
      <c r="P104" s="1114">
        <f>+('Gastos Proyecciones'!Q89-'Gastos Proyecciones'!Q90-'Gastos Proyecciones'!Q93-'Gastos Proyecciones'!Q95-'Gastos Proyecciones'!Q94-'Gastos Proyecciones'!Q96)+('Gastos Proyecciones'!Q103-'Gastos Proyecciones'!Q104-'Gastos Proyecciones'!Q106-'Gastos Proyecciones'!Q107)+('Gastos Proyecciones'!Q126-'Gastos Proyecciones'!Q127-'Gastos Proyecciones'!Q130-'Gastos Proyecciones'!Q131-'Gastos Proyecciones'!Q132-'Gastos Proyecciones'!Q133)+('Gastos Proyecciones'!Q140-'Gastos Proyecciones'!Q141-'Gastos Proyecciones'!Q143-'Gastos Proyecciones'!Q144)+('Gastos Proyecciones'!Q163-'Gastos Proyecciones'!Q164-'Gastos Proyecciones'!Q167-'Gastos Proyecciones'!Q168-'Gastos Proyecciones'!Q169-'Gastos Proyecciones'!Q170)+('Gastos Proyecciones'!Q177-'Gastos Proyecciones'!Q178-'Gastos Proyecciones'!Q180-'Gastos Proyecciones'!Q181)+'Gastos Proyecciones'!Q230</f>
        <v>0</v>
      </c>
      <c r="Q104" s="1114">
        <f>+('Gastos Proyecciones'!R89-'Gastos Proyecciones'!R90-'Gastos Proyecciones'!R93-'Gastos Proyecciones'!R95-'Gastos Proyecciones'!R94-'Gastos Proyecciones'!R96)+('Gastos Proyecciones'!R103-'Gastos Proyecciones'!R104-'Gastos Proyecciones'!R106-'Gastos Proyecciones'!R107)+('Gastos Proyecciones'!R126-'Gastos Proyecciones'!R127-'Gastos Proyecciones'!R130-'Gastos Proyecciones'!R131-'Gastos Proyecciones'!R132-'Gastos Proyecciones'!R133)+('Gastos Proyecciones'!R140-'Gastos Proyecciones'!R141-'Gastos Proyecciones'!R143-'Gastos Proyecciones'!R144)+('Gastos Proyecciones'!R163-'Gastos Proyecciones'!R164-'Gastos Proyecciones'!R167-'Gastos Proyecciones'!R168-'Gastos Proyecciones'!R169-'Gastos Proyecciones'!R170)+('Gastos Proyecciones'!R177-'Gastos Proyecciones'!R178-'Gastos Proyecciones'!R180-'Gastos Proyecciones'!R181)+'Gastos Proyecciones'!R230</f>
        <v>0</v>
      </c>
    </row>
    <row r="105" spans="1:17" s="723" customFormat="1" ht="18.75" customHeight="1">
      <c r="A105" s="858" t="s">
        <v>953</v>
      </c>
      <c r="B105" s="869" t="s">
        <v>886</v>
      </c>
      <c r="C105" s="1114">
        <f>+('Gastos Proyecciones'!D110-'Gastos Proyecciones'!D111-'Gastos Proyecciones'!D114-'Gastos Proyecciones'!D115-'Gastos Proyecciones'!D116-'Gastos Proyecciones'!D117)+('Gastos Proyecciones'!D147-'Gastos Proyecciones'!D148-'Gastos Proyecciones'!D151-'Gastos Proyecciones'!D152-'Gastos Proyecciones'!D153-'Gastos Proyecciones'!D154)+('Gastos Proyecciones'!D183-'Gastos Proyecciones'!D184-'Gastos Proyecciones'!D187-'Gastos Proyecciones'!D188-'Gastos Proyecciones'!D189-'Gastos Proyecciones'!D190)</f>
        <v>1718885</v>
      </c>
      <c r="D105" s="1114">
        <f>+('Gastos Proyecciones'!E110-'Gastos Proyecciones'!E111-'Gastos Proyecciones'!E114-'Gastos Proyecciones'!E115-'Gastos Proyecciones'!E116-'Gastos Proyecciones'!E117)+('Gastos Proyecciones'!E147-'Gastos Proyecciones'!E148-'Gastos Proyecciones'!E151-'Gastos Proyecciones'!E152-'Gastos Proyecciones'!E153-'Gastos Proyecciones'!E154)+('Gastos Proyecciones'!E183-'Gastos Proyecciones'!E184-'Gastos Proyecciones'!E187-'Gastos Proyecciones'!E188-'Gastos Proyecciones'!E189-'Gastos Proyecciones'!E190)</f>
        <v>1758271.8499999999</v>
      </c>
      <c r="E105" s="1114">
        <f>+('Gastos Proyecciones'!F110-'Gastos Proyecciones'!F111-'Gastos Proyecciones'!F114-'Gastos Proyecciones'!F115-'Gastos Proyecciones'!F116-'Gastos Proyecciones'!F117)+('Gastos Proyecciones'!F147-'Gastos Proyecciones'!F148-'Gastos Proyecciones'!F151-'Gastos Proyecciones'!F152-'Gastos Proyecciones'!F153-'Gastos Proyecciones'!F154)+('Gastos Proyecciones'!F183-'Gastos Proyecciones'!F184-'Gastos Proyecciones'!F187-'Gastos Proyecciones'!F188-'Gastos Proyecciones'!F189-'Gastos Proyecciones'!F190)</f>
        <v>1044784.3699999999</v>
      </c>
      <c r="F105" s="1114">
        <f>+('Gastos Proyecciones'!G110-'Gastos Proyecciones'!G111-'Gastos Proyecciones'!G114-'Gastos Proyecciones'!G115-'Gastos Proyecciones'!G116-'Gastos Proyecciones'!G117)+('Gastos Proyecciones'!G147-'Gastos Proyecciones'!G148-'Gastos Proyecciones'!G151-'Gastos Proyecciones'!G152-'Gastos Proyecciones'!G153-'Gastos Proyecciones'!G154)+('Gastos Proyecciones'!G183-'Gastos Proyecciones'!G184-'Gastos Proyecciones'!G187-'Gastos Proyecciones'!G188-'Gastos Proyecciones'!G189-'Gastos Proyecciones'!G190)</f>
        <v>1265041.9385000002</v>
      </c>
      <c r="G105" s="1114">
        <f>+('Gastos Proyecciones'!H110-'Gastos Proyecciones'!H111-'Gastos Proyecciones'!H114-'Gastos Proyecciones'!H115-'Gastos Proyecciones'!H116-'Gastos Proyecciones'!H117)+('Gastos Proyecciones'!H147-'Gastos Proyecciones'!H148-'Gastos Proyecciones'!H151-'Gastos Proyecciones'!H152-'Gastos Proyecciones'!H153-'Gastos Proyecciones'!H154)+('Gastos Proyecciones'!H183-'Gastos Proyecciones'!H184-'Gastos Proyecciones'!H187-'Gastos Proyecciones'!H188-'Gastos Proyecciones'!H189-'Gastos Proyecciones'!H190)</f>
        <v>1365757.0354250001</v>
      </c>
      <c r="H105" s="1114">
        <f>+('Gastos Proyecciones'!I110-'Gastos Proyecciones'!I111-'Gastos Proyecciones'!I114-'Gastos Proyecciones'!I115-'Gastos Proyecciones'!I116-'Gastos Proyecciones'!I117)+('Gastos Proyecciones'!I147-'Gastos Proyecciones'!I148-'Gastos Proyecciones'!I151-'Gastos Proyecciones'!I152-'Gastos Proyecciones'!I153-'Gastos Proyecciones'!I154)+('Gastos Proyecciones'!I183-'Gastos Proyecciones'!I184-'Gastos Proyecciones'!I187-'Gastos Proyecciones'!I188-'Gastos Proyecciones'!I189-'Gastos Proyecciones'!I190)</f>
        <v>1318028.4601962501</v>
      </c>
      <c r="I105" s="1114">
        <f>+('Gastos Proyecciones'!J110-'Gastos Proyecciones'!J111-'Gastos Proyecciones'!J114-'Gastos Proyecciones'!J115-'Gastos Proyecciones'!J116-'Gastos Proyecciones'!J117)+('Gastos Proyecciones'!J147-'Gastos Proyecciones'!J148-'Gastos Proyecciones'!J151-'Gastos Proyecciones'!J152-'Gastos Proyecciones'!J153-'Gastos Proyecciones'!J154)+('Gastos Proyecciones'!J183-'Gastos Proyecciones'!J184-'Gastos Proyecciones'!J187-'Gastos Proyecciones'!J188-'Gastos Proyecciones'!J189-'Gastos Proyecciones'!J190)</f>
        <v>1384622.8832060625</v>
      </c>
      <c r="J105" s="1114">
        <f>+('Gastos Proyecciones'!K110-'Gastos Proyecciones'!K111-'Gastos Proyecciones'!K114-'Gastos Proyecciones'!K115-'Gastos Proyecciones'!K116-'Gastos Proyecciones'!K117)+('Gastos Proyecciones'!K147-'Gastos Proyecciones'!K148-'Gastos Proyecciones'!K151-'Gastos Proyecciones'!K152-'Gastos Proyecciones'!K153-'Gastos Proyecciones'!K154)+('Gastos Proyecciones'!K183-'Gastos Proyecciones'!K184-'Gastos Proyecciones'!K187-'Gastos Proyecciones'!K188-'Gastos Proyecciones'!K189-'Gastos Proyecciones'!K190)</f>
        <v>1441648.8248663656</v>
      </c>
      <c r="K105" s="1114">
        <f>+('Gastos Proyecciones'!L110-'Gastos Proyecciones'!L111-'Gastos Proyecciones'!L114-'Gastos Proyecciones'!L115-'Gastos Proyecciones'!L116-'Gastos Proyecciones'!L117)+('Gastos Proyecciones'!L147-'Gastos Proyecciones'!L148-'Gastos Proyecciones'!L151-'Gastos Proyecciones'!L152-'Gastos Proyecciones'!L153-'Gastos Proyecciones'!L154)+('Gastos Proyecciones'!L183-'Gastos Proyecciones'!L184-'Gastos Proyecciones'!L187-'Gastos Proyecciones'!L188-'Gastos Proyecciones'!L189-'Gastos Proyecciones'!L190)</f>
        <v>1449542.0974896585</v>
      </c>
      <c r="L105" s="1114">
        <f>+('Gastos Proyecciones'!M110-'Gastos Proyecciones'!M111-'Gastos Proyecciones'!M114-'Gastos Proyecciones'!M115-'Gastos Proyecciones'!M116-'Gastos Proyecciones'!M117)+('Gastos Proyecciones'!M147-'Gastos Proyecciones'!M148-'Gastos Proyecciones'!M151-'Gastos Proyecciones'!M152-'Gastos Proyecciones'!M153-'Gastos Proyecciones'!M154)+('Gastos Proyecciones'!M183-'Gastos Proyecciones'!M184-'Gastos Proyecciones'!M187-'Gastos Proyecciones'!M188-'Gastos Proyecciones'!M189-'Gastos Proyecciones'!M190)</f>
        <v>1455261.26880483</v>
      </c>
      <c r="M105" s="1114">
        <f>+('Gastos Proyecciones'!N110-'Gastos Proyecciones'!N111-'Gastos Proyecciones'!N114-'Gastos Proyecciones'!N115-'Gastos Proyecciones'!N116-'Gastos Proyecciones'!N117)+('Gastos Proyecciones'!N147-'Gastos Proyecciones'!N148-'Gastos Proyecciones'!N151-'Gastos Proyecciones'!N152-'Gastos Proyecciones'!N153-'Gastos Proyecciones'!N154)+('Gastos Proyecciones'!N183-'Gastos Proyecciones'!N184-'Gastos Proyecciones'!N187-'Gastos Proyecciones'!N188-'Gastos Proyecciones'!N189-'Gastos Proyecciones'!N190)</f>
        <v>1458597.1822450717</v>
      </c>
      <c r="N105" s="1114">
        <f>+('Gastos Proyecciones'!O110-'Gastos Proyecciones'!O111-'Gastos Proyecciones'!O114-'Gastos Proyecciones'!O115-'Gastos Proyecciones'!O116-'Gastos Proyecciones'!O117)+('Gastos Proyecciones'!O147-'Gastos Proyecciones'!O148-'Gastos Proyecciones'!O151-'Gastos Proyecciones'!O152-'Gastos Proyecciones'!O153-'Gastos Proyecciones'!O154)+('Gastos Proyecciones'!O183-'Gastos Proyecciones'!O184-'Gastos Proyecciones'!O187-'Gastos Proyecciones'!O188-'Gastos Proyecciones'!O189-'Gastos Proyecciones'!O190)</f>
        <v>1459322.0084722592</v>
      </c>
      <c r="O105" s="1114">
        <f>+('Gastos Proyecciones'!P110-'Gastos Proyecciones'!P111-'Gastos Proyecciones'!P114-'Gastos Proyecciones'!P115-'Gastos Proyecciones'!P116-'Gastos Proyecciones'!P117)+('Gastos Proyecciones'!P147-'Gastos Proyecciones'!P148-'Gastos Proyecciones'!P151-'Gastos Proyecciones'!P152-'Gastos Proyecciones'!P153-'Gastos Proyecciones'!P154)+('Gastos Proyecciones'!P183-'Gastos Proyecciones'!P184-'Gastos Proyecciones'!P187-'Gastos Proyecciones'!P188-'Gastos Proyecciones'!P189-'Gastos Proyecciones'!P190)</f>
        <v>1457195.1958946944</v>
      </c>
      <c r="P105" s="1114">
        <f>+('Gastos Proyecciones'!Q110-'Gastos Proyecciones'!Q111-'Gastos Proyecciones'!Q114-'Gastos Proyecciones'!Q115-'Gastos Proyecciones'!Q116-'Gastos Proyecciones'!Q117)+('Gastos Proyecciones'!Q147-'Gastos Proyecciones'!Q148-'Gastos Proyecciones'!Q151-'Gastos Proyecciones'!Q152-'Gastos Proyecciones'!Q153-'Gastos Proyecciones'!Q154)+('Gastos Proyecciones'!Q183-'Gastos Proyecciones'!Q184-'Gastos Proyecciones'!Q187-'Gastos Proyecciones'!Q188-'Gastos Proyecciones'!Q189-'Gastos Proyecciones'!Q190)</f>
        <v>1451958.9334728557</v>
      </c>
      <c r="Q105" s="1114">
        <f>+('Gastos Proyecciones'!R110-'Gastos Proyecciones'!R111-'Gastos Proyecciones'!R114-'Gastos Proyecciones'!R115-'Gastos Proyecciones'!R116-'Gastos Proyecciones'!R117)+('Gastos Proyecciones'!R147-'Gastos Proyecciones'!R148-'Gastos Proyecciones'!R151-'Gastos Proyecciones'!R152-'Gastos Proyecciones'!R153-'Gastos Proyecciones'!R154)+('Gastos Proyecciones'!R183-'Gastos Proyecciones'!R184-'Gastos Proyecciones'!R187-'Gastos Proyecciones'!R188-'Gastos Proyecciones'!R189-'Gastos Proyecciones'!R190)</f>
        <v>1517686.1301464983</v>
      </c>
    </row>
    <row r="106" spans="1:17" s="723" customFormat="1" ht="18.75" customHeight="1">
      <c r="A106" s="858" t="s">
        <v>954</v>
      </c>
      <c r="B106" s="859" t="s">
        <v>955</v>
      </c>
      <c r="C106" s="1116">
        <f>SUM(C107:C107)</f>
        <v>66985</v>
      </c>
      <c r="D106" s="1116">
        <f>SUM(D107:D107)</f>
        <v>28806</v>
      </c>
      <c r="E106" s="1116">
        <f t="shared" ref="E106:Q106" si="25">SUM(E107:E107)</f>
        <v>12942</v>
      </c>
      <c r="F106" s="1116">
        <f t="shared" si="25"/>
        <v>13589.1</v>
      </c>
      <c r="G106" s="1116">
        <f t="shared" si="25"/>
        <v>14268.555</v>
      </c>
      <c r="H106" s="1116">
        <f t="shared" si="25"/>
        <v>14981.982750000001</v>
      </c>
      <c r="I106" s="1116">
        <f t="shared" si="25"/>
        <v>15731.081887500002</v>
      </c>
      <c r="J106" s="1116">
        <f t="shared" si="25"/>
        <v>16517.635981875002</v>
      </c>
      <c r="K106" s="1116">
        <f t="shared" si="25"/>
        <v>17343.517780968752</v>
      </c>
      <c r="L106" s="1116">
        <f t="shared" si="25"/>
        <v>18210.69367001719</v>
      </c>
      <c r="M106" s="1116">
        <f t="shared" si="25"/>
        <v>19121.22835351805</v>
      </c>
      <c r="N106" s="1116">
        <f t="shared" si="25"/>
        <v>20077.289771193955</v>
      </c>
      <c r="O106" s="1116">
        <f t="shared" si="25"/>
        <v>21081.154259753654</v>
      </c>
      <c r="P106" s="1116">
        <f t="shared" si="25"/>
        <v>22135.211972741337</v>
      </c>
      <c r="Q106" s="1116">
        <f t="shared" si="25"/>
        <v>23241.972571378406</v>
      </c>
    </row>
    <row r="107" spans="1:17" s="723" customFormat="1" ht="18.75" customHeight="1">
      <c r="A107" s="1118" t="s">
        <v>186</v>
      </c>
      <c r="B107" s="869" t="s">
        <v>1015</v>
      </c>
      <c r="C107" s="1187">
        <f>+'Gastos Proyecciones'!D66+'Gastos Proyecciones'!D68+'Gastos Proyecciones'!D53</f>
        <v>66985</v>
      </c>
      <c r="D107" s="1187">
        <f>+'Gastos Proyecciones'!E66+'Gastos Proyecciones'!E68+'Gastos Proyecciones'!E53</f>
        <v>28806</v>
      </c>
      <c r="E107" s="1187">
        <f>+'Gastos Proyecciones'!F66+'Gastos Proyecciones'!F68+'Gastos Proyecciones'!F53</f>
        <v>12942</v>
      </c>
      <c r="F107" s="1187">
        <f>+'Gastos Proyecciones'!G66+'Gastos Proyecciones'!G68+'Gastos Proyecciones'!G53</f>
        <v>13589.1</v>
      </c>
      <c r="G107" s="1187">
        <f>+'Gastos Proyecciones'!H66+'Gastos Proyecciones'!H68+'Gastos Proyecciones'!H53</f>
        <v>14268.555</v>
      </c>
      <c r="H107" s="1187">
        <f>+'Gastos Proyecciones'!I66+'Gastos Proyecciones'!I68+'Gastos Proyecciones'!I53</f>
        <v>14981.982750000001</v>
      </c>
      <c r="I107" s="1187">
        <f>+'Gastos Proyecciones'!J66+'Gastos Proyecciones'!J68+'Gastos Proyecciones'!J53</f>
        <v>15731.081887500002</v>
      </c>
      <c r="J107" s="1187">
        <f>+'Gastos Proyecciones'!K66+'Gastos Proyecciones'!K68+'Gastos Proyecciones'!K53</f>
        <v>16517.635981875002</v>
      </c>
      <c r="K107" s="1187">
        <f>+'Gastos Proyecciones'!L66+'Gastos Proyecciones'!L68+'Gastos Proyecciones'!L53</f>
        <v>17343.517780968752</v>
      </c>
      <c r="L107" s="1187">
        <f>+'Gastos Proyecciones'!M66+'Gastos Proyecciones'!M68+'Gastos Proyecciones'!M53</f>
        <v>18210.69367001719</v>
      </c>
      <c r="M107" s="1187">
        <f>+'Gastos Proyecciones'!N66+'Gastos Proyecciones'!N68+'Gastos Proyecciones'!N53</f>
        <v>19121.22835351805</v>
      </c>
      <c r="N107" s="1187">
        <f>+'Gastos Proyecciones'!O66+'Gastos Proyecciones'!O68+'Gastos Proyecciones'!O53</f>
        <v>20077.289771193955</v>
      </c>
      <c r="O107" s="1187">
        <f>+'Gastos Proyecciones'!P66+'Gastos Proyecciones'!P68+'Gastos Proyecciones'!P53</f>
        <v>21081.154259753654</v>
      </c>
      <c r="P107" s="1187">
        <f>+'Gastos Proyecciones'!Q66+'Gastos Proyecciones'!Q68+'Gastos Proyecciones'!Q53</f>
        <v>22135.211972741337</v>
      </c>
      <c r="Q107" s="1187">
        <f>+'Gastos Proyecciones'!R66+'Gastos Proyecciones'!R68+'Gastos Proyecciones'!R53</f>
        <v>23241.972571378406</v>
      </c>
    </row>
    <row r="108" spans="1:17" s="723" customFormat="1" ht="18.75" customHeight="1">
      <c r="A108" s="858" t="s">
        <v>957</v>
      </c>
      <c r="B108" s="859" t="s">
        <v>958</v>
      </c>
      <c r="C108" s="1116">
        <f>+C77-C102</f>
        <v>-1453599.6400000001</v>
      </c>
      <c r="D108" s="1116">
        <f t="shared" ref="D108:Q108" si="26">+D77-D102</f>
        <v>-1707043.45</v>
      </c>
      <c r="E108" s="1116">
        <f t="shared" si="26"/>
        <v>430707.60920000006</v>
      </c>
      <c r="F108" s="1116">
        <f t="shared" si="26"/>
        <v>-305998.98013199924</v>
      </c>
      <c r="G108" s="1116">
        <f t="shared" si="26"/>
        <v>-1200488.2497222796</v>
      </c>
      <c r="H108" s="1116">
        <f t="shared" si="26"/>
        <v>-1146291.6086154217</v>
      </c>
      <c r="I108" s="1116">
        <f t="shared" si="26"/>
        <v>-1206166.3773895004</v>
      </c>
      <c r="J108" s="1116">
        <f t="shared" si="26"/>
        <v>-1256211.3696360174</v>
      </c>
      <c r="K108" s="1116">
        <f t="shared" si="26"/>
        <v>-456852.32040991378</v>
      </c>
      <c r="L108" s="1116">
        <f t="shared" si="26"/>
        <v>-1255037.335819704</v>
      </c>
      <c r="M108" s="1116">
        <f t="shared" si="26"/>
        <v>-1250546.398877243</v>
      </c>
      <c r="N108" s="1116">
        <f t="shared" si="26"/>
        <v>-1243140.4060532516</v>
      </c>
      <c r="O108" s="1116">
        <f t="shared" si="26"/>
        <v>-1232567.1022766391</v>
      </c>
      <c r="P108" s="1116">
        <f t="shared" si="26"/>
        <v>-1218556.5276526751</v>
      </c>
      <c r="Q108" s="1116">
        <f t="shared" si="26"/>
        <v>-1275168.9802132377</v>
      </c>
    </row>
    <row r="109" spans="1:17" s="723" customFormat="1" ht="18.75" customHeight="1" thickBot="1">
      <c r="A109" s="952" t="s">
        <v>959</v>
      </c>
      <c r="B109" s="894" t="s">
        <v>960</v>
      </c>
      <c r="C109" s="1119">
        <f>+C53+C61+C68+C75+C108</f>
        <v>-2326472</v>
      </c>
      <c r="D109" s="1119">
        <f t="shared" ref="D109:Q109" si="27">+D53+D61+D68+D75+D108</f>
        <v>-2242797.87</v>
      </c>
      <c r="E109" s="1119">
        <f t="shared" si="27"/>
        <v>-1817905.3458</v>
      </c>
      <c r="F109" s="1119">
        <f t="shared" si="27"/>
        <v>-1071631.1740819993</v>
      </c>
      <c r="G109" s="1119">
        <f t="shared" si="27"/>
        <v>-1843367.2222177798</v>
      </c>
      <c r="H109" s="1119">
        <f t="shared" si="27"/>
        <v>-1850049.7453376167</v>
      </c>
      <c r="I109" s="1119">
        <f t="shared" si="27"/>
        <v>-1914263.437973802</v>
      </c>
      <c r="J109" s="1119">
        <f t="shared" si="27"/>
        <v>-1980555.9652445703</v>
      </c>
      <c r="K109" s="1119">
        <f t="shared" si="27"/>
        <v>-1248987.0710737328</v>
      </c>
      <c r="L109" s="1119">
        <f t="shared" si="27"/>
        <v>-2119614.6663025455</v>
      </c>
      <c r="M109" s="1119">
        <f t="shared" si="27"/>
        <v>-2192501.8718614914</v>
      </c>
      <c r="N109" s="1119">
        <f t="shared" si="27"/>
        <v>-2267708.8997030682</v>
      </c>
      <c r="O109" s="1119">
        <f t="shared" si="27"/>
        <v>-2345299.8775059571</v>
      </c>
      <c r="P109" s="1119">
        <f t="shared" si="27"/>
        <v>-2425339.2328163483</v>
      </c>
      <c r="Q109" s="1119">
        <f t="shared" si="27"/>
        <v>-2507890.9684863463</v>
      </c>
    </row>
    <row r="110" spans="1:17" s="723" customFormat="1" ht="18.75" customHeight="1">
      <c r="A110" s="897" t="s">
        <v>961</v>
      </c>
      <c r="B110" s="1120" t="s">
        <v>962</v>
      </c>
      <c r="C110" s="1121"/>
      <c r="D110" s="1121"/>
      <c r="E110" s="1121"/>
      <c r="F110" s="1121"/>
      <c r="G110" s="1121"/>
      <c r="H110" s="1121"/>
      <c r="I110" s="1121"/>
      <c r="J110" s="1121"/>
      <c r="K110" s="1121"/>
      <c r="L110" s="1121"/>
      <c r="M110" s="1121"/>
      <c r="N110" s="1121"/>
      <c r="O110" s="1121"/>
      <c r="P110" s="1121"/>
      <c r="Q110" s="1121"/>
    </row>
    <row r="111" spans="1:17" s="723" customFormat="1" ht="18.75" customHeight="1">
      <c r="A111" s="901" t="s">
        <v>963</v>
      </c>
      <c r="B111" s="1122" t="s">
        <v>964</v>
      </c>
      <c r="C111" s="1123"/>
      <c r="D111" s="1123"/>
      <c r="E111" s="1123"/>
      <c r="F111" s="1123"/>
      <c r="G111" s="1123"/>
      <c r="H111" s="1123"/>
      <c r="I111" s="1123"/>
      <c r="J111" s="1123"/>
      <c r="K111" s="1123"/>
      <c r="L111" s="1123"/>
      <c r="M111" s="1123"/>
      <c r="N111" s="1123"/>
      <c r="O111" s="1123"/>
      <c r="P111" s="1123"/>
      <c r="Q111" s="1123"/>
    </row>
    <row r="112" spans="1:17" s="723" customFormat="1" ht="18.75" customHeight="1">
      <c r="A112" s="901" t="s">
        <v>965</v>
      </c>
      <c r="B112" s="1122" t="s">
        <v>966</v>
      </c>
      <c r="C112" s="1113">
        <f>+C113+C114+C123</f>
        <v>2386531</v>
      </c>
      <c r="D112" s="1113">
        <f t="shared" ref="D112:Q112" si="28">+D113+D114+D123</f>
        <v>2282798.15</v>
      </c>
      <c r="E112" s="1113">
        <f t="shared" si="28"/>
        <v>1870334</v>
      </c>
      <c r="F112" s="1113">
        <f t="shared" si="28"/>
        <v>2107630.2599999998</v>
      </c>
      <c r="G112" s="1113">
        <f t="shared" si="28"/>
        <v>2091166.9374000004</v>
      </c>
      <c r="H112" s="1113">
        <f t="shared" si="28"/>
        <v>2110239.0492459997</v>
      </c>
      <c r="I112" s="1113">
        <f t="shared" si="28"/>
        <v>2187462.2372833407</v>
      </c>
      <c r="J112" s="1113">
        <f t="shared" si="28"/>
        <v>2267415.0341455489</v>
      </c>
      <c r="K112" s="1113">
        <f t="shared" si="28"/>
        <v>2350188.6582507892</v>
      </c>
      <c r="L112" s="1113">
        <f t="shared" si="28"/>
        <v>2435877.0784572102</v>
      </c>
      <c r="M112" s="1113">
        <f t="shared" si="28"/>
        <v>2524577.0791657087</v>
      </c>
      <c r="N112" s="1113">
        <f t="shared" si="28"/>
        <v>2616388.3257810562</v>
      </c>
      <c r="O112" s="1113">
        <f t="shared" si="28"/>
        <v>2711413.4304334549</v>
      </c>
      <c r="P112" s="1113">
        <f t="shared" si="28"/>
        <v>2809758.0178530058</v>
      </c>
      <c r="Q112" s="1113">
        <f t="shared" si="28"/>
        <v>2911530.7912794505</v>
      </c>
    </row>
    <row r="113" spans="1:17" s="723" customFormat="1" ht="18.75" customHeight="1">
      <c r="A113" s="1125" t="s">
        <v>872</v>
      </c>
      <c r="B113" s="922" t="s">
        <v>967</v>
      </c>
      <c r="C113" s="1126">
        <f>+C45</f>
        <v>2386531</v>
      </c>
      <c r="D113" s="1126">
        <f>+D45</f>
        <v>2282798.15</v>
      </c>
      <c r="E113" s="1126">
        <f t="shared" ref="E113:Q113" si="29">+E45</f>
        <v>1870334</v>
      </c>
      <c r="F113" s="1126">
        <f t="shared" si="29"/>
        <v>2107630.2599999998</v>
      </c>
      <c r="G113" s="1126">
        <f t="shared" si="29"/>
        <v>2091166.9374000004</v>
      </c>
      <c r="H113" s="1126">
        <f t="shared" si="29"/>
        <v>2110239.0492459997</v>
      </c>
      <c r="I113" s="1126">
        <f t="shared" si="29"/>
        <v>2187462.2372833407</v>
      </c>
      <c r="J113" s="1126">
        <f t="shared" si="29"/>
        <v>2267415.0341455489</v>
      </c>
      <c r="K113" s="1126">
        <f t="shared" si="29"/>
        <v>2350188.6582507892</v>
      </c>
      <c r="L113" s="1126">
        <f t="shared" si="29"/>
        <v>2435877.0784572102</v>
      </c>
      <c r="M113" s="1126">
        <f t="shared" si="29"/>
        <v>2524577.0791657087</v>
      </c>
      <c r="N113" s="1126">
        <f t="shared" si="29"/>
        <v>2616388.3257810562</v>
      </c>
      <c r="O113" s="1126">
        <f t="shared" si="29"/>
        <v>2711413.4304334549</v>
      </c>
      <c r="P113" s="1126">
        <f t="shared" si="29"/>
        <v>2809758.0178530058</v>
      </c>
      <c r="Q113" s="1126">
        <f t="shared" si="29"/>
        <v>2911530.7912794505</v>
      </c>
    </row>
    <row r="114" spans="1:17" s="723" customFormat="1" ht="18.75" customHeight="1">
      <c r="A114" s="901" t="s">
        <v>968</v>
      </c>
      <c r="B114" s="1122" t="s">
        <v>969</v>
      </c>
      <c r="C114" s="1124">
        <f>SUM(C115:C122)</f>
        <v>0</v>
      </c>
      <c r="D114" s="1124">
        <f t="shared" ref="D114:Q114" si="30">SUM(D115:D122)</f>
        <v>0</v>
      </c>
      <c r="E114" s="1124">
        <f t="shared" si="30"/>
        <v>0</v>
      </c>
      <c r="F114" s="1124">
        <f t="shared" si="30"/>
        <v>0</v>
      </c>
      <c r="G114" s="1124">
        <f t="shared" si="30"/>
        <v>0</v>
      </c>
      <c r="H114" s="1124">
        <f t="shared" si="30"/>
        <v>0</v>
      </c>
      <c r="I114" s="1124">
        <f t="shared" si="30"/>
        <v>0</v>
      </c>
      <c r="J114" s="1124">
        <f t="shared" si="30"/>
        <v>0</v>
      </c>
      <c r="K114" s="1124">
        <f t="shared" si="30"/>
        <v>0</v>
      </c>
      <c r="L114" s="1124">
        <f t="shared" si="30"/>
        <v>0</v>
      </c>
      <c r="M114" s="1124">
        <f t="shared" si="30"/>
        <v>0</v>
      </c>
      <c r="N114" s="1124">
        <f t="shared" si="30"/>
        <v>0</v>
      </c>
      <c r="O114" s="1124">
        <f t="shared" si="30"/>
        <v>0</v>
      </c>
      <c r="P114" s="1124">
        <f t="shared" si="30"/>
        <v>0</v>
      </c>
      <c r="Q114" s="1124">
        <f t="shared" si="30"/>
        <v>0</v>
      </c>
    </row>
    <row r="115" spans="1:17" s="723" customFormat="1" ht="18.75" customHeight="1">
      <c r="A115" s="1127" t="s">
        <v>1266</v>
      </c>
      <c r="B115" s="922" t="s">
        <v>970</v>
      </c>
      <c r="C115" s="1126">
        <f>(+'Ingresos Proyecciones'!C31*'Ley 617'!$G$31)*'Ingresos Proyecciones'!C154</f>
        <v>0</v>
      </c>
      <c r="D115" s="1126">
        <f>(+'Ingresos Proyecciones'!D31*'Ley 617'!$G$31)*'Ingresos Proyecciones'!D154</f>
        <v>0</v>
      </c>
      <c r="E115" s="1126">
        <f>(+'Ingresos Proyecciones'!E31*'Ley 617'!$G$31)*'Ingresos Proyecciones'!E154</f>
        <v>0</v>
      </c>
      <c r="F115" s="1126">
        <f>(+'Ingresos Proyecciones'!F31*'Ley 617'!$G$31)*'Ingresos Proyecciones'!F154</f>
        <v>0</v>
      </c>
      <c r="G115" s="1126">
        <f>(+'Ingresos Proyecciones'!G31*'Ley 617'!$G$31)*'Ingresos Proyecciones'!G154</f>
        <v>0</v>
      </c>
      <c r="H115" s="1126">
        <f>(+'Ingresos Proyecciones'!H31*'Ley 617'!$G$31)*'Ingresos Proyecciones'!H154</f>
        <v>0</v>
      </c>
      <c r="I115" s="1126">
        <f>(+'Ingresos Proyecciones'!I31*'Ley 617'!$G$31)*'Ingresos Proyecciones'!I154</f>
        <v>0</v>
      </c>
      <c r="J115" s="1126">
        <f>(+'Ingresos Proyecciones'!J31*'Ley 617'!$G$31)*'Ingresos Proyecciones'!J154</f>
        <v>0</v>
      </c>
      <c r="K115" s="1126">
        <f>(+'Ingresos Proyecciones'!K31*'Ley 617'!$G$31)*'Ingresos Proyecciones'!K154</f>
        <v>0</v>
      </c>
      <c r="L115" s="1126">
        <f>(+'Ingresos Proyecciones'!L31*'Ley 617'!$G$31)*'Ingresos Proyecciones'!L154</f>
        <v>0</v>
      </c>
      <c r="M115" s="1126">
        <f>(+'Ingresos Proyecciones'!M31*'Ley 617'!$G$31)*'Ingresos Proyecciones'!M154</f>
        <v>0</v>
      </c>
      <c r="N115" s="1126">
        <f>(+'Ingresos Proyecciones'!N31*'Ley 617'!$G$31)*'Ingresos Proyecciones'!N154</f>
        <v>0</v>
      </c>
      <c r="O115" s="1126">
        <f>(+'Ingresos Proyecciones'!O31*'Ley 617'!$G$31)*'Ingresos Proyecciones'!O154</f>
        <v>0</v>
      </c>
      <c r="P115" s="1126">
        <f>(+'Ingresos Proyecciones'!P31*'Ley 617'!$G$31)*'Ingresos Proyecciones'!P154</f>
        <v>0</v>
      </c>
      <c r="Q115" s="1126">
        <f>(+'Ingresos Proyecciones'!Q31*'Ley 617'!$G$31)*'Ingresos Proyecciones'!Q154</f>
        <v>0</v>
      </c>
    </row>
    <row r="116" spans="1:17" s="723" customFormat="1" ht="18.75" customHeight="1">
      <c r="A116" s="1128" t="s">
        <v>854</v>
      </c>
      <c r="B116" s="922" t="s">
        <v>971</v>
      </c>
      <c r="C116" s="1126">
        <f>+('Ingresos Proyecciones'!C38*'Ley 617'!$G$38)*'Ingresos Proyecciones'!C155</f>
        <v>0</v>
      </c>
      <c r="D116" s="1126">
        <f>+('Ingresos Proyecciones'!D38*'Ley 617'!$G$38)*'Ingresos Proyecciones'!D155</f>
        <v>0</v>
      </c>
      <c r="E116" s="1126">
        <f>+('Ingresos Proyecciones'!E38*'Ley 617'!$G$38)*'Ingresos Proyecciones'!E155</f>
        <v>0</v>
      </c>
      <c r="F116" s="1126">
        <f>+('Ingresos Proyecciones'!F38*'Ley 617'!$G$38)*'Ingresos Proyecciones'!F155</f>
        <v>0</v>
      </c>
      <c r="G116" s="1126">
        <f>+('Ingresos Proyecciones'!G38*'Ley 617'!$G$38)*'Ingresos Proyecciones'!G155</f>
        <v>0</v>
      </c>
      <c r="H116" s="1126">
        <f>+('Ingresos Proyecciones'!H38*'Ley 617'!$G$38)*'Ingresos Proyecciones'!H155</f>
        <v>0</v>
      </c>
      <c r="I116" s="1126">
        <f>+('Ingresos Proyecciones'!I38*'Ley 617'!$G$38)*'Ingresos Proyecciones'!I155</f>
        <v>0</v>
      </c>
      <c r="J116" s="1126">
        <f>+('Ingresos Proyecciones'!J38*'Ley 617'!$G$38)*'Ingresos Proyecciones'!J155</f>
        <v>0</v>
      </c>
      <c r="K116" s="1126">
        <f>+('Ingresos Proyecciones'!K38*'Ley 617'!$G$38)*'Ingresos Proyecciones'!K155</f>
        <v>0</v>
      </c>
      <c r="L116" s="1126">
        <f>+('Ingresos Proyecciones'!L38*'Ley 617'!$G$38)*'Ingresos Proyecciones'!L155</f>
        <v>0</v>
      </c>
      <c r="M116" s="1126">
        <f>+('Ingresos Proyecciones'!M38*'Ley 617'!$G$38)*'Ingresos Proyecciones'!M155</f>
        <v>0</v>
      </c>
      <c r="N116" s="1126">
        <f>+('Ingresos Proyecciones'!N38*'Ley 617'!$G$38)*'Ingresos Proyecciones'!N155</f>
        <v>0</v>
      </c>
      <c r="O116" s="1126">
        <f>+('Ingresos Proyecciones'!O38*'Ley 617'!$G$38)*'Ingresos Proyecciones'!O155</f>
        <v>0</v>
      </c>
      <c r="P116" s="1126">
        <f>+('Ingresos Proyecciones'!P38*'Ley 617'!$G$38)*'Ingresos Proyecciones'!P155</f>
        <v>0</v>
      </c>
      <c r="Q116" s="1126">
        <f>+('Ingresos Proyecciones'!Q38*'Ley 617'!$G$38)*'Ingresos Proyecciones'!Q155</f>
        <v>0</v>
      </c>
    </row>
    <row r="117" spans="1:17" s="723" customFormat="1" ht="18.75" customHeight="1">
      <c r="A117" s="1129" t="s">
        <v>5</v>
      </c>
      <c r="B117" s="922" t="s">
        <v>972</v>
      </c>
      <c r="C117" s="1126">
        <f>+'Ingresos Proyecciones'!C87*'Ingresos Proyecciones'!C156</f>
        <v>0</v>
      </c>
      <c r="D117" s="1126">
        <f>+'Ingresos Proyecciones'!D87*'Ingresos Proyecciones'!D156</f>
        <v>0</v>
      </c>
      <c r="E117" s="1126">
        <f>+'Ingresos Proyecciones'!E87*'Ingresos Proyecciones'!E156</f>
        <v>0</v>
      </c>
      <c r="F117" s="1126">
        <f>+'Ingresos Proyecciones'!F87*'Ingresos Proyecciones'!F156</f>
        <v>0</v>
      </c>
      <c r="G117" s="1126">
        <f>+'Ingresos Proyecciones'!G87*'Ingresos Proyecciones'!G156</f>
        <v>0</v>
      </c>
      <c r="H117" s="1126">
        <f>+'Ingresos Proyecciones'!H87*'Ingresos Proyecciones'!H156</f>
        <v>0</v>
      </c>
      <c r="I117" s="1126">
        <f>+'Ingresos Proyecciones'!I87*'Ingresos Proyecciones'!I156</f>
        <v>0</v>
      </c>
      <c r="J117" s="1126">
        <f>+'Ingresos Proyecciones'!J87*'Ingresos Proyecciones'!J156</f>
        <v>0</v>
      </c>
      <c r="K117" s="1126">
        <f>+'Ingresos Proyecciones'!K87*'Ingresos Proyecciones'!K156</f>
        <v>0</v>
      </c>
      <c r="L117" s="1126">
        <f>+'Ingresos Proyecciones'!L87*'Ingresos Proyecciones'!L156</f>
        <v>0</v>
      </c>
      <c r="M117" s="1126">
        <f>+'Ingresos Proyecciones'!M87*'Ingresos Proyecciones'!M156</f>
        <v>0</v>
      </c>
      <c r="N117" s="1126">
        <f>+'Ingresos Proyecciones'!N87*'Ingresos Proyecciones'!N156</f>
        <v>0</v>
      </c>
      <c r="O117" s="1126">
        <f>+'Ingresos Proyecciones'!O87*'Ingresos Proyecciones'!O156</f>
        <v>0</v>
      </c>
      <c r="P117" s="1126">
        <f>+'Ingresos Proyecciones'!P87*'Ingresos Proyecciones'!P156</f>
        <v>0</v>
      </c>
      <c r="Q117" s="1126">
        <f>+'Ingresos Proyecciones'!Q87*'Ingresos Proyecciones'!Q156</f>
        <v>0</v>
      </c>
    </row>
    <row r="118" spans="1:17" s="723" customFormat="1" ht="18.75" customHeight="1">
      <c r="A118" s="1130" t="s">
        <v>1016</v>
      </c>
      <c r="B118" s="922" t="s">
        <v>973</v>
      </c>
      <c r="C118" s="1126">
        <f>+('Ingresos Proyecciones'!C111*'Ley 617'!$G$85)*'Ingresos Proyecciones'!C157</f>
        <v>0</v>
      </c>
      <c r="D118" s="1126">
        <f>+('Ingresos Proyecciones'!D111*'Ley 617'!$G$85)*'Ingresos Proyecciones'!D157</f>
        <v>0</v>
      </c>
      <c r="E118" s="1126">
        <f>+('Ingresos Proyecciones'!E111*'Ley 617'!$G$85)*'Ingresos Proyecciones'!E157</f>
        <v>0</v>
      </c>
      <c r="F118" s="1126">
        <f>+('Ingresos Proyecciones'!F111*'Ley 617'!$G$85)*'Ingresos Proyecciones'!F157</f>
        <v>0</v>
      </c>
      <c r="G118" s="1126">
        <f>+('Ingresos Proyecciones'!G111*'Ley 617'!$G$85)*'Ingresos Proyecciones'!G157</f>
        <v>0</v>
      </c>
      <c r="H118" s="1126">
        <f>+('Ingresos Proyecciones'!H111*'Ley 617'!$G$85)*'Ingresos Proyecciones'!H157</f>
        <v>0</v>
      </c>
      <c r="I118" s="1126">
        <f>+('Ingresos Proyecciones'!I111*'Ley 617'!$G$85)*'Ingresos Proyecciones'!I157</f>
        <v>0</v>
      </c>
      <c r="J118" s="1126">
        <f>+('Ingresos Proyecciones'!J111*'Ley 617'!$G$85)*'Ingresos Proyecciones'!J157</f>
        <v>0</v>
      </c>
      <c r="K118" s="1126">
        <f>+('Ingresos Proyecciones'!K111*'Ley 617'!$G$85)*'Ingresos Proyecciones'!K157</f>
        <v>0</v>
      </c>
      <c r="L118" s="1126">
        <f>+('Ingresos Proyecciones'!L111*'Ley 617'!$G$85)*'Ingresos Proyecciones'!L157</f>
        <v>0</v>
      </c>
      <c r="M118" s="1126">
        <f>+('Ingresos Proyecciones'!M111*'Ley 617'!$G$85)*'Ingresos Proyecciones'!M157</f>
        <v>0</v>
      </c>
      <c r="N118" s="1126">
        <f>+('Ingresos Proyecciones'!N111*'Ley 617'!$G$85)*'Ingresos Proyecciones'!N157</f>
        <v>0</v>
      </c>
      <c r="O118" s="1126">
        <f>+('Ingresos Proyecciones'!O111*'Ley 617'!$G$85)*'Ingresos Proyecciones'!O157</f>
        <v>0</v>
      </c>
      <c r="P118" s="1126">
        <f>+('Ingresos Proyecciones'!P111*'Ley 617'!$G$85)*'Ingresos Proyecciones'!P157</f>
        <v>0</v>
      </c>
      <c r="Q118" s="1126">
        <f>+('Ingresos Proyecciones'!Q111*'Ley 617'!$G$85)*'Ingresos Proyecciones'!Q157</f>
        <v>0</v>
      </c>
    </row>
    <row r="119" spans="1:17" s="723" customFormat="1" ht="18.75" customHeight="1">
      <c r="A119" s="1131" t="s">
        <v>935</v>
      </c>
      <c r="B119" s="922" t="s">
        <v>974</v>
      </c>
      <c r="C119" s="1126">
        <f>+'Ingresos Proyecciones'!C126*'Ingresos Proyecciones'!C161</f>
        <v>0</v>
      </c>
      <c r="D119" s="1126">
        <f>+'Ingresos Proyecciones'!D126*'Ingresos Proyecciones'!D161</f>
        <v>0</v>
      </c>
      <c r="E119" s="1126">
        <f>+'Ingresos Proyecciones'!E126*'Ingresos Proyecciones'!E161</f>
        <v>0</v>
      </c>
      <c r="F119" s="1126">
        <f>+'Ingresos Proyecciones'!F126*'Ingresos Proyecciones'!F161</f>
        <v>0</v>
      </c>
      <c r="G119" s="1126">
        <f>+'Ingresos Proyecciones'!G126*'Ingresos Proyecciones'!G161</f>
        <v>0</v>
      </c>
      <c r="H119" s="1126">
        <f>+'Ingresos Proyecciones'!H126*'Ingresos Proyecciones'!H161</f>
        <v>0</v>
      </c>
      <c r="I119" s="1126">
        <f>+'Ingresos Proyecciones'!I126*'Ingresos Proyecciones'!I161</f>
        <v>0</v>
      </c>
      <c r="J119" s="1126">
        <f>+'Ingresos Proyecciones'!J126*'Ingresos Proyecciones'!J161</f>
        <v>0</v>
      </c>
      <c r="K119" s="1126">
        <f>+'Ingresos Proyecciones'!K126*'Ingresos Proyecciones'!K161</f>
        <v>0</v>
      </c>
      <c r="L119" s="1126">
        <f>+'Ingresos Proyecciones'!L126*'Ingresos Proyecciones'!L161</f>
        <v>0</v>
      </c>
      <c r="M119" s="1126">
        <f>+'Ingresos Proyecciones'!M126*'Ingresos Proyecciones'!M161</f>
        <v>0</v>
      </c>
      <c r="N119" s="1126">
        <f>+'Ingresos Proyecciones'!N126*'Ingresos Proyecciones'!N161</f>
        <v>0</v>
      </c>
      <c r="O119" s="1126">
        <f>+'Ingresos Proyecciones'!O126*'Ingresos Proyecciones'!O161</f>
        <v>0</v>
      </c>
      <c r="P119" s="1126">
        <f>+'Ingresos Proyecciones'!P126*'Ingresos Proyecciones'!P161</f>
        <v>0</v>
      </c>
      <c r="Q119" s="1126">
        <f>+'Ingresos Proyecciones'!Q126*'Ingresos Proyecciones'!Q161</f>
        <v>0</v>
      </c>
    </row>
    <row r="120" spans="1:17" s="723" customFormat="1" ht="18.75" customHeight="1">
      <c r="A120" s="1131" t="s">
        <v>942</v>
      </c>
      <c r="B120" s="922" t="s">
        <v>975</v>
      </c>
      <c r="C120" s="1126">
        <f>+'Ingresos Proyecciones'!C120*'Ingresos Proyecciones'!C160</f>
        <v>0</v>
      </c>
      <c r="D120" s="1126">
        <f>+'Ingresos Proyecciones'!D120*'Ingresos Proyecciones'!D160</f>
        <v>0</v>
      </c>
      <c r="E120" s="1126">
        <f>+'Ingresos Proyecciones'!E120*'Ingresos Proyecciones'!E160</f>
        <v>0</v>
      </c>
      <c r="F120" s="1126">
        <f>+'Ingresos Proyecciones'!F120*'Ingresos Proyecciones'!F160</f>
        <v>0</v>
      </c>
      <c r="G120" s="1126">
        <f>+'Ingresos Proyecciones'!G120*'Ingresos Proyecciones'!G160</f>
        <v>0</v>
      </c>
      <c r="H120" s="1126">
        <f>+'Ingresos Proyecciones'!H120*'Ingresos Proyecciones'!H160</f>
        <v>0</v>
      </c>
      <c r="I120" s="1126">
        <f>+'Ingresos Proyecciones'!I120*'Ingresos Proyecciones'!I160</f>
        <v>0</v>
      </c>
      <c r="J120" s="1126">
        <f>+'Ingresos Proyecciones'!J120*'Ingresos Proyecciones'!J160</f>
        <v>0</v>
      </c>
      <c r="K120" s="1126">
        <f>+'Ingresos Proyecciones'!K120*'Ingresos Proyecciones'!K160</f>
        <v>0</v>
      </c>
      <c r="L120" s="1126">
        <f>+'Ingresos Proyecciones'!L120*'Ingresos Proyecciones'!L160</f>
        <v>0</v>
      </c>
      <c r="M120" s="1126">
        <f>+'Ingresos Proyecciones'!M120*'Ingresos Proyecciones'!M160</f>
        <v>0</v>
      </c>
      <c r="N120" s="1126">
        <f>+'Ingresos Proyecciones'!N120*'Ingresos Proyecciones'!N160</f>
        <v>0</v>
      </c>
      <c r="O120" s="1126">
        <f>+'Ingresos Proyecciones'!O120*'Ingresos Proyecciones'!O160</f>
        <v>0</v>
      </c>
      <c r="P120" s="1126">
        <f>+'Ingresos Proyecciones'!P120*'Ingresos Proyecciones'!P160</f>
        <v>0</v>
      </c>
      <c r="Q120" s="1126">
        <f>+'Ingresos Proyecciones'!Q120*'Ingresos Proyecciones'!Q160</f>
        <v>0</v>
      </c>
    </row>
    <row r="121" spans="1:17" s="723" customFormat="1" ht="18.75" customHeight="1">
      <c r="A121" s="1132" t="s">
        <v>1340</v>
      </c>
      <c r="B121" s="922" t="s">
        <v>1017</v>
      </c>
      <c r="C121" s="1189">
        <f>IF(Ingresos!$B$10&lt;=2003,('Ingresos Proyecciones'!C68*0.49*'Ingresos Proyecciones'!C158),IF(Ingresos!$D$22="NO",('Ingresos Proyecciones'!C68*0.42*'Ingresos Proyecciones'!C158),IF(Ingresos!$D$22="SI",'Ingresos Proyecciones'!C68*0.52*'Ingresos Proyecciones'!C158)))</f>
        <v>0</v>
      </c>
      <c r="D121" s="1189">
        <f>IF(Ingresos!$B$10+1&lt;=2003,('Ingresos Proyecciones'!D68*0.49*'Ingresos Proyecciones'!D158),IF(Ingresos!$D$22="NO",('Ingresos Proyecciones'!D68*0.42*'Ingresos Proyecciones'!D158),IF(Ingresos!$D$22="SI",'Ingresos Proyecciones'!D68*0.52*'Ingresos Proyecciones'!D158)))</f>
        <v>0</v>
      </c>
      <c r="E121" s="1189">
        <f>IF(Ingresos!$B$10+2&lt;=2003,('Ingresos Proyecciones'!E68*0.49*'Ingresos Proyecciones'!E158),IF(Ingresos!$D$22="NO",('Ingresos Proyecciones'!E68*0.42*'Ingresos Proyecciones'!E158),IF(Ingresos!$D$22="SI",'Ingresos Proyecciones'!E68*0.52*'Ingresos Proyecciones'!E158)))</f>
        <v>0</v>
      </c>
      <c r="F121" s="1189">
        <f>IF(Ingresos!$B$10+3&lt;=2003,('Ingresos Proyecciones'!F68*0.49*'Ingresos Proyecciones'!F158),IF(Ingresos!$D$22="NO",('Ingresos Proyecciones'!F68*0.42*'Ingresos Proyecciones'!F158),IF(Ingresos!$D$22="SI",'Ingresos Proyecciones'!F68*0.52*'Ingresos Proyecciones'!F158)))</f>
        <v>0</v>
      </c>
      <c r="G121" s="1189">
        <f>IF(Ingresos!$B$10+4&lt;=2003,('Ingresos Proyecciones'!G68*0.49*'Ingresos Proyecciones'!G158),IF(Ingresos!$D$22="NO",('Ingresos Proyecciones'!G68*0.42*'Ingresos Proyecciones'!G158),IF(Ingresos!$D$22="SI",'Ingresos Proyecciones'!G68*0.52*'Ingresos Proyecciones'!G158)))</f>
        <v>0</v>
      </c>
      <c r="H121" s="1189">
        <f>IF(Ingresos!$B$10+5&lt;=2003,('Ingresos Proyecciones'!H68*0.49*'Ingresos Proyecciones'!H158),IF(Ingresos!$D$22="NO",('Ingresos Proyecciones'!H68*0.42*'Ingresos Proyecciones'!H158),IF(Ingresos!$D$22="SI",'Ingresos Proyecciones'!H68*0.52*'Ingresos Proyecciones'!H158)))</f>
        <v>0</v>
      </c>
      <c r="I121" s="1189">
        <f>IF(Ingresos!$B$10+6&lt;=2003,('Ingresos Proyecciones'!I68*0.49*'Ingresos Proyecciones'!I158),IF(Ingresos!$D$22="NO",('Ingresos Proyecciones'!I68*0.42*'Ingresos Proyecciones'!I158),IF(Ingresos!$D$22="SI",'Ingresos Proyecciones'!I68*0.52*'Ingresos Proyecciones'!I158)))</f>
        <v>0</v>
      </c>
      <c r="J121" s="1189">
        <f>IF(Ingresos!$B$10+7&lt;=2003,('Ingresos Proyecciones'!J68*0.49*'Ingresos Proyecciones'!J158),IF(Ingresos!$D$22="NO",('Ingresos Proyecciones'!J68*0.42*'Ingresos Proyecciones'!J158),IF(Ingresos!$D$22="SI",'Ingresos Proyecciones'!J68*0.52*'Ingresos Proyecciones'!J158)))</f>
        <v>0</v>
      </c>
      <c r="K121" s="1189">
        <f>IF(Ingresos!$B$10+8&lt;=2003,('Ingresos Proyecciones'!K68*0.49*'Ingresos Proyecciones'!K158),IF(Ingresos!$D$22="NO",('Ingresos Proyecciones'!K68*0.42*'Ingresos Proyecciones'!K158),IF(Ingresos!$D$22="SI",'Ingresos Proyecciones'!K68*0.52*'Ingresos Proyecciones'!K158)))</f>
        <v>0</v>
      </c>
      <c r="L121" s="1189">
        <f>IF(Ingresos!$B$10+9&lt;=2003,('Ingresos Proyecciones'!L68*0.49*'Ingresos Proyecciones'!L158),IF(Ingresos!$D$22="NO",('Ingresos Proyecciones'!L68*0.42*'Ingresos Proyecciones'!L158),IF(Ingresos!$D$22="SI",'Ingresos Proyecciones'!L68*0.52*'Ingresos Proyecciones'!L158)))</f>
        <v>0</v>
      </c>
      <c r="M121" s="1189">
        <f>IF(Ingresos!$B$10+10&lt;=2003,('Ingresos Proyecciones'!M68*0.49*'Ingresos Proyecciones'!M158),IF(Ingresos!$D$22="NO",('Ingresos Proyecciones'!M68*0.42*'Ingresos Proyecciones'!M158),IF(Ingresos!$D$22="SI",'Ingresos Proyecciones'!M68*0.52*'Ingresos Proyecciones'!M158)))</f>
        <v>0</v>
      </c>
      <c r="N121" s="1189">
        <f>IF(Ingresos!$B$10+11&lt;=2003,('Ingresos Proyecciones'!N68*0.49*'Ingresos Proyecciones'!N158),IF(Ingresos!$D$22="NO",('Ingresos Proyecciones'!N68*0.42*'Ingresos Proyecciones'!N158),IF(Ingresos!$D$22="SI",'Ingresos Proyecciones'!N68*0.52*'Ingresos Proyecciones'!N158)))</f>
        <v>0</v>
      </c>
      <c r="O121" s="1189">
        <f>IF(Ingresos!$B$10+12&lt;=2003,('Ingresos Proyecciones'!O68*0.49*'Ingresos Proyecciones'!O158),IF(Ingresos!$D$22="NO",('Ingresos Proyecciones'!O68*0.42*'Ingresos Proyecciones'!O158),IF(Ingresos!$D$22="SI",'Ingresos Proyecciones'!O68*0.52*'Ingresos Proyecciones'!O158)))</f>
        <v>0</v>
      </c>
      <c r="P121" s="1189">
        <f>IF(Ingresos!$B$10+13&lt;=2003,('Ingresos Proyecciones'!P68*0.49*'Ingresos Proyecciones'!P158),IF(Ingresos!$D$22="NO",('Ingresos Proyecciones'!P68*0.42*'Ingresos Proyecciones'!P158),IF(Ingresos!$D$22="SI",'Ingresos Proyecciones'!P68*0.52*'Ingresos Proyecciones'!P158)))</f>
        <v>0</v>
      </c>
      <c r="Q121" s="1189">
        <f>IF(Ingresos!$B$10+14&lt;=2003,('Ingresos Proyecciones'!Q68*0.49*'Ingresos Proyecciones'!Q158),IF(Ingresos!$D$22="NO",('Ingresos Proyecciones'!Q68*0.42*'Ingresos Proyecciones'!Q158),IF(Ingresos!$D$22="SI",'Ingresos Proyecciones'!Q68*0.52*'Ingresos Proyecciones'!Q158)))</f>
        <v>0</v>
      </c>
    </row>
    <row r="122" spans="1:17" s="723" customFormat="1" ht="18.75" customHeight="1">
      <c r="A122" s="1133" t="s">
        <v>1344</v>
      </c>
      <c r="B122" s="922" t="s">
        <v>977</v>
      </c>
      <c r="C122" s="1126">
        <f>+('Ingresos Proyecciones'!C70-'Ley 617'!P70)*'Ingresos Proyecciones'!C159</f>
        <v>0</v>
      </c>
      <c r="D122" s="1126">
        <f>+('Ingresos Proyecciones'!D70-'Ley 617'!Q70)*'Ingresos Proyecciones'!D159</f>
        <v>0</v>
      </c>
      <c r="E122" s="1126">
        <f>+('Ingresos Proyecciones'!E70-'Ley 617'!R70)*'Ingresos Proyecciones'!E159</f>
        <v>0</v>
      </c>
      <c r="F122" s="1126">
        <f>+('Ingresos Proyecciones'!F70-'Ley 617'!S70)*'Ingresos Proyecciones'!F159</f>
        <v>0</v>
      </c>
      <c r="G122" s="1126">
        <f>+('Ingresos Proyecciones'!G70-'Ley 617'!T70)*'Ingresos Proyecciones'!G159</f>
        <v>0</v>
      </c>
      <c r="H122" s="1126">
        <f>+('Ingresos Proyecciones'!H70-'Ley 617'!U70)*'Ingresos Proyecciones'!H159</f>
        <v>0</v>
      </c>
      <c r="I122" s="1126">
        <f>+('Ingresos Proyecciones'!I70-'Ley 617'!V70)*'Ingresos Proyecciones'!I159</f>
        <v>0</v>
      </c>
      <c r="J122" s="1126">
        <f>+('Ingresos Proyecciones'!J70-'Ley 617'!W70)*'Ingresos Proyecciones'!J159</f>
        <v>0</v>
      </c>
      <c r="K122" s="1126">
        <f>+('Ingresos Proyecciones'!K70-'Ley 617'!X70)*'Ingresos Proyecciones'!K159</f>
        <v>0</v>
      </c>
      <c r="L122" s="1126">
        <f>+('Ingresos Proyecciones'!L70-'Ley 617'!Y70)*'Ingresos Proyecciones'!L159</f>
        <v>0</v>
      </c>
      <c r="M122" s="1126">
        <f>+('Ingresos Proyecciones'!M70-'Ley 617'!Z70)*'Ingresos Proyecciones'!M159</f>
        <v>0</v>
      </c>
      <c r="N122" s="1126">
        <f>+('Ingresos Proyecciones'!N70-'Ley 617'!AA70)*'Ingresos Proyecciones'!N159</f>
        <v>0</v>
      </c>
      <c r="O122" s="1126">
        <f>+('Ingresos Proyecciones'!O70-'Ley 617'!AB70)*'Ingresos Proyecciones'!O159</f>
        <v>0</v>
      </c>
      <c r="P122" s="1126">
        <f>+('Ingresos Proyecciones'!P70-'Ley 617'!AC70)*'Ingresos Proyecciones'!P159</f>
        <v>0</v>
      </c>
      <c r="Q122" s="1126">
        <f>+('Ingresos Proyecciones'!Q70-'Ley 617'!AD70)*'Ingresos Proyecciones'!Q159</f>
        <v>0</v>
      </c>
    </row>
    <row r="123" spans="1:17" s="723" customFormat="1" ht="18.75" customHeight="1">
      <c r="A123" s="1133" t="s">
        <v>978</v>
      </c>
      <c r="B123" s="922" t="s">
        <v>979</v>
      </c>
      <c r="C123" s="1126">
        <f>+'Ingresos Proyecciones'!C104</f>
        <v>0</v>
      </c>
      <c r="D123" s="1126">
        <f>+'Ingresos Proyecciones'!D104</f>
        <v>0</v>
      </c>
      <c r="E123" s="1126">
        <f>+'Ingresos Proyecciones'!E104</f>
        <v>0</v>
      </c>
      <c r="F123" s="1126">
        <f>+'Ingresos Proyecciones'!F104</f>
        <v>0</v>
      </c>
      <c r="G123" s="1126">
        <f>+'Ingresos Proyecciones'!G104</f>
        <v>0</v>
      </c>
      <c r="H123" s="1126">
        <f>+'Ingresos Proyecciones'!H104</f>
        <v>0</v>
      </c>
      <c r="I123" s="1126">
        <f>+'Ingresos Proyecciones'!I104</f>
        <v>0</v>
      </c>
      <c r="J123" s="1126">
        <f>+'Ingresos Proyecciones'!J104</f>
        <v>0</v>
      </c>
      <c r="K123" s="1126">
        <f>+'Ingresos Proyecciones'!K104</f>
        <v>0</v>
      </c>
      <c r="L123" s="1126">
        <f>+'Ingresos Proyecciones'!L104</f>
        <v>0</v>
      </c>
      <c r="M123" s="1126">
        <f>+'Ingresos Proyecciones'!M104</f>
        <v>0</v>
      </c>
      <c r="N123" s="1126">
        <f>+'Ingresos Proyecciones'!N104</f>
        <v>0</v>
      </c>
      <c r="O123" s="1126">
        <f>+'Ingresos Proyecciones'!O104</f>
        <v>0</v>
      </c>
      <c r="P123" s="1126">
        <f>+'Ingresos Proyecciones'!P104</f>
        <v>0</v>
      </c>
      <c r="Q123" s="1126">
        <f>+'Ingresos Proyecciones'!Q104</f>
        <v>0</v>
      </c>
    </row>
    <row r="124" spans="1:17" s="723" customFormat="1" ht="18.75" customHeight="1">
      <c r="A124" s="901" t="s">
        <v>980</v>
      </c>
      <c r="B124" s="1122" t="s">
        <v>981</v>
      </c>
      <c r="C124" s="1113">
        <f>+C34</f>
        <v>0</v>
      </c>
      <c r="D124" s="1113">
        <f t="shared" ref="D124:Q124" si="31">+D34</f>
        <v>0</v>
      </c>
      <c r="E124" s="1113">
        <f t="shared" si="31"/>
        <v>0</v>
      </c>
      <c r="F124" s="1113">
        <f t="shared" si="31"/>
        <v>0</v>
      </c>
      <c r="G124" s="1113">
        <f t="shared" si="31"/>
        <v>0</v>
      </c>
      <c r="H124" s="1113">
        <f t="shared" si="31"/>
        <v>0</v>
      </c>
      <c r="I124" s="1113">
        <f t="shared" si="31"/>
        <v>0</v>
      </c>
      <c r="J124" s="1113">
        <f t="shared" si="31"/>
        <v>0</v>
      </c>
      <c r="K124" s="1113">
        <f t="shared" si="31"/>
        <v>0</v>
      </c>
      <c r="L124" s="1113">
        <f t="shared" si="31"/>
        <v>0</v>
      </c>
      <c r="M124" s="1113">
        <f t="shared" si="31"/>
        <v>0</v>
      </c>
      <c r="N124" s="1113">
        <f t="shared" si="31"/>
        <v>0</v>
      </c>
      <c r="O124" s="1113">
        <f t="shared" si="31"/>
        <v>0</v>
      </c>
      <c r="P124" s="1113">
        <f t="shared" si="31"/>
        <v>0</v>
      </c>
      <c r="Q124" s="1113">
        <f t="shared" si="31"/>
        <v>0</v>
      </c>
    </row>
    <row r="125" spans="1:17" s="723" customFormat="1" ht="18.75" customHeight="1">
      <c r="A125" s="1134" t="s">
        <v>760</v>
      </c>
      <c r="B125" s="1122" t="s">
        <v>761</v>
      </c>
      <c r="C125" s="1124">
        <f>SUM(C126:C135)</f>
        <v>0</v>
      </c>
      <c r="D125" s="1124">
        <f t="shared" ref="D125:Q125" si="32">SUM(D126:D135)</f>
        <v>0</v>
      </c>
      <c r="E125" s="1124">
        <f t="shared" si="32"/>
        <v>0</v>
      </c>
      <c r="F125" s="1124">
        <f t="shared" si="32"/>
        <v>0</v>
      </c>
      <c r="G125" s="1124">
        <f t="shared" si="32"/>
        <v>0</v>
      </c>
      <c r="H125" s="1124">
        <f t="shared" si="32"/>
        <v>0</v>
      </c>
      <c r="I125" s="1124">
        <f t="shared" si="32"/>
        <v>0</v>
      </c>
      <c r="J125" s="1124">
        <f t="shared" si="32"/>
        <v>0</v>
      </c>
      <c r="K125" s="1124">
        <f t="shared" si="32"/>
        <v>0</v>
      </c>
      <c r="L125" s="1124">
        <f t="shared" si="32"/>
        <v>0</v>
      </c>
      <c r="M125" s="1124">
        <f t="shared" si="32"/>
        <v>0</v>
      </c>
      <c r="N125" s="1124">
        <f t="shared" si="32"/>
        <v>0</v>
      </c>
      <c r="O125" s="1124">
        <f t="shared" si="32"/>
        <v>0</v>
      </c>
      <c r="P125" s="1124">
        <f t="shared" si="32"/>
        <v>0</v>
      </c>
      <c r="Q125" s="1124">
        <f t="shared" si="32"/>
        <v>0</v>
      </c>
    </row>
    <row r="126" spans="1:17" s="723" customFormat="1" ht="18.75" customHeight="1">
      <c r="A126" s="1134" t="s">
        <v>762</v>
      </c>
      <c r="B126" s="922" t="s">
        <v>763</v>
      </c>
      <c r="C126" s="1126">
        <f>IF(Ingresos!$D$22="SI",'Pasivo a Cancelar y Deuda'!C55,'Pasivo a Cancelar y Deuda'!C57)</f>
        <v>0</v>
      </c>
      <c r="D126" s="1126">
        <f>IF(Ingresos!$D$22="SI",'Pasivo a Cancelar y Deuda'!D55,'Pasivo a Cancelar y Deuda'!D57)</f>
        <v>0</v>
      </c>
      <c r="E126" s="1126">
        <f>IF(Ingresos!$D$22="SI",'Pasivo a Cancelar y Deuda'!E55,'Pasivo a Cancelar y Deuda'!E57)</f>
        <v>0</v>
      </c>
      <c r="F126" s="1126">
        <f>IF(Ingresos!$D$22="SI",'Pasivo a Cancelar y Deuda'!F55,'Pasivo a Cancelar y Deuda'!F57)</f>
        <v>0</v>
      </c>
      <c r="G126" s="1126">
        <f>IF(Ingresos!$D$22="SI",'Pasivo a Cancelar y Deuda'!G55,'Pasivo a Cancelar y Deuda'!G57)</f>
        <v>0</v>
      </c>
      <c r="H126" s="1126">
        <f>IF(Ingresos!$D$22="SI",'Pasivo a Cancelar y Deuda'!H55,'Pasivo a Cancelar y Deuda'!H57)</f>
        <v>0</v>
      </c>
      <c r="I126" s="1126">
        <f>IF(Ingresos!$D$22="SI",'Pasivo a Cancelar y Deuda'!I55,'Pasivo a Cancelar y Deuda'!I57)</f>
        <v>0</v>
      </c>
      <c r="J126" s="1126">
        <f>IF(Ingresos!$D$22="SI",'Pasivo a Cancelar y Deuda'!J55,'Pasivo a Cancelar y Deuda'!J57)</f>
        <v>0</v>
      </c>
      <c r="K126" s="1126">
        <f>IF(Ingresos!$D$22="SI",'Pasivo a Cancelar y Deuda'!K55,'Pasivo a Cancelar y Deuda'!K57)</f>
        <v>0</v>
      </c>
      <c r="L126" s="1126">
        <f>IF(Ingresos!$D$22="SI",'Pasivo a Cancelar y Deuda'!L55,'Pasivo a Cancelar y Deuda'!L57)</f>
        <v>0</v>
      </c>
      <c r="M126" s="1126">
        <f>IF(Ingresos!$D$22="SI",'Pasivo a Cancelar y Deuda'!M55,'Pasivo a Cancelar y Deuda'!M57)</f>
        <v>0</v>
      </c>
      <c r="N126" s="1126">
        <f>IF(Ingresos!$D$22="SI",'Pasivo a Cancelar y Deuda'!N55,'Pasivo a Cancelar y Deuda'!N57)</f>
        <v>0</v>
      </c>
      <c r="O126" s="1126">
        <f>IF(Ingresos!$D$22="SI",'Pasivo a Cancelar y Deuda'!O55,'Pasivo a Cancelar y Deuda'!O57)</f>
        <v>0</v>
      </c>
      <c r="P126" s="1126">
        <f>IF(Ingresos!$D$22="SI",'Pasivo a Cancelar y Deuda'!P55,'Pasivo a Cancelar y Deuda'!P57)</f>
        <v>0</v>
      </c>
      <c r="Q126" s="1126">
        <f>IF(Ingresos!$D$22="SI",'Pasivo a Cancelar y Deuda'!Q55,'Pasivo a Cancelar y Deuda'!Q57)</f>
        <v>0</v>
      </c>
    </row>
    <row r="127" spans="1:17" s="723" customFormat="1" ht="18.75" customHeight="1">
      <c r="A127" s="1134" t="s">
        <v>764</v>
      </c>
      <c r="B127" s="922" t="s">
        <v>765</v>
      </c>
      <c r="C127" s="1126">
        <f>IF(Ingresos!$D$22="SI",'Pasivo a Cancelar y Deuda'!C58,'Pasivo a Cancelar y Deuda'!C60)</f>
        <v>0</v>
      </c>
      <c r="D127" s="1126">
        <f>IF(Ingresos!$D$22="SI",'Pasivo a Cancelar y Deuda'!D58,'Pasivo a Cancelar y Deuda'!D60)</f>
        <v>0</v>
      </c>
      <c r="E127" s="1126">
        <f>IF(Ingresos!$D$22="SI",'Pasivo a Cancelar y Deuda'!E58,'Pasivo a Cancelar y Deuda'!E60)</f>
        <v>0</v>
      </c>
      <c r="F127" s="1126">
        <f>IF(Ingresos!$D$22="SI",'Pasivo a Cancelar y Deuda'!F58,'Pasivo a Cancelar y Deuda'!F60)</f>
        <v>0</v>
      </c>
      <c r="G127" s="1126">
        <f>IF(Ingresos!$D$22="SI",'Pasivo a Cancelar y Deuda'!G58,'Pasivo a Cancelar y Deuda'!G60)</f>
        <v>0</v>
      </c>
      <c r="H127" s="1126">
        <f>IF(Ingresos!$D$22="SI",'Pasivo a Cancelar y Deuda'!H58,'Pasivo a Cancelar y Deuda'!H60)</f>
        <v>0</v>
      </c>
      <c r="I127" s="1126">
        <f>IF(Ingresos!$D$22="SI",'Pasivo a Cancelar y Deuda'!I58,'Pasivo a Cancelar y Deuda'!I60)</f>
        <v>0</v>
      </c>
      <c r="J127" s="1126">
        <f>IF(Ingresos!$D$22="SI",'Pasivo a Cancelar y Deuda'!J58,'Pasivo a Cancelar y Deuda'!J60)</f>
        <v>0</v>
      </c>
      <c r="K127" s="1126">
        <f>IF(Ingresos!$D$22="SI",'Pasivo a Cancelar y Deuda'!K58,'Pasivo a Cancelar y Deuda'!K60)</f>
        <v>0</v>
      </c>
      <c r="L127" s="1126">
        <f>IF(Ingresos!$D$22="SI",'Pasivo a Cancelar y Deuda'!L58,'Pasivo a Cancelar y Deuda'!L60)</f>
        <v>0</v>
      </c>
      <c r="M127" s="1126">
        <f>IF(Ingresos!$D$22="SI",'Pasivo a Cancelar y Deuda'!M58,'Pasivo a Cancelar y Deuda'!M60)</f>
        <v>0</v>
      </c>
      <c r="N127" s="1126">
        <f>IF(Ingresos!$D$22="SI",'Pasivo a Cancelar y Deuda'!N58,'Pasivo a Cancelar y Deuda'!N60)</f>
        <v>0</v>
      </c>
      <c r="O127" s="1126">
        <f>IF(Ingresos!$D$22="SI",'Pasivo a Cancelar y Deuda'!O58,'Pasivo a Cancelar y Deuda'!O60)</f>
        <v>0</v>
      </c>
      <c r="P127" s="1126">
        <f>IF(Ingresos!$D$22="SI",'Pasivo a Cancelar y Deuda'!P58,'Pasivo a Cancelar y Deuda'!P60)</f>
        <v>0</v>
      </c>
      <c r="Q127" s="1126">
        <f>IF(Ingresos!$D$22="SI",'Pasivo a Cancelar y Deuda'!Q58,'Pasivo a Cancelar y Deuda'!Q60)</f>
        <v>0</v>
      </c>
    </row>
    <row r="128" spans="1:17" s="723" customFormat="1" ht="18.75" customHeight="1">
      <c r="A128" s="1134" t="s">
        <v>766</v>
      </c>
      <c r="B128" s="922" t="s">
        <v>767</v>
      </c>
      <c r="C128" s="1126">
        <f>IF(Ingresos!$D$22="SI",'Pasivo a Cancelar y Deuda'!C61,'Pasivo a Cancelar y Deuda'!C63)</f>
        <v>0</v>
      </c>
      <c r="D128" s="1126">
        <f>IF(Ingresos!$D$22="SI",'Pasivo a Cancelar y Deuda'!D61,'Pasivo a Cancelar y Deuda'!D63)</f>
        <v>0</v>
      </c>
      <c r="E128" s="1126">
        <f>IF(Ingresos!$D$22="SI",'Pasivo a Cancelar y Deuda'!E61,'Pasivo a Cancelar y Deuda'!E63)</f>
        <v>0</v>
      </c>
      <c r="F128" s="1126">
        <f>IF(Ingresos!$D$22="SI",'Pasivo a Cancelar y Deuda'!F61,'Pasivo a Cancelar y Deuda'!F63)</f>
        <v>0</v>
      </c>
      <c r="G128" s="1126">
        <f>IF(Ingresos!$D$22="SI",'Pasivo a Cancelar y Deuda'!G61,'Pasivo a Cancelar y Deuda'!G63)</f>
        <v>0</v>
      </c>
      <c r="H128" s="1126">
        <f>IF(Ingresos!$D$22="SI",'Pasivo a Cancelar y Deuda'!H61,'Pasivo a Cancelar y Deuda'!H63)</f>
        <v>0</v>
      </c>
      <c r="I128" s="1126">
        <f>IF(Ingresos!$D$22="SI",'Pasivo a Cancelar y Deuda'!I61,'Pasivo a Cancelar y Deuda'!I63)</f>
        <v>0</v>
      </c>
      <c r="J128" s="1126">
        <f>IF(Ingresos!$D$22="SI",'Pasivo a Cancelar y Deuda'!J61,'Pasivo a Cancelar y Deuda'!J63)</f>
        <v>0</v>
      </c>
      <c r="K128" s="1126">
        <f>IF(Ingresos!$D$22="SI",'Pasivo a Cancelar y Deuda'!K61,'Pasivo a Cancelar y Deuda'!K63)</f>
        <v>0</v>
      </c>
      <c r="L128" s="1126">
        <f>IF(Ingresos!$D$22="SI",'Pasivo a Cancelar y Deuda'!L61,'Pasivo a Cancelar y Deuda'!L63)</f>
        <v>0</v>
      </c>
      <c r="M128" s="1126">
        <f>IF(Ingresos!$D$22="SI",'Pasivo a Cancelar y Deuda'!M61,'Pasivo a Cancelar y Deuda'!M63)</f>
        <v>0</v>
      </c>
      <c r="N128" s="1126">
        <f>IF(Ingresos!$D$22="SI",'Pasivo a Cancelar y Deuda'!N61,'Pasivo a Cancelar y Deuda'!N63)</f>
        <v>0</v>
      </c>
      <c r="O128" s="1126">
        <f>IF(Ingresos!$D$22="SI",'Pasivo a Cancelar y Deuda'!O61,'Pasivo a Cancelar y Deuda'!O63)</f>
        <v>0</v>
      </c>
      <c r="P128" s="1126">
        <f>IF(Ingresos!$D$22="SI",'Pasivo a Cancelar y Deuda'!P61,'Pasivo a Cancelar y Deuda'!P63)</f>
        <v>0</v>
      </c>
      <c r="Q128" s="1126">
        <f>IF(Ingresos!$D$22="SI",'Pasivo a Cancelar y Deuda'!Q61,'Pasivo a Cancelar y Deuda'!Q63)</f>
        <v>0</v>
      </c>
    </row>
    <row r="129" spans="1:17" s="723" customFormat="1" ht="18.75" customHeight="1">
      <c r="A129" s="1134" t="s">
        <v>768</v>
      </c>
      <c r="B129" s="922" t="s">
        <v>769</v>
      </c>
      <c r="C129" s="1126">
        <f>IF(Ingresos!$D$22="SI",'Pasivo a Cancelar y Deuda'!C64,'Pasivo a Cancelar y Deuda'!C66)</f>
        <v>0</v>
      </c>
      <c r="D129" s="1126">
        <f>IF(Ingresos!$D$22="SI",'Pasivo a Cancelar y Deuda'!D64,'Pasivo a Cancelar y Deuda'!D66)</f>
        <v>0</v>
      </c>
      <c r="E129" s="1126">
        <f>IF(Ingresos!$D$22="SI",'Pasivo a Cancelar y Deuda'!E64,'Pasivo a Cancelar y Deuda'!E66)</f>
        <v>0</v>
      </c>
      <c r="F129" s="1126">
        <f>IF(Ingresos!$D$22="SI",'Pasivo a Cancelar y Deuda'!F64,'Pasivo a Cancelar y Deuda'!F66)</f>
        <v>0</v>
      </c>
      <c r="G129" s="1126">
        <f>IF(Ingresos!$D$22="SI",'Pasivo a Cancelar y Deuda'!G64,'Pasivo a Cancelar y Deuda'!G66)</f>
        <v>0</v>
      </c>
      <c r="H129" s="1126">
        <f>IF(Ingresos!$D$22="SI",'Pasivo a Cancelar y Deuda'!H64,'Pasivo a Cancelar y Deuda'!H66)</f>
        <v>0</v>
      </c>
      <c r="I129" s="1126">
        <f>IF(Ingresos!$D$22="SI",'Pasivo a Cancelar y Deuda'!I64,'Pasivo a Cancelar y Deuda'!I66)</f>
        <v>0</v>
      </c>
      <c r="J129" s="1126">
        <f>IF(Ingresos!$D$22="SI",'Pasivo a Cancelar y Deuda'!J64,'Pasivo a Cancelar y Deuda'!J66)</f>
        <v>0</v>
      </c>
      <c r="K129" s="1126">
        <f>IF(Ingresos!$D$22="SI",'Pasivo a Cancelar y Deuda'!K64,'Pasivo a Cancelar y Deuda'!K66)</f>
        <v>0</v>
      </c>
      <c r="L129" s="1126">
        <f>IF(Ingresos!$D$22="SI",'Pasivo a Cancelar y Deuda'!L64,'Pasivo a Cancelar y Deuda'!L66)</f>
        <v>0</v>
      </c>
      <c r="M129" s="1126">
        <f>IF(Ingresos!$D$22="SI",'Pasivo a Cancelar y Deuda'!M64,'Pasivo a Cancelar y Deuda'!M66)</f>
        <v>0</v>
      </c>
      <c r="N129" s="1126">
        <f>IF(Ingresos!$D$22="SI",'Pasivo a Cancelar y Deuda'!N64,'Pasivo a Cancelar y Deuda'!N66)</f>
        <v>0</v>
      </c>
      <c r="O129" s="1126">
        <f>IF(Ingresos!$D$22="SI",'Pasivo a Cancelar y Deuda'!O64,'Pasivo a Cancelar y Deuda'!O66)</f>
        <v>0</v>
      </c>
      <c r="P129" s="1126">
        <f>IF(Ingresos!$D$22="SI",'Pasivo a Cancelar y Deuda'!P64,'Pasivo a Cancelar y Deuda'!P66)</f>
        <v>0</v>
      </c>
      <c r="Q129" s="1126">
        <f>IF(Ingresos!$D$22="SI",'Pasivo a Cancelar y Deuda'!Q64,'Pasivo a Cancelar y Deuda'!Q66)</f>
        <v>0</v>
      </c>
    </row>
    <row r="130" spans="1:17" s="723" customFormat="1" ht="18.75" customHeight="1">
      <c r="A130" s="1134" t="s">
        <v>770</v>
      </c>
      <c r="B130" s="922" t="s">
        <v>771</v>
      </c>
      <c r="C130" s="1126">
        <f>IF(Ingresos!$D$22="SI",'Pasivo a Cancelar y Deuda'!C67,'Pasivo a Cancelar y Deuda'!C69)</f>
        <v>0</v>
      </c>
      <c r="D130" s="1126">
        <f>IF(Ingresos!$D$22="SI",'Pasivo a Cancelar y Deuda'!D67,'Pasivo a Cancelar y Deuda'!D69)</f>
        <v>0</v>
      </c>
      <c r="E130" s="1126">
        <f>IF(Ingresos!$D$22="SI",'Pasivo a Cancelar y Deuda'!E67,'Pasivo a Cancelar y Deuda'!E69)</f>
        <v>0</v>
      </c>
      <c r="F130" s="1126">
        <f>IF(Ingresos!$D$22="SI",'Pasivo a Cancelar y Deuda'!F67,'Pasivo a Cancelar y Deuda'!F69)</f>
        <v>0</v>
      </c>
      <c r="G130" s="1126">
        <f>IF(Ingresos!$D$22="SI",'Pasivo a Cancelar y Deuda'!G67,'Pasivo a Cancelar y Deuda'!G69)</f>
        <v>0</v>
      </c>
      <c r="H130" s="1126">
        <f>IF(Ingresos!$D$22="SI",'Pasivo a Cancelar y Deuda'!H67,'Pasivo a Cancelar y Deuda'!H69)</f>
        <v>0</v>
      </c>
      <c r="I130" s="1126">
        <f>IF(Ingresos!$D$22="SI",'Pasivo a Cancelar y Deuda'!I67,'Pasivo a Cancelar y Deuda'!I69)</f>
        <v>0</v>
      </c>
      <c r="J130" s="1126">
        <f>IF(Ingresos!$D$22="SI",'Pasivo a Cancelar y Deuda'!J67,'Pasivo a Cancelar y Deuda'!J69)</f>
        <v>0</v>
      </c>
      <c r="K130" s="1126">
        <f>IF(Ingresos!$D$22="SI",'Pasivo a Cancelar y Deuda'!K67,'Pasivo a Cancelar y Deuda'!K69)</f>
        <v>0</v>
      </c>
      <c r="L130" s="1126">
        <f>IF(Ingresos!$D$22="SI",'Pasivo a Cancelar y Deuda'!L67,'Pasivo a Cancelar y Deuda'!L69)</f>
        <v>0</v>
      </c>
      <c r="M130" s="1126">
        <f>IF(Ingresos!$D$22="SI",'Pasivo a Cancelar y Deuda'!M67,'Pasivo a Cancelar y Deuda'!M69)</f>
        <v>0</v>
      </c>
      <c r="N130" s="1126">
        <f>IF(Ingresos!$D$22="SI",'Pasivo a Cancelar y Deuda'!N67,'Pasivo a Cancelar y Deuda'!N69)</f>
        <v>0</v>
      </c>
      <c r="O130" s="1126">
        <f>IF(Ingresos!$D$22="SI",'Pasivo a Cancelar y Deuda'!O67,'Pasivo a Cancelar y Deuda'!O69)</f>
        <v>0</v>
      </c>
      <c r="P130" s="1126">
        <f>IF(Ingresos!$D$22="SI",'Pasivo a Cancelar y Deuda'!P67,'Pasivo a Cancelar y Deuda'!P69)</f>
        <v>0</v>
      </c>
      <c r="Q130" s="1126">
        <f>IF(Ingresos!$D$22="SI",'Pasivo a Cancelar y Deuda'!Q67,'Pasivo a Cancelar y Deuda'!Q69)</f>
        <v>0</v>
      </c>
    </row>
    <row r="131" spans="1:17" s="723" customFormat="1" ht="18.75" customHeight="1">
      <c r="A131" s="1134" t="s">
        <v>772</v>
      </c>
      <c r="B131" s="922" t="s">
        <v>773</v>
      </c>
      <c r="C131" s="1126">
        <f>IF(Ingresos!$D$22="SI",'Pasivo a Cancelar y Deuda'!C70,'Pasivo a Cancelar y Deuda'!C72)</f>
        <v>0</v>
      </c>
      <c r="D131" s="1126">
        <f>IF(Ingresos!$D$22="SI",'Pasivo a Cancelar y Deuda'!D70,'Pasivo a Cancelar y Deuda'!D72)</f>
        <v>0</v>
      </c>
      <c r="E131" s="1126">
        <f>IF(Ingresos!$D$22="SI",'Pasivo a Cancelar y Deuda'!E70,'Pasivo a Cancelar y Deuda'!E72)</f>
        <v>0</v>
      </c>
      <c r="F131" s="1126">
        <f>IF(Ingresos!$D$22="SI",'Pasivo a Cancelar y Deuda'!F70,'Pasivo a Cancelar y Deuda'!F72)</f>
        <v>0</v>
      </c>
      <c r="G131" s="1126">
        <f>IF(Ingresos!$D$22="SI",'Pasivo a Cancelar y Deuda'!G70,'Pasivo a Cancelar y Deuda'!G72)</f>
        <v>0</v>
      </c>
      <c r="H131" s="1126">
        <f>IF(Ingresos!$D$22="SI",'Pasivo a Cancelar y Deuda'!H70,'Pasivo a Cancelar y Deuda'!H72)</f>
        <v>0</v>
      </c>
      <c r="I131" s="1126">
        <f>IF(Ingresos!$D$22="SI",'Pasivo a Cancelar y Deuda'!I70,'Pasivo a Cancelar y Deuda'!I72)</f>
        <v>0</v>
      </c>
      <c r="J131" s="1126">
        <f>IF(Ingresos!$D$22="SI",'Pasivo a Cancelar y Deuda'!J70,'Pasivo a Cancelar y Deuda'!J72)</f>
        <v>0</v>
      </c>
      <c r="K131" s="1126">
        <f>IF(Ingresos!$D$22="SI",'Pasivo a Cancelar y Deuda'!K70,'Pasivo a Cancelar y Deuda'!K72)</f>
        <v>0</v>
      </c>
      <c r="L131" s="1126">
        <f>IF(Ingresos!$D$22="SI",'Pasivo a Cancelar y Deuda'!L70,'Pasivo a Cancelar y Deuda'!L72)</f>
        <v>0</v>
      </c>
      <c r="M131" s="1126">
        <f>IF(Ingresos!$D$22="SI",'Pasivo a Cancelar y Deuda'!M70,'Pasivo a Cancelar y Deuda'!M72)</f>
        <v>0</v>
      </c>
      <c r="N131" s="1126">
        <f>IF(Ingresos!$D$22="SI",'Pasivo a Cancelar y Deuda'!N70,'Pasivo a Cancelar y Deuda'!N72)</f>
        <v>0</v>
      </c>
      <c r="O131" s="1126">
        <f>IF(Ingresos!$D$22="SI",'Pasivo a Cancelar y Deuda'!O70,'Pasivo a Cancelar y Deuda'!O72)</f>
        <v>0</v>
      </c>
      <c r="P131" s="1126">
        <f>IF(Ingresos!$D$22="SI",'Pasivo a Cancelar y Deuda'!P70,'Pasivo a Cancelar y Deuda'!P72)</f>
        <v>0</v>
      </c>
      <c r="Q131" s="1126">
        <f>IF(Ingresos!$D$22="SI",'Pasivo a Cancelar y Deuda'!Q70,'Pasivo a Cancelar y Deuda'!Q72)</f>
        <v>0</v>
      </c>
    </row>
    <row r="132" spans="1:17" s="723" customFormat="1" ht="18.75" customHeight="1">
      <c r="A132" s="1134" t="s">
        <v>774</v>
      </c>
      <c r="B132" s="922" t="s">
        <v>775</v>
      </c>
      <c r="C132" s="1126">
        <f>IF(Ingresos!$D$22="SI",'Pasivo a Cancelar y Deuda'!C73,'Pasivo a Cancelar y Deuda'!C75)</f>
        <v>0</v>
      </c>
      <c r="D132" s="1126">
        <f>IF(Ingresos!$D$22="SI",'Pasivo a Cancelar y Deuda'!D73,'Pasivo a Cancelar y Deuda'!D75)</f>
        <v>0</v>
      </c>
      <c r="E132" s="1126">
        <f>IF(Ingresos!$D$22="SI",'Pasivo a Cancelar y Deuda'!E73,'Pasivo a Cancelar y Deuda'!E75)</f>
        <v>0</v>
      </c>
      <c r="F132" s="1126">
        <f>IF(Ingresos!$D$22="SI",'Pasivo a Cancelar y Deuda'!F73,'Pasivo a Cancelar y Deuda'!F75)</f>
        <v>0</v>
      </c>
      <c r="G132" s="1126">
        <f>IF(Ingresos!$D$22="SI",'Pasivo a Cancelar y Deuda'!G73,'Pasivo a Cancelar y Deuda'!G75)</f>
        <v>0</v>
      </c>
      <c r="H132" s="1126">
        <f>IF(Ingresos!$D$22="SI",'Pasivo a Cancelar y Deuda'!H73,'Pasivo a Cancelar y Deuda'!H75)</f>
        <v>0</v>
      </c>
      <c r="I132" s="1126">
        <f>IF(Ingresos!$D$22="SI",'Pasivo a Cancelar y Deuda'!I73,'Pasivo a Cancelar y Deuda'!I75)</f>
        <v>0</v>
      </c>
      <c r="J132" s="1126">
        <f>IF(Ingresos!$D$22="SI",'Pasivo a Cancelar y Deuda'!J73,'Pasivo a Cancelar y Deuda'!J75)</f>
        <v>0</v>
      </c>
      <c r="K132" s="1126">
        <f>IF(Ingresos!$D$22="SI",'Pasivo a Cancelar y Deuda'!K73,'Pasivo a Cancelar y Deuda'!K75)</f>
        <v>0</v>
      </c>
      <c r="L132" s="1126">
        <f>IF(Ingresos!$D$22="SI",'Pasivo a Cancelar y Deuda'!L73,'Pasivo a Cancelar y Deuda'!L75)</f>
        <v>0</v>
      </c>
      <c r="M132" s="1126">
        <f>IF(Ingresos!$D$22="SI",'Pasivo a Cancelar y Deuda'!M73,'Pasivo a Cancelar y Deuda'!M75)</f>
        <v>0</v>
      </c>
      <c r="N132" s="1126">
        <f>IF(Ingresos!$D$22="SI",'Pasivo a Cancelar y Deuda'!N73,'Pasivo a Cancelar y Deuda'!N75)</f>
        <v>0</v>
      </c>
      <c r="O132" s="1126">
        <f>IF(Ingresos!$D$22="SI",'Pasivo a Cancelar y Deuda'!O73,'Pasivo a Cancelar y Deuda'!O75)</f>
        <v>0</v>
      </c>
      <c r="P132" s="1126">
        <f>IF(Ingresos!$D$22="SI",'Pasivo a Cancelar y Deuda'!P73,'Pasivo a Cancelar y Deuda'!P75)</f>
        <v>0</v>
      </c>
      <c r="Q132" s="1126">
        <f>IF(Ingresos!$D$22="SI",'Pasivo a Cancelar y Deuda'!Q73,'Pasivo a Cancelar y Deuda'!Q75)</f>
        <v>0</v>
      </c>
    </row>
    <row r="133" spans="1:17" s="723" customFormat="1" ht="18.75" customHeight="1">
      <c r="A133" s="1134" t="s">
        <v>776</v>
      </c>
      <c r="B133" s="922" t="s">
        <v>777</v>
      </c>
      <c r="C133" s="1126">
        <f>IF(Ingresos!$D$22="SI",'Pasivo a Cancelar y Deuda'!C76,'Pasivo a Cancelar y Deuda'!C78)</f>
        <v>0</v>
      </c>
      <c r="D133" s="1126">
        <f>IF(Ingresos!$D$22="SI",'Pasivo a Cancelar y Deuda'!D76,'Pasivo a Cancelar y Deuda'!D78)</f>
        <v>0</v>
      </c>
      <c r="E133" s="1126">
        <f>IF(Ingresos!$D$22="SI",'Pasivo a Cancelar y Deuda'!E76,'Pasivo a Cancelar y Deuda'!E78)</f>
        <v>0</v>
      </c>
      <c r="F133" s="1126">
        <f>IF(Ingresos!$D$22="SI",'Pasivo a Cancelar y Deuda'!F76,'Pasivo a Cancelar y Deuda'!F78)</f>
        <v>0</v>
      </c>
      <c r="G133" s="1126">
        <f>IF(Ingresos!$D$22="SI",'Pasivo a Cancelar y Deuda'!G76,'Pasivo a Cancelar y Deuda'!G78)</f>
        <v>0</v>
      </c>
      <c r="H133" s="1126">
        <f>IF(Ingresos!$D$22="SI",'Pasivo a Cancelar y Deuda'!H76,'Pasivo a Cancelar y Deuda'!H78)</f>
        <v>0</v>
      </c>
      <c r="I133" s="1126">
        <f>IF(Ingresos!$D$22="SI",'Pasivo a Cancelar y Deuda'!I76,'Pasivo a Cancelar y Deuda'!I78)</f>
        <v>0</v>
      </c>
      <c r="J133" s="1126">
        <f>IF(Ingresos!$D$22="SI",'Pasivo a Cancelar y Deuda'!J76,'Pasivo a Cancelar y Deuda'!J78)</f>
        <v>0</v>
      </c>
      <c r="K133" s="1126">
        <f>IF(Ingresos!$D$22="SI",'Pasivo a Cancelar y Deuda'!K76,'Pasivo a Cancelar y Deuda'!K78)</f>
        <v>0</v>
      </c>
      <c r="L133" s="1126">
        <f>IF(Ingresos!$D$22="SI",'Pasivo a Cancelar y Deuda'!L76,'Pasivo a Cancelar y Deuda'!L78)</f>
        <v>0</v>
      </c>
      <c r="M133" s="1126">
        <f>IF(Ingresos!$D$22="SI",'Pasivo a Cancelar y Deuda'!M76,'Pasivo a Cancelar y Deuda'!M78)</f>
        <v>0</v>
      </c>
      <c r="N133" s="1126">
        <f>IF(Ingresos!$D$22="SI",'Pasivo a Cancelar y Deuda'!N76,'Pasivo a Cancelar y Deuda'!N78)</f>
        <v>0</v>
      </c>
      <c r="O133" s="1126">
        <f>IF(Ingresos!$D$22="SI",'Pasivo a Cancelar y Deuda'!O76,'Pasivo a Cancelar y Deuda'!O78)</f>
        <v>0</v>
      </c>
      <c r="P133" s="1126">
        <f>IF(Ingresos!$D$22="SI",'Pasivo a Cancelar y Deuda'!P76,'Pasivo a Cancelar y Deuda'!P78)</f>
        <v>0</v>
      </c>
      <c r="Q133" s="1126">
        <f>IF(Ingresos!$D$22="SI",'Pasivo a Cancelar y Deuda'!Q76,'Pasivo a Cancelar y Deuda'!Q78)</f>
        <v>0</v>
      </c>
    </row>
    <row r="134" spans="1:17" s="723" customFormat="1" ht="18.75" customHeight="1">
      <c r="A134" s="1134" t="s">
        <v>778</v>
      </c>
      <c r="B134" s="922" t="s">
        <v>779</v>
      </c>
      <c r="C134" s="1126">
        <f>IF(Ingresos!$D$22="SI",'Pasivo a Cancelar y Deuda'!C79,'Pasivo a Cancelar y Deuda'!C81)</f>
        <v>0</v>
      </c>
      <c r="D134" s="1126">
        <f>IF(Ingresos!$D$22="SI",'Pasivo a Cancelar y Deuda'!D79,'Pasivo a Cancelar y Deuda'!D81)</f>
        <v>0</v>
      </c>
      <c r="E134" s="1126">
        <f>IF(Ingresos!$D$22="SI",'Pasivo a Cancelar y Deuda'!E79,'Pasivo a Cancelar y Deuda'!E81)</f>
        <v>0</v>
      </c>
      <c r="F134" s="1126">
        <f>IF(Ingresos!$D$22="SI",'Pasivo a Cancelar y Deuda'!F79,'Pasivo a Cancelar y Deuda'!F81)</f>
        <v>0</v>
      </c>
      <c r="G134" s="1126">
        <f>IF(Ingresos!$D$22="SI",'Pasivo a Cancelar y Deuda'!G79,'Pasivo a Cancelar y Deuda'!G81)</f>
        <v>0</v>
      </c>
      <c r="H134" s="1126">
        <f>IF(Ingresos!$D$22="SI",'Pasivo a Cancelar y Deuda'!H79,'Pasivo a Cancelar y Deuda'!H81)</f>
        <v>0</v>
      </c>
      <c r="I134" s="1126">
        <f>IF(Ingresos!$D$22="SI",'Pasivo a Cancelar y Deuda'!I79,'Pasivo a Cancelar y Deuda'!I81)</f>
        <v>0</v>
      </c>
      <c r="J134" s="1126">
        <f>IF(Ingresos!$D$22="SI",'Pasivo a Cancelar y Deuda'!J79,'Pasivo a Cancelar y Deuda'!J81)</f>
        <v>0</v>
      </c>
      <c r="K134" s="1126">
        <f>IF(Ingresos!$D$22="SI",'Pasivo a Cancelar y Deuda'!K79,'Pasivo a Cancelar y Deuda'!K81)</f>
        <v>0</v>
      </c>
      <c r="L134" s="1126">
        <f>IF(Ingresos!$D$22="SI",'Pasivo a Cancelar y Deuda'!L79,'Pasivo a Cancelar y Deuda'!L81)</f>
        <v>0</v>
      </c>
      <c r="M134" s="1126">
        <f>IF(Ingresos!$D$22="SI",'Pasivo a Cancelar y Deuda'!M79,'Pasivo a Cancelar y Deuda'!M81)</f>
        <v>0</v>
      </c>
      <c r="N134" s="1126">
        <f>IF(Ingresos!$D$22="SI",'Pasivo a Cancelar y Deuda'!N79,'Pasivo a Cancelar y Deuda'!N81)</f>
        <v>0</v>
      </c>
      <c r="O134" s="1126">
        <f>IF(Ingresos!$D$22="SI",'Pasivo a Cancelar y Deuda'!O79,'Pasivo a Cancelar y Deuda'!O81)</f>
        <v>0</v>
      </c>
      <c r="P134" s="1126">
        <f>IF(Ingresos!$D$22="SI",'Pasivo a Cancelar y Deuda'!P79,'Pasivo a Cancelar y Deuda'!P81)</f>
        <v>0</v>
      </c>
      <c r="Q134" s="1126">
        <f>IF(Ingresos!$D$22="SI",'Pasivo a Cancelar y Deuda'!Q79,'Pasivo a Cancelar y Deuda'!Q81)</f>
        <v>0</v>
      </c>
    </row>
    <row r="135" spans="1:17" s="723" customFormat="1" ht="18.75" customHeight="1">
      <c r="A135" s="1134" t="s">
        <v>780</v>
      </c>
      <c r="B135" s="922" t="s">
        <v>781</v>
      </c>
      <c r="C135" s="1126">
        <f>IF(Ingresos!$D$22="SI",'Pasivo a Cancelar y Deuda'!C82,'Pasivo a Cancelar y Deuda'!C84)</f>
        <v>0</v>
      </c>
      <c r="D135" s="1126">
        <f>IF(Ingresos!$D$22="SI",'Pasivo a Cancelar y Deuda'!D82,'Pasivo a Cancelar y Deuda'!D84)</f>
        <v>0</v>
      </c>
      <c r="E135" s="1126">
        <f>IF(Ingresos!$D$22="SI",'Pasivo a Cancelar y Deuda'!E82,'Pasivo a Cancelar y Deuda'!E84)</f>
        <v>0</v>
      </c>
      <c r="F135" s="1126">
        <f>IF(Ingresos!$D$22="SI",'Pasivo a Cancelar y Deuda'!F82,'Pasivo a Cancelar y Deuda'!F84)</f>
        <v>0</v>
      </c>
      <c r="G135" s="1126">
        <f>IF(Ingresos!$D$22="SI",'Pasivo a Cancelar y Deuda'!G82,'Pasivo a Cancelar y Deuda'!G84)</f>
        <v>0</v>
      </c>
      <c r="H135" s="1126">
        <f>IF(Ingresos!$D$22="SI",'Pasivo a Cancelar y Deuda'!H82,'Pasivo a Cancelar y Deuda'!H84)</f>
        <v>0</v>
      </c>
      <c r="I135" s="1126">
        <f>IF(Ingresos!$D$22="SI",'Pasivo a Cancelar y Deuda'!I82,'Pasivo a Cancelar y Deuda'!I84)</f>
        <v>0</v>
      </c>
      <c r="J135" s="1126">
        <f>IF(Ingresos!$D$22="SI",'Pasivo a Cancelar y Deuda'!J82,'Pasivo a Cancelar y Deuda'!J84)</f>
        <v>0</v>
      </c>
      <c r="K135" s="1126">
        <f>IF(Ingresos!$D$22="SI",'Pasivo a Cancelar y Deuda'!K82,'Pasivo a Cancelar y Deuda'!K84)</f>
        <v>0</v>
      </c>
      <c r="L135" s="1126">
        <f>IF(Ingresos!$D$22="SI",'Pasivo a Cancelar y Deuda'!L82,'Pasivo a Cancelar y Deuda'!L84)</f>
        <v>0</v>
      </c>
      <c r="M135" s="1126">
        <f>IF(Ingresos!$D$22="SI",'Pasivo a Cancelar y Deuda'!M82,'Pasivo a Cancelar y Deuda'!M84)</f>
        <v>0</v>
      </c>
      <c r="N135" s="1126">
        <f>IF(Ingresos!$D$22="SI",'Pasivo a Cancelar y Deuda'!N82,'Pasivo a Cancelar y Deuda'!N84)</f>
        <v>0</v>
      </c>
      <c r="O135" s="1126">
        <f>IF(Ingresos!$D$22="SI",'Pasivo a Cancelar y Deuda'!O82,'Pasivo a Cancelar y Deuda'!O84)</f>
        <v>0</v>
      </c>
      <c r="P135" s="1126">
        <f>IF(Ingresos!$D$22="SI",'Pasivo a Cancelar y Deuda'!P82,'Pasivo a Cancelar y Deuda'!P84)</f>
        <v>0</v>
      </c>
      <c r="Q135" s="1126">
        <f>IF(Ingresos!$D$22="SI",'Pasivo a Cancelar y Deuda'!Q82,'Pasivo a Cancelar y Deuda'!Q84)</f>
        <v>0</v>
      </c>
    </row>
    <row r="136" spans="1:17" s="723" customFormat="1" ht="18.75" customHeight="1">
      <c r="A136" s="901" t="s">
        <v>982</v>
      </c>
      <c r="B136" s="1122" t="s">
        <v>983</v>
      </c>
      <c r="C136" s="1124">
        <f>+C112-C125</f>
        <v>2386531</v>
      </c>
      <c r="D136" s="1124">
        <f t="shared" ref="D136:Q136" si="33">+D112-D125</f>
        <v>2282798.15</v>
      </c>
      <c r="E136" s="1124">
        <f t="shared" si="33"/>
        <v>1870334</v>
      </c>
      <c r="F136" s="1124">
        <f t="shared" si="33"/>
        <v>2107630.2599999998</v>
      </c>
      <c r="G136" s="1124">
        <f t="shared" si="33"/>
        <v>2091166.9374000004</v>
      </c>
      <c r="H136" s="1124">
        <f t="shared" si="33"/>
        <v>2110239.0492459997</v>
      </c>
      <c r="I136" s="1124">
        <f t="shared" si="33"/>
        <v>2187462.2372833407</v>
      </c>
      <c r="J136" s="1124">
        <f t="shared" si="33"/>
        <v>2267415.0341455489</v>
      </c>
      <c r="K136" s="1124">
        <f t="shared" si="33"/>
        <v>2350188.6582507892</v>
      </c>
      <c r="L136" s="1124">
        <f t="shared" si="33"/>
        <v>2435877.0784572102</v>
      </c>
      <c r="M136" s="1124">
        <f t="shared" si="33"/>
        <v>2524577.0791657087</v>
      </c>
      <c r="N136" s="1124">
        <f t="shared" si="33"/>
        <v>2616388.3257810562</v>
      </c>
      <c r="O136" s="1124">
        <f t="shared" si="33"/>
        <v>2711413.4304334549</v>
      </c>
      <c r="P136" s="1124">
        <f t="shared" si="33"/>
        <v>2809758.0178530058</v>
      </c>
      <c r="Q136" s="1124">
        <f t="shared" si="33"/>
        <v>2911530.7912794505</v>
      </c>
    </row>
    <row r="137" spans="1:17" s="723" customFormat="1" ht="18.75" customHeight="1">
      <c r="A137" s="901" t="s">
        <v>984</v>
      </c>
      <c r="B137" s="1122" t="s">
        <v>985</v>
      </c>
      <c r="C137" s="1135"/>
      <c r="D137" s="1135"/>
      <c r="E137" s="1135"/>
      <c r="F137" s="1135"/>
      <c r="G137" s="1135"/>
      <c r="H137" s="1135"/>
      <c r="I137" s="1135"/>
      <c r="J137" s="1135"/>
      <c r="K137" s="1135"/>
      <c r="L137" s="1135"/>
      <c r="M137" s="1135"/>
      <c r="N137" s="1135"/>
      <c r="O137" s="1135"/>
      <c r="P137" s="1135"/>
      <c r="Q137" s="1135"/>
    </row>
    <row r="138" spans="1:17" s="723" customFormat="1" ht="18.75" customHeight="1">
      <c r="A138" s="901" t="s">
        <v>986</v>
      </c>
      <c r="B138" s="1122" t="s">
        <v>879</v>
      </c>
      <c r="C138" s="1124">
        <f>SUM(C139:C140)</f>
        <v>60059</v>
      </c>
      <c r="D138" s="1124">
        <f>SUM(D139:D140)</f>
        <v>40000.279999999795</v>
      </c>
      <c r="E138" s="1124">
        <f t="shared" ref="E138:Q138" si="34">SUM(E139:E140)</f>
        <v>52428.65419999999</v>
      </c>
      <c r="F138" s="1124">
        <f t="shared" si="34"/>
        <v>1035999.0859180004</v>
      </c>
      <c r="G138" s="1124">
        <f t="shared" si="34"/>
        <v>247799.71518222056</v>
      </c>
      <c r="H138" s="1124">
        <f t="shared" si="34"/>
        <v>260189.30390838301</v>
      </c>
      <c r="I138" s="1124">
        <f t="shared" si="34"/>
        <v>273198.79930953868</v>
      </c>
      <c r="J138" s="1124">
        <f t="shared" si="34"/>
        <v>286859.06890097866</v>
      </c>
      <c r="K138" s="1124">
        <f t="shared" si="34"/>
        <v>1101201.5871770564</v>
      </c>
      <c r="L138" s="1124">
        <f t="shared" si="34"/>
        <v>316262.41215466475</v>
      </c>
      <c r="M138" s="1124">
        <f t="shared" si="34"/>
        <v>332075.20730421739</v>
      </c>
      <c r="N138" s="1124">
        <f t="shared" si="34"/>
        <v>348679.426077988</v>
      </c>
      <c r="O138" s="1124">
        <f t="shared" si="34"/>
        <v>366113.55292749777</v>
      </c>
      <c r="P138" s="1124">
        <f t="shared" si="34"/>
        <v>384418.78503665747</v>
      </c>
      <c r="Q138" s="1124">
        <f t="shared" si="34"/>
        <v>403639.82279310422</v>
      </c>
    </row>
    <row r="139" spans="1:17" s="723" customFormat="1" ht="18.75" customHeight="1">
      <c r="A139" s="901" t="s">
        <v>982</v>
      </c>
      <c r="B139" s="922" t="s">
        <v>987</v>
      </c>
      <c r="C139" s="1126">
        <f>+C136</f>
        <v>2386531</v>
      </c>
      <c r="D139" s="1126">
        <f>+D136</f>
        <v>2282798.15</v>
      </c>
      <c r="E139" s="1126">
        <f t="shared" ref="E139:Q139" si="35">+E136</f>
        <v>1870334</v>
      </c>
      <c r="F139" s="1126">
        <f t="shared" si="35"/>
        <v>2107630.2599999998</v>
      </c>
      <c r="G139" s="1126">
        <f t="shared" si="35"/>
        <v>2091166.9374000004</v>
      </c>
      <c r="H139" s="1126">
        <f t="shared" si="35"/>
        <v>2110239.0492459997</v>
      </c>
      <c r="I139" s="1126">
        <f t="shared" si="35"/>
        <v>2187462.2372833407</v>
      </c>
      <c r="J139" s="1126">
        <f t="shared" si="35"/>
        <v>2267415.0341455489</v>
      </c>
      <c r="K139" s="1126">
        <f t="shared" si="35"/>
        <v>2350188.6582507892</v>
      </c>
      <c r="L139" s="1126">
        <f t="shared" si="35"/>
        <v>2435877.0784572102</v>
      </c>
      <c r="M139" s="1126">
        <f t="shared" si="35"/>
        <v>2524577.0791657087</v>
      </c>
      <c r="N139" s="1126">
        <f t="shared" si="35"/>
        <v>2616388.3257810562</v>
      </c>
      <c r="O139" s="1126">
        <f t="shared" si="35"/>
        <v>2711413.4304334549</v>
      </c>
      <c r="P139" s="1126">
        <f t="shared" si="35"/>
        <v>2809758.0178530058</v>
      </c>
      <c r="Q139" s="1126">
        <f t="shared" si="35"/>
        <v>2911530.7912794505</v>
      </c>
    </row>
    <row r="140" spans="1:17" s="723" customFormat="1" ht="18.75" customHeight="1">
      <c r="A140" s="1134" t="s">
        <v>959</v>
      </c>
      <c r="B140" s="922" t="s">
        <v>988</v>
      </c>
      <c r="C140" s="1126">
        <f>+C109</f>
        <v>-2326472</v>
      </c>
      <c r="D140" s="1126">
        <f>+D109</f>
        <v>-2242797.87</v>
      </c>
      <c r="E140" s="1126">
        <f t="shared" ref="E140:Q140" si="36">+E109</f>
        <v>-1817905.3458</v>
      </c>
      <c r="F140" s="1126">
        <f t="shared" si="36"/>
        <v>-1071631.1740819993</v>
      </c>
      <c r="G140" s="1126">
        <f t="shared" si="36"/>
        <v>-1843367.2222177798</v>
      </c>
      <c r="H140" s="1126">
        <f t="shared" si="36"/>
        <v>-1850049.7453376167</v>
      </c>
      <c r="I140" s="1126">
        <f t="shared" si="36"/>
        <v>-1914263.437973802</v>
      </c>
      <c r="J140" s="1126">
        <f t="shared" si="36"/>
        <v>-1980555.9652445703</v>
      </c>
      <c r="K140" s="1126">
        <f t="shared" si="36"/>
        <v>-1248987.0710737328</v>
      </c>
      <c r="L140" s="1126">
        <f t="shared" si="36"/>
        <v>-2119614.6663025455</v>
      </c>
      <c r="M140" s="1126">
        <f t="shared" si="36"/>
        <v>-2192501.8718614914</v>
      </c>
      <c r="N140" s="1126">
        <f t="shared" si="36"/>
        <v>-2267708.8997030682</v>
      </c>
      <c r="O140" s="1126">
        <f t="shared" si="36"/>
        <v>-2345299.8775059571</v>
      </c>
      <c r="P140" s="1126">
        <f t="shared" si="36"/>
        <v>-2425339.2328163483</v>
      </c>
      <c r="Q140" s="1126">
        <f t="shared" si="36"/>
        <v>-2507890.9684863463</v>
      </c>
    </row>
    <row r="141" spans="1:17" s="723" customFormat="1" ht="18.75" customHeight="1">
      <c r="A141" s="1134" t="s">
        <v>782</v>
      </c>
      <c r="B141" s="1122" t="s">
        <v>783</v>
      </c>
      <c r="C141" s="1124">
        <f>SUM(C142:C149)</f>
        <v>0</v>
      </c>
      <c r="D141" s="1124">
        <f t="shared" ref="D141:Q141" si="37">SUM(D142:D149)</f>
        <v>0</v>
      </c>
      <c r="E141" s="1124">
        <f t="shared" si="37"/>
        <v>0</v>
      </c>
      <c r="F141" s="1124">
        <f t="shared" si="37"/>
        <v>0</v>
      </c>
      <c r="G141" s="1124">
        <f t="shared" si="37"/>
        <v>0</v>
      </c>
      <c r="H141" s="1124">
        <f t="shared" si="37"/>
        <v>0</v>
      </c>
      <c r="I141" s="1124">
        <f t="shared" si="37"/>
        <v>0</v>
      </c>
      <c r="J141" s="1124">
        <f t="shared" si="37"/>
        <v>0</v>
      </c>
      <c r="K141" s="1124">
        <f t="shared" si="37"/>
        <v>0</v>
      </c>
      <c r="L141" s="1124">
        <f t="shared" si="37"/>
        <v>0</v>
      </c>
      <c r="M141" s="1124">
        <f t="shared" si="37"/>
        <v>0</v>
      </c>
      <c r="N141" s="1124">
        <f t="shared" si="37"/>
        <v>0</v>
      </c>
      <c r="O141" s="1124">
        <f t="shared" si="37"/>
        <v>0</v>
      </c>
      <c r="P141" s="1124">
        <f t="shared" si="37"/>
        <v>0</v>
      </c>
      <c r="Q141" s="1124">
        <f t="shared" si="37"/>
        <v>0</v>
      </c>
    </row>
    <row r="142" spans="1:17" s="723" customFormat="1" ht="18.75" customHeight="1">
      <c r="A142" s="1134" t="s">
        <v>784</v>
      </c>
      <c r="B142" s="922" t="s">
        <v>785</v>
      </c>
      <c r="C142" s="1126">
        <f>+'Pasivo a Cancelar y Deuda'!C15</f>
        <v>0</v>
      </c>
      <c r="D142" s="1126">
        <f>+'Pasivo a Cancelar y Deuda'!D15</f>
        <v>0</v>
      </c>
      <c r="E142" s="1126">
        <f>+'Pasivo a Cancelar y Deuda'!E15</f>
        <v>0</v>
      </c>
      <c r="F142" s="1126">
        <f>+'Pasivo a Cancelar y Deuda'!F15</f>
        <v>0</v>
      </c>
      <c r="G142" s="1126">
        <f>+'Pasivo a Cancelar y Deuda'!G15</f>
        <v>0</v>
      </c>
      <c r="H142" s="1126">
        <f>+'Pasivo a Cancelar y Deuda'!H15</f>
        <v>0</v>
      </c>
      <c r="I142" s="1126">
        <f>+'Pasivo a Cancelar y Deuda'!I15</f>
        <v>0</v>
      </c>
      <c r="J142" s="1126">
        <f>+'Pasivo a Cancelar y Deuda'!J15</f>
        <v>0</v>
      </c>
      <c r="K142" s="1126">
        <f>+'Pasivo a Cancelar y Deuda'!K15</f>
        <v>0</v>
      </c>
      <c r="L142" s="1126">
        <f>+'Pasivo a Cancelar y Deuda'!L15</f>
        <v>0</v>
      </c>
      <c r="M142" s="1126">
        <f>+'Pasivo a Cancelar y Deuda'!M15</f>
        <v>0</v>
      </c>
      <c r="N142" s="1126">
        <f>+'Pasivo a Cancelar y Deuda'!N15</f>
        <v>0</v>
      </c>
      <c r="O142" s="1126">
        <f>+'Pasivo a Cancelar y Deuda'!O15</f>
        <v>0</v>
      </c>
      <c r="P142" s="1126">
        <f>+'Pasivo a Cancelar y Deuda'!P15</f>
        <v>0</v>
      </c>
      <c r="Q142" s="1126">
        <f>+'Pasivo a Cancelar y Deuda'!Q15</f>
        <v>0</v>
      </c>
    </row>
    <row r="143" spans="1:17" s="723" customFormat="1" ht="18.75" customHeight="1">
      <c r="A143" s="1134" t="s">
        <v>786</v>
      </c>
      <c r="B143" s="922" t="s">
        <v>787</v>
      </c>
      <c r="C143" s="1126">
        <f>+'Pasivo a Cancelar y Deuda'!C16</f>
        <v>0</v>
      </c>
      <c r="D143" s="1126">
        <f>+'Pasivo a Cancelar y Deuda'!D16</f>
        <v>0</v>
      </c>
      <c r="E143" s="1126">
        <f>+'Pasivo a Cancelar y Deuda'!E16</f>
        <v>0</v>
      </c>
      <c r="F143" s="1126">
        <f>+'Pasivo a Cancelar y Deuda'!F16</f>
        <v>0</v>
      </c>
      <c r="G143" s="1126">
        <f>+'Pasivo a Cancelar y Deuda'!G16</f>
        <v>0</v>
      </c>
      <c r="H143" s="1126">
        <f>+'Pasivo a Cancelar y Deuda'!H16</f>
        <v>0</v>
      </c>
      <c r="I143" s="1126">
        <f>+'Pasivo a Cancelar y Deuda'!I16</f>
        <v>0</v>
      </c>
      <c r="J143" s="1126">
        <f>+'Pasivo a Cancelar y Deuda'!J16</f>
        <v>0</v>
      </c>
      <c r="K143" s="1126">
        <f>+'Pasivo a Cancelar y Deuda'!K16</f>
        <v>0</v>
      </c>
      <c r="L143" s="1126">
        <f>+'Pasivo a Cancelar y Deuda'!L16</f>
        <v>0</v>
      </c>
      <c r="M143" s="1126">
        <f>+'Pasivo a Cancelar y Deuda'!M16</f>
        <v>0</v>
      </c>
      <c r="N143" s="1126">
        <f>+'Pasivo a Cancelar y Deuda'!N16</f>
        <v>0</v>
      </c>
      <c r="O143" s="1126">
        <f>+'Pasivo a Cancelar y Deuda'!O16</f>
        <v>0</v>
      </c>
      <c r="P143" s="1126">
        <f>+'Pasivo a Cancelar y Deuda'!P16</f>
        <v>0</v>
      </c>
      <c r="Q143" s="1126">
        <f>+'Pasivo a Cancelar y Deuda'!Q16</f>
        <v>0</v>
      </c>
    </row>
    <row r="144" spans="1:17" s="723" customFormat="1" ht="18.75" customHeight="1">
      <c r="A144" s="1134" t="s">
        <v>788</v>
      </c>
      <c r="B144" s="922" t="s">
        <v>789</v>
      </c>
      <c r="C144" s="1126">
        <f>+'Pasivo a Cancelar y Deuda'!C17</f>
        <v>0</v>
      </c>
      <c r="D144" s="1126">
        <f>+'Pasivo a Cancelar y Deuda'!D17</f>
        <v>0</v>
      </c>
      <c r="E144" s="1126">
        <f>+'Pasivo a Cancelar y Deuda'!E17</f>
        <v>0</v>
      </c>
      <c r="F144" s="1126">
        <f>+'Pasivo a Cancelar y Deuda'!F17</f>
        <v>0</v>
      </c>
      <c r="G144" s="1126">
        <f>+'Pasivo a Cancelar y Deuda'!G17</f>
        <v>0</v>
      </c>
      <c r="H144" s="1126">
        <f>+'Pasivo a Cancelar y Deuda'!H17</f>
        <v>0</v>
      </c>
      <c r="I144" s="1126">
        <f>+'Pasivo a Cancelar y Deuda'!I17</f>
        <v>0</v>
      </c>
      <c r="J144" s="1126">
        <f>+'Pasivo a Cancelar y Deuda'!J17</f>
        <v>0</v>
      </c>
      <c r="K144" s="1126">
        <f>+'Pasivo a Cancelar y Deuda'!K17</f>
        <v>0</v>
      </c>
      <c r="L144" s="1126">
        <f>+'Pasivo a Cancelar y Deuda'!L17</f>
        <v>0</v>
      </c>
      <c r="M144" s="1126">
        <f>+'Pasivo a Cancelar y Deuda'!M17</f>
        <v>0</v>
      </c>
      <c r="N144" s="1126">
        <f>+'Pasivo a Cancelar y Deuda'!N17</f>
        <v>0</v>
      </c>
      <c r="O144" s="1126">
        <f>+'Pasivo a Cancelar y Deuda'!O17</f>
        <v>0</v>
      </c>
      <c r="P144" s="1126">
        <f>+'Pasivo a Cancelar y Deuda'!P17</f>
        <v>0</v>
      </c>
      <c r="Q144" s="1126">
        <f>+'Pasivo a Cancelar y Deuda'!Q17</f>
        <v>0</v>
      </c>
    </row>
    <row r="145" spans="1:17" s="723" customFormat="1" ht="18.75" customHeight="1">
      <c r="A145" s="1134" t="s">
        <v>790</v>
      </c>
      <c r="B145" s="922" t="s">
        <v>791</v>
      </c>
      <c r="C145" s="1126">
        <f>+'Pasivo a Cancelar y Deuda'!C18</f>
        <v>0</v>
      </c>
      <c r="D145" s="1126">
        <f>+'Pasivo a Cancelar y Deuda'!D18</f>
        <v>0</v>
      </c>
      <c r="E145" s="1126">
        <f>+'Pasivo a Cancelar y Deuda'!E18</f>
        <v>0</v>
      </c>
      <c r="F145" s="1126">
        <f>+'Pasivo a Cancelar y Deuda'!F18</f>
        <v>0</v>
      </c>
      <c r="G145" s="1126">
        <f>+'Pasivo a Cancelar y Deuda'!G18</f>
        <v>0</v>
      </c>
      <c r="H145" s="1126">
        <f>+'Pasivo a Cancelar y Deuda'!H18</f>
        <v>0</v>
      </c>
      <c r="I145" s="1126">
        <f>+'Pasivo a Cancelar y Deuda'!I18</f>
        <v>0</v>
      </c>
      <c r="J145" s="1126">
        <f>+'Pasivo a Cancelar y Deuda'!J18</f>
        <v>0</v>
      </c>
      <c r="K145" s="1126">
        <f>+'Pasivo a Cancelar y Deuda'!K18</f>
        <v>0</v>
      </c>
      <c r="L145" s="1126">
        <f>+'Pasivo a Cancelar y Deuda'!L18</f>
        <v>0</v>
      </c>
      <c r="M145" s="1126">
        <f>+'Pasivo a Cancelar y Deuda'!M18</f>
        <v>0</v>
      </c>
      <c r="N145" s="1126">
        <f>+'Pasivo a Cancelar y Deuda'!N18</f>
        <v>0</v>
      </c>
      <c r="O145" s="1126">
        <f>+'Pasivo a Cancelar y Deuda'!O18</f>
        <v>0</v>
      </c>
      <c r="P145" s="1126">
        <f>+'Pasivo a Cancelar y Deuda'!P18</f>
        <v>0</v>
      </c>
      <c r="Q145" s="1126">
        <f>+'Pasivo a Cancelar y Deuda'!Q18</f>
        <v>0</v>
      </c>
    </row>
    <row r="146" spans="1:17" s="723" customFormat="1" ht="18.75" customHeight="1">
      <c r="A146" s="1134" t="s">
        <v>792</v>
      </c>
      <c r="B146" s="922" t="s">
        <v>793</v>
      </c>
      <c r="C146" s="1126">
        <f>+'Pasivo a Cancelar y Deuda'!C19</f>
        <v>0</v>
      </c>
      <c r="D146" s="1126">
        <f>+'Pasivo a Cancelar y Deuda'!D19</f>
        <v>0</v>
      </c>
      <c r="E146" s="1126">
        <f>+'Pasivo a Cancelar y Deuda'!E19</f>
        <v>0</v>
      </c>
      <c r="F146" s="1126">
        <f>+'Pasivo a Cancelar y Deuda'!F19</f>
        <v>0</v>
      </c>
      <c r="G146" s="1126">
        <f>+'Pasivo a Cancelar y Deuda'!G19</f>
        <v>0</v>
      </c>
      <c r="H146" s="1126">
        <f>+'Pasivo a Cancelar y Deuda'!H19</f>
        <v>0</v>
      </c>
      <c r="I146" s="1126">
        <f>+'Pasivo a Cancelar y Deuda'!I19</f>
        <v>0</v>
      </c>
      <c r="J146" s="1126">
        <f>+'Pasivo a Cancelar y Deuda'!J19</f>
        <v>0</v>
      </c>
      <c r="K146" s="1126">
        <f>+'Pasivo a Cancelar y Deuda'!K19</f>
        <v>0</v>
      </c>
      <c r="L146" s="1126">
        <f>+'Pasivo a Cancelar y Deuda'!L19</f>
        <v>0</v>
      </c>
      <c r="M146" s="1126">
        <f>+'Pasivo a Cancelar y Deuda'!M19</f>
        <v>0</v>
      </c>
      <c r="N146" s="1126">
        <f>+'Pasivo a Cancelar y Deuda'!N19</f>
        <v>0</v>
      </c>
      <c r="O146" s="1126">
        <f>+'Pasivo a Cancelar y Deuda'!O19</f>
        <v>0</v>
      </c>
      <c r="P146" s="1126">
        <f>+'Pasivo a Cancelar y Deuda'!P19</f>
        <v>0</v>
      </c>
      <c r="Q146" s="1126">
        <f>+'Pasivo a Cancelar y Deuda'!Q19</f>
        <v>0</v>
      </c>
    </row>
    <row r="147" spans="1:17" s="723" customFormat="1" ht="18.75" customHeight="1">
      <c r="A147" s="1134" t="s">
        <v>794</v>
      </c>
      <c r="B147" s="922" t="s">
        <v>777</v>
      </c>
      <c r="C147" s="1136">
        <f>+'Pasivo a Cancelar y Deuda'!C20</f>
        <v>0</v>
      </c>
      <c r="D147" s="1136">
        <f>+'Pasivo a Cancelar y Deuda'!D20</f>
        <v>0</v>
      </c>
      <c r="E147" s="1136">
        <f>+'Pasivo a Cancelar y Deuda'!E20</f>
        <v>0</v>
      </c>
      <c r="F147" s="1136">
        <f>+'Pasivo a Cancelar y Deuda'!F20</f>
        <v>0</v>
      </c>
      <c r="G147" s="1136">
        <f>+'Pasivo a Cancelar y Deuda'!G20</f>
        <v>0</v>
      </c>
      <c r="H147" s="1136">
        <f>+'Pasivo a Cancelar y Deuda'!H20</f>
        <v>0</v>
      </c>
      <c r="I147" s="1136">
        <f>+'Pasivo a Cancelar y Deuda'!I20</f>
        <v>0</v>
      </c>
      <c r="J147" s="1136">
        <f>+'Pasivo a Cancelar y Deuda'!J20</f>
        <v>0</v>
      </c>
      <c r="K147" s="1136">
        <f>+'Pasivo a Cancelar y Deuda'!K20</f>
        <v>0</v>
      </c>
      <c r="L147" s="1136">
        <f>+'Pasivo a Cancelar y Deuda'!L20</f>
        <v>0</v>
      </c>
      <c r="M147" s="1136">
        <f>+'Pasivo a Cancelar y Deuda'!M20</f>
        <v>0</v>
      </c>
      <c r="N147" s="1136">
        <f>+'Pasivo a Cancelar y Deuda'!N20</f>
        <v>0</v>
      </c>
      <c r="O147" s="1136">
        <f>+'Pasivo a Cancelar y Deuda'!O20</f>
        <v>0</v>
      </c>
      <c r="P147" s="1136">
        <f>+'Pasivo a Cancelar y Deuda'!P20</f>
        <v>0</v>
      </c>
      <c r="Q147" s="1136">
        <f>+'Pasivo a Cancelar y Deuda'!Q20</f>
        <v>0</v>
      </c>
    </row>
    <row r="148" spans="1:17" s="723" customFormat="1" ht="18.75" customHeight="1">
      <c r="A148" s="1134" t="s">
        <v>795</v>
      </c>
      <c r="B148" s="922" t="s">
        <v>779</v>
      </c>
      <c r="C148" s="1136">
        <f>+'Pasivo a Cancelar y Deuda'!C21</f>
        <v>0</v>
      </c>
      <c r="D148" s="1136">
        <f>+'Pasivo a Cancelar y Deuda'!D21</f>
        <v>0</v>
      </c>
      <c r="E148" s="1136">
        <f>+'Pasivo a Cancelar y Deuda'!E21</f>
        <v>0</v>
      </c>
      <c r="F148" s="1136">
        <f>+'Pasivo a Cancelar y Deuda'!F21</f>
        <v>0</v>
      </c>
      <c r="G148" s="1136">
        <f>+'Pasivo a Cancelar y Deuda'!G21</f>
        <v>0</v>
      </c>
      <c r="H148" s="1136">
        <f>+'Pasivo a Cancelar y Deuda'!H21</f>
        <v>0</v>
      </c>
      <c r="I148" s="1136">
        <f>+'Pasivo a Cancelar y Deuda'!I21</f>
        <v>0</v>
      </c>
      <c r="J148" s="1136">
        <f>+'Pasivo a Cancelar y Deuda'!J21</f>
        <v>0</v>
      </c>
      <c r="K148" s="1136">
        <f>+'Pasivo a Cancelar y Deuda'!K21</f>
        <v>0</v>
      </c>
      <c r="L148" s="1136">
        <f>+'Pasivo a Cancelar y Deuda'!L21</f>
        <v>0</v>
      </c>
      <c r="M148" s="1136">
        <f>+'Pasivo a Cancelar y Deuda'!M21</f>
        <v>0</v>
      </c>
      <c r="N148" s="1136">
        <f>+'Pasivo a Cancelar y Deuda'!N21</f>
        <v>0</v>
      </c>
      <c r="O148" s="1136">
        <f>+'Pasivo a Cancelar y Deuda'!O21</f>
        <v>0</v>
      </c>
      <c r="P148" s="1136">
        <f>+'Pasivo a Cancelar y Deuda'!P21</f>
        <v>0</v>
      </c>
      <c r="Q148" s="1136">
        <f>+'Pasivo a Cancelar y Deuda'!Q21</f>
        <v>0</v>
      </c>
    </row>
    <row r="149" spans="1:17" s="723" customFormat="1" ht="18.75" customHeight="1">
      <c r="A149" s="1134" t="s">
        <v>796</v>
      </c>
      <c r="B149" s="922" t="s">
        <v>781</v>
      </c>
      <c r="C149" s="1136">
        <f>+'Pasivo a Cancelar y Deuda'!C22</f>
        <v>0</v>
      </c>
      <c r="D149" s="1136">
        <f>+'Pasivo a Cancelar y Deuda'!D22</f>
        <v>0</v>
      </c>
      <c r="E149" s="1136">
        <f>+'Pasivo a Cancelar y Deuda'!E22</f>
        <v>0</v>
      </c>
      <c r="F149" s="1136">
        <f>+'Pasivo a Cancelar y Deuda'!F22</f>
        <v>0</v>
      </c>
      <c r="G149" s="1136">
        <f>+'Pasivo a Cancelar y Deuda'!G22</f>
        <v>0</v>
      </c>
      <c r="H149" s="1136">
        <f>+'Pasivo a Cancelar y Deuda'!H22</f>
        <v>0</v>
      </c>
      <c r="I149" s="1136">
        <f>+'Pasivo a Cancelar y Deuda'!I22</f>
        <v>0</v>
      </c>
      <c r="J149" s="1136">
        <f>+'Pasivo a Cancelar y Deuda'!J22</f>
        <v>0</v>
      </c>
      <c r="K149" s="1136">
        <f>+'Pasivo a Cancelar y Deuda'!K22</f>
        <v>0</v>
      </c>
      <c r="L149" s="1136">
        <f>+'Pasivo a Cancelar y Deuda'!L22</f>
        <v>0</v>
      </c>
      <c r="M149" s="1136">
        <f>+'Pasivo a Cancelar y Deuda'!M22</f>
        <v>0</v>
      </c>
      <c r="N149" s="1136">
        <f>+'Pasivo a Cancelar y Deuda'!N22</f>
        <v>0</v>
      </c>
      <c r="O149" s="1136">
        <f>+'Pasivo a Cancelar y Deuda'!O22</f>
        <v>0</v>
      </c>
      <c r="P149" s="1136">
        <f>+'Pasivo a Cancelar y Deuda'!P22</f>
        <v>0</v>
      </c>
      <c r="Q149" s="1136">
        <f>+'Pasivo a Cancelar y Deuda'!Q22</f>
        <v>0</v>
      </c>
    </row>
    <row r="150" spans="1:17" s="723" customFormat="1" ht="18.75" customHeight="1" thickBot="1">
      <c r="A150" s="1137" t="s">
        <v>989</v>
      </c>
      <c r="B150" s="1138" t="s">
        <v>990</v>
      </c>
      <c r="C150" s="1139">
        <f>+C138-C141</f>
        <v>60059</v>
      </c>
      <c r="D150" s="1139">
        <f>+D138-D141</f>
        <v>40000.279999999795</v>
      </c>
      <c r="E150" s="1139">
        <f t="shared" ref="E150:Q150" si="38">+E138-E141</f>
        <v>52428.65419999999</v>
      </c>
      <c r="F150" s="1139">
        <f t="shared" si="38"/>
        <v>1035999.0859180004</v>
      </c>
      <c r="G150" s="1139">
        <f t="shared" si="38"/>
        <v>247799.71518222056</v>
      </c>
      <c r="H150" s="1139">
        <f t="shared" si="38"/>
        <v>260189.30390838301</v>
      </c>
      <c r="I150" s="1139">
        <f t="shared" si="38"/>
        <v>273198.79930953868</v>
      </c>
      <c r="J150" s="1139">
        <f t="shared" si="38"/>
        <v>286859.06890097866</v>
      </c>
      <c r="K150" s="1139">
        <f t="shared" si="38"/>
        <v>1101201.5871770564</v>
      </c>
      <c r="L150" s="1139">
        <f t="shared" si="38"/>
        <v>316262.41215466475</v>
      </c>
      <c r="M150" s="1139">
        <f t="shared" si="38"/>
        <v>332075.20730421739</v>
      </c>
      <c r="N150" s="1139">
        <f t="shared" si="38"/>
        <v>348679.426077988</v>
      </c>
      <c r="O150" s="1139">
        <f t="shared" si="38"/>
        <v>366113.55292749777</v>
      </c>
      <c r="P150" s="1139">
        <f t="shared" si="38"/>
        <v>384418.78503665747</v>
      </c>
      <c r="Q150" s="1139">
        <f t="shared" si="38"/>
        <v>403639.82279310422</v>
      </c>
    </row>
    <row r="151" spans="1:17" s="723" customFormat="1" ht="18.75" customHeight="1">
      <c r="A151" s="1140" t="s">
        <v>991</v>
      </c>
      <c r="B151" s="931" t="s">
        <v>992</v>
      </c>
      <c r="C151" s="1141"/>
      <c r="D151" s="1141"/>
      <c r="E151" s="1141"/>
      <c r="F151" s="1141"/>
      <c r="G151" s="1141"/>
      <c r="H151" s="1141"/>
      <c r="I151" s="1141"/>
      <c r="J151" s="1141"/>
      <c r="K151" s="1141"/>
      <c r="L151" s="1141"/>
      <c r="M151" s="1141"/>
      <c r="N151" s="1141"/>
      <c r="O151" s="1141"/>
      <c r="P151" s="1141"/>
      <c r="Q151" s="1141"/>
    </row>
    <row r="152" spans="1:17" s="723" customFormat="1" ht="18.75" customHeight="1">
      <c r="A152" s="1142" t="s">
        <v>993</v>
      </c>
      <c r="B152" s="936" t="s">
        <v>879</v>
      </c>
      <c r="C152" s="1143">
        <f>+C153</f>
        <v>60059</v>
      </c>
      <c r="D152" s="1143">
        <f>+D153</f>
        <v>40000.279999999795</v>
      </c>
      <c r="E152" s="1143">
        <f t="shared" ref="E152:Q152" si="39">+E153</f>
        <v>52428.65419999999</v>
      </c>
      <c r="F152" s="1143">
        <f t="shared" si="39"/>
        <v>1035999.0859180004</v>
      </c>
      <c r="G152" s="1143">
        <f t="shared" si="39"/>
        <v>247799.71518222056</v>
      </c>
      <c r="H152" s="1143">
        <f t="shared" si="39"/>
        <v>260189.30390838301</v>
      </c>
      <c r="I152" s="1143">
        <f t="shared" si="39"/>
        <v>273198.79930953868</v>
      </c>
      <c r="J152" s="1143">
        <f t="shared" si="39"/>
        <v>286859.06890097866</v>
      </c>
      <c r="K152" s="1143">
        <f t="shared" si="39"/>
        <v>1101201.5871770564</v>
      </c>
      <c r="L152" s="1143">
        <f t="shared" si="39"/>
        <v>316262.41215466475</v>
      </c>
      <c r="M152" s="1143">
        <f t="shared" si="39"/>
        <v>332075.20730421739</v>
      </c>
      <c r="N152" s="1143">
        <f t="shared" si="39"/>
        <v>348679.426077988</v>
      </c>
      <c r="O152" s="1143">
        <f t="shared" si="39"/>
        <v>366113.55292749777</v>
      </c>
      <c r="P152" s="1143">
        <f t="shared" si="39"/>
        <v>384418.78503665747</v>
      </c>
      <c r="Q152" s="1143">
        <f t="shared" si="39"/>
        <v>403639.82279310422</v>
      </c>
    </row>
    <row r="153" spans="1:17" s="723" customFormat="1" ht="18.75" customHeight="1">
      <c r="A153" s="1144" t="s">
        <v>989</v>
      </c>
      <c r="B153" s="941" t="s">
        <v>994</v>
      </c>
      <c r="C153" s="1145">
        <f>+C150</f>
        <v>60059</v>
      </c>
      <c r="D153" s="1145">
        <f>+D150</f>
        <v>40000.279999999795</v>
      </c>
      <c r="E153" s="1145">
        <f t="shared" ref="E153:Q153" si="40">+E150</f>
        <v>52428.65419999999</v>
      </c>
      <c r="F153" s="1145">
        <f t="shared" si="40"/>
        <v>1035999.0859180004</v>
      </c>
      <c r="G153" s="1145">
        <f t="shared" si="40"/>
        <v>247799.71518222056</v>
      </c>
      <c r="H153" s="1145">
        <f t="shared" si="40"/>
        <v>260189.30390838301</v>
      </c>
      <c r="I153" s="1145">
        <f t="shared" si="40"/>
        <v>273198.79930953868</v>
      </c>
      <c r="J153" s="1145">
        <f t="shared" si="40"/>
        <v>286859.06890097866</v>
      </c>
      <c r="K153" s="1145">
        <f t="shared" si="40"/>
        <v>1101201.5871770564</v>
      </c>
      <c r="L153" s="1145">
        <f t="shared" si="40"/>
        <v>316262.41215466475</v>
      </c>
      <c r="M153" s="1145">
        <f t="shared" si="40"/>
        <v>332075.20730421739</v>
      </c>
      <c r="N153" s="1145">
        <f t="shared" si="40"/>
        <v>348679.426077988</v>
      </c>
      <c r="O153" s="1145">
        <f t="shared" si="40"/>
        <v>366113.55292749777</v>
      </c>
      <c r="P153" s="1145">
        <f t="shared" si="40"/>
        <v>384418.78503665747</v>
      </c>
      <c r="Q153" s="1145">
        <f t="shared" si="40"/>
        <v>403639.82279310422</v>
      </c>
    </row>
    <row r="154" spans="1:17" s="723" customFormat="1" ht="18.75" customHeight="1">
      <c r="A154" s="1146" t="s">
        <v>469</v>
      </c>
      <c r="B154" s="946" t="s">
        <v>995</v>
      </c>
      <c r="C154" s="1143">
        <f>+'Gastos Proyecciones'!D199</f>
        <v>60059</v>
      </c>
      <c r="D154" s="1143">
        <f>+'Gastos Proyecciones'!E199</f>
        <v>40000</v>
      </c>
      <c r="E154" s="1143">
        <f>+'Gastos Proyecciones'!F199</f>
        <v>52429</v>
      </c>
      <c r="F154" s="1143">
        <f>+'Gastos Proyecciones'!G199</f>
        <v>1036000</v>
      </c>
      <c r="G154" s="1143">
        <f>+'Gastos Proyecciones'!H199</f>
        <v>247800</v>
      </c>
      <c r="H154" s="1143">
        <f>+'Gastos Proyecciones'!I199</f>
        <v>260190</v>
      </c>
      <c r="I154" s="1143">
        <f>+'Gastos Proyecciones'!J199</f>
        <v>273199.5</v>
      </c>
      <c r="J154" s="1143">
        <f>+'Gastos Proyecciones'!K199</f>
        <v>286859.47499999998</v>
      </c>
      <c r="K154" s="1143">
        <f>+'Gastos Proyecciones'!L199</f>
        <v>1101202.44875</v>
      </c>
      <c r="L154" s="1143">
        <f>+'Gastos Proyecciones'!M199</f>
        <v>316262.57118750003</v>
      </c>
      <c r="M154" s="1143">
        <f>+'Gastos Proyecciones'!N199</f>
        <v>332075.69974687503</v>
      </c>
      <c r="N154" s="1143">
        <f>+'Gastos Proyecciones'!O199</f>
        <v>348679.4847342188</v>
      </c>
      <c r="O154" s="1143">
        <f>+'Gastos Proyecciones'!P199</f>
        <v>366113.45897092979</v>
      </c>
      <c r="P154" s="1143">
        <f>+'Gastos Proyecciones'!Q199</f>
        <v>384419.13191947626</v>
      </c>
      <c r="Q154" s="1143">
        <f>+'Gastos Proyecciones'!R199</f>
        <v>403640.08851545007</v>
      </c>
    </row>
    <row r="155" spans="1:17" s="723" customFormat="1" ht="18.75" customHeight="1" thickBot="1">
      <c r="A155" s="947" t="s">
        <v>996</v>
      </c>
      <c r="B155" s="948" t="s">
        <v>997</v>
      </c>
      <c r="C155" s="1147">
        <f>+C152-C154</f>
        <v>0</v>
      </c>
      <c r="D155" s="1147">
        <f t="shared" ref="D155:Q155" si="41">+D152-D154</f>
        <v>0.27999999979510903</v>
      </c>
      <c r="E155" s="1147">
        <f t="shared" si="41"/>
        <v>-0.34580000001005828</v>
      </c>
      <c r="F155" s="1147">
        <f t="shared" si="41"/>
        <v>-0.91408199956640601</v>
      </c>
      <c r="G155" s="1147">
        <f t="shared" si="41"/>
        <v>-0.2848177794367075</v>
      </c>
      <c r="H155" s="1147">
        <f t="shared" si="41"/>
        <v>-0.69609161699190736</v>
      </c>
      <c r="I155" s="1147">
        <f t="shared" si="41"/>
        <v>-0.70069046132266521</v>
      </c>
      <c r="J155" s="1147">
        <f t="shared" si="41"/>
        <v>-0.40609902131836861</v>
      </c>
      <c r="K155" s="1147">
        <f t="shared" si="41"/>
        <v>-0.86157294362783432</v>
      </c>
      <c r="L155" s="1147">
        <f t="shared" si="41"/>
        <v>-0.15903283527586609</v>
      </c>
      <c r="M155" s="1147">
        <f t="shared" si="41"/>
        <v>-0.49244265764718875</v>
      </c>
      <c r="N155" s="1147">
        <f t="shared" si="41"/>
        <v>-5.8656230801716447E-2</v>
      </c>
      <c r="O155" s="1147">
        <f t="shared" si="41"/>
        <v>9.3956567987333983E-2</v>
      </c>
      <c r="P155" s="1147">
        <f t="shared" si="41"/>
        <v>-0.34688281879061833</v>
      </c>
      <c r="Q155" s="1147">
        <f t="shared" si="41"/>
        <v>-0.26572234585182741</v>
      </c>
    </row>
    <row r="156" spans="1:17" s="723" customFormat="1" ht="18.75" customHeight="1" thickBot="1">
      <c r="A156" s="952" t="s">
        <v>998</v>
      </c>
      <c r="B156" s="894" t="s">
        <v>999</v>
      </c>
      <c r="C156" s="1119">
        <f t="shared" ref="C156:Q156" si="42">+C124+C155</f>
        <v>0</v>
      </c>
      <c r="D156" s="1119">
        <f t="shared" si="42"/>
        <v>0.27999999979510903</v>
      </c>
      <c r="E156" s="1119">
        <f t="shared" si="42"/>
        <v>-0.34580000001005828</v>
      </c>
      <c r="F156" s="1119">
        <f t="shared" si="42"/>
        <v>-0.91408199956640601</v>
      </c>
      <c r="G156" s="1119">
        <f t="shared" si="42"/>
        <v>-0.2848177794367075</v>
      </c>
      <c r="H156" s="1119">
        <f t="shared" si="42"/>
        <v>-0.69609161699190736</v>
      </c>
      <c r="I156" s="1119">
        <f t="shared" si="42"/>
        <v>-0.70069046132266521</v>
      </c>
      <c r="J156" s="1119">
        <f t="shared" si="42"/>
        <v>-0.40609902131836861</v>
      </c>
      <c r="K156" s="1119">
        <f t="shared" si="42"/>
        <v>-0.86157294362783432</v>
      </c>
      <c r="L156" s="1119">
        <f t="shared" si="42"/>
        <v>-0.15903283527586609</v>
      </c>
      <c r="M156" s="1119">
        <f t="shared" si="42"/>
        <v>-0.49244265764718875</v>
      </c>
      <c r="N156" s="1119">
        <f t="shared" si="42"/>
        <v>-5.8656230801716447E-2</v>
      </c>
      <c r="O156" s="1119">
        <f t="shared" si="42"/>
        <v>9.3956567987333983E-2</v>
      </c>
      <c r="P156" s="1119">
        <f t="shared" si="42"/>
        <v>-0.34688281879061833</v>
      </c>
      <c r="Q156" s="1119">
        <f t="shared" si="42"/>
        <v>-0.26572234585182741</v>
      </c>
    </row>
    <row r="157" spans="1:17" s="723" customFormat="1" ht="18.75" customHeight="1">
      <c r="B157" s="723" t="s">
        <v>1000</v>
      </c>
      <c r="C157" s="960"/>
      <c r="D157" s="960"/>
      <c r="E157" s="961"/>
      <c r="F157" s="961"/>
      <c r="G157" s="961"/>
      <c r="H157" s="961"/>
      <c r="I157" s="961"/>
      <c r="J157" s="961"/>
      <c r="K157" s="961"/>
      <c r="L157" s="961"/>
      <c r="M157" s="961"/>
      <c r="N157" s="961"/>
      <c r="O157" s="961"/>
      <c r="P157" s="961"/>
      <c r="Q157" s="961"/>
    </row>
    <row r="158" spans="1:17">
      <c r="C158" s="962"/>
      <c r="D158" s="962"/>
      <c r="E158" s="658"/>
      <c r="F158" s="658"/>
      <c r="G158" s="658"/>
      <c r="H158" s="658"/>
      <c r="I158" s="658"/>
      <c r="J158" s="658"/>
      <c r="K158" s="658"/>
      <c r="L158" s="658"/>
      <c r="M158" s="658"/>
      <c r="N158" s="658"/>
      <c r="O158" s="658"/>
      <c r="P158" s="658"/>
      <c r="Q158" s="658"/>
    </row>
    <row r="159" spans="1:17">
      <c r="C159" s="962"/>
      <c r="D159" s="962"/>
      <c r="E159" s="658"/>
      <c r="F159" s="658"/>
      <c r="G159" s="658"/>
      <c r="H159" s="658"/>
      <c r="I159" s="658"/>
      <c r="J159" s="658"/>
      <c r="K159" s="658"/>
      <c r="L159" s="658"/>
      <c r="M159" s="658"/>
      <c r="N159" s="658"/>
      <c r="O159" s="658"/>
      <c r="P159" s="658"/>
      <c r="Q159" s="658"/>
    </row>
    <row r="160" spans="1:17">
      <c r="C160" s="962"/>
      <c r="D160" s="962"/>
      <c r="E160" s="658"/>
      <c r="F160" s="658"/>
      <c r="G160" s="658"/>
      <c r="H160" s="658"/>
      <c r="I160" s="658"/>
      <c r="J160" s="658"/>
      <c r="K160" s="658"/>
      <c r="L160" s="658"/>
      <c r="M160" s="658"/>
      <c r="N160" s="658"/>
      <c r="O160" s="658"/>
      <c r="P160" s="658"/>
      <c r="Q160" s="658"/>
    </row>
    <row r="161" spans="3:17">
      <c r="C161" s="962"/>
      <c r="D161" s="962"/>
      <c r="E161" s="658"/>
      <c r="F161" s="658"/>
      <c r="G161" s="658"/>
      <c r="H161" s="658"/>
      <c r="I161" s="658"/>
      <c r="J161" s="658"/>
      <c r="K161" s="658"/>
      <c r="L161" s="658"/>
      <c r="M161" s="658"/>
      <c r="N161" s="658"/>
      <c r="O161" s="658"/>
      <c r="P161" s="658"/>
      <c r="Q161" s="658"/>
    </row>
    <row r="162" spans="3:17">
      <c r="C162" s="962"/>
      <c r="D162" s="962"/>
      <c r="E162" s="658"/>
      <c r="F162" s="658"/>
      <c r="G162" s="658"/>
      <c r="H162" s="658"/>
      <c r="I162" s="658"/>
      <c r="J162" s="658"/>
      <c r="K162" s="658"/>
      <c r="L162" s="658"/>
      <c r="M162" s="658"/>
      <c r="N162" s="658"/>
      <c r="O162" s="658"/>
      <c r="P162" s="658"/>
      <c r="Q162" s="658"/>
    </row>
    <row r="163" spans="3:17">
      <c r="C163" s="962"/>
      <c r="D163" s="962"/>
      <c r="E163" s="658"/>
      <c r="F163" s="658"/>
      <c r="G163" s="658"/>
      <c r="H163" s="658"/>
      <c r="I163" s="658"/>
      <c r="J163" s="658"/>
      <c r="K163" s="658"/>
      <c r="L163" s="658"/>
      <c r="M163" s="658"/>
      <c r="N163" s="658"/>
      <c r="O163" s="658"/>
      <c r="P163" s="658"/>
      <c r="Q163" s="658"/>
    </row>
    <row r="164" spans="3:17">
      <c r="C164" s="962"/>
      <c r="D164" s="962"/>
      <c r="E164" s="658"/>
      <c r="F164" s="658"/>
      <c r="G164" s="658"/>
      <c r="H164" s="658"/>
      <c r="I164" s="658"/>
      <c r="J164" s="658"/>
      <c r="K164" s="658"/>
      <c r="L164" s="658"/>
      <c r="M164" s="658"/>
      <c r="N164" s="658"/>
      <c r="O164" s="658"/>
      <c r="P164" s="658"/>
      <c r="Q164" s="658"/>
    </row>
    <row r="165" spans="3:17">
      <c r="C165" s="962"/>
      <c r="D165" s="962"/>
      <c r="E165" s="658"/>
      <c r="F165" s="658"/>
      <c r="G165" s="658"/>
      <c r="H165" s="658"/>
      <c r="I165" s="658"/>
      <c r="J165" s="658"/>
      <c r="K165" s="658"/>
      <c r="L165" s="658"/>
      <c r="M165" s="658"/>
      <c r="N165" s="658"/>
      <c r="O165" s="658"/>
      <c r="P165" s="658"/>
      <c r="Q165" s="658"/>
    </row>
    <row r="166" spans="3:17">
      <c r="C166" s="962"/>
      <c r="D166" s="962"/>
      <c r="E166" s="658"/>
      <c r="F166" s="658"/>
      <c r="G166" s="658"/>
      <c r="H166" s="658"/>
      <c r="I166" s="658"/>
      <c r="J166" s="658"/>
      <c r="K166" s="658"/>
      <c r="L166" s="658"/>
      <c r="M166" s="658"/>
      <c r="N166" s="658"/>
      <c r="O166" s="658"/>
      <c r="P166" s="658"/>
      <c r="Q166" s="658"/>
    </row>
    <row r="167" spans="3:17">
      <c r="C167" s="962"/>
      <c r="D167" s="962"/>
      <c r="E167" s="658"/>
      <c r="F167" s="658"/>
      <c r="G167" s="658"/>
      <c r="H167" s="658"/>
      <c r="I167" s="658"/>
      <c r="J167" s="658"/>
      <c r="K167" s="658"/>
      <c r="L167" s="658"/>
      <c r="M167" s="658"/>
      <c r="N167" s="658"/>
      <c r="O167" s="658"/>
      <c r="P167" s="658"/>
      <c r="Q167" s="658"/>
    </row>
    <row r="168" spans="3:17">
      <c r="C168" s="962"/>
      <c r="D168" s="962"/>
      <c r="E168" s="658"/>
      <c r="F168" s="658"/>
      <c r="G168" s="658"/>
      <c r="H168" s="658"/>
      <c r="I168" s="658"/>
      <c r="J168" s="658"/>
      <c r="K168" s="658"/>
      <c r="L168" s="658"/>
      <c r="M168" s="658"/>
      <c r="N168" s="658"/>
      <c r="O168" s="658"/>
      <c r="P168" s="658"/>
      <c r="Q168" s="658"/>
    </row>
    <row r="169" spans="3:17">
      <c r="C169" s="962"/>
      <c r="D169" s="962"/>
      <c r="E169" s="658"/>
      <c r="F169" s="658"/>
      <c r="G169" s="658"/>
      <c r="H169" s="658"/>
      <c r="I169" s="658"/>
      <c r="J169" s="658"/>
      <c r="K169" s="658"/>
      <c r="L169" s="658"/>
      <c r="M169" s="658"/>
      <c r="N169" s="658"/>
      <c r="O169" s="658"/>
      <c r="P169" s="658"/>
      <c r="Q169" s="658"/>
    </row>
    <row r="170" spans="3:17">
      <c r="C170" s="962"/>
      <c r="D170" s="962"/>
      <c r="E170" s="658"/>
      <c r="F170" s="658"/>
      <c r="G170" s="658"/>
      <c r="H170" s="658"/>
      <c r="I170" s="658"/>
      <c r="J170" s="658"/>
      <c r="K170" s="658"/>
      <c r="L170" s="658"/>
      <c r="M170" s="658"/>
      <c r="N170" s="658"/>
      <c r="O170" s="658"/>
      <c r="P170" s="658"/>
      <c r="Q170" s="658"/>
    </row>
    <row r="171" spans="3:17">
      <c r="C171" s="962"/>
      <c r="D171" s="962"/>
      <c r="E171" s="658"/>
      <c r="F171" s="658"/>
      <c r="G171" s="658"/>
      <c r="H171" s="658"/>
      <c r="I171" s="658"/>
      <c r="J171" s="658"/>
      <c r="K171" s="658"/>
      <c r="L171" s="658"/>
      <c r="M171" s="658"/>
      <c r="N171" s="658"/>
      <c r="O171" s="658"/>
      <c r="P171" s="658"/>
      <c r="Q171" s="658"/>
    </row>
    <row r="172" spans="3:17">
      <c r="C172" s="962"/>
      <c r="D172" s="962"/>
      <c r="E172" s="658"/>
      <c r="F172" s="658"/>
      <c r="G172" s="658"/>
      <c r="H172" s="658"/>
      <c r="I172" s="658"/>
      <c r="J172" s="658"/>
      <c r="K172" s="658"/>
      <c r="L172" s="658"/>
      <c r="M172" s="658"/>
      <c r="N172" s="658"/>
      <c r="O172" s="658"/>
      <c r="P172" s="658"/>
      <c r="Q172" s="658"/>
    </row>
    <row r="173" spans="3:17">
      <c r="C173" s="962"/>
      <c r="D173" s="962"/>
      <c r="E173" s="658"/>
      <c r="F173" s="658"/>
      <c r="G173" s="658"/>
      <c r="H173" s="658"/>
      <c r="I173" s="658"/>
      <c r="J173" s="658"/>
      <c r="K173" s="658"/>
      <c r="L173" s="658"/>
      <c r="M173" s="658"/>
      <c r="N173" s="658"/>
      <c r="O173" s="658"/>
      <c r="P173" s="658"/>
      <c r="Q173" s="658"/>
    </row>
    <row r="174" spans="3:17">
      <c r="C174" s="962"/>
      <c r="D174" s="962"/>
      <c r="E174" s="658"/>
      <c r="F174" s="658"/>
      <c r="G174" s="658"/>
      <c r="H174" s="658"/>
      <c r="I174" s="658"/>
      <c r="J174" s="658"/>
      <c r="K174" s="658"/>
      <c r="L174" s="658"/>
      <c r="M174" s="658"/>
      <c r="N174" s="658"/>
      <c r="O174" s="658"/>
      <c r="P174" s="658"/>
      <c r="Q174" s="658"/>
    </row>
    <row r="175" spans="3:17">
      <c r="C175" s="962"/>
      <c r="D175" s="962"/>
      <c r="E175" s="658"/>
      <c r="F175" s="658"/>
      <c r="G175" s="658"/>
      <c r="H175" s="658"/>
      <c r="I175" s="658"/>
      <c r="J175" s="658"/>
      <c r="K175" s="658"/>
      <c r="L175" s="658"/>
      <c r="M175" s="658"/>
      <c r="N175" s="658"/>
      <c r="O175" s="658"/>
      <c r="P175" s="658"/>
      <c r="Q175" s="658"/>
    </row>
    <row r="176" spans="3:17">
      <c r="C176" s="962"/>
      <c r="D176" s="962"/>
      <c r="E176" s="658"/>
      <c r="F176" s="658"/>
      <c r="G176" s="658"/>
      <c r="H176" s="658"/>
      <c r="I176" s="658"/>
      <c r="J176" s="658"/>
      <c r="K176" s="658"/>
      <c r="L176" s="658"/>
      <c r="M176" s="658"/>
      <c r="N176" s="658"/>
      <c r="O176" s="658"/>
      <c r="P176" s="658"/>
      <c r="Q176" s="658"/>
    </row>
    <row r="177" spans="3:17">
      <c r="C177" s="962"/>
      <c r="D177" s="962"/>
      <c r="E177" s="658"/>
      <c r="F177" s="658"/>
      <c r="G177" s="658"/>
      <c r="H177" s="658"/>
      <c r="I177" s="658"/>
      <c r="J177" s="658"/>
      <c r="K177" s="658"/>
      <c r="L177" s="658"/>
      <c r="M177" s="658"/>
      <c r="N177" s="658"/>
      <c r="O177" s="658"/>
      <c r="P177" s="658"/>
      <c r="Q177" s="658"/>
    </row>
    <row r="178" spans="3:17">
      <c r="C178" s="962"/>
      <c r="D178" s="962"/>
      <c r="E178" s="658"/>
      <c r="F178" s="658"/>
      <c r="G178" s="658"/>
      <c r="H178" s="658"/>
      <c r="I178" s="658"/>
      <c r="J178" s="658"/>
      <c r="K178" s="658"/>
      <c r="L178" s="658"/>
      <c r="M178" s="658"/>
      <c r="N178" s="658"/>
      <c r="O178" s="658"/>
      <c r="P178" s="658"/>
      <c r="Q178" s="658"/>
    </row>
    <row r="179" spans="3:17">
      <c r="C179" s="962"/>
      <c r="D179" s="962"/>
      <c r="E179" s="658"/>
      <c r="F179" s="658"/>
      <c r="G179" s="658"/>
      <c r="H179" s="658"/>
      <c r="I179" s="658"/>
      <c r="J179" s="658"/>
      <c r="K179" s="658"/>
      <c r="L179" s="658"/>
      <c r="M179" s="658"/>
      <c r="N179" s="658"/>
      <c r="O179" s="658"/>
      <c r="P179" s="658"/>
      <c r="Q179" s="658"/>
    </row>
    <row r="180" spans="3:17">
      <c r="C180" s="962"/>
      <c r="D180" s="962"/>
      <c r="E180" s="658"/>
      <c r="F180" s="658"/>
      <c r="G180" s="658"/>
      <c r="H180" s="658"/>
      <c r="I180" s="658"/>
      <c r="J180" s="658"/>
      <c r="K180" s="658"/>
      <c r="L180" s="658"/>
      <c r="M180" s="658"/>
      <c r="N180" s="658"/>
      <c r="O180" s="658"/>
      <c r="P180" s="658"/>
      <c r="Q180" s="658"/>
    </row>
    <row r="181" spans="3:17">
      <c r="C181" s="962"/>
      <c r="D181" s="962"/>
      <c r="E181" s="658"/>
      <c r="F181" s="658"/>
      <c r="G181" s="658"/>
      <c r="H181" s="658"/>
      <c r="I181" s="658"/>
      <c r="J181" s="658"/>
      <c r="K181" s="658"/>
      <c r="L181" s="658"/>
      <c r="M181" s="658"/>
      <c r="N181" s="658"/>
      <c r="O181" s="658"/>
      <c r="P181" s="658"/>
      <c r="Q181" s="658"/>
    </row>
    <row r="182" spans="3:17">
      <c r="C182" s="962"/>
      <c r="D182" s="962"/>
      <c r="E182" s="658"/>
      <c r="F182" s="658"/>
      <c r="G182" s="658"/>
      <c r="H182" s="658"/>
      <c r="I182" s="658"/>
      <c r="J182" s="658"/>
      <c r="K182" s="658"/>
      <c r="L182" s="658"/>
      <c r="M182" s="658"/>
      <c r="N182" s="658"/>
      <c r="O182" s="658"/>
      <c r="P182" s="658"/>
      <c r="Q182" s="658"/>
    </row>
    <row r="183" spans="3:17">
      <c r="C183" s="962"/>
      <c r="D183" s="962"/>
      <c r="E183" s="658"/>
      <c r="F183" s="658"/>
      <c r="G183" s="658"/>
      <c r="H183" s="658"/>
      <c r="I183" s="658"/>
      <c r="J183" s="658"/>
      <c r="K183" s="658"/>
      <c r="L183" s="658"/>
      <c r="M183" s="658"/>
      <c r="N183" s="658"/>
      <c r="O183" s="658"/>
      <c r="P183" s="658"/>
      <c r="Q183" s="658"/>
    </row>
    <row r="184" spans="3:17">
      <c r="C184" s="962"/>
      <c r="D184" s="962"/>
      <c r="E184" s="658"/>
      <c r="F184" s="658"/>
      <c r="G184" s="658"/>
      <c r="H184" s="658"/>
      <c r="I184" s="658"/>
      <c r="J184" s="658"/>
      <c r="K184" s="658"/>
      <c r="L184" s="658"/>
      <c r="M184" s="658"/>
      <c r="N184" s="658"/>
      <c r="O184" s="658"/>
      <c r="P184" s="658"/>
      <c r="Q184" s="658"/>
    </row>
    <row r="185" spans="3:17">
      <c r="C185" s="962"/>
      <c r="D185" s="962"/>
      <c r="E185" s="658"/>
      <c r="F185" s="658"/>
      <c r="G185" s="658"/>
      <c r="H185" s="658"/>
      <c r="I185" s="658"/>
      <c r="J185" s="658"/>
      <c r="K185" s="658"/>
      <c r="L185" s="658"/>
      <c r="M185" s="658"/>
      <c r="N185" s="658"/>
      <c r="O185" s="658"/>
      <c r="P185" s="658"/>
      <c r="Q185" s="658"/>
    </row>
    <row r="186" spans="3:17">
      <c r="C186" s="962"/>
      <c r="D186" s="962"/>
      <c r="E186" s="658"/>
      <c r="F186" s="658"/>
      <c r="G186" s="658"/>
      <c r="H186" s="658"/>
      <c r="I186" s="658"/>
      <c r="J186" s="658"/>
      <c r="K186" s="658"/>
      <c r="L186" s="658"/>
      <c r="M186" s="658"/>
      <c r="N186" s="658"/>
      <c r="O186" s="658"/>
      <c r="P186" s="658"/>
      <c r="Q186" s="658"/>
    </row>
    <row r="187" spans="3:17">
      <c r="C187" s="962"/>
      <c r="D187" s="962"/>
      <c r="E187" s="658"/>
      <c r="F187" s="658"/>
      <c r="G187" s="658"/>
      <c r="H187" s="658"/>
      <c r="I187" s="658"/>
      <c r="J187" s="658"/>
      <c r="K187" s="658"/>
      <c r="L187" s="658"/>
      <c r="M187" s="658"/>
      <c r="N187" s="658"/>
      <c r="O187" s="658"/>
      <c r="P187" s="658"/>
      <c r="Q187" s="658"/>
    </row>
    <row r="188" spans="3:17">
      <c r="C188" s="962"/>
      <c r="D188" s="962"/>
      <c r="E188" s="658"/>
      <c r="F188" s="658"/>
      <c r="G188" s="658"/>
      <c r="H188" s="658"/>
      <c r="I188" s="658"/>
      <c r="J188" s="658"/>
      <c r="K188" s="658"/>
      <c r="L188" s="658"/>
      <c r="M188" s="658"/>
      <c r="N188" s="658"/>
      <c r="O188" s="658"/>
      <c r="P188" s="658"/>
      <c r="Q188" s="658"/>
    </row>
    <row r="189" spans="3:17">
      <c r="C189" s="962"/>
      <c r="D189" s="962"/>
      <c r="E189" s="658"/>
      <c r="F189" s="658"/>
      <c r="G189" s="658"/>
      <c r="H189" s="658"/>
      <c r="I189" s="658"/>
      <c r="J189" s="658"/>
      <c r="K189" s="658"/>
      <c r="L189" s="658"/>
      <c r="M189" s="658"/>
      <c r="N189" s="658"/>
      <c r="O189" s="658"/>
      <c r="P189" s="658"/>
      <c r="Q189" s="658"/>
    </row>
    <row r="190" spans="3:17">
      <c r="C190" s="962"/>
      <c r="D190" s="962"/>
      <c r="E190" s="658"/>
      <c r="F190" s="658"/>
      <c r="G190" s="658"/>
      <c r="H190" s="658"/>
      <c r="I190" s="658"/>
      <c r="J190" s="658"/>
      <c r="K190" s="658"/>
      <c r="L190" s="658"/>
      <c r="M190" s="658"/>
      <c r="N190" s="658"/>
      <c r="O190" s="658"/>
      <c r="P190" s="658"/>
      <c r="Q190" s="658"/>
    </row>
    <row r="191" spans="3:17">
      <c r="C191" s="962"/>
      <c r="D191" s="962"/>
      <c r="E191" s="658"/>
      <c r="F191" s="658"/>
      <c r="G191" s="658"/>
      <c r="H191" s="658"/>
      <c r="I191" s="658"/>
      <c r="J191" s="658"/>
      <c r="K191" s="658"/>
      <c r="L191" s="658"/>
      <c r="M191" s="658"/>
      <c r="N191" s="658"/>
      <c r="O191" s="658"/>
      <c r="P191" s="658"/>
      <c r="Q191" s="658"/>
    </row>
    <row r="192" spans="3:17">
      <c r="C192" s="962"/>
      <c r="D192" s="962"/>
      <c r="E192" s="658"/>
      <c r="F192" s="658"/>
      <c r="G192" s="658"/>
      <c r="H192" s="658"/>
      <c r="I192" s="658"/>
      <c r="J192" s="658"/>
      <c r="K192" s="658"/>
      <c r="L192" s="658"/>
      <c r="M192" s="658"/>
      <c r="N192" s="658"/>
      <c r="O192" s="658"/>
      <c r="P192" s="658"/>
      <c r="Q192" s="658"/>
    </row>
    <row r="193" spans="3:17">
      <c r="C193" s="962"/>
      <c r="D193" s="962"/>
      <c r="E193" s="658"/>
      <c r="F193" s="658"/>
      <c r="G193" s="658"/>
      <c r="H193" s="658"/>
      <c r="I193" s="658"/>
      <c r="J193" s="658"/>
      <c r="K193" s="658"/>
      <c r="L193" s="658"/>
      <c r="M193" s="658"/>
      <c r="N193" s="658"/>
      <c r="O193" s="658"/>
      <c r="P193" s="658"/>
      <c r="Q193" s="658"/>
    </row>
    <row r="194" spans="3:17">
      <c r="C194" s="962"/>
      <c r="D194" s="962"/>
      <c r="E194" s="658"/>
      <c r="F194" s="658"/>
      <c r="G194" s="658"/>
      <c r="H194" s="658"/>
      <c r="I194" s="658"/>
      <c r="J194" s="658"/>
      <c r="K194" s="658"/>
      <c r="L194" s="658"/>
      <c r="M194" s="658"/>
      <c r="N194" s="658"/>
      <c r="O194" s="658"/>
      <c r="P194" s="658"/>
      <c r="Q194" s="658"/>
    </row>
    <row r="195" spans="3:17">
      <c r="C195" s="962"/>
      <c r="D195" s="962"/>
      <c r="E195" s="658"/>
      <c r="F195" s="658"/>
      <c r="G195" s="658"/>
      <c r="H195" s="658"/>
      <c r="I195" s="658"/>
      <c r="J195" s="658"/>
      <c r="K195" s="658"/>
      <c r="L195" s="658"/>
      <c r="M195" s="658"/>
      <c r="N195" s="658"/>
      <c r="O195" s="658"/>
      <c r="P195" s="658"/>
      <c r="Q195" s="658"/>
    </row>
    <row r="196" spans="3:17">
      <c r="C196" s="962"/>
      <c r="D196" s="962"/>
      <c r="E196" s="658"/>
      <c r="F196" s="658"/>
      <c r="G196" s="658"/>
      <c r="H196" s="658"/>
      <c r="I196" s="658"/>
      <c r="J196" s="658"/>
      <c r="K196" s="658"/>
      <c r="L196" s="658"/>
      <c r="M196" s="658"/>
      <c r="N196" s="658"/>
      <c r="O196" s="658"/>
      <c r="P196" s="658"/>
      <c r="Q196" s="658"/>
    </row>
    <row r="197" spans="3:17">
      <c r="C197" s="962"/>
      <c r="D197" s="962"/>
      <c r="E197" s="658"/>
      <c r="F197" s="658"/>
      <c r="G197" s="658"/>
      <c r="H197" s="658"/>
      <c r="I197" s="658"/>
      <c r="J197" s="658"/>
      <c r="K197" s="658"/>
      <c r="L197" s="658"/>
      <c r="M197" s="658"/>
      <c r="N197" s="658"/>
      <c r="O197" s="658"/>
      <c r="P197" s="658"/>
      <c r="Q197" s="658"/>
    </row>
    <row r="198" spans="3:17">
      <c r="C198" s="962"/>
      <c r="D198" s="962"/>
      <c r="E198" s="658"/>
      <c r="F198" s="658"/>
      <c r="G198" s="658"/>
      <c r="H198" s="658"/>
      <c r="I198" s="658"/>
      <c r="J198" s="658"/>
      <c r="K198" s="658"/>
      <c r="L198" s="658"/>
      <c r="M198" s="658"/>
      <c r="N198" s="658"/>
      <c r="O198" s="658"/>
      <c r="P198" s="658"/>
      <c r="Q198" s="658"/>
    </row>
    <row r="199" spans="3:17">
      <c r="C199" s="962"/>
      <c r="D199" s="962"/>
      <c r="E199" s="658"/>
      <c r="F199" s="658"/>
      <c r="G199" s="658"/>
      <c r="H199" s="658"/>
      <c r="I199" s="658"/>
      <c r="J199" s="658"/>
      <c r="K199" s="658"/>
      <c r="L199" s="658"/>
      <c r="M199" s="658"/>
      <c r="N199" s="658"/>
      <c r="O199" s="658"/>
      <c r="P199" s="658"/>
      <c r="Q199" s="658"/>
    </row>
    <row r="200" spans="3:17">
      <c r="C200" s="962"/>
      <c r="D200" s="962"/>
      <c r="E200" s="658"/>
      <c r="F200" s="658"/>
      <c r="G200" s="658"/>
      <c r="H200" s="658"/>
      <c r="I200" s="658"/>
      <c r="J200" s="658"/>
      <c r="K200" s="658"/>
      <c r="L200" s="658"/>
      <c r="M200" s="658"/>
      <c r="N200" s="658"/>
      <c r="O200" s="658"/>
      <c r="P200" s="658"/>
      <c r="Q200" s="658"/>
    </row>
    <row r="201" spans="3:17">
      <c r="C201" s="962"/>
      <c r="D201" s="962"/>
      <c r="E201" s="658"/>
      <c r="F201" s="658"/>
      <c r="G201" s="658"/>
      <c r="H201" s="658"/>
      <c r="I201" s="658"/>
      <c r="J201" s="658"/>
      <c r="K201" s="658"/>
      <c r="L201" s="658"/>
      <c r="M201" s="658"/>
      <c r="N201" s="658"/>
      <c r="O201" s="658"/>
      <c r="P201" s="658"/>
      <c r="Q201" s="658"/>
    </row>
    <row r="202" spans="3:17">
      <c r="C202" s="962"/>
      <c r="D202" s="962"/>
      <c r="E202" s="658"/>
      <c r="F202" s="658"/>
      <c r="G202" s="658"/>
      <c r="H202" s="658"/>
      <c r="I202" s="658"/>
      <c r="J202" s="658"/>
      <c r="K202" s="658"/>
      <c r="L202" s="658"/>
      <c r="M202" s="658"/>
      <c r="N202" s="658"/>
      <c r="O202" s="658"/>
      <c r="P202" s="658"/>
      <c r="Q202" s="658"/>
    </row>
    <row r="203" spans="3:17">
      <c r="C203" s="962"/>
      <c r="D203" s="962"/>
      <c r="E203" s="658"/>
      <c r="F203" s="658"/>
      <c r="G203" s="658"/>
      <c r="H203" s="658"/>
      <c r="I203" s="658"/>
      <c r="J203" s="658"/>
      <c r="K203" s="658"/>
      <c r="L203" s="658"/>
      <c r="M203" s="658"/>
      <c r="N203" s="658"/>
      <c r="O203" s="658"/>
      <c r="P203" s="658"/>
      <c r="Q203" s="658"/>
    </row>
    <row r="204" spans="3:17">
      <c r="C204" s="962"/>
      <c r="D204" s="962"/>
      <c r="E204" s="658"/>
      <c r="F204" s="658"/>
      <c r="G204" s="658"/>
      <c r="H204" s="658"/>
      <c r="I204" s="658"/>
      <c r="J204" s="658"/>
      <c r="K204" s="658"/>
      <c r="L204" s="658"/>
      <c r="M204" s="658"/>
      <c r="N204" s="658"/>
      <c r="O204" s="658"/>
      <c r="P204" s="658"/>
      <c r="Q204" s="658"/>
    </row>
    <row r="205" spans="3:17">
      <c r="C205" s="962"/>
      <c r="D205" s="962"/>
      <c r="E205" s="658"/>
      <c r="F205" s="658"/>
      <c r="G205" s="658"/>
      <c r="H205" s="658"/>
      <c r="I205" s="658"/>
      <c r="J205" s="658"/>
      <c r="K205" s="658"/>
      <c r="L205" s="658"/>
      <c r="M205" s="658"/>
      <c r="N205" s="658"/>
      <c r="O205" s="658"/>
      <c r="P205" s="658"/>
      <c r="Q205" s="658"/>
    </row>
    <row r="206" spans="3:17">
      <c r="C206" s="962"/>
      <c r="D206" s="962"/>
      <c r="E206" s="658"/>
      <c r="F206" s="658"/>
      <c r="G206" s="658"/>
      <c r="H206" s="658"/>
      <c r="I206" s="658"/>
      <c r="J206" s="658"/>
      <c r="K206" s="658"/>
      <c r="L206" s="658"/>
      <c r="M206" s="658"/>
      <c r="N206" s="658"/>
      <c r="O206" s="658"/>
      <c r="P206" s="658"/>
      <c r="Q206" s="658"/>
    </row>
    <row r="207" spans="3:17">
      <c r="C207" s="962"/>
      <c r="D207" s="962"/>
      <c r="E207" s="658"/>
      <c r="F207" s="658"/>
      <c r="G207" s="658"/>
      <c r="H207" s="658"/>
      <c r="I207" s="658"/>
      <c r="J207" s="658"/>
      <c r="K207" s="658"/>
      <c r="L207" s="658"/>
      <c r="M207" s="658"/>
      <c r="N207" s="658"/>
      <c r="O207" s="658"/>
      <c r="P207" s="658"/>
      <c r="Q207" s="658"/>
    </row>
    <row r="208" spans="3:17">
      <c r="C208" s="962"/>
      <c r="D208" s="962"/>
      <c r="E208" s="658"/>
      <c r="F208" s="658"/>
      <c r="G208" s="658"/>
      <c r="H208" s="658"/>
      <c r="I208" s="658"/>
      <c r="J208" s="658"/>
      <c r="K208" s="658"/>
      <c r="L208" s="658"/>
      <c r="M208" s="658"/>
      <c r="N208" s="658"/>
      <c r="O208" s="658"/>
      <c r="P208" s="658"/>
      <c r="Q208" s="658"/>
    </row>
    <row r="209" spans="3:17">
      <c r="C209" s="962"/>
      <c r="D209" s="962"/>
      <c r="E209" s="658"/>
      <c r="F209" s="658"/>
      <c r="G209" s="658"/>
      <c r="H209" s="658"/>
      <c r="I209" s="658"/>
      <c r="J209" s="658"/>
      <c r="K209" s="658"/>
      <c r="L209" s="658"/>
      <c r="M209" s="658"/>
      <c r="N209" s="658"/>
      <c r="O209" s="658"/>
      <c r="P209" s="658"/>
      <c r="Q209" s="658"/>
    </row>
    <row r="210" spans="3:17">
      <c r="C210" s="962"/>
      <c r="D210" s="962"/>
      <c r="E210" s="658"/>
      <c r="F210" s="658"/>
      <c r="G210" s="658"/>
      <c r="H210" s="658"/>
      <c r="I210" s="658"/>
      <c r="J210" s="658"/>
      <c r="K210" s="658"/>
      <c r="L210" s="658"/>
      <c r="M210" s="658"/>
      <c r="N210" s="658"/>
      <c r="O210" s="658"/>
      <c r="P210" s="658"/>
      <c r="Q210" s="658"/>
    </row>
    <row r="211" spans="3:17">
      <c r="C211" s="962"/>
      <c r="D211" s="962"/>
      <c r="E211" s="658"/>
      <c r="F211" s="658"/>
      <c r="G211" s="658"/>
      <c r="H211" s="658"/>
      <c r="I211" s="658"/>
      <c r="J211" s="658"/>
      <c r="K211" s="658"/>
      <c r="L211" s="658"/>
      <c r="M211" s="658"/>
      <c r="N211" s="658"/>
      <c r="O211" s="658"/>
      <c r="P211" s="658"/>
      <c r="Q211" s="658"/>
    </row>
    <row r="212" spans="3:17">
      <c r="C212" s="962"/>
      <c r="D212" s="962"/>
      <c r="E212" s="658"/>
      <c r="F212" s="658"/>
      <c r="G212" s="658"/>
      <c r="H212" s="658"/>
      <c r="I212" s="658"/>
      <c r="J212" s="658"/>
      <c r="K212" s="658"/>
      <c r="L212" s="658"/>
      <c r="M212" s="658"/>
      <c r="N212" s="658"/>
      <c r="O212" s="658"/>
      <c r="P212" s="658"/>
      <c r="Q212" s="658"/>
    </row>
    <row r="213" spans="3:17">
      <c r="C213" s="962"/>
      <c r="D213" s="962"/>
      <c r="E213" s="658"/>
      <c r="F213" s="658"/>
      <c r="G213" s="658"/>
      <c r="H213" s="658"/>
      <c r="I213" s="658"/>
      <c r="J213" s="658"/>
      <c r="K213" s="658"/>
      <c r="L213" s="658"/>
      <c r="M213" s="658"/>
      <c r="N213" s="658"/>
      <c r="O213" s="658"/>
      <c r="P213" s="658"/>
      <c r="Q213" s="658"/>
    </row>
    <row r="214" spans="3:17">
      <c r="C214" s="962"/>
      <c r="D214" s="962"/>
      <c r="E214" s="658"/>
      <c r="F214" s="658"/>
      <c r="G214" s="658"/>
      <c r="H214" s="658"/>
      <c r="I214" s="658"/>
      <c r="J214" s="658"/>
      <c r="K214" s="658"/>
      <c r="L214" s="658"/>
      <c r="M214" s="658"/>
      <c r="N214" s="658"/>
      <c r="O214" s="658"/>
      <c r="P214" s="658"/>
      <c r="Q214" s="658"/>
    </row>
    <row r="215" spans="3:17">
      <c r="C215" s="962"/>
      <c r="D215" s="962"/>
      <c r="E215" s="658"/>
      <c r="F215" s="658"/>
      <c r="G215" s="658"/>
      <c r="H215" s="658"/>
      <c r="I215" s="658"/>
      <c r="J215" s="658"/>
      <c r="K215" s="658"/>
      <c r="L215" s="658"/>
      <c r="M215" s="658"/>
      <c r="N215" s="658"/>
      <c r="O215" s="658"/>
      <c r="P215" s="658"/>
      <c r="Q215" s="658"/>
    </row>
    <row r="216" spans="3:17">
      <c r="C216" s="962"/>
      <c r="D216" s="962"/>
      <c r="E216" s="658"/>
      <c r="F216" s="658"/>
      <c r="G216" s="658"/>
      <c r="H216" s="658"/>
      <c r="I216" s="658"/>
      <c r="J216" s="658"/>
      <c r="K216" s="658"/>
      <c r="L216" s="658"/>
      <c r="M216" s="658"/>
      <c r="N216" s="658"/>
      <c r="O216" s="658"/>
      <c r="P216" s="658"/>
      <c r="Q216" s="658"/>
    </row>
    <row r="217" spans="3:17">
      <c r="C217" s="962"/>
      <c r="D217" s="962"/>
      <c r="E217" s="658"/>
      <c r="F217" s="658"/>
      <c r="G217" s="658"/>
      <c r="H217" s="658"/>
      <c r="I217" s="658"/>
      <c r="J217" s="658"/>
      <c r="K217" s="658"/>
      <c r="L217" s="658"/>
      <c r="M217" s="658"/>
      <c r="N217" s="658"/>
      <c r="O217" s="658"/>
      <c r="P217" s="658"/>
      <c r="Q217" s="658"/>
    </row>
    <row r="218" spans="3:17">
      <c r="C218" s="962"/>
      <c r="D218" s="962"/>
      <c r="E218" s="658"/>
      <c r="F218" s="658"/>
      <c r="G218" s="658"/>
      <c r="H218" s="658"/>
      <c r="I218" s="658"/>
      <c r="J218" s="658"/>
      <c r="K218" s="658"/>
      <c r="L218" s="658"/>
      <c r="M218" s="658"/>
      <c r="N218" s="658"/>
      <c r="O218" s="658"/>
      <c r="P218" s="658"/>
      <c r="Q218" s="658"/>
    </row>
    <row r="219" spans="3:17">
      <c r="C219" s="962"/>
      <c r="D219" s="962"/>
      <c r="E219" s="658"/>
      <c r="F219" s="658"/>
      <c r="G219" s="658"/>
      <c r="H219" s="658"/>
      <c r="I219" s="658"/>
      <c r="J219" s="658"/>
      <c r="K219" s="658"/>
      <c r="L219" s="658"/>
      <c r="M219" s="658"/>
      <c r="N219" s="658"/>
      <c r="O219" s="658"/>
      <c r="P219" s="658"/>
      <c r="Q219" s="658"/>
    </row>
    <row r="220" spans="3:17">
      <c r="C220" s="962"/>
      <c r="D220" s="962"/>
      <c r="E220" s="658"/>
      <c r="F220" s="658"/>
      <c r="G220" s="658"/>
      <c r="H220" s="658"/>
      <c r="I220" s="658"/>
      <c r="J220" s="658"/>
      <c r="K220" s="658"/>
      <c r="L220" s="658"/>
      <c r="M220" s="658"/>
      <c r="N220" s="658"/>
      <c r="O220" s="658"/>
      <c r="P220" s="658"/>
      <c r="Q220" s="658"/>
    </row>
    <row r="221" spans="3:17">
      <c r="C221" s="962"/>
      <c r="D221" s="962"/>
      <c r="E221" s="658"/>
      <c r="F221" s="658"/>
      <c r="G221" s="658"/>
      <c r="H221" s="658"/>
      <c r="I221" s="658"/>
      <c r="J221" s="658"/>
      <c r="K221" s="658"/>
      <c r="L221" s="658"/>
      <c r="M221" s="658"/>
      <c r="N221" s="658"/>
      <c r="O221" s="658"/>
      <c r="P221" s="658"/>
      <c r="Q221" s="658"/>
    </row>
    <row r="222" spans="3:17">
      <c r="C222" s="962"/>
      <c r="D222" s="962"/>
      <c r="E222" s="658"/>
      <c r="F222" s="658"/>
      <c r="G222" s="658"/>
      <c r="H222" s="658"/>
      <c r="I222" s="658"/>
      <c r="J222" s="658"/>
      <c r="K222" s="658"/>
      <c r="L222" s="658"/>
      <c r="M222" s="658"/>
      <c r="N222" s="658"/>
      <c r="O222" s="658"/>
      <c r="P222" s="658"/>
      <c r="Q222" s="658"/>
    </row>
    <row r="223" spans="3:17">
      <c r="C223" s="962"/>
      <c r="D223" s="962"/>
      <c r="E223" s="658"/>
      <c r="F223" s="658"/>
      <c r="G223" s="658"/>
      <c r="H223" s="658"/>
      <c r="I223" s="658"/>
      <c r="J223" s="658"/>
      <c r="K223" s="658"/>
      <c r="L223" s="658"/>
      <c r="M223" s="658"/>
      <c r="N223" s="658"/>
      <c r="O223" s="658"/>
      <c r="P223" s="658"/>
      <c r="Q223" s="658"/>
    </row>
    <row r="224" spans="3:17">
      <c r="C224" s="962"/>
      <c r="D224" s="962"/>
      <c r="E224" s="658"/>
      <c r="F224" s="658"/>
      <c r="G224" s="658"/>
      <c r="H224" s="658"/>
      <c r="I224" s="658"/>
      <c r="J224" s="658"/>
      <c r="K224" s="658"/>
      <c r="L224" s="658"/>
      <c r="M224" s="658"/>
      <c r="N224" s="658"/>
      <c r="O224" s="658"/>
      <c r="P224" s="658"/>
      <c r="Q224" s="658"/>
    </row>
    <row r="225" spans="3:17">
      <c r="C225" s="962"/>
      <c r="D225" s="962"/>
      <c r="E225" s="658"/>
      <c r="F225" s="658"/>
      <c r="G225" s="658"/>
      <c r="H225" s="658"/>
      <c r="I225" s="658"/>
      <c r="J225" s="658"/>
      <c r="K225" s="658"/>
      <c r="L225" s="658"/>
      <c r="M225" s="658"/>
      <c r="N225" s="658"/>
      <c r="O225" s="658"/>
      <c r="P225" s="658"/>
      <c r="Q225" s="658"/>
    </row>
    <row r="226" spans="3:17">
      <c r="C226" s="962"/>
      <c r="D226" s="962"/>
      <c r="E226" s="658"/>
      <c r="F226" s="658"/>
      <c r="G226" s="658"/>
      <c r="H226" s="658"/>
      <c r="I226" s="658"/>
      <c r="J226" s="658"/>
      <c r="K226" s="658"/>
      <c r="L226" s="658"/>
      <c r="M226" s="658"/>
      <c r="N226" s="658"/>
      <c r="O226" s="658"/>
      <c r="P226" s="658"/>
      <c r="Q226" s="658"/>
    </row>
    <row r="227" spans="3:17">
      <c r="C227" s="962"/>
      <c r="D227" s="962"/>
      <c r="E227" s="658"/>
      <c r="F227" s="658"/>
      <c r="G227" s="658"/>
      <c r="H227" s="658"/>
      <c r="I227" s="658"/>
      <c r="J227" s="658"/>
      <c r="K227" s="658"/>
      <c r="L227" s="658"/>
      <c r="M227" s="658"/>
      <c r="N227" s="658"/>
      <c r="O227" s="658"/>
      <c r="P227" s="658"/>
      <c r="Q227" s="658"/>
    </row>
    <row r="228" spans="3:17">
      <c r="C228" s="962"/>
      <c r="D228" s="962"/>
      <c r="E228" s="658"/>
      <c r="F228" s="658"/>
      <c r="G228" s="658"/>
      <c r="H228" s="658"/>
      <c r="I228" s="658"/>
      <c r="J228" s="658"/>
      <c r="K228" s="658"/>
      <c r="L228" s="658"/>
      <c r="M228" s="658"/>
      <c r="N228" s="658"/>
      <c r="O228" s="658"/>
      <c r="P228" s="658"/>
      <c r="Q228" s="658"/>
    </row>
    <row r="229" spans="3:17">
      <c r="C229" s="962"/>
      <c r="D229" s="962"/>
      <c r="E229" s="658"/>
      <c r="F229" s="658"/>
      <c r="G229" s="658"/>
      <c r="H229" s="658"/>
      <c r="I229" s="658"/>
      <c r="J229" s="658"/>
      <c r="K229" s="658"/>
      <c r="L229" s="658"/>
      <c r="M229" s="658"/>
      <c r="N229" s="658"/>
      <c r="O229" s="658"/>
      <c r="P229" s="658"/>
      <c r="Q229" s="658"/>
    </row>
    <row r="230" spans="3:17">
      <c r="C230" s="962"/>
      <c r="D230" s="962"/>
      <c r="E230" s="658"/>
      <c r="F230" s="658"/>
      <c r="G230" s="658"/>
      <c r="H230" s="658"/>
      <c r="I230" s="658"/>
      <c r="J230" s="658"/>
      <c r="K230" s="658"/>
      <c r="L230" s="658"/>
      <c r="M230" s="658"/>
      <c r="N230" s="658"/>
      <c r="O230" s="658"/>
      <c r="P230" s="658"/>
      <c r="Q230" s="658"/>
    </row>
    <row r="231" spans="3:17">
      <c r="C231" s="962"/>
      <c r="D231" s="962"/>
      <c r="E231" s="658"/>
      <c r="F231" s="658"/>
      <c r="G231" s="658"/>
      <c r="H231" s="658"/>
      <c r="I231" s="658"/>
      <c r="J231" s="658"/>
      <c r="K231" s="658"/>
      <c r="L231" s="658"/>
      <c r="M231" s="658"/>
      <c r="N231" s="658"/>
      <c r="O231" s="658"/>
      <c r="P231" s="658"/>
      <c r="Q231" s="658"/>
    </row>
    <row r="232" spans="3:17">
      <c r="C232" s="962"/>
      <c r="D232" s="962"/>
      <c r="E232" s="658"/>
      <c r="F232" s="658"/>
      <c r="G232" s="658"/>
      <c r="H232" s="658"/>
      <c r="I232" s="658"/>
      <c r="J232" s="658"/>
      <c r="K232" s="658"/>
      <c r="L232" s="658"/>
      <c r="M232" s="658"/>
      <c r="N232" s="658"/>
      <c r="O232" s="658"/>
      <c r="P232" s="658"/>
      <c r="Q232" s="658"/>
    </row>
    <row r="233" spans="3:17">
      <c r="C233" s="962"/>
      <c r="D233" s="962"/>
      <c r="E233" s="658"/>
      <c r="F233" s="658"/>
      <c r="G233" s="658"/>
      <c r="H233" s="658"/>
      <c r="I233" s="658"/>
      <c r="J233" s="658"/>
      <c r="K233" s="658"/>
      <c r="L233" s="658"/>
      <c r="M233" s="658"/>
      <c r="N233" s="658"/>
      <c r="O233" s="658"/>
      <c r="P233" s="658"/>
      <c r="Q233" s="658"/>
    </row>
    <row r="234" spans="3:17">
      <c r="C234" s="962"/>
      <c r="D234" s="962"/>
      <c r="E234" s="658"/>
      <c r="F234" s="658"/>
      <c r="G234" s="658"/>
      <c r="H234" s="658"/>
      <c r="I234" s="658"/>
      <c r="J234" s="658"/>
      <c r="K234" s="658"/>
      <c r="L234" s="658"/>
      <c r="M234" s="658"/>
      <c r="N234" s="658"/>
      <c r="O234" s="658"/>
      <c r="P234" s="658"/>
      <c r="Q234" s="658"/>
    </row>
    <row r="235" spans="3:17">
      <c r="C235" s="962"/>
      <c r="D235" s="962"/>
      <c r="E235" s="658"/>
      <c r="F235" s="658"/>
      <c r="G235" s="658"/>
      <c r="H235" s="658"/>
      <c r="I235" s="658"/>
      <c r="J235" s="658"/>
      <c r="K235" s="658"/>
      <c r="L235" s="658"/>
      <c r="M235" s="658"/>
      <c r="N235" s="658"/>
      <c r="O235" s="658"/>
      <c r="P235" s="658"/>
      <c r="Q235" s="658"/>
    </row>
    <row r="236" spans="3:17">
      <c r="C236" s="962"/>
      <c r="D236" s="962"/>
      <c r="E236" s="658"/>
      <c r="F236" s="658"/>
      <c r="G236" s="658"/>
      <c r="H236" s="658"/>
      <c r="I236" s="658"/>
      <c r="J236" s="658"/>
      <c r="K236" s="658"/>
      <c r="L236" s="658"/>
      <c r="M236" s="658"/>
      <c r="N236" s="658"/>
      <c r="O236" s="658"/>
      <c r="P236" s="658"/>
      <c r="Q236" s="658"/>
    </row>
    <row r="237" spans="3:17">
      <c r="C237" s="962"/>
      <c r="D237" s="962"/>
      <c r="E237" s="658"/>
      <c r="F237" s="658"/>
      <c r="G237" s="658"/>
      <c r="H237" s="658"/>
      <c r="I237" s="658"/>
      <c r="J237" s="658"/>
      <c r="K237" s="658"/>
      <c r="L237" s="658"/>
      <c r="M237" s="658"/>
      <c r="N237" s="658"/>
      <c r="O237" s="658"/>
      <c r="P237" s="658"/>
      <c r="Q237" s="658"/>
    </row>
    <row r="238" spans="3:17">
      <c r="C238" s="962"/>
      <c r="D238" s="962"/>
      <c r="E238" s="658"/>
      <c r="F238" s="658"/>
      <c r="G238" s="658"/>
      <c r="H238" s="658"/>
      <c r="I238" s="658"/>
      <c r="J238" s="658"/>
      <c r="K238" s="658"/>
      <c r="L238" s="658"/>
      <c r="M238" s="658"/>
      <c r="N238" s="658"/>
      <c r="O238" s="658"/>
      <c r="P238" s="658"/>
      <c r="Q238" s="658"/>
    </row>
    <row r="239" spans="3:17">
      <c r="C239" s="962"/>
      <c r="D239" s="962"/>
      <c r="E239" s="658"/>
      <c r="F239" s="658"/>
      <c r="G239" s="658"/>
      <c r="H239" s="658"/>
      <c r="I239" s="658"/>
      <c r="J239" s="658"/>
      <c r="K239" s="658"/>
      <c r="L239" s="658"/>
      <c r="M239" s="658"/>
      <c r="N239" s="658"/>
      <c r="O239" s="658"/>
      <c r="P239" s="658"/>
      <c r="Q239" s="658"/>
    </row>
    <row r="240" spans="3:17">
      <c r="C240" s="962"/>
      <c r="D240" s="962"/>
      <c r="E240" s="658"/>
      <c r="F240" s="658"/>
      <c r="G240" s="658"/>
      <c r="H240" s="658"/>
      <c r="I240" s="658"/>
      <c r="J240" s="658"/>
      <c r="K240" s="658"/>
      <c r="L240" s="658"/>
      <c r="M240" s="658"/>
      <c r="N240" s="658"/>
      <c r="O240" s="658"/>
      <c r="P240" s="658"/>
      <c r="Q240" s="658"/>
    </row>
    <row r="241" spans="3:17">
      <c r="C241" s="962"/>
      <c r="D241" s="962"/>
      <c r="E241" s="658"/>
      <c r="F241" s="658"/>
      <c r="G241" s="658"/>
      <c r="H241" s="658"/>
      <c r="I241" s="658"/>
      <c r="J241" s="658"/>
      <c r="K241" s="658"/>
      <c r="L241" s="658"/>
      <c r="M241" s="658"/>
      <c r="N241" s="658"/>
      <c r="O241" s="658"/>
      <c r="P241" s="658"/>
      <c r="Q241" s="658"/>
    </row>
    <row r="242" spans="3:17">
      <c r="C242" s="962"/>
      <c r="D242" s="962"/>
      <c r="E242" s="658"/>
      <c r="F242" s="658"/>
      <c r="G242" s="658"/>
      <c r="H242" s="658"/>
      <c r="I242" s="658"/>
      <c r="J242" s="658"/>
      <c r="K242" s="658"/>
      <c r="L242" s="658"/>
      <c r="M242" s="658"/>
      <c r="N242" s="658"/>
      <c r="O242" s="658"/>
      <c r="P242" s="658"/>
      <c r="Q242" s="658"/>
    </row>
    <row r="243" spans="3:17">
      <c r="C243" s="962"/>
      <c r="D243" s="962"/>
      <c r="E243" s="658"/>
      <c r="F243" s="658"/>
      <c r="G243" s="658"/>
      <c r="H243" s="658"/>
      <c r="I243" s="658"/>
      <c r="J243" s="658"/>
      <c r="K243" s="658"/>
      <c r="L243" s="658"/>
      <c r="M243" s="658"/>
      <c r="N243" s="658"/>
      <c r="O243" s="658"/>
      <c r="P243" s="658"/>
      <c r="Q243" s="658"/>
    </row>
    <row r="244" spans="3:17">
      <c r="C244" s="962"/>
      <c r="D244" s="962"/>
      <c r="E244" s="658"/>
      <c r="F244" s="658"/>
      <c r="G244" s="658"/>
      <c r="H244" s="658"/>
      <c r="I244" s="658"/>
      <c r="J244" s="658"/>
      <c r="K244" s="658"/>
      <c r="L244" s="658"/>
      <c r="M244" s="658"/>
      <c r="N244" s="658"/>
      <c r="O244" s="658"/>
      <c r="P244" s="658"/>
      <c r="Q244" s="658"/>
    </row>
    <row r="245" spans="3:17">
      <c r="C245" s="962"/>
      <c r="D245" s="962"/>
      <c r="E245" s="658"/>
      <c r="F245" s="658"/>
      <c r="G245" s="658"/>
      <c r="H245" s="658"/>
      <c r="I245" s="658"/>
      <c r="J245" s="658"/>
      <c r="K245" s="658"/>
      <c r="L245" s="658"/>
      <c r="M245" s="658"/>
      <c r="N245" s="658"/>
      <c r="O245" s="658"/>
      <c r="P245" s="658"/>
      <c r="Q245" s="658"/>
    </row>
    <row r="246" spans="3:17">
      <c r="C246" s="962"/>
      <c r="D246" s="962"/>
      <c r="E246" s="658"/>
      <c r="F246" s="658"/>
      <c r="G246" s="658"/>
      <c r="H246" s="658"/>
      <c r="I246" s="658"/>
      <c r="J246" s="658"/>
      <c r="K246" s="658"/>
      <c r="L246" s="658"/>
      <c r="M246" s="658"/>
      <c r="N246" s="658"/>
      <c r="O246" s="658"/>
      <c r="P246" s="658"/>
      <c r="Q246" s="658"/>
    </row>
    <row r="247" spans="3:17">
      <c r="C247" s="962"/>
      <c r="D247" s="962"/>
      <c r="E247" s="658"/>
      <c r="F247" s="658"/>
      <c r="G247" s="658"/>
      <c r="H247" s="658"/>
      <c r="I247" s="658"/>
      <c r="J247" s="658"/>
      <c r="K247" s="658"/>
      <c r="L247" s="658"/>
      <c r="M247" s="658"/>
      <c r="N247" s="658"/>
      <c r="O247" s="658"/>
      <c r="P247" s="658"/>
      <c r="Q247" s="658"/>
    </row>
    <row r="248" spans="3:17">
      <c r="C248" s="962"/>
      <c r="D248" s="962"/>
      <c r="E248" s="658"/>
      <c r="F248" s="658"/>
      <c r="G248" s="658"/>
      <c r="H248" s="658"/>
      <c r="I248" s="658"/>
      <c r="J248" s="658"/>
      <c r="K248" s="658"/>
      <c r="L248" s="658"/>
      <c r="M248" s="658"/>
      <c r="N248" s="658"/>
      <c r="O248" s="658"/>
      <c r="P248" s="658"/>
      <c r="Q248" s="658"/>
    </row>
    <row r="249" spans="3:17">
      <c r="C249" s="962"/>
      <c r="D249" s="962"/>
      <c r="E249" s="658"/>
      <c r="F249" s="658"/>
      <c r="G249" s="658"/>
      <c r="H249" s="658"/>
      <c r="I249" s="658"/>
      <c r="J249" s="658"/>
      <c r="K249" s="658"/>
      <c r="L249" s="658"/>
      <c r="M249" s="658"/>
      <c r="N249" s="658"/>
      <c r="O249" s="658"/>
      <c r="P249" s="658"/>
      <c r="Q249" s="658"/>
    </row>
    <row r="250" spans="3:17">
      <c r="C250" s="962"/>
      <c r="D250" s="962"/>
      <c r="E250" s="658"/>
      <c r="F250" s="658"/>
      <c r="G250" s="658"/>
      <c r="H250" s="658"/>
      <c r="I250" s="658"/>
      <c r="J250" s="658"/>
      <c r="K250" s="658"/>
      <c r="L250" s="658"/>
      <c r="M250" s="658"/>
      <c r="N250" s="658"/>
      <c r="O250" s="658"/>
      <c r="P250" s="658"/>
      <c r="Q250" s="658"/>
    </row>
    <row r="251" spans="3:17">
      <c r="C251" s="962"/>
      <c r="D251" s="962"/>
      <c r="E251" s="658"/>
      <c r="F251" s="658"/>
      <c r="G251" s="658"/>
      <c r="H251" s="658"/>
      <c r="I251" s="658"/>
      <c r="J251" s="658"/>
      <c r="K251" s="658"/>
      <c r="L251" s="658"/>
      <c r="M251" s="658"/>
      <c r="N251" s="658"/>
      <c r="O251" s="658"/>
      <c r="P251" s="658"/>
      <c r="Q251" s="658"/>
    </row>
    <row r="252" spans="3:17">
      <c r="C252" s="962"/>
      <c r="D252" s="962"/>
      <c r="E252" s="658"/>
      <c r="F252" s="658"/>
      <c r="G252" s="658"/>
      <c r="H252" s="658"/>
      <c r="I252" s="658"/>
      <c r="J252" s="658"/>
      <c r="K252" s="658"/>
      <c r="L252" s="658"/>
      <c r="M252" s="658"/>
      <c r="N252" s="658"/>
      <c r="O252" s="658"/>
      <c r="P252" s="658"/>
      <c r="Q252" s="658"/>
    </row>
    <row r="253" spans="3:17">
      <c r="C253" s="962"/>
      <c r="D253" s="962"/>
      <c r="E253" s="658"/>
      <c r="F253" s="658"/>
      <c r="G253" s="658"/>
      <c r="H253" s="658"/>
      <c r="I253" s="658"/>
      <c r="J253" s="658"/>
      <c r="K253" s="658"/>
      <c r="L253" s="658"/>
      <c r="M253" s="658"/>
      <c r="N253" s="658"/>
      <c r="O253" s="658"/>
      <c r="P253" s="658"/>
      <c r="Q253" s="658"/>
    </row>
    <row r="254" spans="3:17">
      <c r="C254" s="962"/>
      <c r="D254" s="962"/>
      <c r="E254" s="658"/>
      <c r="F254" s="658"/>
      <c r="G254" s="658"/>
      <c r="H254" s="658"/>
      <c r="I254" s="658"/>
      <c r="J254" s="658"/>
      <c r="K254" s="658"/>
      <c r="L254" s="658"/>
      <c r="M254" s="658"/>
      <c r="N254" s="658"/>
      <c r="O254" s="658"/>
      <c r="P254" s="658"/>
      <c r="Q254" s="658"/>
    </row>
    <row r="255" spans="3:17">
      <c r="C255" s="962"/>
      <c r="D255" s="962"/>
      <c r="E255" s="658"/>
      <c r="F255" s="658"/>
      <c r="G255" s="658"/>
      <c r="H255" s="658"/>
      <c r="I255" s="658"/>
      <c r="J255" s="658"/>
      <c r="K255" s="658"/>
      <c r="L255" s="658"/>
      <c r="M255" s="658"/>
      <c r="N255" s="658"/>
      <c r="O255" s="658"/>
      <c r="P255" s="658"/>
      <c r="Q255" s="658"/>
    </row>
    <row r="256" spans="3:17">
      <c r="C256" s="962"/>
      <c r="D256" s="962"/>
      <c r="E256" s="658"/>
      <c r="F256" s="658"/>
      <c r="G256" s="658"/>
      <c r="H256" s="658"/>
      <c r="I256" s="658"/>
      <c r="J256" s="658"/>
      <c r="K256" s="658"/>
      <c r="L256" s="658"/>
      <c r="M256" s="658"/>
      <c r="N256" s="658"/>
      <c r="O256" s="658"/>
      <c r="P256" s="658"/>
      <c r="Q256" s="658"/>
    </row>
    <row r="257" spans="3:17">
      <c r="C257" s="962"/>
      <c r="D257" s="962"/>
      <c r="E257" s="658"/>
      <c r="F257" s="658"/>
      <c r="G257" s="658"/>
      <c r="H257" s="658"/>
      <c r="I257" s="658"/>
      <c r="J257" s="658"/>
      <c r="K257" s="658"/>
      <c r="L257" s="658"/>
      <c r="M257" s="658"/>
      <c r="N257" s="658"/>
      <c r="O257" s="658"/>
      <c r="P257" s="658"/>
      <c r="Q257" s="658"/>
    </row>
    <row r="258" spans="3:17">
      <c r="C258" s="962"/>
      <c r="D258" s="962"/>
      <c r="E258" s="658"/>
      <c r="F258" s="658"/>
      <c r="G258" s="658"/>
      <c r="H258" s="658"/>
      <c r="I258" s="658"/>
      <c r="J258" s="658"/>
      <c r="K258" s="658"/>
      <c r="L258" s="658"/>
      <c r="M258" s="658"/>
      <c r="N258" s="658"/>
      <c r="O258" s="658"/>
      <c r="P258" s="658"/>
      <c r="Q258" s="658"/>
    </row>
    <row r="259" spans="3:17">
      <c r="C259" s="962"/>
      <c r="D259" s="962"/>
      <c r="E259" s="658"/>
      <c r="F259" s="658"/>
      <c r="G259" s="658"/>
      <c r="H259" s="658"/>
      <c r="I259" s="658"/>
      <c r="J259" s="658"/>
      <c r="K259" s="658"/>
      <c r="L259" s="658"/>
      <c r="M259" s="658"/>
      <c r="N259" s="658"/>
      <c r="O259" s="658"/>
      <c r="P259" s="658"/>
      <c r="Q259" s="658"/>
    </row>
    <row r="260" spans="3:17">
      <c r="C260" s="962"/>
      <c r="D260" s="962"/>
      <c r="E260" s="658"/>
      <c r="F260" s="658"/>
      <c r="G260" s="658"/>
      <c r="H260" s="658"/>
      <c r="I260" s="658"/>
      <c r="J260" s="658"/>
      <c r="K260" s="658"/>
      <c r="L260" s="658"/>
      <c r="M260" s="658"/>
      <c r="N260" s="658"/>
      <c r="O260" s="658"/>
      <c r="P260" s="658"/>
      <c r="Q260" s="658"/>
    </row>
    <row r="261" spans="3:17">
      <c r="C261" s="962"/>
      <c r="D261" s="962"/>
      <c r="E261" s="658"/>
      <c r="F261" s="658"/>
      <c r="G261" s="658"/>
      <c r="H261" s="658"/>
      <c r="I261" s="658"/>
      <c r="J261" s="658"/>
      <c r="K261" s="658"/>
      <c r="L261" s="658"/>
      <c r="M261" s="658"/>
      <c r="N261" s="658"/>
      <c r="O261" s="658"/>
      <c r="P261" s="658"/>
      <c r="Q261" s="658"/>
    </row>
    <row r="262" spans="3:17">
      <c r="C262" s="962"/>
      <c r="D262" s="962"/>
      <c r="E262" s="658"/>
      <c r="F262" s="658"/>
      <c r="G262" s="658"/>
      <c r="H262" s="658"/>
      <c r="I262" s="658"/>
      <c r="J262" s="658"/>
      <c r="K262" s="658"/>
      <c r="L262" s="658"/>
      <c r="M262" s="658"/>
      <c r="N262" s="658"/>
      <c r="O262" s="658"/>
      <c r="P262" s="658"/>
      <c r="Q262" s="658"/>
    </row>
    <row r="263" spans="3:17">
      <c r="C263" s="962"/>
      <c r="D263" s="962"/>
      <c r="E263" s="658"/>
      <c r="F263" s="658"/>
      <c r="G263" s="658"/>
      <c r="H263" s="658"/>
      <c r="I263" s="658"/>
      <c r="J263" s="658"/>
      <c r="K263" s="658"/>
      <c r="L263" s="658"/>
      <c r="M263" s="658"/>
      <c r="N263" s="658"/>
      <c r="O263" s="658"/>
      <c r="P263" s="658"/>
      <c r="Q263" s="658"/>
    </row>
    <row r="264" spans="3:17">
      <c r="C264" s="962"/>
      <c r="D264" s="962"/>
      <c r="E264" s="658"/>
      <c r="F264" s="658"/>
      <c r="G264" s="658"/>
      <c r="H264" s="658"/>
      <c r="I264" s="658"/>
      <c r="J264" s="658"/>
      <c r="K264" s="658"/>
      <c r="L264" s="658"/>
      <c r="M264" s="658"/>
      <c r="N264" s="658"/>
      <c r="O264" s="658"/>
      <c r="P264" s="658"/>
      <c r="Q264" s="658"/>
    </row>
    <row r="265" spans="3:17">
      <c r="C265" s="962"/>
      <c r="D265" s="962"/>
      <c r="E265" s="658"/>
      <c r="F265" s="658"/>
      <c r="G265" s="658"/>
      <c r="H265" s="658"/>
      <c r="I265" s="658"/>
      <c r="J265" s="658"/>
      <c r="K265" s="658"/>
      <c r="L265" s="658"/>
      <c r="M265" s="658"/>
      <c r="N265" s="658"/>
      <c r="O265" s="658"/>
      <c r="P265" s="658"/>
      <c r="Q265" s="658"/>
    </row>
    <row r="266" spans="3:17">
      <c r="C266" s="962"/>
      <c r="D266" s="962"/>
      <c r="E266" s="658"/>
      <c r="F266" s="658"/>
      <c r="G266" s="658"/>
      <c r="H266" s="658"/>
      <c r="I266" s="658"/>
      <c r="J266" s="658"/>
      <c r="K266" s="658"/>
      <c r="L266" s="658"/>
      <c r="M266" s="658"/>
      <c r="N266" s="658"/>
      <c r="O266" s="658"/>
      <c r="P266" s="658"/>
      <c r="Q266" s="658"/>
    </row>
    <row r="267" spans="3:17">
      <c r="C267" s="962"/>
      <c r="D267" s="962"/>
      <c r="E267" s="658"/>
      <c r="F267" s="658"/>
      <c r="G267" s="658"/>
      <c r="H267" s="658"/>
      <c r="I267" s="658"/>
      <c r="J267" s="658"/>
      <c r="K267" s="658"/>
      <c r="L267" s="658"/>
      <c r="M267" s="658"/>
      <c r="N267" s="658"/>
      <c r="O267" s="658"/>
      <c r="P267" s="658"/>
      <c r="Q267" s="658"/>
    </row>
    <row r="268" spans="3:17">
      <c r="C268" s="962"/>
      <c r="D268" s="962"/>
      <c r="E268" s="658"/>
      <c r="F268" s="658"/>
      <c r="G268" s="658"/>
      <c r="H268" s="658"/>
      <c r="I268" s="658"/>
      <c r="J268" s="658"/>
      <c r="K268" s="658"/>
      <c r="L268" s="658"/>
      <c r="M268" s="658"/>
      <c r="N268" s="658"/>
      <c r="O268" s="658"/>
      <c r="P268" s="658"/>
      <c r="Q268" s="658"/>
    </row>
    <row r="269" spans="3:17">
      <c r="C269" s="962"/>
      <c r="D269" s="962"/>
      <c r="E269" s="658"/>
      <c r="F269" s="658"/>
      <c r="G269" s="658"/>
      <c r="H269" s="658"/>
      <c r="I269" s="658"/>
      <c r="J269" s="658"/>
      <c r="K269" s="658"/>
      <c r="L269" s="658"/>
      <c r="M269" s="658"/>
      <c r="N269" s="658"/>
      <c r="O269" s="658"/>
      <c r="P269" s="658"/>
      <c r="Q269" s="658"/>
    </row>
    <row r="270" spans="3:17">
      <c r="C270" s="962"/>
      <c r="D270" s="962"/>
      <c r="E270" s="658"/>
      <c r="F270" s="658"/>
      <c r="G270" s="658"/>
      <c r="H270" s="658"/>
      <c r="I270" s="658"/>
      <c r="J270" s="658"/>
      <c r="K270" s="658"/>
      <c r="L270" s="658"/>
      <c r="M270" s="658"/>
      <c r="N270" s="658"/>
      <c r="O270" s="658"/>
      <c r="P270" s="658"/>
      <c r="Q270" s="658"/>
    </row>
    <row r="271" spans="3:17">
      <c r="C271" s="962"/>
      <c r="D271" s="962"/>
      <c r="E271" s="658"/>
      <c r="F271" s="658"/>
      <c r="G271" s="658"/>
      <c r="H271" s="658"/>
      <c r="I271" s="658"/>
      <c r="J271" s="658"/>
      <c r="K271" s="658"/>
      <c r="L271" s="658"/>
      <c r="M271" s="658"/>
      <c r="N271" s="658"/>
      <c r="O271" s="658"/>
      <c r="P271" s="658"/>
      <c r="Q271" s="658"/>
    </row>
    <row r="272" spans="3:17">
      <c r="C272" s="962"/>
      <c r="D272" s="962"/>
      <c r="E272" s="658"/>
      <c r="F272" s="658"/>
      <c r="G272" s="658"/>
      <c r="H272" s="658"/>
      <c r="I272" s="658"/>
      <c r="J272" s="658"/>
      <c r="K272" s="658"/>
      <c r="L272" s="658"/>
      <c r="M272" s="658"/>
      <c r="N272" s="658"/>
      <c r="O272" s="658"/>
      <c r="P272" s="658"/>
      <c r="Q272" s="658"/>
    </row>
    <row r="273" spans="3:17">
      <c r="C273" s="962"/>
      <c r="D273" s="962"/>
      <c r="E273" s="658"/>
      <c r="F273" s="658"/>
      <c r="G273" s="658"/>
      <c r="H273" s="658"/>
      <c r="I273" s="658"/>
      <c r="J273" s="658"/>
      <c r="K273" s="658"/>
      <c r="L273" s="658"/>
      <c r="M273" s="658"/>
      <c r="N273" s="658"/>
      <c r="O273" s="658"/>
      <c r="P273" s="658"/>
      <c r="Q273" s="658"/>
    </row>
    <row r="274" spans="3:17">
      <c r="C274" s="962"/>
      <c r="D274" s="962"/>
      <c r="E274" s="658"/>
      <c r="F274" s="658"/>
      <c r="G274" s="658"/>
      <c r="H274" s="658"/>
      <c r="I274" s="658"/>
      <c r="J274" s="658"/>
      <c r="K274" s="658"/>
      <c r="L274" s="658"/>
      <c r="M274" s="658"/>
      <c r="N274" s="658"/>
      <c r="O274" s="658"/>
      <c r="P274" s="658"/>
      <c r="Q274" s="658"/>
    </row>
    <row r="275" spans="3:17">
      <c r="C275" s="962"/>
      <c r="D275" s="962"/>
      <c r="E275" s="658"/>
      <c r="F275" s="658"/>
      <c r="G275" s="658"/>
      <c r="H275" s="658"/>
      <c r="I275" s="658"/>
      <c r="J275" s="658"/>
      <c r="K275" s="658"/>
      <c r="L275" s="658"/>
      <c r="M275" s="658"/>
      <c r="N275" s="658"/>
      <c r="O275" s="658"/>
      <c r="P275" s="658"/>
      <c r="Q275" s="658"/>
    </row>
    <row r="276" spans="3:17">
      <c r="C276" s="962"/>
      <c r="D276" s="962"/>
      <c r="E276" s="658"/>
      <c r="F276" s="658"/>
      <c r="G276" s="658"/>
      <c r="H276" s="658"/>
      <c r="I276" s="658"/>
      <c r="J276" s="658"/>
      <c r="K276" s="658"/>
      <c r="L276" s="658"/>
      <c r="M276" s="658"/>
      <c r="N276" s="658"/>
      <c r="O276" s="658"/>
      <c r="P276" s="658"/>
      <c r="Q276" s="658"/>
    </row>
    <row r="277" spans="3:17">
      <c r="C277" s="962"/>
      <c r="D277" s="962"/>
      <c r="E277" s="658"/>
      <c r="F277" s="658"/>
      <c r="G277" s="658"/>
      <c r="H277" s="658"/>
      <c r="I277" s="658"/>
      <c r="J277" s="658"/>
      <c r="K277" s="658"/>
      <c r="L277" s="658"/>
      <c r="M277" s="658"/>
      <c r="N277" s="658"/>
      <c r="O277" s="658"/>
      <c r="P277" s="658"/>
      <c r="Q277" s="658"/>
    </row>
    <row r="278" spans="3:17">
      <c r="C278" s="962"/>
      <c r="D278" s="962"/>
      <c r="E278" s="658"/>
      <c r="F278" s="658"/>
      <c r="G278" s="658"/>
      <c r="H278" s="658"/>
      <c r="I278" s="658"/>
      <c r="J278" s="658"/>
      <c r="K278" s="658"/>
      <c r="L278" s="658"/>
      <c r="M278" s="658"/>
      <c r="N278" s="658"/>
      <c r="O278" s="658"/>
      <c r="P278" s="658"/>
      <c r="Q278" s="658"/>
    </row>
    <row r="279" spans="3:17">
      <c r="C279" s="962"/>
      <c r="D279" s="962"/>
      <c r="E279" s="658"/>
      <c r="F279" s="658"/>
      <c r="G279" s="658"/>
      <c r="H279" s="658"/>
      <c r="I279" s="658"/>
      <c r="J279" s="658"/>
      <c r="K279" s="658"/>
      <c r="L279" s="658"/>
      <c r="M279" s="658"/>
      <c r="N279" s="658"/>
      <c r="O279" s="658"/>
      <c r="P279" s="658"/>
      <c r="Q279" s="658"/>
    </row>
    <row r="280" spans="3:17">
      <c r="C280" s="962"/>
      <c r="D280" s="962"/>
      <c r="E280" s="658"/>
      <c r="F280" s="658"/>
      <c r="G280" s="658"/>
      <c r="H280" s="658"/>
      <c r="I280" s="658"/>
      <c r="J280" s="658"/>
      <c r="K280" s="658"/>
      <c r="L280" s="658"/>
      <c r="M280" s="658"/>
      <c r="N280" s="658"/>
      <c r="O280" s="658"/>
      <c r="P280" s="658"/>
      <c r="Q280" s="658"/>
    </row>
    <row r="281" spans="3:17">
      <c r="C281" s="962"/>
      <c r="D281" s="962"/>
      <c r="E281" s="658"/>
      <c r="F281" s="658"/>
      <c r="G281" s="658"/>
      <c r="H281" s="658"/>
      <c r="I281" s="658"/>
      <c r="J281" s="658"/>
      <c r="K281" s="658"/>
      <c r="L281" s="658"/>
      <c r="M281" s="658"/>
      <c r="N281" s="658"/>
      <c r="O281" s="658"/>
      <c r="P281" s="658"/>
      <c r="Q281" s="658"/>
    </row>
    <row r="282" spans="3:17">
      <c r="C282" s="962"/>
      <c r="D282" s="962"/>
      <c r="E282" s="658"/>
      <c r="F282" s="658"/>
      <c r="G282" s="658"/>
      <c r="H282" s="658"/>
      <c r="I282" s="658"/>
      <c r="J282" s="658"/>
      <c r="K282" s="658"/>
      <c r="L282" s="658"/>
      <c r="M282" s="658"/>
      <c r="N282" s="658"/>
      <c r="O282" s="658"/>
      <c r="P282" s="658"/>
      <c r="Q282" s="658"/>
    </row>
    <row r="283" spans="3:17">
      <c r="C283" s="962"/>
      <c r="D283" s="962"/>
      <c r="E283" s="658"/>
      <c r="F283" s="658"/>
      <c r="G283" s="658"/>
      <c r="H283" s="658"/>
      <c r="I283" s="658"/>
      <c r="J283" s="658"/>
      <c r="K283" s="658"/>
      <c r="L283" s="658"/>
      <c r="M283" s="658"/>
      <c r="N283" s="658"/>
      <c r="O283" s="658"/>
      <c r="P283" s="658"/>
      <c r="Q283" s="658"/>
    </row>
    <row r="284" spans="3:17">
      <c r="C284" s="962"/>
      <c r="D284" s="962"/>
      <c r="E284" s="658"/>
      <c r="F284" s="658"/>
      <c r="G284" s="658"/>
      <c r="H284" s="658"/>
      <c r="I284" s="658"/>
      <c r="J284" s="658"/>
      <c r="K284" s="658"/>
      <c r="L284" s="658"/>
      <c r="M284" s="658"/>
      <c r="N284" s="658"/>
      <c r="O284" s="658"/>
      <c r="P284" s="658"/>
      <c r="Q284" s="658"/>
    </row>
    <row r="285" spans="3:17">
      <c r="C285" s="962"/>
      <c r="D285" s="962"/>
      <c r="E285" s="658"/>
      <c r="F285" s="658"/>
      <c r="G285" s="658"/>
      <c r="H285" s="658"/>
      <c r="I285" s="658"/>
      <c r="J285" s="658"/>
      <c r="K285" s="658"/>
      <c r="L285" s="658"/>
      <c r="M285" s="658"/>
      <c r="N285" s="658"/>
      <c r="O285" s="658"/>
      <c r="P285" s="658"/>
      <c r="Q285" s="658"/>
    </row>
    <row r="286" spans="3:17">
      <c r="C286" s="962"/>
      <c r="D286" s="962"/>
      <c r="E286" s="658"/>
      <c r="F286" s="658"/>
      <c r="G286" s="658"/>
      <c r="H286" s="658"/>
      <c r="I286" s="658"/>
      <c r="J286" s="658"/>
      <c r="K286" s="658"/>
      <c r="L286" s="658"/>
      <c r="M286" s="658"/>
      <c r="N286" s="658"/>
      <c r="O286" s="658"/>
      <c r="P286" s="658"/>
      <c r="Q286" s="658"/>
    </row>
    <row r="287" spans="3:17">
      <c r="C287" s="962"/>
      <c r="D287" s="962"/>
      <c r="E287" s="658"/>
      <c r="F287" s="658"/>
      <c r="G287" s="658"/>
      <c r="H287" s="658"/>
      <c r="I287" s="658"/>
      <c r="J287" s="658"/>
      <c r="K287" s="658"/>
      <c r="L287" s="658"/>
      <c r="M287" s="658"/>
      <c r="N287" s="658"/>
      <c r="O287" s="658"/>
      <c r="P287" s="658"/>
      <c r="Q287" s="658"/>
    </row>
    <row r="288" spans="3:17">
      <c r="C288" s="962"/>
      <c r="D288" s="962"/>
      <c r="E288" s="658"/>
      <c r="F288" s="658"/>
      <c r="G288" s="658"/>
      <c r="H288" s="658"/>
      <c r="I288" s="658"/>
      <c r="J288" s="658"/>
      <c r="K288" s="658"/>
      <c r="L288" s="658"/>
      <c r="M288" s="658"/>
      <c r="N288" s="658"/>
      <c r="O288" s="658"/>
      <c r="P288" s="658"/>
      <c r="Q288" s="658"/>
    </row>
    <row r="289" spans="3:17">
      <c r="C289" s="962"/>
      <c r="D289" s="962"/>
      <c r="E289" s="658"/>
      <c r="F289" s="658"/>
      <c r="G289" s="658"/>
      <c r="H289" s="658"/>
      <c r="I289" s="658"/>
      <c r="J289" s="658"/>
      <c r="K289" s="658"/>
      <c r="L289" s="658"/>
      <c r="M289" s="658"/>
      <c r="N289" s="658"/>
      <c r="O289" s="658"/>
      <c r="P289" s="658"/>
      <c r="Q289" s="658"/>
    </row>
    <row r="290" spans="3:17">
      <c r="C290" s="962"/>
      <c r="D290" s="962"/>
      <c r="E290" s="658"/>
      <c r="F290" s="658"/>
      <c r="G290" s="658"/>
      <c r="H290" s="658"/>
      <c r="I290" s="658"/>
      <c r="J290" s="658"/>
      <c r="K290" s="658"/>
      <c r="L290" s="658"/>
      <c r="M290" s="658"/>
      <c r="N290" s="658"/>
      <c r="O290" s="658"/>
      <c r="P290" s="658"/>
      <c r="Q290" s="658"/>
    </row>
    <row r="291" spans="3:17">
      <c r="C291" s="962"/>
      <c r="D291" s="962"/>
      <c r="E291" s="658"/>
      <c r="F291" s="658"/>
      <c r="G291" s="658"/>
      <c r="H291" s="658"/>
      <c r="I291" s="658"/>
      <c r="J291" s="658"/>
      <c r="K291" s="658"/>
      <c r="L291" s="658"/>
      <c r="M291" s="658"/>
      <c r="N291" s="658"/>
      <c r="O291" s="658"/>
      <c r="P291" s="658"/>
      <c r="Q291" s="658"/>
    </row>
    <row r="292" spans="3:17">
      <c r="C292" s="962"/>
      <c r="D292" s="962"/>
      <c r="E292" s="658"/>
      <c r="F292" s="658"/>
      <c r="G292" s="658"/>
      <c r="H292" s="658"/>
      <c r="I292" s="658"/>
      <c r="J292" s="658"/>
      <c r="K292" s="658"/>
      <c r="L292" s="658"/>
      <c r="M292" s="658"/>
      <c r="N292" s="658"/>
      <c r="O292" s="658"/>
      <c r="P292" s="658"/>
      <c r="Q292" s="658"/>
    </row>
    <row r="293" spans="3:17">
      <c r="C293" s="962"/>
      <c r="D293" s="962"/>
      <c r="E293" s="658"/>
      <c r="F293" s="658"/>
      <c r="G293" s="658"/>
      <c r="H293" s="658"/>
      <c r="I293" s="658"/>
      <c r="J293" s="658"/>
      <c r="K293" s="658"/>
      <c r="L293" s="658"/>
      <c r="M293" s="658"/>
      <c r="N293" s="658"/>
      <c r="O293" s="658"/>
      <c r="P293" s="658"/>
      <c r="Q293" s="658"/>
    </row>
    <row r="294" spans="3:17">
      <c r="C294" s="962"/>
      <c r="D294" s="962"/>
      <c r="E294" s="658"/>
      <c r="F294" s="658"/>
      <c r="G294" s="658"/>
      <c r="H294" s="658"/>
      <c r="I294" s="658"/>
      <c r="J294" s="658"/>
      <c r="K294" s="658"/>
      <c r="L294" s="658"/>
      <c r="M294" s="658"/>
      <c r="N294" s="658"/>
      <c r="O294" s="658"/>
      <c r="P294" s="658"/>
      <c r="Q294" s="658"/>
    </row>
    <row r="295" spans="3:17">
      <c r="C295" s="962"/>
      <c r="D295" s="962"/>
      <c r="E295" s="658"/>
      <c r="F295" s="658"/>
      <c r="G295" s="658"/>
      <c r="H295" s="658"/>
      <c r="I295" s="658"/>
      <c r="J295" s="658"/>
      <c r="K295" s="658"/>
      <c r="L295" s="658"/>
      <c r="M295" s="658"/>
      <c r="N295" s="658"/>
      <c r="O295" s="658"/>
      <c r="P295" s="658"/>
      <c r="Q295" s="658"/>
    </row>
    <row r="296" spans="3:17">
      <c r="C296" s="962"/>
      <c r="D296" s="962"/>
      <c r="E296" s="658"/>
      <c r="F296" s="658"/>
      <c r="G296" s="658"/>
      <c r="H296" s="658"/>
      <c r="I296" s="658"/>
      <c r="J296" s="658"/>
      <c r="K296" s="658"/>
      <c r="L296" s="658"/>
      <c r="M296" s="658"/>
      <c r="N296" s="658"/>
      <c r="O296" s="658"/>
      <c r="P296" s="658"/>
      <c r="Q296" s="658"/>
    </row>
    <row r="297" spans="3:17">
      <c r="C297" s="962"/>
      <c r="D297" s="962"/>
      <c r="E297" s="658"/>
      <c r="F297" s="658"/>
      <c r="G297" s="658"/>
      <c r="H297" s="658"/>
      <c r="I297" s="658"/>
      <c r="J297" s="658"/>
      <c r="K297" s="658"/>
      <c r="L297" s="658"/>
      <c r="M297" s="658"/>
      <c r="N297" s="658"/>
      <c r="O297" s="658"/>
      <c r="P297" s="658"/>
      <c r="Q297" s="658"/>
    </row>
    <row r="298" spans="3:17">
      <c r="C298" s="962"/>
      <c r="D298" s="962"/>
      <c r="E298" s="658"/>
      <c r="F298" s="658"/>
      <c r="G298" s="658"/>
      <c r="H298" s="658"/>
      <c r="I298" s="658"/>
      <c r="J298" s="658"/>
      <c r="K298" s="658"/>
      <c r="L298" s="658"/>
      <c r="M298" s="658"/>
      <c r="N298" s="658"/>
      <c r="O298" s="658"/>
      <c r="P298" s="658"/>
      <c r="Q298" s="658"/>
    </row>
    <row r="299" spans="3:17">
      <c r="C299" s="962"/>
      <c r="D299" s="962"/>
      <c r="E299" s="658"/>
      <c r="F299" s="658"/>
      <c r="G299" s="658"/>
      <c r="H299" s="658"/>
      <c r="I299" s="658"/>
      <c r="J299" s="658"/>
      <c r="K299" s="658"/>
      <c r="L299" s="658"/>
      <c r="M299" s="658"/>
      <c r="N299" s="658"/>
      <c r="O299" s="658"/>
      <c r="P299" s="658"/>
      <c r="Q299" s="658"/>
    </row>
    <row r="300" spans="3:17">
      <c r="C300" s="962"/>
      <c r="D300" s="962"/>
      <c r="E300" s="658"/>
      <c r="F300" s="658"/>
      <c r="G300" s="658"/>
      <c r="H300" s="658"/>
      <c r="I300" s="658"/>
      <c r="J300" s="658"/>
      <c r="K300" s="658"/>
      <c r="L300" s="658"/>
      <c r="M300" s="658"/>
      <c r="N300" s="658"/>
      <c r="O300" s="658"/>
      <c r="P300" s="658"/>
      <c r="Q300" s="658"/>
    </row>
    <row r="301" spans="3:17">
      <c r="C301" s="962"/>
      <c r="D301" s="962"/>
      <c r="E301" s="658"/>
      <c r="F301" s="658"/>
      <c r="G301" s="658"/>
      <c r="H301" s="658"/>
      <c r="I301" s="658"/>
      <c r="J301" s="658"/>
      <c r="K301" s="658"/>
      <c r="L301" s="658"/>
      <c r="M301" s="658"/>
      <c r="N301" s="658"/>
      <c r="O301" s="658"/>
      <c r="P301" s="658"/>
      <c r="Q301" s="658"/>
    </row>
    <row r="302" spans="3:17">
      <c r="C302" s="962"/>
      <c r="D302" s="962"/>
      <c r="E302" s="658"/>
      <c r="F302" s="658"/>
      <c r="G302" s="658"/>
      <c r="H302" s="658"/>
      <c r="I302" s="658"/>
      <c r="J302" s="658"/>
      <c r="K302" s="658"/>
      <c r="L302" s="658"/>
      <c r="M302" s="658"/>
      <c r="N302" s="658"/>
      <c r="O302" s="658"/>
      <c r="P302" s="658"/>
      <c r="Q302" s="658"/>
    </row>
    <row r="303" spans="3:17">
      <c r="C303" s="962"/>
      <c r="D303" s="962"/>
      <c r="E303" s="658"/>
      <c r="F303" s="658"/>
      <c r="G303" s="658"/>
      <c r="H303" s="658"/>
      <c r="I303" s="658"/>
      <c r="J303" s="658"/>
      <c r="K303" s="658"/>
      <c r="L303" s="658"/>
      <c r="M303" s="658"/>
      <c r="N303" s="658"/>
      <c r="O303" s="658"/>
      <c r="P303" s="658"/>
      <c r="Q303" s="658"/>
    </row>
    <row r="304" spans="3:17">
      <c r="C304" s="962"/>
      <c r="D304" s="962"/>
      <c r="E304" s="658"/>
      <c r="F304" s="658"/>
      <c r="G304" s="658"/>
      <c r="H304" s="658"/>
      <c r="I304" s="658"/>
      <c r="J304" s="658"/>
      <c r="K304" s="658"/>
      <c r="L304" s="658"/>
      <c r="M304" s="658"/>
      <c r="N304" s="658"/>
      <c r="O304" s="658"/>
      <c r="P304" s="658"/>
      <c r="Q304" s="658"/>
    </row>
    <row r="305" spans="3:17">
      <c r="C305" s="962"/>
      <c r="D305" s="962"/>
      <c r="E305" s="658"/>
      <c r="F305" s="658"/>
      <c r="G305" s="658"/>
      <c r="H305" s="658"/>
      <c r="I305" s="658"/>
      <c r="J305" s="658"/>
      <c r="K305" s="658"/>
      <c r="L305" s="658"/>
      <c r="M305" s="658"/>
      <c r="N305" s="658"/>
      <c r="O305" s="658"/>
      <c r="P305" s="658"/>
      <c r="Q305" s="658"/>
    </row>
    <row r="306" spans="3:17">
      <c r="C306" s="962"/>
      <c r="D306" s="962"/>
      <c r="E306" s="658"/>
      <c r="F306" s="658"/>
      <c r="G306" s="658"/>
      <c r="H306" s="658"/>
      <c r="I306" s="658"/>
      <c r="J306" s="658"/>
      <c r="K306" s="658"/>
      <c r="L306" s="658"/>
      <c r="M306" s="658"/>
      <c r="N306" s="658"/>
      <c r="O306" s="658"/>
      <c r="P306" s="658"/>
      <c r="Q306" s="658"/>
    </row>
    <row r="307" spans="3:17">
      <c r="C307" s="962"/>
      <c r="D307" s="962"/>
      <c r="E307" s="658"/>
      <c r="F307" s="658"/>
      <c r="G307" s="658"/>
      <c r="H307" s="658"/>
      <c r="I307" s="658"/>
      <c r="J307" s="658"/>
      <c r="K307" s="658"/>
      <c r="L307" s="658"/>
      <c r="M307" s="658"/>
      <c r="N307" s="658"/>
      <c r="O307" s="658"/>
      <c r="P307" s="658"/>
      <c r="Q307" s="658"/>
    </row>
    <row r="308" spans="3:17">
      <c r="C308" s="962"/>
      <c r="D308" s="962"/>
      <c r="E308" s="658"/>
      <c r="F308" s="658"/>
      <c r="G308" s="658"/>
      <c r="H308" s="658"/>
      <c r="I308" s="658"/>
      <c r="J308" s="658"/>
      <c r="K308" s="658"/>
      <c r="L308" s="658"/>
      <c r="M308" s="658"/>
      <c r="N308" s="658"/>
      <c r="O308" s="658"/>
      <c r="P308" s="658"/>
      <c r="Q308" s="658"/>
    </row>
    <row r="309" spans="3:17">
      <c r="C309" s="962"/>
      <c r="D309" s="962"/>
      <c r="E309" s="658"/>
      <c r="F309" s="658"/>
      <c r="G309" s="658"/>
      <c r="H309" s="658"/>
      <c r="I309" s="658"/>
      <c r="J309" s="658"/>
      <c r="K309" s="658"/>
      <c r="L309" s="658"/>
      <c r="M309" s="658"/>
      <c r="N309" s="658"/>
      <c r="O309" s="658"/>
      <c r="P309" s="658"/>
      <c r="Q309" s="658"/>
    </row>
    <row r="310" spans="3:17">
      <c r="C310" s="962"/>
      <c r="D310" s="962"/>
      <c r="E310" s="658"/>
      <c r="F310" s="658"/>
      <c r="G310" s="658"/>
      <c r="H310" s="658"/>
      <c r="I310" s="658"/>
      <c r="J310" s="658"/>
      <c r="K310" s="658"/>
      <c r="L310" s="658"/>
      <c r="M310" s="658"/>
      <c r="N310" s="658"/>
      <c r="O310" s="658"/>
      <c r="P310" s="658"/>
      <c r="Q310" s="658"/>
    </row>
    <row r="311" spans="3:17">
      <c r="C311" s="962"/>
      <c r="D311" s="962"/>
      <c r="E311" s="658"/>
      <c r="F311" s="658"/>
      <c r="G311" s="658"/>
      <c r="H311" s="658"/>
      <c r="I311" s="658"/>
      <c r="J311" s="658"/>
      <c r="K311" s="658"/>
      <c r="L311" s="658"/>
      <c r="M311" s="658"/>
      <c r="N311" s="658"/>
      <c r="O311" s="658"/>
      <c r="P311" s="658"/>
      <c r="Q311" s="658"/>
    </row>
    <row r="312" spans="3:17">
      <c r="C312" s="962"/>
      <c r="D312" s="962"/>
      <c r="E312" s="658"/>
      <c r="F312" s="658"/>
      <c r="G312" s="658"/>
      <c r="H312" s="658"/>
      <c r="I312" s="658"/>
      <c r="J312" s="658"/>
      <c r="K312" s="658"/>
      <c r="L312" s="658"/>
      <c r="M312" s="658"/>
      <c r="N312" s="658"/>
      <c r="O312" s="658"/>
      <c r="P312" s="658"/>
      <c r="Q312" s="658"/>
    </row>
    <row r="313" spans="3:17">
      <c r="C313" s="962"/>
      <c r="D313" s="962"/>
      <c r="E313" s="658"/>
      <c r="F313" s="658"/>
      <c r="G313" s="658"/>
      <c r="H313" s="658"/>
      <c r="I313" s="658"/>
      <c r="J313" s="658"/>
      <c r="K313" s="658"/>
      <c r="L313" s="658"/>
      <c r="M313" s="658"/>
      <c r="N313" s="658"/>
      <c r="O313" s="658"/>
      <c r="P313" s="658"/>
      <c r="Q313" s="658"/>
    </row>
    <row r="314" spans="3:17">
      <c r="C314" s="962"/>
      <c r="D314" s="962"/>
      <c r="E314" s="658"/>
      <c r="F314" s="658"/>
      <c r="G314" s="658"/>
      <c r="H314" s="658"/>
      <c r="I314" s="658"/>
      <c r="J314" s="658"/>
      <c r="K314" s="658"/>
      <c r="L314" s="658"/>
      <c r="M314" s="658"/>
      <c r="N314" s="658"/>
      <c r="O314" s="658"/>
      <c r="P314" s="658"/>
      <c r="Q314" s="658"/>
    </row>
    <row r="315" spans="3:17">
      <c r="C315" s="962"/>
      <c r="D315" s="962"/>
      <c r="E315" s="658"/>
      <c r="F315" s="658"/>
      <c r="G315" s="658"/>
      <c r="H315" s="658"/>
      <c r="I315" s="658"/>
      <c r="J315" s="658"/>
      <c r="K315" s="658"/>
      <c r="L315" s="658"/>
      <c r="M315" s="658"/>
      <c r="N315" s="658"/>
      <c r="O315" s="658"/>
      <c r="P315" s="658"/>
      <c r="Q315" s="658"/>
    </row>
    <row r="316" spans="3:17">
      <c r="C316" s="962"/>
      <c r="D316" s="962"/>
      <c r="E316" s="658"/>
      <c r="F316" s="658"/>
      <c r="G316" s="658"/>
      <c r="H316" s="658"/>
      <c r="I316" s="658"/>
      <c r="J316" s="658"/>
      <c r="K316" s="658"/>
      <c r="L316" s="658"/>
      <c r="M316" s="658"/>
      <c r="N316" s="658"/>
      <c r="O316" s="658"/>
      <c r="P316" s="658"/>
      <c r="Q316" s="658"/>
    </row>
    <row r="317" spans="3:17">
      <c r="C317" s="962"/>
      <c r="D317" s="962"/>
      <c r="E317" s="658"/>
      <c r="F317" s="658"/>
      <c r="G317" s="658"/>
      <c r="H317" s="658"/>
      <c r="I317" s="658"/>
      <c r="J317" s="658"/>
      <c r="K317" s="658"/>
      <c r="L317" s="658"/>
      <c r="M317" s="658"/>
      <c r="N317" s="658"/>
      <c r="O317" s="658"/>
      <c r="P317" s="658"/>
      <c r="Q317" s="658"/>
    </row>
    <row r="318" spans="3:17">
      <c r="C318" s="962"/>
      <c r="D318" s="962"/>
      <c r="E318" s="658"/>
      <c r="F318" s="658"/>
      <c r="G318" s="658"/>
      <c r="H318" s="658"/>
      <c r="I318" s="658"/>
      <c r="J318" s="658"/>
      <c r="K318" s="658"/>
      <c r="L318" s="658"/>
      <c r="M318" s="658"/>
      <c r="N318" s="658"/>
      <c r="O318" s="658"/>
      <c r="P318" s="658"/>
      <c r="Q318" s="658"/>
    </row>
    <row r="319" spans="3:17">
      <c r="C319" s="962"/>
      <c r="D319" s="962"/>
      <c r="E319" s="658"/>
      <c r="F319" s="658"/>
      <c r="G319" s="658"/>
      <c r="H319" s="658"/>
      <c r="I319" s="658"/>
      <c r="J319" s="658"/>
      <c r="K319" s="658"/>
      <c r="L319" s="658"/>
      <c r="M319" s="658"/>
      <c r="N319" s="658"/>
      <c r="O319" s="658"/>
      <c r="P319" s="658"/>
      <c r="Q319" s="658"/>
    </row>
    <row r="320" spans="3:17">
      <c r="C320" s="962"/>
      <c r="D320" s="962"/>
      <c r="E320" s="658"/>
      <c r="F320" s="658"/>
      <c r="G320" s="658"/>
      <c r="H320" s="658"/>
      <c r="I320" s="658"/>
      <c r="J320" s="658"/>
      <c r="K320" s="658"/>
      <c r="L320" s="658"/>
      <c r="M320" s="658"/>
      <c r="N320" s="658"/>
      <c r="O320" s="658"/>
      <c r="P320" s="658"/>
      <c r="Q320" s="658"/>
    </row>
    <row r="321" spans="3:17">
      <c r="C321" s="962"/>
      <c r="D321" s="962"/>
      <c r="E321" s="658"/>
      <c r="F321" s="658"/>
      <c r="G321" s="658"/>
      <c r="H321" s="658"/>
      <c r="I321" s="658"/>
      <c r="J321" s="658"/>
      <c r="K321" s="658"/>
      <c r="L321" s="658"/>
      <c r="M321" s="658"/>
      <c r="N321" s="658"/>
      <c r="O321" s="658"/>
      <c r="P321" s="658"/>
      <c r="Q321" s="658"/>
    </row>
    <row r="322" spans="3:17">
      <c r="C322" s="962"/>
      <c r="D322" s="962"/>
      <c r="E322" s="658"/>
      <c r="F322" s="658"/>
      <c r="G322" s="658"/>
      <c r="H322" s="658"/>
      <c r="I322" s="658"/>
      <c r="J322" s="658"/>
      <c r="K322" s="658"/>
      <c r="L322" s="658"/>
      <c r="M322" s="658"/>
      <c r="N322" s="658"/>
      <c r="O322" s="658"/>
      <c r="P322" s="658"/>
      <c r="Q322" s="658"/>
    </row>
    <row r="323" spans="3:17">
      <c r="C323" s="962"/>
      <c r="D323" s="962"/>
      <c r="E323" s="658"/>
      <c r="F323" s="658"/>
      <c r="G323" s="658"/>
      <c r="H323" s="658"/>
      <c r="I323" s="658"/>
      <c r="J323" s="658"/>
      <c r="K323" s="658"/>
      <c r="L323" s="658"/>
      <c r="M323" s="658"/>
      <c r="N323" s="658"/>
      <c r="O323" s="658"/>
      <c r="P323" s="658"/>
      <c r="Q323" s="658"/>
    </row>
    <row r="324" spans="3:17">
      <c r="C324" s="962"/>
      <c r="D324" s="962"/>
      <c r="E324" s="658"/>
      <c r="F324" s="658"/>
      <c r="G324" s="658"/>
      <c r="H324" s="658"/>
      <c r="I324" s="658"/>
      <c r="J324" s="658"/>
      <c r="K324" s="658"/>
      <c r="L324" s="658"/>
      <c r="M324" s="658"/>
      <c r="N324" s="658"/>
      <c r="O324" s="658"/>
      <c r="P324" s="658"/>
      <c r="Q324" s="658"/>
    </row>
    <row r="325" spans="3:17">
      <c r="C325" s="962"/>
      <c r="D325" s="962"/>
      <c r="E325" s="658"/>
      <c r="F325" s="658"/>
      <c r="G325" s="658"/>
      <c r="H325" s="658"/>
      <c r="I325" s="658"/>
      <c r="J325" s="658"/>
      <c r="K325" s="658"/>
      <c r="L325" s="658"/>
      <c r="M325" s="658"/>
      <c r="N325" s="658"/>
      <c r="O325" s="658"/>
      <c r="P325" s="658"/>
      <c r="Q325" s="658"/>
    </row>
    <row r="326" spans="3:17">
      <c r="C326" s="962"/>
      <c r="D326" s="962"/>
      <c r="E326" s="658"/>
      <c r="F326" s="658"/>
      <c r="G326" s="658"/>
      <c r="H326" s="658"/>
      <c r="I326" s="658"/>
      <c r="J326" s="658"/>
      <c r="K326" s="658"/>
      <c r="L326" s="658"/>
      <c r="M326" s="658"/>
      <c r="N326" s="658"/>
      <c r="O326" s="658"/>
      <c r="P326" s="658"/>
      <c r="Q326" s="658"/>
    </row>
    <row r="327" spans="3:17">
      <c r="C327" s="962"/>
      <c r="D327" s="962"/>
      <c r="E327" s="658"/>
      <c r="F327" s="658"/>
      <c r="G327" s="658"/>
      <c r="H327" s="658"/>
      <c r="I327" s="658"/>
      <c r="J327" s="658"/>
      <c r="K327" s="658"/>
      <c r="L327" s="658"/>
      <c r="M327" s="658"/>
      <c r="N327" s="658"/>
      <c r="O327" s="658"/>
      <c r="P327" s="658"/>
      <c r="Q327" s="658"/>
    </row>
    <row r="328" spans="3:17">
      <c r="C328" s="962"/>
      <c r="D328" s="962"/>
      <c r="E328" s="658"/>
      <c r="F328" s="658"/>
      <c r="G328" s="658"/>
      <c r="H328" s="658"/>
      <c r="I328" s="658"/>
      <c r="J328" s="658"/>
      <c r="K328" s="658"/>
      <c r="L328" s="658"/>
      <c r="M328" s="658"/>
      <c r="N328" s="658"/>
      <c r="O328" s="658"/>
      <c r="P328" s="658"/>
      <c r="Q328" s="658"/>
    </row>
    <row r="329" spans="3:17">
      <c r="C329" s="962"/>
      <c r="D329" s="962"/>
      <c r="E329" s="658"/>
      <c r="F329" s="658"/>
      <c r="G329" s="658"/>
      <c r="H329" s="658"/>
      <c r="I329" s="658"/>
      <c r="J329" s="658"/>
      <c r="K329" s="658"/>
      <c r="L329" s="658"/>
      <c r="M329" s="658"/>
      <c r="N329" s="658"/>
      <c r="O329" s="658"/>
      <c r="P329" s="658"/>
      <c r="Q329" s="658"/>
    </row>
    <row r="330" spans="3:17">
      <c r="C330" s="962"/>
      <c r="D330" s="962"/>
      <c r="E330" s="658"/>
      <c r="F330" s="658"/>
      <c r="G330" s="658"/>
      <c r="H330" s="658"/>
      <c r="I330" s="658"/>
      <c r="J330" s="658"/>
      <c r="K330" s="658"/>
      <c r="L330" s="658"/>
      <c r="M330" s="658"/>
      <c r="N330" s="658"/>
      <c r="O330" s="658"/>
      <c r="P330" s="658"/>
      <c r="Q330" s="658"/>
    </row>
    <row r="331" spans="3:17">
      <c r="C331" s="962"/>
      <c r="D331" s="962"/>
      <c r="E331" s="658"/>
      <c r="F331" s="658"/>
      <c r="G331" s="658"/>
      <c r="H331" s="658"/>
      <c r="I331" s="658"/>
      <c r="J331" s="658"/>
      <c r="K331" s="658"/>
      <c r="L331" s="658"/>
      <c r="M331" s="658"/>
      <c r="N331" s="658"/>
      <c r="O331" s="658"/>
      <c r="P331" s="658"/>
      <c r="Q331" s="658"/>
    </row>
    <row r="332" spans="3:17">
      <c r="C332" s="962"/>
      <c r="D332" s="962"/>
      <c r="E332" s="658"/>
      <c r="F332" s="658"/>
      <c r="G332" s="658"/>
      <c r="H332" s="658"/>
      <c r="I332" s="658"/>
      <c r="J332" s="658"/>
      <c r="K332" s="658"/>
      <c r="L332" s="658"/>
      <c r="M332" s="658"/>
      <c r="N332" s="658"/>
      <c r="O332" s="658"/>
      <c r="P332" s="658"/>
      <c r="Q332" s="658"/>
    </row>
    <row r="333" spans="3:17">
      <c r="C333" s="962"/>
      <c r="D333" s="962"/>
      <c r="E333" s="658"/>
      <c r="F333" s="658"/>
      <c r="G333" s="658"/>
      <c r="H333" s="658"/>
      <c r="I333" s="658"/>
      <c r="J333" s="658"/>
      <c r="K333" s="658"/>
      <c r="L333" s="658"/>
      <c r="M333" s="658"/>
      <c r="N333" s="658"/>
      <c r="O333" s="658"/>
      <c r="P333" s="658"/>
      <c r="Q333" s="658"/>
    </row>
    <row r="334" spans="3:17">
      <c r="C334" s="962"/>
      <c r="D334" s="962"/>
      <c r="E334" s="658"/>
      <c r="F334" s="658"/>
      <c r="G334" s="658"/>
      <c r="H334" s="658"/>
      <c r="I334" s="658"/>
      <c r="J334" s="658"/>
      <c r="K334" s="658"/>
      <c r="L334" s="658"/>
      <c r="M334" s="658"/>
      <c r="N334" s="658"/>
      <c r="O334" s="658"/>
      <c r="P334" s="658"/>
      <c r="Q334" s="658"/>
    </row>
    <row r="335" spans="3:17">
      <c r="C335" s="962"/>
      <c r="D335" s="962"/>
      <c r="E335" s="658"/>
      <c r="F335" s="658"/>
      <c r="G335" s="658"/>
      <c r="H335" s="658"/>
      <c r="I335" s="658"/>
      <c r="J335" s="658"/>
      <c r="K335" s="658"/>
      <c r="L335" s="658"/>
      <c r="M335" s="658"/>
      <c r="N335" s="658"/>
      <c r="O335" s="658"/>
      <c r="P335" s="658"/>
      <c r="Q335" s="658"/>
    </row>
    <row r="336" spans="3:17">
      <c r="C336" s="962"/>
      <c r="D336" s="962"/>
      <c r="E336" s="658"/>
      <c r="F336" s="658"/>
      <c r="G336" s="658"/>
      <c r="H336" s="658"/>
      <c r="I336" s="658"/>
      <c r="J336" s="658"/>
      <c r="K336" s="658"/>
      <c r="L336" s="658"/>
      <c r="M336" s="658"/>
      <c r="N336" s="658"/>
      <c r="O336" s="658"/>
      <c r="P336" s="658"/>
      <c r="Q336" s="658"/>
    </row>
    <row r="337" spans="3:17">
      <c r="C337" s="962"/>
      <c r="D337" s="962"/>
      <c r="E337" s="658"/>
      <c r="F337" s="658"/>
      <c r="G337" s="658"/>
      <c r="H337" s="658"/>
      <c r="I337" s="658"/>
      <c r="J337" s="658"/>
      <c r="K337" s="658"/>
      <c r="L337" s="658"/>
      <c r="M337" s="658"/>
      <c r="N337" s="658"/>
      <c r="O337" s="658"/>
      <c r="P337" s="658"/>
      <c r="Q337" s="658"/>
    </row>
    <row r="338" spans="3:17">
      <c r="C338" s="962"/>
      <c r="D338" s="962"/>
      <c r="E338" s="658"/>
      <c r="F338" s="658"/>
      <c r="G338" s="658"/>
      <c r="H338" s="658"/>
      <c r="I338" s="658"/>
      <c r="J338" s="658"/>
      <c r="K338" s="658"/>
      <c r="L338" s="658"/>
      <c r="M338" s="658"/>
      <c r="N338" s="658"/>
      <c r="O338" s="658"/>
      <c r="P338" s="658"/>
      <c r="Q338" s="658"/>
    </row>
    <row r="339" spans="3:17">
      <c r="C339" s="962"/>
      <c r="D339" s="962"/>
      <c r="E339" s="658"/>
      <c r="F339" s="658"/>
      <c r="G339" s="658"/>
      <c r="H339" s="658"/>
      <c r="I339" s="658"/>
      <c r="J339" s="658"/>
      <c r="K339" s="658"/>
      <c r="L339" s="658"/>
      <c r="M339" s="658"/>
      <c r="N339" s="658"/>
      <c r="O339" s="658"/>
      <c r="P339" s="658"/>
      <c r="Q339" s="658"/>
    </row>
    <row r="340" spans="3:17">
      <c r="C340" s="962"/>
      <c r="D340" s="962"/>
      <c r="E340" s="658"/>
      <c r="F340" s="658"/>
      <c r="G340" s="658"/>
      <c r="H340" s="658"/>
      <c r="I340" s="658"/>
      <c r="J340" s="658"/>
      <c r="K340" s="658"/>
      <c r="L340" s="658"/>
      <c r="M340" s="658"/>
      <c r="N340" s="658"/>
      <c r="O340" s="658"/>
      <c r="P340" s="658"/>
      <c r="Q340" s="658"/>
    </row>
    <row r="341" spans="3:17">
      <c r="C341" s="962"/>
      <c r="D341" s="962"/>
      <c r="E341" s="658"/>
      <c r="F341" s="658"/>
      <c r="G341" s="658"/>
      <c r="H341" s="658"/>
      <c r="I341" s="658"/>
      <c r="J341" s="658"/>
      <c r="K341" s="658"/>
      <c r="L341" s="658"/>
      <c r="M341" s="658"/>
      <c r="N341" s="658"/>
      <c r="O341" s="658"/>
      <c r="P341" s="658"/>
      <c r="Q341" s="658"/>
    </row>
    <row r="342" spans="3:17">
      <c r="C342" s="962"/>
      <c r="D342" s="962"/>
      <c r="E342" s="658"/>
      <c r="F342" s="658"/>
      <c r="G342" s="658"/>
      <c r="H342" s="658"/>
      <c r="I342" s="658"/>
      <c r="J342" s="658"/>
      <c r="K342" s="658"/>
      <c r="L342" s="658"/>
      <c r="M342" s="658"/>
      <c r="N342" s="658"/>
      <c r="O342" s="658"/>
      <c r="P342" s="658"/>
      <c r="Q342" s="658"/>
    </row>
    <row r="343" spans="3:17">
      <c r="C343" s="962"/>
      <c r="D343" s="962"/>
      <c r="E343" s="658"/>
      <c r="F343" s="658"/>
      <c r="G343" s="658"/>
      <c r="H343" s="658"/>
      <c r="I343" s="658"/>
      <c r="J343" s="658"/>
      <c r="K343" s="658"/>
      <c r="L343" s="658"/>
      <c r="M343" s="658"/>
      <c r="N343" s="658"/>
      <c r="O343" s="658"/>
      <c r="P343" s="658"/>
      <c r="Q343" s="658"/>
    </row>
    <row r="344" spans="3:17">
      <c r="C344" s="962"/>
      <c r="D344" s="962"/>
      <c r="E344" s="658"/>
      <c r="F344" s="658"/>
      <c r="G344" s="658"/>
      <c r="H344" s="658"/>
      <c r="I344" s="658"/>
      <c r="J344" s="658"/>
      <c r="K344" s="658"/>
      <c r="L344" s="658"/>
      <c r="M344" s="658"/>
      <c r="N344" s="658"/>
      <c r="O344" s="658"/>
      <c r="P344" s="658"/>
      <c r="Q344" s="658"/>
    </row>
    <row r="345" spans="3:17">
      <c r="C345" s="962"/>
      <c r="D345" s="962"/>
      <c r="E345" s="658"/>
      <c r="F345" s="658"/>
      <c r="G345" s="658"/>
      <c r="H345" s="658"/>
      <c r="I345" s="658"/>
      <c r="J345" s="658"/>
      <c r="K345" s="658"/>
      <c r="L345" s="658"/>
      <c r="M345" s="658"/>
      <c r="N345" s="658"/>
      <c r="O345" s="658"/>
      <c r="P345" s="658"/>
      <c r="Q345" s="658"/>
    </row>
    <row r="346" spans="3:17">
      <c r="C346" s="962"/>
      <c r="D346" s="962"/>
      <c r="E346" s="658"/>
      <c r="F346" s="658"/>
      <c r="G346" s="658"/>
      <c r="H346" s="658"/>
      <c r="I346" s="658"/>
      <c r="J346" s="658"/>
      <c r="K346" s="658"/>
      <c r="L346" s="658"/>
      <c r="M346" s="658"/>
      <c r="N346" s="658"/>
      <c r="O346" s="658"/>
      <c r="P346" s="658"/>
      <c r="Q346" s="658"/>
    </row>
    <row r="347" spans="3:17">
      <c r="C347" s="962"/>
      <c r="D347" s="962"/>
      <c r="E347" s="658"/>
      <c r="F347" s="658"/>
      <c r="G347" s="658"/>
      <c r="H347" s="658"/>
      <c r="I347" s="658"/>
      <c r="J347" s="658"/>
      <c r="K347" s="658"/>
      <c r="L347" s="658"/>
      <c r="M347" s="658"/>
      <c r="N347" s="658"/>
      <c r="O347" s="658"/>
      <c r="P347" s="658"/>
      <c r="Q347" s="658"/>
    </row>
    <row r="348" spans="3:17">
      <c r="C348" s="962"/>
      <c r="D348" s="962"/>
      <c r="E348" s="658"/>
      <c r="F348" s="658"/>
      <c r="G348" s="658"/>
      <c r="H348" s="658"/>
      <c r="I348" s="658"/>
      <c r="J348" s="658"/>
      <c r="K348" s="658"/>
      <c r="L348" s="658"/>
      <c r="M348" s="658"/>
      <c r="N348" s="658"/>
      <c r="O348" s="658"/>
      <c r="P348" s="658"/>
      <c r="Q348" s="658"/>
    </row>
    <row r="349" spans="3:17">
      <c r="C349" s="962"/>
      <c r="D349" s="962"/>
      <c r="E349" s="658"/>
      <c r="F349" s="658"/>
      <c r="G349" s="658"/>
      <c r="H349" s="658"/>
      <c r="I349" s="658"/>
      <c r="J349" s="658"/>
      <c r="K349" s="658"/>
      <c r="L349" s="658"/>
      <c r="M349" s="658"/>
      <c r="N349" s="658"/>
      <c r="O349" s="658"/>
      <c r="P349" s="658"/>
      <c r="Q349" s="658"/>
    </row>
    <row r="350" spans="3:17">
      <c r="C350" s="962"/>
      <c r="D350" s="962"/>
      <c r="E350" s="658"/>
      <c r="F350" s="658"/>
      <c r="G350" s="658"/>
      <c r="H350" s="658"/>
      <c r="I350" s="658"/>
      <c r="J350" s="658"/>
      <c r="K350" s="658"/>
      <c r="L350" s="658"/>
      <c r="M350" s="658"/>
      <c r="N350" s="658"/>
      <c r="O350" s="658"/>
      <c r="P350" s="658"/>
      <c r="Q350" s="658"/>
    </row>
    <row r="351" spans="3:17">
      <c r="C351" s="962"/>
      <c r="D351" s="962"/>
      <c r="E351" s="658"/>
      <c r="F351" s="658"/>
      <c r="G351" s="658"/>
      <c r="H351" s="658"/>
      <c r="I351" s="658"/>
      <c r="J351" s="658"/>
      <c r="K351" s="658"/>
      <c r="L351" s="658"/>
      <c r="M351" s="658"/>
      <c r="N351" s="658"/>
      <c r="O351" s="658"/>
      <c r="P351" s="658"/>
      <c r="Q351" s="658"/>
    </row>
    <row r="352" spans="3:17">
      <c r="C352" s="962"/>
      <c r="D352" s="962"/>
      <c r="E352" s="658"/>
      <c r="F352" s="658"/>
      <c r="G352" s="658"/>
      <c r="H352" s="658"/>
      <c r="I352" s="658"/>
      <c r="J352" s="658"/>
      <c r="K352" s="658"/>
      <c r="L352" s="658"/>
      <c r="M352" s="658"/>
      <c r="N352" s="658"/>
      <c r="O352" s="658"/>
      <c r="P352" s="658"/>
      <c r="Q352" s="658"/>
    </row>
    <row r="353" spans="3:17">
      <c r="C353" s="962"/>
      <c r="D353" s="962"/>
      <c r="E353" s="658"/>
      <c r="F353" s="658"/>
      <c r="G353" s="658"/>
      <c r="H353" s="658"/>
      <c r="I353" s="658"/>
      <c r="J353" s="658"/>
      <c r="K353" s="658"/>
      <c r="L353" s="658"/>
      <c r="M353" s="658"/>
      <c r="N353" s="658"/>
      <c r="O353" s="658"/>
      <c r="P353" s="658"/>
      <c r="Q353" s="658"/>
    </row>
    <row r="354" spans="3:17">
      <c r="C354" s="962"/>
      <c r="D354" s="962"/>
      <c r="E354" s="658"/>
      <c r="F354" s="658"/>
      <c r="G354" s="658"/>
      <c r="H354" s="658"/>
      <c r="I354" s="658"/>
      <c r="J354" s="658"/>
      <c r="K354" s="658"/>
      <c r="L354" s="658"/>
      <c r="M354" s="658"/>
      <c r="N354" s="658"/>
      <c r="O354" s="658"/>
      <c r="P354" s="658"/>
      <c r="Q354" s="658"/>
    </row>
    <row r="355" spans="3:17">
      <c r="C355" s="962"/>
      <c r="D355" s="962"/>
      <c r="E355" s="658"/>
      <c r="F355" s="658"/>
      <c r="G355" s="658"/>
      <c r="H355" s="658"/>
      <c r="I355" s="658"/>
      <c r="J355" s="658"/>
      <c r="K355" s="658"/>
      <c r="L355" s="658"/>
      <c r="M355" s="658"/>
      <c r="N355" s="658"/>
      <c r="O355" s="658"/>
      <c r="P355" s="658"/>
      <c r="Q355" s="658"/>
    </row>
    <row r="356" spans="3:17">
      <c r="C356" s="962"/>
      <c r="D356" s="962"/>
      <c r="E356" s="658"/>
      <c r="F356" s="658"/>
      <c r="G356" s="658"/>
      <c r="H356" s="658"/>
      <c r="I356" s="658"/>
      <c r="J356" s="658"/>
      <c r="K356" s="658"/>
      <c r="L356" s="658"/>
      <c r="M356" s="658"/>
      <c r="N356" s="658"/>
      <c r="O356" s="658"/>
      <c r="P356" s="658"/>
      <c r="Q356" s="658"/>
    </row>
    <row r="357" spans="3:17">
      <c r="C357" s="962"/>
      <c r="D357" s="962"/>
      <c r="E357" s="658"/>
      <c r="F357" s="658"/>
      <c r="G357" s="658"/>
      <c r="H357" s="658"/>
      <c r="I357" s="658"/>
      <c r="J357" s="658"/>
      <c r="K357" s="658"/>
      <c r="L357" s="658"/>
      <c r="M357" s="658"/>
      <c r="N357" s="658"/>
      <c r="O357" s="658"/>
      <c r="P357" s="658"/>
      <c r="Q357" s="658"/>
    </row>
    <row r="358" spans="3:17">
      <c r="C358" s="962"/>
      <c r="D358" s="962"/>
      <c r="E358" s="658"/>
      <c r="F358" s="658"/>
      <c r="G358" s="658"/>
      <c r="H358" s="658"/>
      <c r="I358" s="658"/>
      <c r="J358" s="658"/>
      <c r="K358" s="658"/>
      <c r="L358" s="658"/>
      <c r="M358" s="658"/>
      <c r="N358" s="658"/>
      <c r="O358" s="658"/>
      <c r="P358" s="658"/>
      <c r="Q358" s="658"/>
    </row>
    <row r="359" spans="3:17">
      <c r="C359" s="962"/>
      <c r="D359" s="962"/>
      <c r="E359" s="658"/>
      <c r="F359" s="658"/>
      <c r="G359" s="658"/>
      <c r="H359" s="658"/>
      <c r="I359" s="658"/>
      <c r="J359" s="658"/>
      <c r="K359" s="658"/>
      <c r="L359" s="658"/>
      <c r="M359" s="658"/>
      <c r="N359" s="658"/>
      <c r="O359" s="658"/>
      <c r="P359" s="658"/>
      <c r="Q359" s="658"/>
    </row>
    <row r="360" spans="3:17">
      <c r="C360" s="962"/>
      <c r="D360" s="962"/>
      <c r="E360" s="658"/>
      <c r="F360" s="658"/>
      <c r="G360" s="658"/>
      <c r="H360" s="658"/>
      <c r="I360" s="658"/>
      <c r="J360" s="658"/>
      <c r="K360" s="658"/>
      <c r="L360" s="658"/>
      <c r="M360" s="658"/>
      <c r="N360" s="658"/>
      <c r="O360" s="658"/>
      <c r="P360" s="658"/>
      <c r="Q360" s="658"/>
    </row>
    <row r="361" spans="3:17">
      <c r="C361" s="962"/>
      <c r="D361" s="962"/>
      <c r="E361" s="658"/>
      <c r="F361" s="658"/>
      <c r="G361" s="658"/>
      <c r="H361" s="658"/>
      <c r="I361" s="658"/>
      <c r="J361" s="658"/>
      <c r="K361" s="658"/>
      <c r="L361" s="658"/>
      <c r="M361" s="658"/>
      <c r="N361" s="658"/>
      <c r="O361" s="658"/>
      <c r="P361" s="658"/>
      <c r="Q361" s="658"/>
    </row>
    <row r="362" spans="3:17">
      <c r="C362" s="962"/>
      <c r="D362" s="962"/>
      <c r="E362" s="658"/>
      <c r="F362" s="658"/>
      <c r="G362" s="658"/>
      <c r="H362" s="658"/>
      <c r="I362" s="658"/>
      <c r="J362" s="658"/>
      <c r="K362" s="658"/>
      <c r="L362" s="658"/>
      <c r="M362" s="658"/>
      <c r="N362" s="658"/>
      <c r="O362" s="658"/>
      <c r="P362" s="658"/>
      <c r="Q362" s="658"/>
    </row>
    <row r="363" spans="3:17">
      <c r="C363" s="962"/>
      <c r="D363" s="962"/>
      <c r="E363" s="658"/>
      <c r="F363" s="658"/>
      <c r="G363" s="658"/>
      <c r="H363" s="658"/>
      <c r="I363" s="658"/>
      <c r="J363" s="658"/>
      <c r="K363" s="658"/>
      <c r="L363" s="658"/>
      <c r="M363" s="658"/>
      <c r="N363" s="658"/>
      <c r="O363" s="658"/>
      <c r="P363" s="658"/>
      <c r="Q363" s="658"/>
    </row>
    <row r="364" spans="3:17">
      <c r="C364" s="962"/>
      <c r="D364" s="962"/>
      <c r="E364" s="658"/>
      <c r="F364" s="658"/>
      <c r="G364" s="658"/>
      <c r="H364" s="658"/>
      <c r="I364" s="658"/>
      <c r="J364" s="658"/>
      <c r="K364" s="658"/>
      <c r="L364" s="658"/>
      <c r="M364" s="658"/>
      <c r="N364" s="658"/>
      <c r="O364" s="658"/>
      <c r="P364" s="658"/>
      <c r="Q364" s="658"/>
    </row>
    <row r="365" spans="3:17">
      <c r="C365" s="962"/>
      <c r="D365" s="962"/>
      <c r="E365" s="658"/>
      <c r="F365" s="658"/>
      <c r="G365" s="658"/>
      <c r="H365" s="658"/>
      <c r="I365" s="658"/>
      <c r="J365" s="658"/>
      <c r="K365" s="658"/>
      <c r="L365" s="658"/>
      <c r="M365" s="658"/>
      <c r="N365" s="658"/>
      <c r="O365" s="658"/>
      <c r="P365" s="658"/>
      <c r="Q365" s="658"/>
    </row>
    <row r="366" spans="3:17">
      <c r="C366" s="962"/>
      <c r="D366" s="962"/>
      <c r="E366" s="658"/>
      <c r="F366" s="658"/>
      <c r="G366" s="658"/>
      <c r="H366" s="658"/>
      <c r="I366" s="658"/>
      <c r="J366" s="658"/>
      <c r="K366" s="658"/>
      <c r="L366" s="658"/>
      <c r="M366" s="658"/>
      <c r="N366" s="658"/>
      <c r="O366" s="658"/>
      <c r="P366" s="658"/>
      <c r="Q366" s="658"/>
    </row>
    <row r="367" spans="3:17">
      <c r="C367" s="962"/>
      <c r="D367" s="962"/>
      <c r="E367" s="658"/>
      <c r="F367" s="658"/>
      <c r="G367" s="658"/>
      <c r="H367" s="658"/>
      <c r="I367" s="658"/>
      <c r="J367" s="658"/>
      <c r="K367" s="658"/>
      <c r="L367" s="658"/>
      <c r="M367" s="658"/>
      <c r="N367" s="658"/>
      <c r="O367" s="658"/>
      <c r="P367" s="658"/>
      <c r="Q367" s="658"/>
    </row>
    <row r="368" spans="3:17">
      <c r="C368" s="962"/>
      <c r="D368" s="962"/>
      <c r="E368" s="658"/>
      <c r="F368" s="658"/>
      <c r="G368" s="658"/>
      <c r="H368" s="658"/>
      <c r="I368" s="658"/>
      <c r="J368" s="658"/>
      <c r="K368" s="658"/>
      <c r="L368" s="658"/>
      <c r="M368" s="658"/>
      <c r="N368" s="658"/>
      <c r="O368" s="658"/>
      <c r="P368" s="658"/>
      <c r="Q368" s="658"/>
    </row>
    <row r="369" spans="3:17">
      <c r="C369" s="962"/>
      <c r="D369" s="962"/>
      <c r="E369" s="658"/>
      <c r="F369" s="658"/>
      <c r="G369" s="658"/>
      <c r="H369" s="658"/>
      <c r="I369" s="658"/>
      <c r="J369" s="658"/>
      <c r="K369" s="658"/>
      <c r="L369" s="658"/>
      <c r="M369" s="658"/>
      <c r="N369" s="658"/>
      <c r="O369" s="658"/>
      <c r="P369" s="658"/>
      <c r="Q369" s="658"/>
    </row>
    <row r="370" spans="3:17">
      <c r="C370" s="962"/>
      <c r="D370" s="962"/>
      <c r="E370" s="658"/>
      <c r="F370" s="658"/>
      <c r="G370" s="658"/>
      <c r="H370" s="658"/>
      <c r="I370" s="658"/>
      <c r="J370" s="658"/>
      <c r="K370" s="658"/>
      <c r="L370" s="658"/>
      <c r="M370" s="658"/>
      <c r="N370" s="658"/>
      <c r="O370" s="658"/>
      <c r="P370" s="658"/>
      <c r="Q370" s="658"/>
    </row>
    <row r="371" spans="3:17">
      <c r="C371" s="962"/>
      <c r="D371" s="962"/>
      <c r="E371" s="658"/>
      <c r="F371" s="658"/>
      <c r="G371" s="658"/>
      <c r="H371" s="658"/>
      <c r="I371" s="658"/>
      <c r="J371" s="658"/>
      <c r="K371" s="658"/>
      <c r="L371" s="658"/>
      <c r="M371" s="658"/>
      <c r="N371" s="658"/>
      <c r="O371" s="658"/>
      <c r="P371" s="658"/>
      <c r="Q371" s="658"/>
    </row>
    <row r="372" spans="3:17">
      <c r="C372" s="962"/>
      <c r="D372" s="962"/>
      <c r="E372" s="658"/>
      <c r="F372" s="658"/>
      <c r="G372" s="658"/>
      <c r="H372" s="658"/>
      <c r="I372" s="658"/>
      <c r="J372" s="658"/>
      <c r="K372" s="658"/>
      <c r="L372" s="658"/>
      <c r="M372" s="658"/>
      <c r="N372" s="658"/>
      <c r="O372" s="658"/>
      <c r="P372" s="658"/>
      <c r="Q372" s="658"/>
    </row>
    <row r="373" spans="3:17">
      <c r="C373" s="962"/>
      <c r="D373" s="962"/>
      <c r="E373" s="658"/>
      <c r="F373" s="658"/>
      <c r="G373" s="658"/>
      <c r="H373" s="658"/>
      <c r="I373" s="658"/>
      <c r="J373" s="658"/>
      <c r="K373" s="658"/>
      <c r="L373" s="658"/>
      <c r="M373" s="658"/>
      <c r="N373" s="658"/>
      <c r="O373" s="658"/>
      <c r="P373" s="658"/>
      <c r="Q373" s="658"/>
    </row>
    <row r="374" spans="3:17">
      <c r="C374" s="962"/>
      <c r="D374" s="962"/>
      <c r="E374" s="658"/>
      <c r="F374" s="658"/>
      <c r="G374" s="658"/>
      <c r="H374" s="658"/>
      <c r="I374" s="658"/>
      <c r="J374" s="658"/>
      <c r="K374" s="658"/>
      <c r="L374" s="658"/>
      <c r="M374" s="658"/>
      <c r="N374" s="658"/>
      <c r="O374" s="658"/>
      <c r="P374" s="658"/>
      <c r="Q374" s="658"/>
    </row>
    <row r="375" spans="3:17">
      <c r="C375" s="962"/>
      <c r="D375" s="962"/>
      <c r="E375" s="658"/>
      <c r="F375" s="658"/>
      <c r="G375" s="658"/>
      <c r="H375" s="658"/>
      <c r="I375" s="658"/>
      <c r="J375" s="658"/>
      <c r="K375" s="658"/>
      <c r="L375" s="658"/>
      <c r="M375" s="658"/>
      <c r="N375" s="658"/>
      <c r="O375" s="658"/>
      <c r="P375" s="658"/>
      <c r="Q375" s="658"/>
    </row>
    <row r="376" spans="3:17">
      <c r="C376" s="962"/>
      <c r="D376" s="962"/>
      <c r="E376" s="658"/>
      <c r="F376" s="658"/>
      <c r="G376" s="658"/>
      <c r="H376" s="658"/>
      <c r="I376" s="658"/>
      <c r="J376" s="658"/>
      <c r="K376" s="658"/>
      <c r="L376" s="658"/>
      <c r="M376" s="658"/>
      <c r="N376" s="658"/>
      <c r="O376" s="658"/>
      <c r="P376" s="658"/>
      <c r="Q376" s="658"/>
    </row>
    <row r="377" spans="3:17">
      <c r="C377" s="962"/>
      <c r="D377" s="962"/>
      <c r="E377" s="658"/>
      <c r="F377" s="658"/>
      <c r="G377" s="658"/>
      <c r="H377" s="658"/>
      <c r="I377" s="658"/>
      <c r="J377" s="658"/>
      <c r="K377" s="658"/>
      <c r="L377" s="658"/>
      <c r="M377" s="658"/>
      <c r="N377" s="658"/>
      <c r="O377" s="658"/>
      <c r="P377" s="658"/>
      <c r="Q377" s="658"/>
    </row>
    <row r="378" spans="3:17">
      <c r="C378" s="962"/>
      <c r="D378" s="962"/>
      <c r="E378" s="658"/>
      <c r="F378" s="658"/>
      <c r="G378" s="658"/>
      <c r="H378" s="658"/>
      <c r="I378" s="658"/>
      <c r="J378" s="658"/>
      <c r="K378" s="658"/>
      <c r="L378" s="658"/>
      <c r="M378" s="658"/>
      <c r="N378" s="658"/>
      <c r="O378" s="658"/>
      <c r="P378" s="658"/>
      <c r="Q378" s="658"/>
    </row>
    <row r="379" spans="3:17">
      <c r="C379" s="962"/>
      <c r="D379" s="962"/>
      <c r="E379" s="658"/>
      <c r="F379" s="658"/>
      <c r="G379" s="658"/>
      <c r="H379" s="658"/>
      <c r="I379" s="658"/>
      <c r="J379" s="658"/>
      <c r="K379" s="658"/>
      <c r="L379" s="658"/>
      <c r="M379" s="658"/>
      <c r="N379" s="658"/>
      <c r="O379" s="658"/>
      <c r="P379" s="658"/>
      <c r="Q379" s="658"/>
    </row>
    <row r="380" spans="3:17">
      <c r="C380" s="962"/>
      <c r="D380" s="962"/>
      <c r="E380" s="658"/>
      <c r="F380" s="658"/>
      <c r="G380" s="658"/>
      <c r="H380" s="658"/>
      <c r="I380" s="658"/>
      <c r="J380" s="658"/>
      <c r="K380" s="658"/>
      <c r="L380" s="658"/>
      <c r="M380" s="658"/>
      <c r="N380" s="658"/>
      <c r="O380" s="658"/>
      <c r="P380" s="658"/>
      <c r="Q380" s="658"/>
    </row>
    <row r="381" spans="3:17">
      <c r="C381" s="962"/>
      <c r="D381" s="962"/>
      <c r="E381" s="658"/>
      <c r="F381" s="658"/>
      <c r="G381" s="658"/>
      <c r="H381" s="658"/>
      <c r="I381" s="658"/>
      <c r="J381" s="658"/>
      <c r="K381" s="658"/>
      <c r="L381" s="658"/>
      <c r="M381" s="658"/>
      <c r="N381" s="658"/>
      <c r="O381" s="658"/>
      <c r="P381" s="658"/>
      <c r="Q381" s="658"/>
    </row>
    <row r="382" spans="3:17">
      <c r="C382" s="962"/>
      <c r="D382" s="962"/>
      <c r="E382" s="658"/>
      <c r="F382" s="658"/>
      <c r="G382" s="658"/>
      <c r="H382" s="658"/>
      <c r="I382" s="658"/>
      <c r="J382" s="658"/>
      <c r="K382" s="658"/>
      <c r="L382" s="658"/>
      <c r="M382" s="658"/>
      <c r="N382" s="658"/>
      <c r="O382" s="658"/>
      <c r="P382" s="658"/>
      <c r="Q382" s="658"/>
    </row>
    <row r="383" spans="3:17">
      <c r="C383" s="962"/>
      <c r="D383" s="962"/>
      <c r="E383" s="658"/>
      <c r="F383" s="658"/>
      <c r="G383" s="658"/>
      <c r="H383" s="658"/>
      <c r="I383" s="658"/>
      <c r="J383" s="658"/>
      <c r="K383" s="658"/>
      <c r="L383" s="658"/>
      <c r="M383" s="658"/>
      <c r="N383" s="658"/>
      <c r="O383" s="658"/>
      <c r="P383" s="658"/>
      <c r="Q383" s="658"/>
    </row>
    <row r="384" spans="3:17">
      <c r="C384" s="962"/>
      <c r="D384" s="962"/>
      <c r="E384" s="658"/>
      <c r="F384" s="658"/>
      <c r="G384" s="658"/>
      <c r="H384" s="658"/>
      <c r="I384" s="658"/>
      <c r="J384" s="658"/>
      <c r="K384" s="658"/>
      <c r="L384" s="658"/>
      <c r="M384" s="658"/>
      <c r="N384" s="658"/>
      <c r="O384" s="658"/>
      <c r="P384" s="658"/>
      <c r="Q384" s="658"/>
    </row>
    <row r="385" spans="3:17">
      <c r="C385" s="962"/>
      <c r="D385" s="962"/>
      <c r="E385" s="658"/>
      <c r="F385" s="658"/>
      <c r="G385" s="658"/>
      <c r="H385" s="658"/>
      <c r="I385" s="658"/>
      <c r="J385" s="658"/>
      <c r="K385" s="658"/>
      <c r="L385" s="658"/>
      <c r="M385" s="658"/>
      <c r="N385" s="658"/>
      <c r="O385" s="658"/>
      <c r="P385" s="658"/>
      <c r="Q385" s="658"/>
    </row>
    <row r="386" spans="3:17">
      <c r="C386" s="962"/>
      <c r="D386" s="962"/>
      <c r="E386" s="658"/>
      <c r="F386" s="658"/>
      <c r="G386" s="658"/>
      <c r="H386" s="658"/>
      <c r="I386" s="658"/>
      <c r="J386" s="658"/>
      <c r="K386" s="658"/>
      <c r="L386" s="658"/>
      <c r="M386" s="658"/>
      <c r="N386" s="658"/>
      <c r="O386" s="658"/>
      <c r="P386" s="658"/>
      <c r="Q386" s="658"/>
    </row>
    <row r="387" spans="3:17">
      <c r="C387" s="962"/>
      <c r="D387" s="962"/>
      <c r="E387" s="658"/>
      <c r="F387" s="658"/>
      <c r="G387" s="658"/>
      <c r="H387" s="658"/>
      <c r="I387" s="658"/>
      <c r="J387" s="658"/>
      <c r="K387" s="658"/>
      <c r="L387" s="658"/>
      <c r="M387" s="658"/>
      <c r="N387" s="658"/>
      <c r="O387" s="658"/>
      <c r="P387" s="658"/>
      <c r="Q387" s="658"/>
    </row>
    <row r="388" spans="3:17">
      <c r="C388" s="962"/>
      <c r="D388" s="962"/>
      <c r="E388" s="658"/>
      <c r="F388" s="658"/>
      <c r="G388" s="658"/>
      <c r="H388" s="658"/>
      <c r="I388" s="658"/>
      <c r="J388" s="658"/>
      <c r="K388" s="658"/>
      <c r="L388" s="658"/>
      <c r="M388" s="658"/>
      <c r="N388" s="658"/>
      <c r="O388" s="658"/>
      <c r="P388" s="658"/>
      <c r="Q388" s="658"/>
    </row>
    <row r="389" spans="3:17">
      <c r="C389" s="962"/>
      <c r="D389" s="962"/>
      <c r="E389" s="658"/>
      <c r="F389" s="658"/>
      <c r="G389" s="658"/>
      <c r="H389" s="658"/>
      <c r="I389" s="658"/>
      <c r="J389" s="658"/>
      <c r="K389" s="658"/>
      <c r="L389" s="658"/>
      <c r="M389" s="658"/>
      <c r="N389" s="658"/>
      <c r="O389" s="658"/>
      <c r="P389" s="658"/>
      <c r="Q389" s="658"/>
    </row>
    <row r="390" spans="3:17">
      <c r="C390" s="962"/>
      <c r="D390" s="962"/>
      <c r="E390" s="658"/>
      <c r="F390" s="658"/>
      <c r="G390" s="658"/>
      <c r="H390" s="658"/>
      <c r="I390" s="658"/>
      <c r="J390" s="658"/>
      <c r="K390" s="658"/>
      <c r="L390" s="658"/>
      <c r="M390" s="658"/>
      <c r="N390" s="658"/>
      <c r="O390" s="658"/>
      <c r="P390" s="658"/>
      <c r="Q390" s="658"/>
    </row>
    <row r="391" spans="3:17">
      <c r="C391" s="962"/>
      <c r="D391" s="962"/>
      <c r="E391" s="658"/>
      <c r="F391" s="658"/>
      <c r="G391" s="658"/>
      <c r="H391" s="658"/>
      <c r="I391" s="658"/>
      <c r="J391" s="658"/>
      <c r="K391" s="658"/>
      <c r="L391" s="658"/>
      <c r="M391" s="658"/>
      <c r="N391" s="658"/>
      <c r="O391" s="658"/>
      <c r="P391" s="658"/>
      <c r="Q391" s="658"/>
    </row>
    <row r="392" spans="3:17">
      <c r="C392" s="962"/>
      <c r="D392" s="962"/>
      <c r="E392" s="658"/>
      <c r="F392" s="658"/>
      <c r="G392" s="658"/>
      <c r="H392" s="658"/>
      <c r="I392" s="658"/>
      <c r="J392" s="658"/>
      <c r="K392" s="658"/>
      <c r="L392" s="658"/>
      <c r="M392" s="658"/>
      <c r="N392" s="658"/>
      <c r="O392" s="658"/>
      <c r="P392" s="658"/>
      <c r="Q392" s="658"/>
    </row>
    <row r="393" spans="3:17">
      <c r="C393" s="962"/>
      <c r="D393" s="962"/>
      <c r="E393" s="658"/>
      <c r="F393" s="658"/>
      <c r="G393" s="658"/>
      <c r="H393" s="658"/>
      <c r="I393" s="658"/>
      <c r="J393" s="658"/>
      <c r="K393" s="658"/>
      <c r="L393" s="658"/>
      <c r="M393" s="658"/>
      <c r="N393" s="658"/>
      <c r="O393" s="658"/>
      <c r="P393" s="658"/>
      <c r="Q393" s="658"/>
    </row>
    <row r="394" spans="3:17">
      <c r="C394" s="962"/>
      <c r="D394" s="962"/>
      <c r="E394" s="658"/>
      <c r="F394" s="658"/>
      <c r="G394" s="658"/>
      <c r="H394" s="658"/>
      <c r="I394" s="658"/>
      <c r="J394" s="658"/>
      <c r="K394" s="658"/>
      <c r="L394" s="658"/>
      <c r="M394" s="658"/>
      <c r="N394" s="658"/>
      <c r="O394" s="658"/>
      <c r="P394" s="658"/>
      <c r="Q394" s="658"/>
    </row>
    <row r="395" spans="3:17">
      <c r="C395" s="962"/>
      <c r="D395" s="962"/>
      <c r="E395" s="658"/>
      <c r="F395" s="658"/>
      <c r="G395" s="658"/>
      <c r="H395" s="658"/>
      <c r="I395" s="658"/>
      <c r="J395" s="658"/>
      <c r="K395" s="658"/>
      <c r="L395" s="658"/>
      <c r="M395" s="658"/>
      <c r="N395" s="658"/>
      <c r="O395" s="658"/>
      <c r="P395" s="658"/>
      <c r="Q395" s="658"/>
    </row>
    <row r="396" spans="3:17">
      <c r="C396" s="962"/>
      <c r="D396" s="962"/>
      <c r="E396" s="658"/>
      <c r="F396" s="658"/>
      <c r="G396" s="658"/>
      <c r="H396" s="658"/>
      <c r="I396" s="658"/>
      <c r="J396" s="658"/>
      <c r="K396" s="658"/>
      <c r="L396" s="658"/>
      <c r="M396" s="658"/>
      <c r="N396" s="658"/>
      <c r="O396" s="658"/>
      <c r="P396" s="658"/>
      <c r="Q396" s="658"/>
    </row>
    <row r="397" spans="3:17">
      <c r="C397" s="962"/>
      <c r="D397" s="962"/>
      <c r="E397" s="658"/>
      <c r="F397" s="658"/>
      <c r="G397" s="658"/>
      <c r="H397" s="658"/>
      <c r="I397" s="658"/>
      <c r="J397" s="658"/>
      <c r="K397" s="658"/>
      <c r="L397" s="658"/>
      <c r="M397" s="658"/>
      <c r="N397" s="658"/>
      <c r="O397" s="658"/>
      <c r="P397" s="658"/>
      <c r="Q397" s="658"/>
    </row>
    <row r="398" spans="3:17">
      <c r="C398" s="962"/>
      <c r="D398" s="962"/>
      <c r="E398" s="658"/>
      <c r="F398" s="658"/>
      <c r="G398" s="658"/>
      <c r="H398" s="658"/>
      <c r="I398" s="658"/>
      <c r="J398" s="658"/>
      <c r="K398" s="658"/>
      <c r="L398" s="658"/>
      <c r="M398" s="658"/>
      <c r="N398" s="658"/>
      <c r="O398" s="658"/>
      <c r="P398" s="658"/>
      <c r="Q398" s="658"/>
    </row>
    <row r="399" spans="3:17">
      <c r="C399" s="962"/>
      <c r="D399" s="962"/>
      <c r="E399" s="658"/>
      <c r="F399" s="658"/>
      <c r="G399" s="658"/>
      <c r="H399" s="658"/>
      <c r="I399" s="658"/>
      <c r="J399" s="658"/>
      <c r="K399" s="658"/>
      <c r="L399" s="658"/>
      <c r="M399" s="658"/>
      <c r="N399" s="658"/>
      <c r="O399" s="658"/>
      <c r="P399" s="658"/>
      <c r="Q399" s="658"/>
    </row>
    <row r="400" spans="3:17">
      <c r="C400" s="962"/>
      <c r="D400" s="962"/>
      <c r="E400" s="658"/>
      <c r="F400" s="658"/>
      <c r="G400" s="658"/>
      <c r="H400" s="658"/>
      <c r="I400" s="658"/>
      <c r="J400" s="658"/>
      <c r="K400" s="658"/>
      <c r="L400" s="658"/>
      <c r="M400" s="658"/>
      <c r="N400" s="658"/>
      <c r="O400" s="658"/>
      <c r="P400" s="658"/>
      <c r="Q400" s="658"/>
    </row>
    <row r="401" spans="3:17">
      <c r="C401" s="962"/>
      <c r="D401" s="962"/>
      <c r="E401" s="658"/>
      <c r="F401" s="658"/>
      <c r="G401" s="658"/>
      <c r="H401" s="658"/>
      <c r="I401" s="658"/>
      <c r="J401" s="658"/>
      <c r="K401" s="658"/>
      <c r="L401" s="658"/>
      <c r="M401" s="658"/>
      <c r="N401" s="658"/>
      <c r="O401" s="658"/>
      <c r="P401" s="658"/>
      <c r="Q401" s="658"/>
    </row>
    <row r="402" spans="3:17">
      <c r="C402" s="962"/>
      <c r="D402" s="962"/>
      <c r="E402" s="658"/>
      <c r="F402" s="658"/>
      <c r="G402" s="658"/>
      <c r="H402" s="658"/>
      <c r="I402" s="658"/>
      <c r="J402" s="658"/>
      <c r="K402" s="658"/>
      <c r="L402" s="658"/>
      <c r="M402" s="658"/>
      <c r="N402" s="658"/>
      <c r="O402" s="658"/>
      <c r="P402" s="658"/>
      <c r="Q402" s="658"/>
    </row>
    <row r="403" spans="3:17">
      <c r="C403" s="962"/>
      <c r="D403" s="962"/>
      <c r="E403" s="658"/>
      <c r="F403" s="658"/>
      <c r="G403" s="658"/>
      <c r="H403" s="658"/>
      <c r="I403" s="658"/>
      <c r="J403" s="658"/>
      <c r="K403" s="658"/>
      <c r="L403" s="658"/>
      <c r="M403" s="658"/>
      <c r="N403" s="658"/>
      <c r="O403" s="658"/>
      <c r="P403" s="658"/>
      <c r="Q403" s="658"/>
    </row>
    <row r="404" spans="3:17">
      <c r="C404" s="962"/>
      <c r="D404" s="962"/>
      <c r="E404" s="658"/>
      <c r="F404" s="658"/>
      <c r="G404" s="658"/>
      <c r="H404" s="658"/>
      <c r="I404" s="658"/>
      <c r="J404" s="658"/>
      <c r="K404" s="658"/>
      <c r="L404" s="658"/>
      <c r="M404" s="658"/>
      <c r="N404" s="658"/>
      <c r="O404" s="658"/>
      <c r="P404" s="658"/>
      <c r="Q404" s="658"/>
    </row>
    <row r="405" spans="3:17">
      <c r="C405" s="962"/>
      <c r="D405" s="962"/>
      <c r="E405" s="658"/>
      <c r="F405" s="658"/>
      <c r="G405" s="658"/>
      <c r="H405" s="658"/>
      <c r="I405" s="658"/>
      <c r="J405" s="658"/>
      <c r="K405" s="658"/>
      <c r="L405" s="658"/>
      <c r="M405" s="658"/>
      <c r="N405" s="658"/>
      <c r="O405" s="658"/>
      <c r="P405" s="658"/>
      <c r="Q405" s="658"/>
    </row>
    <row r="406" spans="3:17">
      <c r="C406" s="962"/>
      <c r="D406" s="962"/>
      <c r="E406" s="658"/>
      <c r="F406" s="658"/>
      <c r="G406" s="658"/>
      <c r="H406" s="658"/>
      <c r="I406" s="658"/>
      <c r="J406" s="658"/>
      <c r="K406" s="658"/>
      <c r="L406" s="658"/>
      <c r="M406" s="658"/>
      <c r="N406" s="658"/>
      <c r="O406" s="658"/>
      <c r="P406" s="658"/>
      <c r="Q406" s="658"/>
    </row>
    <row r="407" spans="3:17">
      <c r="C407" s="962"/>
      <c r="D407" s="962"/>
      <c r="E407" s="658"/>
      <c r="F407" s="658"/>
      <c r="G407" s="658"/>
      <c r="H407" s="658"/>
      <c r="I407" s="658"/>
      <c r="J407" s="658"/>
      <c r="K407" s="658"/>
      <c r="L407" s="658"/>
      <c r="M407" s="658"/>
      <c r="N407" s="658"/>
      <c r="O407" s="658"/>
      <c r="P407" s="658"/>
      <c r="Q407" s="658"/>
    </row>
    <row r="408" spans="3:17">
      <c r="C408" s="962"/>
      <c r="D408" s="962"/>
      <c r="E408" s="658"/>
      <c r="F408" s="658"/>
      <c r="G408" s="658"/>
      <c r="H408" s="658"/>
      <c r="I408" s="658"/>
      <c r="J408" s="658"/>
      <c r="K408" s="658"/>
      <c r="L408" s="658"/>
      <c r="M408" s="658"/>
      <c r="N408" s="658"/>
      <c r="O408" s="658"/>
      <c r="P408" s="658"/>
      <c r="Q408" s="658"/>
    </row>
    <row r="409" spans="3:17">
      <c r="C409" s="962"/>
      <c r="D409" s="962"/>
      <c r="E409" s="658"/>
      <c r="F409" s="658"/>
      <c r="G409" s="658"/>
      <c r="H409" s="658"/>
      <c r="I409" s="658"/>
      <c r="J409" s="658"/>
      <c r="K409" s="658"/>
      <c r="L409" s="658"/>
      <c r="M409" s="658"/>
      <c r="N409" s="658"/>
      <c r="O409" s="658"/>
      <c r="P409" s="658"/>
      <c r="Q409" s="658"/>
    </row>
    <row r="410" spans="3:17">
      <c r="C410" s="962"/>
      <c r="D410" s="962"/>
      <c r="E410" s="658"/>
      <c r="F410" s="658"/>
      <c r="G410" s="658"/>
      <c r="H410" s="658"/>
      <c r="I410" s="658"/>
      <c r="J410" s="658"/>
      <c r="K410" s="658"/>
      <c r="L410" s="658"/>
      <c r="M410" s="658"/>
      <c r="N410" s="658"/>
      <c r="O410" s="658"/>
      <c r="P410" s="658"/>
      <c r="Q410" s="658"/>
    </row>
    <row r="411" spans="3:17">
      <c r="C411" s="962"/>
      <c r="D411" s="962"/>
      <c r="E411" s="658"/>
      <c r="F411" s="658"/>
      <c r="G411" s="658"/>
      <c r="H411" s="658"/>
      <c r="I411" s="658"/>
      <c r="J411" s="658"/>
      <c r="K411" s="658"/>
      <c r="L411" s="658"/>
      <c r="M411" s="658"/>
      <c r="N411" s="658"/>
      <c r="O411" s="658"/>
      <c r="P411" s="658"/>
      <c r="Q411" s="658"/>
    </row>
    <row r="412" spans="3:17">
      <c r="C412" s="962"/>
      <c r="D412" s="962"/>
      <c r="E412" s="658"/>
      <c r="F412" s="658"/>
      <c r="G412" s="658"/>
      <c r="H412" s="658"/>
      <c r="I412" s="658"/>
      <c r="J412" s="658"/>
      <c r="K412" s="658"/>
      <c r="L412" s="658"/>
      <c r="M412" s="658"/>
      <c r="N412" s="658"/>
      <c r="O412" s="658"/>
      <c r="P412" s="658"/>
      <c r="Q412" s="658"/>
    </row>
    <row r="413" spans="3:17">
      <c r="C413" s="962"/>
      <c r="D413" s="962"/>
      <c r="E413" s="658"/>
      <c r="F413" s="658"/>
      <c r="G413" s="658"/>
      <c r="H413" s="658"/>
      <c r="I413" s="658"/>
      <c r="J413" s="658"/>
      <c r="K413" s="658"/>
      <c r="L413" s="658"/>
      <c r="M413" s="658"/>
      <c r="N413" s="658"/>
      <c r="O413" s="658"/>
      <c r="P413" s="658"/>
      <c r="Q413" s="658"/>
    </row>
    <row r="414" spans="3:17">
      <c r="C414" s="962"/>
      <c r="D414" s="962"/>
      <c r="E414" s="658"/>
      <c r="F414" s="658"/>
      <c r="G414" s="658"/>
      <c r="H414" s="658"/>
      <c r="I414" s="658"/>
      <c r="J414" s="658"/>
      <c r="K414" s="658"/>
      <c r="L414" s="658"/>
      <c r="M414" s="658"/>
      <c r="N414" s="658"/>
      <c r="O414" s="658"/>
      <c r="P414" s="658"/>
      <c r="Q414" s="658"/>
    </row>
    <row r="415" spans="3:17">
      <c r="C415" s="962"/>
      <c r="D415" s="962"/>
      <c r="E415" s="658"/>
      <c r="F415" s="658"/>
      <c r="G415" s="658"/>
      <c r="H415" s="658"/>
      <c r="I415" s="658"/>
      <c r="J415" s="658"/>
      <c r="K415" s="658"/>
      <c r="L415" s="658"/>
      <c r="M415" s="658"/>
      <c r="N415" s="658"/>
      <c r="O415" s="658"/>
      <c r="P415" s="658"/>
      <c r="Q415" s="658"/>
    </row>
    <row r="416" spans="3:17">
      <c r="C416" s="962"/>
      <c r="D416" s="962"/>
      <c r="E416" s="658"/>
      <c r="F416" s="658"/>
      <c r="G416" s="658"/>
      <c r="H416" s="658"/>
      <c r="I416" s="658"/>
      <c r="J416" s="658"/>
      <c r="K416" s="658"/>
      <c r="L416" s="658"/>
      <c r="M416" s="658"/>
      <c r="N416" s="658"/>
      <c r="O416" s="658"/>
      <c r="P416" s="658"/>
      <c r="Q416" s="658"/>
    </row>
    <row r="417" spans="3:17">
      <c r="C417" s="962"/>
      <c r="D417" s="962"/>
      <c r="E417" s="658"/>
      <c r="F417" s="658"/>
      <c r="G417" s="658"/>
      <c r="H417" s="658"/>
      <c r="I417" s="658"/>
      <c r="J417" s="658"/>
      <c r="K417" s="658"/>
      <c r="L417" s="658"/>
      <c r="M417" s="658"/>
      <c r="N417" s="658"/>
      <c r="O417" s="658"/>
      <c r="P417" s="658"/>
      <c r="Q417" s="658"/>
    </row>
    <row r="418" spans="3:17">
      <c r="C418" s="962"/>
      <c r="D418" s="962"/>
      <c r="E418" s="658"/>
      <c r="F418" s="658"/>
      <c r="G418" s="658"/>
      <c r="H418" s="658"/>
      <c r="I418" s="658"/>
      <c r="J418" s="658"/>
      <c r="K418" s="658"/>
      <c r="L418" s="658"/>
      <c r="M418" s="658"/>
      <c r="N418" s="658"/>
      <c r="O418" s="658"/>
      <c r="P418" s="658"/>
      <c r="Q418" s="658"/>
    </row>
    <row r="419" spans="3:17">
      <c r="C419" s="962"/>
      <c r="D419" s="962"/>
      <c r="E419" s="658"/>
      <c r="F419" s="658"/>
      <c r="G419" s="658"/>
      <c r="H419" s="658"/>
      <c r="I419" s="658"/>
      <c r="J419" s="658"/>
      <c r="K419" s="658"/>
      <c r="L419" s="658"/>
      <c r="M419" s="658"/>
      <c r="N419" s="658"/>
      <c r="O419" s="658"/>
      <c r="P419" s="658"/>
      <c r="Q419" s="658"/>
    </row>
    <row r="420" spans="3:17">
      <c r="C420" s="962"/>
      <c r="D420" s="962"/>
      <c r="E420" s="658"/>
      <c r="F420" s="658"/>
      <c r="G420" s="658"/>
      <c r="H420" s="658"/>
      <c r="I420" s="658"/>
      <c r="J420" s="658"/>
      <c r="K420" s="658"/>
      <c r="L420" s="658"/>
      <c r="M420" s="658"/>
      <c r="N420" s="658"/>
      <c r="O420" s="658"/>
      <c r="P420" s="658"/>
      <c r="Q420" s="658"/>
    </row>
    <row r="421" spans="3:17">
      <c r="C421" s="962"/>
      <c r="D421" s="962"/>
      <c r="E421" s="658"/>
      <c r="F421" s="658"/>
      <c r="G421" s="658"/>
      <c r="H421" s="658"/>
      <c r="I421" s="658"/>
      <c r="J421" s="658"/>
      <c r="K421" s="658"/>
      <c r="L421" s="658"/>
      <c r="M421" s="658"/>
      <c r="N421" s="658"/>
      <c r="O421" s="658"/>
      <c r="P421" s="658"/>
      <c r="Q421" s="658"/>
    </row>
    <row r="422" spans="3:17">
      <c r="C422" s="962"/>
      <c r="D422" s="962"/>
      <c r="E422" s="658"/>
      <c r="F422" s="658"/>
      <c r="G422" s="658"/>
      <c r="H422" s="658"/>
      <c r="I422" s="658"/>
      <c r="J422" s="658"/>
      <c r="K422" s="658"/>
      <c r="L422" s="658"/>
      <c r="M422" s="658"/>
      <c r="N422" s="658"/>
      <c r="O422" s="658"/>
      <c r="P422" s="658"/>
      <c r="Q422" s="658"/>
    </row>
    <row r="423" spans="3:17">
      <c r="C423" s="962"/>
      <c r="D423" s="962"/>
      <c r="E423" s="658"/>
      <c r="F423" s="658"/>
      <c r="G423" s="658"/>
      <c r="H423" s="658"/>
      <c r="I423" s="658"/>
      <c r="J423" s="658"/>
      <c r="K423" s="658"/>
      <c r="L423" s="658"/>
      <c r="M423" s="658"/>
      <c r="N423" s="658"/>
      <c r="O423" s="658"/>
      <c r="P423" s="658"/>
      <c r="Q423" s="658"/>
    </row>
    <row r="424" spans="3:17">
      <c r="C424" s="962"/>
      <c r="D424" s="962"/>
      <c r="E424" s="658"/>
      <c r="F424" s="658"/>
      <c r="G424" s="658"/>
      <c r="H424" s="658"/>
      <c r="I424" s="658"/>
      <c r="J424" s="658"/>
      <c r="K424" s="658"/>
      <c r="L424" s="658"/>
      <c r="M424" s="658"/>
      <c r="N424" s="658"/>
      <c r="O424" s="658"/>
      <c r="P424" s="658"/>
      <c r="Q424" s="658"/>
    </row>
    <row r="425" spans="3:17">
      <c r="C425" s="962"/>
      <c r="D425" s="962"/>
      <c r="E425" s="658"/>
      <c r="F425" s="658"/>
      <c r="G425" s="658"/>
      <c r="H425" s="658"/>
      <c r="I425" s="658"/>
      <c r="J425" s="658"/>
      <c r="K425" s="658"/>
      <c r="L425" s="658"/>
      <c r="M425" s="658"/>
      <c r="N425" s="658"/>
      <c r="O425" s="658"/>
      <c r="P425" s="658"/>
      <c r="Q425" s="658"/>
    </row>
    <row r="426" spans="3:17">
      <c r="C426" s="962"/>
      <c r="D426" s="962"/>
      <c r="E426" s="658"/>
      <c r="F426" s="658"/>
      <c r="G426" s="658"/>
      <c r="H426" s="658"/>
      <c r="I426" s="658"/>
      <c r="J426" s="658"/>
      <c r="K426" s="658"/>
      <c r="L426" s="658"/>
      <c r="M426" s="658"/>
      <c r="N426" s="658"/>
      <c r="O426" s="658"/>
      <c r="P426" s="658"/>
      <c r="Q426" s="658"/>
    </row>
    <row r="427" spans="3:17">
      <c r="C427" s="962"/>
      <c r="D427" s="962"/>
      <c r="E427" s="658"/>
      <c r="F427" s="658"/>
      <c r="G427" s="658"/>
      <c r="H427" s="658"/>
      <c r="I427" s="658"/>
      <c r="J427" s="658"/>
      <c r="K427" s="658"/>
      <c r="L427" s="658"/>
      <c r="M427" s="658"/>
      <c r="N427" s="658"/>
      <c r="O427" s="658"/>
      <c r="P427" s="658"/>
      <c r="Q427" s="658"/>
    </row>
    <row r="428" spans="3:17">
      <c r="C428" s="962"/>
      <c r="D428" s="962"/>
      <c r="E428" s="658"/>
      <c r="F428" s="658"/>
      <c r="G428" s="658"/>
      <c r="H428" s="658"/>
      <c r="I428" s="658"/>
      <c r="J428" s="658"/>
      <c r="K428" s="658"/>
      <c r="L428" s="658"/>
      <c r="M428" s="658"/>
      <c r="N428" s="658"/>
      <c r="O428" s="658"/>
      <c r="P428" s="658"/>
      <c r="Q428" s="658"/>
    </row>
    <row r="429" spans="3:17">
      <c r="C429" s="962"/>
      <c r="D429" s="962"/>
      <c r="E429" s="658"/>
      <c r="F429" s="658"/>
      <c r="G429" s="658"/>
      <c r="H429" s="658"/>
      <c r="I429" s="658"/>
      <c r="J429" s="658"/>
      <c r="K429" s="658"/>
      <c r="L429" s="658"/>
      <c r="M429" s="658"/>
      <c r="N429" s="658"/>
      <c r="O429" s="658"/>
      <c r="P429" s="658"/>
      <c r="Q429" s="658"/>
    </row>
    <row r="430" spans="3:17">
      <c r="C430" s="962"/>
      <c r="D430" s="962"/>
      <c r="E430" s="658"/>
      <c r="F430" s="658"/>
      <c r="G430" s="658"/>
      <c r="H430" s="658"/>
      <c r="I430" s="658"/>
      <c r="J430" s="658"/>
      <c r="K430" s="658"/>
      <c r="L430" s="658"/>
      <c r="M430" s="658"/>
      <c r="N430" s="658"/>
      <c r="O430" s="658"/>
      <c r="P430" s="658"/>
      <c r="Q430" s="658"/>
    </row>
    <row r="431" spans="3:17">
      <c r="C431" s="962"/>
      <c r="D431" s="962"/>
      <c r="E431" s="658"/>
      <c r="F431" s="658"/>
      <c r="G431" s="658"/>
      <c r="H431" s="658"/>
      <c r="I431" s="658"/>
      <c r="J431" s="658"/>
      <c r="K431" s="658"/>
      <c r="L431" s="658"/>
      <c r="M431" s="658"/>
      <c r="N431" s="658"/>
      <c r="O431" s="658"/>
      <c r="P431" s="658"/>
      <c r="Q431" s="658"/>
    </row>
    <row r="432" spans="3:17">
      <c r="C432" s="962"/>
      <c r="D432" s="962"/>
      <c r="E432" s="658"/>
      <c r="F432" s="658"/>
      <c r="G432" s="658"/>
      <c r="H432" s="658"/>
      <c r="I432" s="658"/>
      <c r="J432" s="658"/>
      <c r="K432" s="658"/>
      <c r="L432" s="658"/>
      <c r="M432" s="658"/>
      <c r="N432" s="658"/>
      <c r="O432" s="658"/>
      <c r="P432" s="658"/>
      <c r="Q432" s="658"/>
    </row>
    <row r="433" spans="3:17">
      <c r="C433" s="962"/>
      <c r="D433" s="962"/>
      <c r="E433" s="658"/>
      <c r="F433" s="658"/>
      <c r="G433" s="658"/>
      <c r="H433" s="658"/>
      <c r="I433" s="658"/>
      <c r="J433" s="658"/>
      <c r="K433" s="658"/>
      <c r="L433" s="658"/>
      <c r="M433" s="658"/>
      <c r="N433" s="658"/>
      <c r="O433" s="658"/>
      <c r="P433" s="658"/>
      <c r="Q433" s="658"/>
    </row>
    <row r="434" spans="3:17">
      <c r="C434" s="962"/>
      <c r="D434" s="962"/>
      <c r="E434" s="658"/>
      <c r="F434" s="658"/>
      <c r="G434" s="658"/>
      <c r="H434" s="658"/>
      <c r="I434" s="658"/>
      <c r="J434" s="658"/>
      <c r="K434" s="658"/>
      <c r="L434" s="658"/>
      <c r="M434" s="658"/>
      <c r="N434" s="658"/>
      <c r="O434" s="658"/>
      <c r="P434" s="658"/>
      <c r="Q434" s="658"/>
    </row>
    <row r="435" spans="3:17">
      <c r="C435" s="962"/>
      <c r="D435" s="962"/>
      <c r="E435" s="658"/>
      <c r="F435" s="658"/>
      <c r="G435" s="658"/>
      <c r="H435" s="658"/>
      <c r="I435" s="658"/>
      <c r="J435" s="658"/>
      <c r="K435" s="658"/>
      <c r="L435" s="658"/>
      <c r="M435" s="658"/>
      <c r="N435" s="658"/>
      <c r="O435" s="658"/>
      <c r="P435" s="658"/>
      <c r="Q435" s="658"/>
    </row>
    <row r="436" spans="3:17">
      <c r="C436" s="962"/>
      <c r="D436" s="962"/>
      <c r="E436" s="658"/>
      <c r="F436" s="658"/>
      <c r="G436" s="658"/>
      <c r="H436" s="658"/>
      <c r="I436" s="658"/>
      <c r="J436" s="658"/>
      <c r="K436" s="658"/>
      <c r="L436" s="658"/>
      <c r="M436" s="658"/>
      <c r="N436" s="658"/>
      <c r="O436" s="658"/>
      <c r="P436" s="658"/>
      <c r="Q436" s="658"/>
    </row>
    <row r="437" spans="3:17">
      <c r="C437" s="962"/>
      <c r="D437" s="962"/>
      <c r="E437" s="658"/>
      <c r="F437" s="658"/>
      <c r="G437" s="658"/>
      <c r="H437" s="658"/>
      <c r="I437" s="658"/>
      <c r="J437" s="658"/>
      <c r="K437" s="658"/>
      <c r="L437" s="658"/>
      <c r="M437" s="658"/>
      <c r="N437" s="658"/>
      <c r="O437" s="658"/>
      <c r="P437" s="658"/>
      <c r="Q437" s="658"/>
    </row>
    <row r="438" spans="3:17">
      <c r="C438" s="962"/>
      <c r="D438" s="962"/>
      <c r="E438" s="658"/>
      <c r="F438" s="658"/>
      <c r="G438" s="658"/>
      <c r="H438" s="658"/>
      <c r="I438" s="658"/>
      <c r="J438" s="658"/>
      <c r="K438" s="658"/>
      <c r="L438" s="658"/>
      <c r="M438" s="658"/>
      <c r="N438" s="658"/>
      <c r="O438" s="658"/>
      <c r="P438" s="658"/>
      <c r="Q438" s="658"/>
    </row>
    <row r="439" spans="3:17">
      <c r="C439" s="962"/>
      <c r="D439" s="962"/>
      <c r="E439" s="658"/>
      <c r="F439" s="658"/>
      <c r="G439" s="658"/>
      <c r="H439" s="658"/>
      <c r="I439" s="658"/>
      <c r="J439" s="658"/>
      <c r="K439" s="658"/>
      <c r="L439" s="658"/>
      <c r="M439" s="658"/>
      <c r="N439" s="658"/>
      <c r="O439" s="658"/>
      <c r="P439" s="658"/>
      <c r="Q439" s="658"/>
    </row>
    <row r="440" spans="3:17">
      <c r="C440" s="962"/>
      <c r="D440" s="962"/>
      <c r="E440" s="658"/>
      <c r="F440" s="658"/>
      <c r="G440" s="658"/>
      <c r="H440" s="658"/>
      <c r="I440" s="658"/>
      <c r="J440" s="658"/>
      <c r="K440" s="658"/>
      <c r="L440" s="658"/>
      <c r="M440" s="658"/>
      <c r="N440" s="658"/>
      <c r="O440" s="658"/>
      <c r="P440" s="658"/>
      <c r="Q440" s="658"/>
    </row>
    <row r="441" spans="3:17">
      <c r="C441" s="962"/>
      <c r="D441" s="962"/>
      <c r="E441" s="658"/>
      <c r="F441" s="658"/>
      <c r="G441" s="658"/>
      <c r="H441" s="658"/>
      <c r="I441" s="658"/>
      <c r="J441" s="658"/>
      <c r="K441" s="658"/>
      <c r="L441" s="658"/>
      <c r="M441" s="658"/>
      <c r="N441" s="658"/>
      <c r="O441" s="658"/>
      <c r="P441" s="658"/>
      <c r="Q441" s="658"/>
    </row>
    <row r="442" spans="3:17">
      <c r="C442" s="962"/>
      <c r="D442" s="962"/>
      <c r="E442" s="658"/>
      <c r="F442" s="658"/>
      <c r="G442" s="658"/>
      <c r="H442" s="658"/>
      <c r="I442" s="658"/>
      <c r="J442" s="658"/>
      <c r="K442" s="658"/>
      <c r="L442" s="658"/>
      <c r="M442" s="658"/>
      <c r="N442" s="658"/>
      <c r="O442" s="658"/>
      <c r="P442" s="658"/>
      <c r="Q442" s="658"/>
    </row>
    <row r="443" spans="3:17">
      <c r="C443" s="962"/>
      <c r="D443" s="962"/>
      <c r="E443" s="658"/>
      <c r="F443" s="658"/>
      <c r="G443" s="658"/>
      <c r="H443" s="658"/>
      <c r="I443" s="658"/>
      <c r="J443" s="658"/>
      <c r="K443" s="658"/>
      <c r="L443" s="658"/>
      <c r="M443" s="658"/>
      <c r="N443" s="658"/>
      <c r="O443" s="658"/>
      <c r="P443" s="658"/>
      <c r="Q443" s="658"/>
    </row>
    <row r="444" spans="3:17">
      <c r="C444" s="962"/>
      <c r="D444" s="962"/>
      <c r="E444" s="658"/>
      <c r="F444" s="658"/>
      <c r="G444" s="658"/>
      <c r="H444" s="658"/>
      <c r="I444" s="658"/>
      <c r="J444" s="658"/>
      <c r="K444" s="658"/>
      <c r="L444" s="658"/>
      <c r="M444" s="658"/>
      <c r="N444" s="658"/>
      <c r="O444" s="658"/>
      <c r="P444" s="658"/>
      <c r="Q444" s="658"/>
    </row>
    <row r="445" spans="3:17">
      <c r="C445" s="962"/>
      <c r="D445" s="962"/>
      <c r="E445" s="658"/>
      <c r="F445" s="658"/>
      <c r="G445" s="658"/>
      <c r="H445" s="658"/>
      <c r="I445" s="658"/>
      <c r="J445" s="658"/>
      <c r="K445" s="658"/>
      <c r="L445" s="658"/>
      <c r="M445" s="658"/>
      <c r="N445" s="658"/>
      <c r="O445" s="658"/>
      <c r="P445" s="658"/>
      <c r="Q445" s="658"/>
    </row>
    <row r="446" spans="3:17">
      <c r="C446" s="962"/>
      <c r="D446" s="962"/>
      <c r="E446" s="658"/>
      <c r="F446" s="658"/>
      <c r="G446" s="658"/>
      <c r="H446" s="658"/>
      <c r="I446" s="658"/>
      <c r="J446" s="658"/>
      <c r="K446" s="658"/>
      <c r="L446" s="658"/>
      <c r="M446" s="658"/>
      <c r="N446" s="658"/>
      <c r="O446" s="658"/>
      <c r="P446" s="658"/>
      <c r="Q446" s="658"/>
    </row>
    <row r="447" spans="3:17">
      <c r="C447" s="962"/>
      <c r="D447" s="962"/>
      <c r="E447" s="658"/>
      <c r="F447" s="658"/>
      <c r="G447" s="658"/>
      <c r="H447" s="658"/>
      <c r="I447" s="658"/>
      <c r="J447" s="658"/>
      <c r="K447" s="658"/>
      <c r="L447" s="658"/>
      <c r="M447" s="658"/>
      <c r="N447" s="658"/>
      <c r="O447" s="658"/>
      <c r="P447" s="658"/>
      <c r="Q447" s="658"/>
    </row>
    <row r="448" spans="3:17">
      <c r="C448" s="962"/>
      <c r="D448" s="962"/>
      <c r="E448" s="658"/>
      <c r="F448" s="658"/>
      <c r="G448" s="658"/>
      <c r="H448" s="658"/>
      <c r="I448" s="658"/>
      <c r="J448" s="658"/>
      <c r="K448" s="658"/>
      <c r="L448" s="658"/>
      <c r="M448" s="658"/>
      <c r="N448" s="658"/>
      <c r="O448" s="658"/>
      <c r="P448" s="658"/>
      <c r="Q448" s="658"/>
    </row>
    <row r="449" spans="3:17">
      <c r="C449" s="962"/>
      <c r="D449" s="962"/>
      <c r="E449" s="658"/>
      <c r="F449" s="658"/>
      <c r="G449" s="658"/>
      <c r="H449" s="658"/>
      <c r="I449" s="658"/>
      <c r="J449" s="658"/>
      <c r="K449" s="658"/>
      <c r="L449" s="658"/>
      <c r="M449" s="658"/>
      <c r="N449" s="658"/>
      <c r="O449" s="658"/>
      <c r="P449" s="658"/>
      <c r="Q449" s="658"/>
    </row>
    <row r="450" spans="3:17">
      <c r="C450" s="962"/>
      <c r="D450" s="962"/>
      <c r="E450" s="658"/>
      <c r="F450" s="658"/>
      <c r="G450" s="658"/>
      <c r="H450" s="658"/>
      <c r="I450" s="658"/>
      <c r="J450" s="658"/>
      <c r="K450" s="658"/>
      <c r="L450" s="658"/>
      <c r="M450" s="658"/>
      <c r="N450" s="658"/>
      <c r="O450" s="658"/>
      <c r="P450" s="658"/>
      <c r="Q450" s="658"/>
    </row>
    <row r="451" spans="3:17">
      <c r="C451" s="962"/>
      <c r="D451" s="962"/>
      <c r="E451" s="658"/>
      <c r="F451" s="658"/>
      <c r="G451" s="658"/>
      <c r="H451" s="658"/>
      <c r="I451" s="658"/>
      <c r="J451" s="658"/>
      <c r="K451" s="658"/>
      <c r="L451" s="658"/>
      <c r="M451" s="658"/>
      <c r="N451" s="658"/>
      <c r="O451" s="658"/>
      <c r="P451" s="658"/>
      <c r="Q451" s="658"/>
    </row>
    <row r="452" spans="3:17">
      <c r="C452" s="962"/>
      <c r="D452" s="962"/>
      <c r="E452" s="658"/>
      <c r="F452" s="658"/>
      <c r="G452" s="658"/>
      <c r="H452" s="658"/>
      <c r="I452" s="658"/>
      <c r="J452" s="658"/>
      <c r="K452" s="658"/>
      <c r="L452" s="658"/>
      <c r="M452" s="658"/>
      <c r="N452" s="658"/>
      <c r="O452" s="658"/>
      <c r="P452" s="658"/>
      <c r="Q452" s="658"/>
    </row>
    <row r="453" spans="3:17">
      <c r="C453" s="962"/>
      <c r="D453" s="962"/>
      <c r="E453" s="658"/>
      <c r="F453" s="658"/>
      <c r="G453" s="658"/>
      <c r="H453" s="658"/>
      <c r="I453" s="658"/>
      <c r="J453" s="658"/>
      <c r="K453" s="658"/>
      <c r="L453" s="658"/>
      <c r="M453" s="658"/>
      <c r="N453" s="658"/>
      <c r="O453" s="658"/>
      <c r="P453" s="658"/>
      <c r="Q453" s="658"/>
    </row>
    <row r="454" spans="3:17">
      <c r="C454" s="962"/>
      <c r="D454" s="962"/>
      <c r="E454" s="658"/>
      <c r="F454" s="658"/>
      <c r="G454" s="658"/>
      <c r="H454" s="658"/>
      <c r="I454" s="658"/>
      <c r="J454" s="658"/>
      <c r="K454" s="658"/>
      <c r="L454" s="658"/>
      <c r="M454" s="658"/>
      <c r="N454" s="658"/>
      <c r="O454" s="658"/>
      <c r="P454" s="658"/>
      <c r="Q454" s="658"/>
    </row>
    <row r="455" spans="3:17">
      <c r="C455" s="962"/>
      <c r="D455" s="962"/>
      <c r="E455" s="658"/>
      <c r="F455" s="658"/>
      <c r="G455" s="658"/>
      <c r="H455" s="658"/>
      <c r="I455" s="658"/>
      <c r="J455" s="658"/>
      <c r="K455" s="658"/>
      <c r="L455" s="658"/>
      <c r="M455" s="658"/>
      <c r="N455" s="658"/>
      <c r="O455" s="658"/>
      <c r="P455" s="658"/>
      <c r="Q455" s="658"/>
    </row>
    <row r="456" spans="3:17">
      <c r="C456" s="962"/>
      <c r="D456" s="962"/>
      <c r="E456" s="658"/>
      <c r="F456" s="658"/>
      <c r="G456" s="658"/>
      <c r="H456" s="658"/>
      <c r="I456" s="658"/>
      <c r="J456" s="658"/>
      <c r="K456" s="658"/>
      <c r="L456" s="658"/>
      <c r="M456" s="658"/>
      <c r="N456" s="658"/>
      <c r="O456" s="658"/>
      <c r="P456" s="658"/>
      <c r="Q456" s="658"/>
    </row>
    <row r="457" spans="3:17">
      <c r="C457" s="962"/>
      <c r="D457" s="962"/>
      <c r="E457" s="658"/>
      <c r="F457" s="658"/>
      <c r="G457" s="658"/>
      <c r="H457" s="658"/>
      <c r="I457" s="658"/>
      <c r="J457" s="658"/>
      <c r="K457" s="658"/>
      <c r="L457" s="658"/>
      <c r="M457" s="658"/>
      <c r="N457" s="658"/>
      <c r="O457" s="658"/>
      <c r="P457" s="658"/>
      <c r="Q457" s="658"/>
    </row>
    <row r="458" spans="3:17">
      <c r="C458" s="962"/>
      <c r="D458" s="962"/>
      <c r="E458" s="658"/>
      <c r="F458" s="658"/>
      <c r="G458" s="658"/>
      <c r="H458" s="658"/>
      <c r="I458" s="658"/>
      <c r="J458" s="658"/>
      <c r="K458" s="658"/>
      <c r="L458" s="658"/>
      <c r="M458" s="658"/>
      <c r="N458" s="658"/>
      <c r="O458" s="658"/>
      <c r="P458" s="658"/>
      <c r="Q458" s="658"/>
    </row>
    <row r="459" spans="3:17">
      <c r="C459" s="962"/>
      <c r="D459" s="962"/>
      <c r="E459" s="658"/>
      <c r="F459" s="658"/>
      <c r="G459" s="658"/>
      <c r="H459" s="658"/>
      <c r="I459" s="658"/>
      <c r="J459" s="658"/>
      <c r="K459" s="658"/>
      <c r="L459" s="658"/>
      <c r="M459" s="658"/>
      <c r="N459" s="658"/>
      <c r="O459" s="658"/>
      <c r="P459" s="658"/>
      <c r="Q459" s="658"/>
    </row>
    <row r="460" spans="3:17">
      <c r="C460" s="962"/>
      <c r="D460" s="962"/>
      <c r="E460" s="658"/>
      <c r="F460" s="658"/>
      <c r="G460" s="658"/>
      <c r="H460" s="658"/>
      <c r="I460" s="658"/>
      <c r="J460" s="658"/>
      <c r="K460" s="658"/>
      <c r="L460" s="658"/>
      <c r="M460" s="658"/>
      <c r="N460" s="658"/>
      <c r="O460" s="658"/>
      <c r="P460" s="658"/>
      <c r="Q460" s="658"/>
    </row>
    <row r="461" spans="3:17">
      <c r="C461" s="962"/>
      <c r="D461" s="962"/>
      <c r="E461" s="658"/>
      <c r="F461" s="658"/>
      <c r="G461" s="658"/>
      <c r="H461" s="658"/>
      <c r="I461" s="658"/>
      <c r="J461" s="658"/>
      <c r="K461" s="658"/>
      <c r="L461" s="658"/>
      <c r="M461" s="658"/>
      <c r="N461" s="658"/>
      <c r="O461" s="658"/>
      <c r="P461" s="658"/>
      <c r="Q461" s="658"/>
    </row>
    <row r="462" spans="3:17">
      <c r="C462" s="962"/>
      <c r="D462" s="962"/>
      <c r="E462" s="658"/>
      <c r="F462" s="658"/>
      <c r="G462" s="658"/>
      <c r="H462" s="658"/>
      <c r="I462" s="658"/>
      <c r="J462" s="658"/>
      <c r="K462" s="658"/>
      <c r="L462" s="658"/>
      <c r="M462" s="658"/>
      <c r="N462" s="658"/>
      <c r="O462" s="658"/>
      <c r="P462" s="658"/>
      <c r="Q462" s="658"/>
    </row>
    <row r="463" spans="3:17">
      <c r="C463" s="962"/>
      <c r="D463" s="962"/>
      <c r="E463" s="658"/>
      <c r="F463" s="658"/>
      <c r="G463" s="658"/>
      <c r="H463" s="658"/>
      <c r="I463" s="658"/>
      <c r="J463" s="658"/>
      <c r="K463" s="658"/>
      <c r="L463" s="658"/>
      <c r="M463" s="658"/>
      <c r="N463" s="658"/>
      <c r="O463" s="658"/>
      <c r="P463" s="658"/>
      <c r="Q463" s="658"/>
    </row>
    <row r="464" spans="3:17">
      <c r="C464" s="962"/>
      <c r="D464" s="962"/>
      <c r="E464" s="658"/>
      <c r="F464" s="658"/>
      <c r="G464" s="658"/>
      <c r="H464" s="658"/>
      <c r="I464" s="658"/>
      <c r="J464" s="658"/>
      <c r="K464" s="658"/>
      <c r="L464" s="658"/>
      <c r="M464" s="658"/>
      <c r="N464" s="658"/>
      <c r="O464" s="658"/>
      <c r="P464" s="658"/>
      <c r="Q464" s="658"/>
    </row>
    <row r="465" spans="3:17">
      <c r="C465" s="962"/>
      <c r="D465" s="962"/>
      <c r="E465" s="658"/>
      <c r="F465" s="658"/>
      <c r="G465" s="658"/>
      <c r="H465" s="658"/>
      <c r="I465" s="658"/>
      <c r="J465" s="658"/>
      <c r="K465" s="658"/>
      <c r="L465" s="658"/>
      <c r="M465" s="658"/>
      <c r="N465" s="658"/>
      <c r="O465" s="658"/>
      <c r="P465" s="658"/>
      <c r="Q465" s="658"/>
    </row>
    <row r="466" spans="3:17">
      <c r="C466" s="962"/>
      <c r="D466" s="962"/>
      <c r="E466" s="658"/>
      <c r="F466" s="658"/>
      <c r="G466" s="658"/>
      <c r="H466" s="658"/>
      <c r="I466" s="658"/>
      <c r="J466" s="658"/>
      <c r="K466" s="658"/>
      <c r="L466" s="658"/>
      <c r="M466" s="658"/>
      <c r="N466" s="658"/>
      <c r="O466" s="658"/>
      <c r="P466" s="658"/>
      <c r="Q466" s="658"/>
    </row>
    <row r="467" spans="3:17">
      <c r="C467" s="962"/>
      <c r="D467" s="962"/>
      <c r="E467" s="658"/>
      <c r="F467" s="658"/>
      <c r="G467" s="658"/>
      <c r="H467" s="658"/>
      <c r="I467" s="658"/>
      <c r="J467" s="658"/>
      <c r="K467" s="658"/>
      <c r="L467" s="658"/>
      <c r="M467" s="658"/>
      <c r="N467" s="658"/>
      <c r="O467" s="658"/>
      <c r="P467" s="658"/>
      <c r="Q467" s="658"/>
    </row>
    <row r="468" spans="3:17">
      <c r="C468" s="962"/>
      <c r="D468" s="962"/>
      <c r="E468" s="658"/>
      <c r="F468" s="658"/>
      <c r="G468" s="658"/>
      <c r="H468" s="658"/>
      <c r="I468" s="658"/>
      <c r="J468" s="658"/>
      <c r="K468" s="658"/>
      <c r="L468" s="658"/>
      <c r="M468" s="658"/>
      <c r="N468" s="658"/>
      <c r="O468" s="658"/>
      <c r="P468" s="658"/>
      <c r="Q468" s="658"/>
    </row>
    <row r="469" spans="3:17">
      <c r="C469" s="962"/>
      <c r="D469" s="962"/>
      <c r="E469" s="658"/>
      <c r="F469" s="658"/>
      <c r="G469" s="658"/>
      <c r="H469" s="658"/>
      <c r="I469" s="658"/>
      <c r="J469" s="658"/>
      <c r="K469" s="658"/>
      <c r="L469" s="658"/>
      <c r="M469" s="658"/>
      <c r="N469" s="658"/>
      <c r="O469" s="658"/>
      <c r="P469" s="658"/>
      <c r="Q469" s="658"/>
    </row>
    <row r="470" spans="3:17">
      <c r="C470" s="962"/>
      <c r="D470" s="962"/>
      <c r="E470" s="658"/>
      <c r="F470" s="658"/>
      <c r="G470" s="658"/>
      <c r="H470" s="658"/>
      <c r="I470" s="658"/>
      <c r="J470" s="658"/>
      <c r="K470" s="658"/>
      <c r="L470" s="658"/>
      <c r="M470" s="658"/>
      <c r="N470" s="658"/>
      <c r="O470" s="658"/>
      <c r="P470" s="658"/>
      <c r="Q470" s="658"/>
    </row>
    <row r="471" spans="3:17">
      <c r="C471" s="962"/>
      <c r="D471" s="962"/>
      <c r="E471" s="658"/>
      <c r="F471" s="658"/>
      <c r="G471" s="658"/>
      <c r="H471" s="658"/>
      <c r="I471" s="658"/>
      <c r="J471" s="658"/>
      <c r="K471" s="658"/>
      <c r="L471" s="658"/>
      <c r="M471" s="658"/>
      <c r="N471" s="658"/>
      <c r="O471" s="658"/>
      <c r="P471" s="658"/>
      <c r="Q471" s="658"/>
    </row>
    <row r="472" spans="3:17">
      <c r="C472" s="962"/>
      <c r="D472" s="962"/>
      <c r="E472" s="658"/>
      <c r="F472" s="658"/>
      <c r="G472" s="658"/>
      <c r="H472" s="658"/>
      <c r="I472" s="658"/>
      <c r="J472" s="658"/>
      <c r="K472" s="658"/>
      <c r="L472" s="658"/>
      <c r="M472" s="658"/>
      <c r="N472" s="658"/>
      <c r="O472" s="658"/>
      <c r="P472" s="658"/>
      <c r="Q472" s="658"/>
    </row>
    <row r="473" spans="3:17">
      <c r="C473" s="962"/>
      <c r="D473" s="962"/>
      <c r="E473" s="658"/>
      <c r="F473" s="658"/>
      <c r="G473" s="658"/>
      <c r="H473" s="658"/>
      <c r="I473" s="658"/>
      <c r="J473" s="658"/>
      <c r="K473" s="658"/>
      <c r="L473" s="658"/>
      <c r="M473" s="658"/>
      <c r="N473" s="658"/>
      <c r="O473" s="658"/>
      <c r="P473" s="658"/>
      <c r="Q473" s="658"/>
    </row>
    <row r="474" spans="3:17">
      <c r="C474" s="962"/>
      <c r="D474" s="962"/>
      <c r="E474" s="658"/>
      <c r="F474" s="658"/>
      <c r="G474" s="658"/>
      <c r="H474" s="658"/>
      <c r="I474" s="658"/>
      <c r="J474" s="658"/>
      <c r="K474" s="658"/>
      <c r="L474" s="658"/>
      <c r="M474" s="658"/>
      <c r="N474" s="658"/>
      <c r="O474" s="658"/>
      <c r="P474" s="658"/>
      <c r="Q474" s="658"/>
    </row>
    <row r="475" spans="3:17">
      <c r="C475" s="962"/>
      <c r="D475" s="962"/>
      <c r="E475" s="658"/>
      <c r="F475" s="658"/>
      <c r="G475" s="658"/>
      <c r="H475" s="658"/>
      <c r="I475" s="658"/>
      <c r="J475" s="658"/>
      <c r="K475" s="658"/>
      <c r="L475" s="658"/>
      <c r="M475" s="658"/>
      <c r="N475" s="658"/>
      <c r="O475" s="658"/>
      <c r="P475" s="658"/>
      <c r="Q475" s="658"/>
    </row>
    <row r="476" spans="3:17">
      <c r="C476" s="962"/>
      <c r="D476" s="962"/>
      <c r="E476" s="658"/>
      <c r="F476" s="658"/>
      <c r="G476" s="658"/>
      <c r="H476" s="658"/>
      <c r="I476" s="658"/>
      <c r="J476" s="658"/>
      <c r="K476" s="658"/>
      <c r="L476" s="658"/>
      <c r="M476" s="658"/>
      <c r="N476" s="658"/>
      <c r="O476" s="658"/>
      <c r="P476" s="658"/>
      <c r="Q476" s="658"/>
    </row>
    <row r="477" spans="3:17">
      <c r="C477" s="962"/>
      <c r="D477" s="962"/>
      <c r="E477" s="658"/>
      <c r="F477" s="658"/>
      <c r="G477" s="658"/>
      <c r="H477" s="658"/>
      <c r="I477" s="658"/>
      <c r="J477" s="658"/>
      <c r="K477" s="658"/>
      <c r="L477" s="658"/>
      <c r="M477" s="658"/>
      <c r="N477" s="658"/>
      <c r="O477" s="658"/>
      <c r="P477" s="658"/>
      <c r="Q477" s="658"/>
    </row>
    <row r="478" spans="3:17">
      <c r="C478" s="962"/>
      <c r="D478" s="962"/>
      <c r="E478" s="658"/>
      <c r="F478" s="658"/>
      <c r="G478" s="658"/>
      <c r="H478" s="658"/>
      <c r="I478" s="658"/>
      <c r="J478" s="658"/>
      <c r="K478" s="658"/>
      <c r="L478" s="658"/>
      <c r="M478" s="658"/>
      <c r="N478" s="658"/>
      <c r="O478" s="658"/>
      <c r="P478" s="658"/>
      <c r="Q478" s="658"/>
    </row>
    <row r="479" spans="3:17">
      <c r="C479" s="962"/>
      <c r="D479" s="962"/>
      <c r="E479" s="658"/>
      <c r="F479" s="658"/>
      <c r="G479" s="658"/>
      <c r="H479" s="658"/>
      <c r="I479" s="658"/>
      <c r="J479" s="658"/>
      <c r="K479" s="658"/>
      <c r="L479" s="658"/>
      <c r="M479" s="658"/>
      <c r="N479" s="658"/>
      <c r="O479" s="658"/>
      <c r="P479" s="658"/>
      <c r="Q479" s="658"/>
    </row>
    <row r="480" spans="3:17">
      <c r="C480" s="962"/>
      <c r="D480" s="962"/>
      <c r="E480" s="658"/>
      <c r="F480" s="658"/>
      <c r="G480" s="658"/>
      <c r="H480" s="658"/>
      <c r="I480" s="658"/>
      <c r="J480" s="658"/>
      <c r="K480" s="658"/>
      <c r="L480" s="658"/>
      <c r="M480" s="658"/>
      <c r="N480" s="658"/>
      <c r="O480" s="658"/>
      <c r="P480" s="658"/>
      <c r="Q480" s="658"/>
    </row>
    <row r="481" spans="3:17">
      <c r="C481" s="962"/>
      <c r="D481" s="962"/>
      <c r="E481" s="658"/>
      <c r="F481" s="658"/>
      <c r="G481" s="658"/>
      <c r="H481" s="658"/>
      <c r="I481" s="658"/>
      <c r="J481" s="658"/>
      <c r="K481" s="658"/>
      <c r="L481" s="658"/>
      <c r="M481" s="658"/>
      <c r="N481" s="658"/>
      <c r="O481" s="658"/>
      <c r="P481" s="658"/>
      <c r="Q481" s="658"/>
    </row>
    <row r="482" spans="3:17">
      <c r="C482" s="962"/>
      <c r="D482" s="962"/>
      <c r="E482" s="658"/>
      <c r="F482" s="658"/>
      <c r="G482" s="658"/>
      <c r="H482" s="658"/>
      <c r="I482" s="658"/>
      <c r="J482" s="658"/>
      <c r="K482" s="658"/>
      <c r="L482" s="658"/>
      <c r="M482" s="658"/>
      <c r="N482" s="658"/>
      <c r="O482" s="658"/>
      <c r="P482" s="658"/>
      <c r="Q482" s="658"/>
    </row>
    <row r="483" spans="3:17">
      <c r="C483" s="962"/>
      <c r="D483" s="962"/>
      <c r="E483" s="658"/>
      <c r="F483" s="658"/>
      <c r="G483" s="658"/>
      <c r="H483" s="658"/>
      <c r="I483" s="658"/>
      <c r="J483" s="658"/>
      <c r="K483" s="658"/>
      <c r="L483" s="658"/>
      <c r="M483" s="658"/>
      <c r="N483" s="658"/>
      <c r="O483" s="658"/>
      <c r="P483" s="658"/>
      <c r="Q483" s="658"/>
    </row>
    <row r="484" spans="3:17">
      <c r="C484" s="962"/>
      <c r="D484" s="962"/>
      <c r="E484" s="658"/>
      <c r="F484" s="658"/>
      <c r="G484" s="658"/>
      <c r="H484" s="658"/>
      <c r="I484" s="658"/>
      <c r="J484" s="658"/>
      <c r="K484" s="658"/>
      <c r="L484" s="658"/>
      <c r="M484" s="658"/>
      <c r="N484" s="658"/>
      <c r="O484" s="658"/>
      <c r="P484" s="658"/>
      <c r="Q484" s="658"/>
    </row>
    <row r="485" spans="3:17">
      <c r="C485" s="962"/>
      <c r="D485" s="962"/>
      <c r="E485" s="658"/>
      <c r="F485" s="658"/>
      <c r="G485" s="658"/>
      <c r="H485" s="658"/>
      <c r="I485" s="658"/>
      <c r="J485" s="658"/>
      <c r="K485" s="658"/>
      <c r="L485" s="658"/>
      <c r="M485" s="658"/>
      <c r="N485" s="658"/>
      <c r="O485" s="658"/>
      <c r="P485" s="658"/>
      <c r="Q485" s="658"/>
    </row>
    <row r="486" spans="3:17">
      <c r="C486" s="962"/>
      <c r="D486" s="962"/>
      <c r="E486" s="658"/>
      <c r="F486" s="658"/>
      <c r="G486" s="658"/>
      <c r="H486" s="658"/>
      <c r="I486" s="658"/>
      <c r="J486" s="658"/>
      <c r="K486" s="658"/>
      <c r="L486" s="658"/>
      <c r="M486" s="658"/>
      <c r="N486" s="658"/>
      <c r="O486" s="658"/>
      <c r="P486" s="658"/>
      <c r="Q486" s="658"/>
    </row>
    <row r="487" spans="3:17">
      <c r="C487" s="962"/>
      <c r="D487" s="962"/>
      <c r="E487" s="658"/>
      <c r="F487" s="658"/>
      <c r="G487" s="658"/>
      <c r="H487" s="658"/>
      <c r="I487" s="658"/>
      <c r="J487" s="658"/>
      <c r="K487" s="658"/>
      <c r="L487" s="658"/>
      <c r="M487" s="658"/>
      <c r="N487" s="658"/>
      <c r="O487" s="658"/>
      <c r="P487" s="658"/>
      <c r="Q487" s="658"/>
    </row>
    <row r="488" spans="3:17">
      <c r="C488" s="962"/>
      <c r="D488" s="962"/>
      <c r="E488" s="658"/>
      <c r="F488" s="658"/>
      <c r="G488" s="658"/>
      <c r="H488" s="658"/>
      <c r="I488" s="658"/>
      <c r="J488" s="658"/>
      <c r="K488" s="658"/>
      <c r="L488" s="658"/>
      <c r="M488" s="658"/>
      <c r="N488" s="658"/>
      <c r="O488" s="658"/>
      <c r="P488" s="658"/>
      <c r="Q488" s="658"/>
    </row>
    <row r="489" spans="3:17">
      <c r="C489" s="962"/>
      <c r="D489" s="962"/>
      <c r="E489" s="658"/>
      <c r="F489" s="658"/>
      <c r="G489" s="658"/>
      <c r="H489" s="658"/>
      <c r="I489" s="658"/>
      <c r="J489" s="658"/>
      <c r="K489" s="658"/>
      <c r="L489" s="658"/>
      <c r="M489" s="658"/>
      <c r="N489" s="658"/>
      <c r="O489" s="658"/>
      <c r="P489" s="658"/>
      <c r="Q489" s="658"/>
    </row>
    <row r="490" spans="3:17">
      <c r="C490" s="962"/>
      <c r="D490" s="962"/>
      <c r="E490" s="658"/>
      <c r="F490" s="658"/>
      <c r="G490" s="658"/>
      <c r="H490" s="658"/>
      <c r="I490" s="658"/>
      <c r="J490" s="658"/>
      <c r="K490" s="658"/>
      <c r="L490" s="658"/>
      <c r="M490" s="658"/>
      <c r="N490" s="658"/>
      <c r="O490" s="658"/>
      <c r="P490" s="658"/>
      <c r="Q490" s="658"/>
    </row>
    <row r="491" spans="3:17">
      <c r="C491" s="962"/>
      <c r="D491" s="962"/>
      <c r="E491" s="658"/>
      <c r="F491" s="658"/>
      <c r="G491" s="658"/>
      <c r="H491" s="658"/>
      <c r="I491" s="658"/>
      <c r="J491" s="658"/>
      <c r="K491" s="658"/>
      <c r="L491" s="658"/>
      <c r="M491" s="658"/>
      <c r="N491" s="658"/>
      <c r="O491" s="658"/>
      <c r="P491" s="658"/>
      <c r="Q491" s="658"/>
    </row>
    <row r="492" spans="3:17">
      <c r="C492" s="962"/>
      <c r="D492" s="962"/>
      <c r="E492" s="658"/>
      <c r="F492" s="658"/>
      <c r="G492" s="658"/>
      <c r="H492" s="658"/>
      <c r="I492" s="658"/>
      <c r="J492" s="658"/>
      <c r="K492" s="658"/>
      <c r="L492" s="658"/>
      <c r="M492" s="658"/>
      <c r="N492" s="658"/>
      <c r="O492" s="658"/>
      <c r="P492" s="658"/>
      <c r="Q492" s="658"/>
    </row>
    <row r="493" spans="3:17">
      <c r="C493" s="962"/>
      <c r="D493" s="962"/>
      <c r="E493" s="658"/>
      <c r="F493" s="658"/>
      <c r="G493" s="658"/>
      <c r="H493" s="658"/>
      <c r="I493" s="658"/>
      <c r="J493" s="658"/>
      <c r="K493" s="658"/>
      <c r="L493" s="658"/>
      <c r="M493" s="658"/>
      <c r="N493" s="658"/>
      <c r="O493" s="658"/>
      <c r="P493" s="658"/>
      <c r="Q493" s="658"/>
    </row>
    <row r="494" spans="3:17">
      <c r="C494" s="962"/>
      <c r="D494" s="962"/>
      <c r="E494" s="658"/>
      <c r="F494" s="658"/>
      <c r="G494" s="658"/>
      <c r="H494" s="658"/>
      <c r="I494" s="658"/>
      <c r="J494" s="658"/>
      <c r="K494" s="658"/>
      <c r="L494" s="658"/>
      <c r="M494" s="658"/>
      <c r="N494" s="658"/>
      <c r="O494" s="658"/>
      <c r="P494" s="658"/>
      <c r="Q494" s="658"/>
    </row>
    <row r="495" spans="3:17">
      <c r="C495" s="962"/>
      <c r="D495" s="962"/>
      <c r="E495" s="658"/>
      <c r="F495" s="658"/>
      <c r="G495" s="658"/>
      <c r="H495" s="658"/>
      <c r="I495" s="658"/>
      <c r="J495" s="658"/>
      <c r="K495" s="658"/>
      <c r="L495" s="658"/>
      <c r="M495" s="658"/>
      <c r="N495" s="658"/>
      <c r="O495" s="658"/>
      <c r="P495" s="658"/>
      <c r="Q495" s="658"/>
    </row>
    <row r="496" spans="3:17">
      <c r="C496" s="962"/>
      <c r="D496" s="962"/>
      <c r="E496" s="658"/>
      <c r="F496" s="658"/>
      <c r="G496" s="658"/>
      <c r="H496" s="658"/>
      <c r="I496" s="658"/>
      <c r="J496" s="658"/>
      <c r="K496" s="658"/>
      <c r="L496" s="658"/>
      <c r="M496" s="658"/>
      <c r="N496" s="658"/>
      <c r="O496" s="658"/>
      <c r="P496" s="658"/>
      <c r="Q496" s="658"/>
    </row>
    <row r="497" spans="3:17">
      <c r="C497" s="962"/>
      <c r="D497" s="962"/>
      <c r="E497" s="658"/>
      <c r="F497" s="658"/>
      <c r="G497" s="658"/>
      <c r="H497" s="658"/>
      <c r="I497" s="658"/>
      <c r="J497" s="658"/>
      <c r="K497" s="658"/>
      <c r="L497" s="658"/>
      <c r="M497" s="658"/>
      <c r="N497" s="658"/>
      <c r="O497" s="658"/>
      <c r="P497" s="658"/>
      <c r="Q497" s="658"/>
    </row>
    <row r="498" spans="3:17">
      <c r="C498" s="962"/>
      <c r="D498" s="962"/>
      <c r="E498" s="658"/>
      <c r="F498" s="658"/>
      <c r="G498" s="658"/>
      <c r="H498" s="658"/>
      <c r="I498" s="658"/>
      <c r="J498" s="658"/>
      <c r="K498" s="658"/>
      <c r="L498" s="658"/>
      <c r="M498" s="658"/>
      <c r="N498" s="658"/>
      <c r="O498" s="658"/>
      <c r="P498" s="658"/>
      <c r="Q498" s="658"/>
    </row>
    <row r="499" spans="3:17">
      <c r="C499" s="962"/>
      <c r="D499" s="962"/>
      <c r="E499" s="658"/>
      <c r="F499" s="658"/>
      <c r="G499" s="658"/>
      <c r="H499" s="658"/>
      <c r="I499" s="658"/>
      <c r="J499" s="658"/>
      <c r="K499" s="658"/>
      <c r="L499" s="658"/>
      <c r="M499" s="658"/>
      <c r="N499" s="658"/>
      <c r="O499" s="658"/>
      <c r="P499" s="658"/>
      <c r="Q499" s="658"/>
    </row>
    <row r="500" spans="3:17">
      <c r="C500" s="962"/>
      <c r="D500" s="962"/>
      <c r="E500" s="658"/>
      <c r="F500" s="658"/>
      <c r="G500" s="658"/>
      <c r="H500" s="658"/>
      <c r="I500" s="658"/>
      <c r="J500" s="658"/>
      <c r="K500" s="658"/>
      <c r="L500" s="658"/>
      <c r="M500" s="658"/>
      <c r="N500" s="658"/>
      <c r="O500" s="658"/>
      <c r="P500" s="658"/>
      <c r="Q500" s="658"/>
    </row>
    <row r="501" spans="3:17">
      <c r="C501" s="962"/>
      <c r="D501" s="962"/>
      <c r="E501" s="658"/>
      <c r="F501" s="658"/>
      <c r="G501" s="658"/>
      <c r="H501" s="658"/>
      <c r="I501" s="658"/>
      <c r="J501" s="658"/>
      <c r="K501" s="658"/>
      <c r="L501" s="658"/>
      <c r="M501" s="658"/>
      <c r="N501" s="658"/>
      <c r="O501" s="658"/>
      <c r="P501" s="658"/>
      <c r="Q501" s="658"/>
    </row>
    <row r="502" spans="3:17">
      <c r="C502" s="962"/>
      <c r="D502" s="962"/>
      <c r="E502" s="658"/>
      <c r="F502" s="658"/>
      <c r="G502" s="658"/>
      <c r="H502" s="658"/>
      <c r="I502" s="658"/>
      <c r="J502" s="658"/>
      <c r="K502" s="658"/>
      <c r="L502" s="658"/>
      <c r="M502" s="658"/>
      <c r="N502" s="658"/>
      <c r="O502" s="658"/>
      <c r="P502" s="658"/>
      <c r="Q502" s="658"/>
    </row>
    <row r="503" spans="3:17">
      <c r="C503" s="962"/>
      <c r="D503" s="962"/>
      <c r="E503" s="658"/>
      <c r="F503" s="658"/>
      <c r="G503" s="658"/>
      <c r="H503" s="658"/>
      <c r="I503" s="658"/>
      <c r="J503" s="658"/>
      <c r="K503" s="658"/>
      <c r="L503" s="658"/>
      <c r="M503" s="658"/>
      <c r="N503" s="658"/>
      <c r="O503" s="658"/>
      <c r="P503" s="658"/>
      <c r="Q503" s="658"/>
    </row>
    <row r="504" spans="3:17">
      <c r="C504" s="962"/>
      <c r="D504" s="962"/>
      <c r="E504" s="658"/>
      <c r="F504" s="658"/>
      <c r="G504" s="658"/>
      <c r="H504" s="658"/>
      <c r="I504" s="658"/>
      <c r="J504" s="658"/>
      <c r="K504" s="658"/>
      <c r="L504" s="658"/>
      <c r="M504" s="658"/>
      <c r="N504" s="658"/>
      <c r="O504" s="658"/>
      <c r="P504" s="658"/>
      <c r="Q504" s="658"/>
    </row>
    <row r="505" spans="3:17">
      <c r="C505" s="962"/>
      <c r="D505" s="962"/>
      <c r="E505" s="658"/>
      <c r="F505" s="658"/>
      <c r="G505" s="658"/>
      <c r="H505" s="658"/>
      <c r="I505" s="658"/>
      <c r="J505" s="658"/>
      <c r="K505" s="658"/>
      <c r="L505" s="658"/>
      <c r="M505" s="658"/>
      <c r="N505" s="658"/>
      <c r="O505" s="658"/>
      <c r="P505" s="658"/>
      <c r="Q505" s="658"/>
    </row>
    <row r="506" spans="3:17">
      <c r="C506" s="962"/>
      <c r="D506" s="962"/>
      <c r="E506" s="658"/>
      <c r="F506" s="658"/>
      <c r="G506" s="658"/>
      <c r="H506" s="658"/>
      <c r="I506" s="658"/>
      <c r="J506" s="658"/>
      <c r="K506" s="658"/>
      <c r="L506" s="658"/>
      <c r="M506" s="658"/>
      <c r="N506" s="658"/>
      <c r="O506" s="658"/>
      <c r="P506" s="658"/>
      <c r="Q506" s="658"/>
    </row>
    <row r="507" spans="3:17">
      <c r="C507" s="962"/>
      <c r="D507" s="962"/>
      <c r="E507" s="658"/>
      <c r="F507" s="658"/>
      <c r="G507" s="658"/>
      <c r="H507" s="658"/>
      <c r="I507" s="658"/>
      <c r="J507" s="658"/>
      <c r="K507" s="658"/>
      <c r="L507" s="658"/>
      <c r="M507" s="658"/>
      <c r="N507" s="658"/>
      <c r="O507" s="658"/>
      <c r="P507" s="658"/>
      <c r="Q507" s="658"/>
    </row>
    <row r="508" spans="3:17">
      <c r="C508" s="962"/>
      <c r="D508" s="962"/>
      <c r="E508" s="658"/>
      <c r="F508" s="658"/>
      <c r="G508" s="658"/>
      <c r="H508" s="658"/>
      <c r="I508" s="658"/>
      <c r="J508" s="658"/>
      <c r="K508" s="658"/>
      <c r="L508" s="658"/>
      <c r="M508" s="658"/>
      <c r="N508" s="658"/>
      <c r="O508" s="658"/>
      <c r="P508" s="658"/>
      <c r="Q508" s="658"/>
    </row>
    <row r="509" spans="3:17">
      <c r="C509" s="962"/>
      <c r="D509" s="962"/>
      <c r="E509" s="658"/>
      <c r="F509" s="658"/>
      <c r="G509" s="658"/>
      <c r="H509" s="658"/>
      <c r="I509" s="658"/>
      <c r="J509" s="658"/>
      <c r="K509" s="658"/>
      <c r="L509" s="658"/>
      <c r="M509" s="658"/>
      <c r="N509" s="658"/>
      <c r="O509" s="658"/>
      <c r="P509" s="658"/>
      <c r="Q509" s="658"/>
    </row>
    <row r="510" spans="3:17">
      <c r="C510" s="962"/>
      <c r="D510" s="962"/>
      <c r="E510" s="658"/>
      <c r="F510" s="658"/>
      <c r="G510" s="658"/>
      <c r="H510" s="658"/>
      <c r="I510" s="658"/>
      <c r="J510" s="658"/>
      <c r="K510" s="658"/>
      <c r="L510" s="658"/>
      <c r="M510" s="658"/>
      <c r="N510" s="658"/>
      <c r="O510" s="658"/>
      <c r="P510" s="658"/>
      <c r="Q510" s="658"/>
    </row>
    <row r="511" spans="3:17">
      <c r="C511" s="962"/>
      <c r="D511" s="962"/>
      <c r="E511" s="658"/>
      <c r="F511" s="658"/>
      <c r="G511" s="658"/>
      <c r="H511" s="658"/>
      <c r="I511" s="658"/>
      <c r="J511" s="658"/>
      <c r="K511" s="658"/>
      <c r="L511" s="658"/>
      <c r="M511" s="658"/>
      <c r="N511" s="658"/>
      <c r="O511" s="658"/>
      <c r="P511" s="658"/>
      <c r="Q511" s="658"/>
    </row>
    <row r="512" spans="3:17">
      <c r="C512" s="962"/>
      <c r="D512" s="962"/>
      <c r="E512" s="658"/>
      <c r="F512" s="658"/>
      <c r="G512" s="658"/>
      <c r="H512" s="658"/>
      <c r="I512" s="658"/>
      <c r="J512" s="658"/>
      <c r="K512" s="658"/>
      <c r="L512" s="658"/>
      <c r="M512" s="658"/>
      <c r="N512" s="658"/>
      <c r="O512" s="658"/>
      <c r="P512" s="658"/>
      <c r="Q512" s="658"/>
    </row>
    <row r="513" spans="3:17">
      <c r="C513" s="962"/>
      <c r="D513" s="962"/>
      <c r="E513" s="658"/>
      <c r="F513" s="658"/>
      <c r="G513" s="658"/>
      <c r="H513" s="658"/>
      <c r="I513" s="658"/>
      <c r="J513" s="658"/>
      <c r="K513" s="658"/>
      <c r="L513" s="658"/>
      <c r="M513" s="658"/>
      <c r="N513" s="658"/>
      <c r="O513" s="658"/>
      <c r="P513" s="658"/>
      <c r="Q513" s="658"/>
    </row>
    <row r="514" spans="3:17">
      <c r="C514" s="962"/>
      <c r="D514" s="962"/>
      <c r="E514" s="658"/>
      <c r="F514" s="658"/>
      <c r="G514" s="658"/>
      <c r="H514" s="658"/>
      <c r="I514" s="658"/>
      <c r="J514" s="658"/>
      <c r="K514" s="658"/>
      <c r="L514" s="658"/>
      <c r="M514" s="658"/>
      <c r="N514" s="658"/>
      <c r="O514" s="658"/>
      <c r="P514" s="658"/>
      <c r="Q514" s="658"/>
    </row>
    <row r="515" spans="3:17">
      <c r="C515" s="962"/>
      <c r="D515" s="962"/>
      <c r="E515" s="658"/>
      <c r="F515" s="658"/>
      <c r="G515" s="658"/>
      <c r="H515" s="658"/>
      <c r="I515" s="658"/>
      <c r="J515" s="658"/>
      <c r="K515" s="658"/>
      <c r="L515" s="658"/>
      <c r="M515" s="658"/>
      <c r="N515" s="658"/>
      <c r="O515" s="658"/>
      <c r="P515" s="658"/>
      <c r="Q515" s="658"/>
    </row>
    <row r="516" spans="3:17">
      <c r="C516" s="962"/>
      <c r="D516" s="962"/>
      <c r="E516" s="658"/>
      <c r="F516" s="658"/>
      <c r="G516" s="658"/>
      <c r="H516" s="658"/>
      <c r="I516" s="658"/>
      <c r="J516" s="658"/>
      <c r="K516" s="658"/>
      <c r="L516" s="658"/>
      <c r="M516" s="658"/>
      <c r="N516" s="658"/>
      <c r="O516" s="658"/>
      <c r="P516" s="658"/>
      <c r="Q516" s="658"/>
    </row>
    <row r="517" spans="3:17">
      <c r="C517" s="962"/>
      <c r="D517" s="962"/>
      <c r="E517" s="658"/>
      <c r="F517" s="658"/>
      <c r="G517" s="658"/>
      <c r="H517" s="658"/>
      <c r="I517" s="658"/>
      <c r="J517" s="658"/>
      <c r="K517" s="658"/>
      <c r="L517" s="658"/>
      <c r="M517" s="658"/>
      <c r="N517" s="658"/>
      <c r="O517" s="658"/>
      <c r="P517" s="658"/>
      <c r="Q517" s="658"/>
    </row>
    <row r="518" spans="3:17">
      <c r="C518" s="962"/>
      <c r="D518" s="962"/>
      <c r="E518" s="658"/>
      <c r="F518" s="658"/>
      <c r="G518" s="658"/>
      <c r="H518" s="658"/>
      <c r="I518" s="658"/>
      <c r="J518" s="658"/>
      <c r="K518" s="658"/>
      <c r="L518" s="658"/>
      <c r="M518" s="658"/>
      <c r="N518" s="658"/>
      <c r="O518" s="658"/>
      <c r="P518" s="658"/>
      <c r="Q518" s="658"/>
    </row>
    <row r="519" spans="3:17">
      <c r="C519" s="962"/>
      <c r="D519" s="962"/>
      <c r="E519" s="658"/>
      <c r="F519" s="658"/>
      <c r="G519" s="658"/>
      <c r="H519" s="658"/>
      <c r="I519" s="658"/>
      <c r="J519" s="658"/>
      <c r="K519" s="658"/>
      <c r="L519" s="658"/>
      <c r="M519" s="658"/>
      <c r="N519" s="658"/>
      <c r="O519" s="658"/>
      <c r="P519" s="658"/>
      <c r="Q519" s="658"/>
    </row>
    <row r="520" spans="3:17">
      <c r="C520" s="962"/>
      <c r="D520" s="962"/>
      <c r="E520" s="658"/>
      <c r="F520" s="658"/>
      <c r="G520" s="658"/>
      <c r="H520" s="658"/>
      <c r="I520" s="658"/>
      <c r="J520" s="658"/>
      <c r="K520" s="658"/>
      <c r="L520" s="658"/>
      <c r="M520" s="658"/>
      <c r="N520" s="658"/>
      <c r="O520" s="658"/>
      <c r="P520" s="658"/>
      <c r="Q520" s="658"/>
    </row>
    <row r="521" spans="3:17">
      <c r="C521" s="962"/>
      <c r="D521" s="962"/>
      <c r="E521" s="658"/>
      <c r="F521" s="658"/>
      <c r="G521" s="658"/>
      <c r="H521" s="658"/>
      <c r="I521" s="658"/>
      <c r="J521" s="658"/>
      <c r="K521" s="658"/>
      <c r="L521" s="658"/>
      <c r="M521" s="658"/>
      <c r="N521" s="658"/>
      <c r="O521" s="658"/>
      <c r="P521" s="658"/>
      <c r="Q521" s="658"/>
    </row>
    <row r="522" spans="3:17">
      <c r="C522" s="962"/>
      <c r="D522" s="962"/>
      <c r="E522" s="658"/>
      <c r="F522" s="658"/>
      <c r="G522" s="658"/>
      <c r="H522" s="658"/>
      <c r="I522" s="658"/>
      <c r="J522" s="658"/>
      <c r="K522" s="658"/>
      <c r="L522" s="658"/>
      <c r="M522" s="658"/>
      <c r="N522" s="658"/>
      <c r="O522" s="658"/>
      <c r="P522" s="658"/>
      <c r="Q522" s="658"/>
    </row>
    <row r="523" spans="3:17">
      <c r="C523" s="962"/>
      <c r="D523" s="962"/>
      <c r="E523" s="658"/>
      <c r="F523" s="658"/>
      <c r="G523" s="658"/>
      <c r="H523" s="658"/>
      <c r="I523" s="658"/>
      <c r="J523" s="658"/>
      <c r="K523" s="658"/>
      <c r="L523" s="658"/>
      <c r="M523" s="658"/>
      <c r="N523" s="658"/>
      <c r="O523" s="658"/>
      <c r="P523" s="658"/>
      <c r="Q523" s="658"/>
    </row>
    <row r="524" spans="3:17">
      <c r="C524" s="962"/>
      <c r="D524" s="962"/>
      <c r="E524" s="658"/>
      <c r="F524" s="658"/>
      <c r="G524" s="658"/>
      <c r="H524" s="658"/>
      <c r="I524" s="658"/>
      <c r="J524" s="658"/>
      <c r="K524" s="658"/>
      <c r="L524" s="658"/>
      <c r="M524" s="658"/>
      <c r="N524" s="658"/>
      <c r="O524" s="658"/>
      <c r="P524" s="658"/>
      <c r="Q524" s="658"/>
    </row>
    <row r="525" spans="3:17">
      <c r="C525" s="962"/>
      <c r="D525" s="962"/>
      <c r="E525" s="658"/>
      <c r="F525" s="658"/>
      <c r="G525" s="658"/>
      <c r="H525" s="658"/>
      <c r="I525" s="658"/>
      <c r="J525" s="658"/>
      <c r="K525" s="658"/>
      <c r="L525" s="658"/>
      <c r="M525" s="658"/>
      <c r="N525" s="658"/>
      <c r="O525" s="658"/>
      <c r="P525" s="658"/>
      <c r="Q525" s="658"/>
    </row>
    <row r="526" spans="3:17">
      <c r="C526" s="962"/>
      <c r="D526" s="962"/>
      <c r="E526" s="658"/>
      <c r="F526" s="658"/>
      <c r="G526" s="658"/>
      <c r="H526" s="658"/>
      <c r="I526" s="658"/>
      <c r="J526" s="658"/>
      <c r="K526" s="658"/>
      <c r="L526" s="658"/>
      <c r="M526" s="658"/>
      <c r="N526" s="658"/>
      <c r="O526" s="658"/>
      <c r="P526" s="658"/>
      <c r="Q526" s="658"/>
    </row>
    <row r="527" spans="3:17">
      <c r="C527" s="962"/>
      <c r="D527" s="962"/>
      <c r="E527" s="658"/>
      <c r="F527" s="658"/>
      <c r="G527" s="658"/>
      <c r="H527" s="658"/>
      <c r="I527" s="658"/>
      <c r="J527" s="658"/>
      <c r="K527" s="658"/>
      <c r="L527" s="658"/>
      <c r="M527" s="658"/>
      <c r="N527" s="658"/>
      <c r="O527" s="658"/>
      <c r="P527" s="658"/>
      <c r="Q527" s="658"/>
    </row>
    <row r="528" spans="3:17">
      <c r="C528" s="962"/>
      <c r="D528" s="962"/>
      <c r="E528" s="658"/>
      <c r="F528" s="658"/>
      <c r="G528" s="658"/>
      <c r="H528" s="658"/>
      <c r="I528" s="658"/>
      <c r="J528" s="658"/>
      <c r="K528" s="658"/>
      <c r="L528" s="658"/>
      <c r="M528" s="658"/>
      <c r="N528" s="658"/>
      <c r="O528" s="658"/>
      <c r="P528" s="658"/>
      <c r="Q528" s="658"/>
    </row>
    <row r="529" spans="3:17">
      <c r="C529" s="962"/>
      <c r="D529" s="962"/>
      <c r="E529" s="658"/>
      <c r="F529" s="658"/>
      <c r="G529" s="658"/>
      <c r="H529" s="658"/>
      <c r="I529" s="658"/>
      <c r="J529" s="658"/>
      <c r="K529" s="658"/>
      <c r="L529" s="658"/>
      <c r="M529" s="658"/>
      <c r="N529" s="658"/>
      <c r="O529" s="658"/>
      <c r="P529" s="658"/>
      <c r="Q529" s="658"/>
    </row>
    <row r="530" spans="3:17">
      <c r="C530" s="962"/>
      <c r="D530" s="962"/>
      <c r="E530" s="658"/>
      <c r="F530" s="658"/>
      <c r="G530" s="658"/>
      <c r="H530" s="658"/>
      <c r="I530" s="658"/>
      <c r="J530" s="658"/>
      <c r="K530" s="658"/>
      <c r="L530" s="658"/>
      <c r="M530" s="658"/>
      <c r="N530" s="658"/>
      <c r="O530" s="658"/>
      <c r="P530" s="658"/>
      <c r="Q530" s="658"/>
    </row>
    <row r="531" spans="3:17">
      <c r="C531" s="962"/>
      <c r="D531" s="962"/>
      <c r="E531" s="658"/>
      <c r="F531" s="658"/>
      <c r="G531" s="658"/>
      <c r="H531" s="658"/>
      <c r="I531" s="658"/>
      <c r="J531" s="658"/>
      <c r="K531" s="658"/>
      <c r="L531" s="658"/>
      <c r="M531" s="658"/>
      <c r="N531" s="658"/>
      <c r="O531" s="658"/>
      <c r="P531" s="658"/>
      <c r="Q531" s="658"/>
    </row>
    <row r="532" spans="3:17">
      <c r="C532" s="962"/>
      <c r="D532" s="962"/>
      <c r="E532" s="658"/>
      <c r="F532" s="658"/>
      <c r="G532" s="658"/>
      <c r="H532" s="658"/>
      <c r="I532" s="658"/>
      <c r="J532" s="658"/>
      <c r="K532" s="658"/>
      <c r="L532" s="658"/>
      <c r="M532" s="658"/>
      <c r="N532" s="658"/>
      <c r="O532" s="658"/>
      <c r="P532" s="658"/>
      <c r="Q532" s="658"/>
    </row>
    <row r="533" spans="3:17">
      <c r="C533" s="962"/>
      <c r="D533" s="962"/>
      <c r="E533" s="658"/>
      <c r="F533" s="658"/>
      <c r="G533" s="658"/>
      <c r="H533" s="658"/>
      <c r="I533" s="658"/>
      <c r="J533" s="658"/>
      <c r="K533" s="658"/>
      <c r="L533" s="658"/>
      <c r="M533" s="658"/>
      <c r="N533" s="658"/>
      <c r="O533" s="658"/>
      <c r="P533" s="658"/>
      <c r="Q533" s="658"/>
    </row>
    <row r="534" spans="3:17">
      <c r="C534" s="962"/>
      <c r="D534" s="962"/>
      <c r="E534" s="658"/>
      <c r="F534" s="658"/>
      <c r="G534" s="658"/>
      <c r="H534" s="658"/>
      <c r="I534" s="658"/>
      <c r="J534" s="658"/>
      <c r="K534" s="658"/>
      <c r="L534" s="658"/>
      <c r="M534" s="658"/>
      <c r="N534" s="658"/>
      <c r="O534" s="658"/>
      <c r="P534" s="658"/>
      <c r="Q534" s="658"/>
    </row>
    <row r="535" spans="3:17">
      <c r="C535" s="962"/>
      <c r="D535" s="962"/>
      <c r="E535" s="658"/>
      <c r="F535" s="658"/>
      <c r="G535" s="658"/>
      <c r="H535" s="658"/>
      <c r="I535" s="658"/>
      <c r="J535" s="658"/>
      <c r="K535" s="658"/>
      <c r="L535" s="658"/>
      <c r="M535" s="658"/>
      <c r="N535" s="658"/>
      <c r="O535" s="658"/>
      <c r="P535" s="658"/>
      <c r="Q535" s="658"/>
    </row>
    <row r="536" spans="3:17">
      <c r="C536" s="962"/>
      <c r="D536" s="962"/>
      <c r="E536" s="658"/>
      <c r="F536" s="658"/>
      <c r="G536" s="658"/>
      <c r="H536" s="658"/>
      <c r="I536" s="658"/>
      <c r="J536" s="658"/>
      <c r="K536" s="658"/>
      <c r="L536" s="658"/>
      <c r="M536" s="658"/>
      <c r="N536" s="658"/>
      <c r="O536" s="658"/>
      <c r="P536" s="658"/>
      <c r="Q536" s="658"/>
    </row>
    <row r="537" spans="3:17">
      <c r="C537" s="962"/>
      <c r="D537" s="962"/>
      <c r="E537" s="658"/>
      <c r="F537" s="658"/>
      <c r="G537" s="658"/>
      <c r="H537" s="658"/>
      <c r="I537" s="658"/>
      <c r="J537" s="658"/>
      <c r="K537" s="658"/>
      <c r="L537" s="658"/>
      <c r="M537" s="658"/>
      <c r="N537" s="658"/>
      <c r="O537" s="658"/>
      <c r="P537" s="658"/>
      <c r="Q537" s="658"/>
    </row>
    <row r="538" spans="3:17">
      <c r="C538" s="962"/>
      <c r="D538" s="962"/>
      <c r="E538" s="658"/>
      <c r="F538" s="658"/>
      <c r="G538" s="658"/>
      <c r="H538" s="658"/>
      <c r="I538" s="658"/>
      <c r="J538" s="658"/>
      <c r="K538" s="658"/>
      <c r="L538" s="658"/>
      <c r="M538" s="658"/>
      <c r="N538" s="658"/>
      <c r="O538" s="658"/>
      <c r="P538" s="658"/>
      <c r="Q538" s="658"/>
    </row>
    <row r="539" spans="3:17">
      <c r="C539" s="962"/>
      <c r="D539" s="962"/>
      <c r="E539" s="658"/>
      <c r="F539" s="658"/>
      <c r="G539" s="658"/>
      <c r="H539" s="658"/>
      <c r="I539" s="658"/>
      <c r="J539" s="658"/>
      <c r="K539" s="658"/>
      <c r="L539" s="658"/>
      <c r="M539" s="658"/>
      <c r="N539" s="658"/>
      <c r="O539" s="658"/>
      <c r="P539" s="658"/>
      <c r="Q539" s="658"/>
    </row>
    <row r="540" spans="3:17">
      <c r="C540" s="962"/>
      <c r="D540" s="962"/>
      <c r="E540" s="658"/>
      <c r="F540" s="658"/>
      <c r="G540" s="658"/>
      <c r="H540" s="658"/>
      <c r="I540" s="658"/>
      <c r="J540" s="658"/>
      <c r="K540" s="658"/>
      <c r="L540" s="658"/>
      <c r="M540" s="658"/>
      <c r="N540" s="658"/>
      <c r="O540" s="658"/>
      <c r="P540" s="658"/>
      <c r="Q540" s="658"/>
    </row>
    <row r="541" spans="3:17">
      <c r="C541" s="962"/>
      <c r="D541" s="962"/>
      <c r="E541" s="658"/>
      <c r="F541" s="658"/>
      <c r="G541" s="658"/>
      <c r="H541" s="658"/>
      <c r="I541" s="658"/>
      <c r="J541" s="658"/>
      <c r="K541" s="658"/>
      <c r="L541" s="658"/>
      <c r="M541" s="658"/>
      <c r="N541" s="658"/>
      <c r="O541" s="658"/>
      <c r="P541" s="658"/>
      <c r="Q541" s="658"/>
    </row>
    <row r="542" spans="3:17">
      <c r="C542" s="962"/>
      <c r="D542" s="962"/>
      <c r="E542" s="658"/>
      <c r="F542" s="658"/>
      <c r="G542" s="658"/>
      <c r="H542" s="658"/>
      <c r="I542" s="658"/>
      <c r="J542" s="658"/>
      <c r="K542" s="658"/>
      <c r="L542" s="658"/>
      <c r="M542" s="658"/>
      <c r="N542" s="658"/>
      <c r="O542" s="658"/>
      <c r="P542" s="658"/>
      <c r="Q542" s="658"/>
    </row>
    <row r="543" spans="3:17">
      <c r="C543" s="962"/>
      <c r="D543" s="962"/>
      <c r="E543" s="658"/>
      <c r="F543" s="658"/>
      <c r="G543" s="658"/>
      <c r="H543" s="658"/>
      <c r="I543" s="658"/>
      <c r="J543" s="658"/>
      <c r="K543" s="658"/>
      <c r="L543" s="658"/>
      <c r="M543" s="658"/>
      <c r="N543" s="658"/>
      <c r="O543" s="658"/>
      <c r="P543" s="658"/>
      <c r="Q543" s="658"/>
    </row>
    <row r="544" spans="3:17">
      <c r="C544" s="962"/>
      <c r="D544" s="962"/>
      <c r="E544" s="658"/>
      <c r="F544" s="658"/>
      <c r="G544" s="658"/>
      <c r="H544" s="658"/>
      <c r="I544" s="658"/>
      <c r="J544" s="658"/>
      <c r="K544" s="658"/>
      <c r="L544" s="658"/>
      <c r="M544" s="658"/>
      <c r="N544" s="658"/>
      <c r="O544" s="658"/>
      <c r="P544" s="658"/>
      <c r="Q544" s="658"/>
    </row>
    <row r="545" spans="3:17">
      <c r="C545" s="962"/>
      <c r="D545" s="962"/>
      <c r="E545" s="658"/>
      <c r="F545" s="658"/>
      <c r="G545" s="658"/>
      <c r="H545" s="658"/>
      <c r="I545" s="658"/>
      <c r="J545" s="658"/>
      <c r="K545" s="658"/>
      <c r="L545" s="658"/>
      <c r="M545" s="658"/>
      <c r="N545" s="658"/>
      <c r="O545" s="658"/>
      <c r="P545" s="658"/>
      <c r="Q545" s="658"/>
    </row>
    <row r="546" spans="3:17">
      <c r="C546" s="962"/>
      <c r="D546" s="962"/>
      <c r="E546" s="658"/>
      <c r="F546" s="658"/>
      <c r="G546" s="658"/>
      <c r="H546" s="658"/>
      <c r="I546" s="658"/>
      <c r="J546" s="658"/>
      <c r="K546" s="658"/>
      <c r="L546" s="658"/>
      <c r="M546" s="658"/>
      <c r="N546" s="658"/>
      <c r="O546" s="658"/>
      <c r="P546" s="658"/>
      <c r="Q546" s="658"/>
    </row>
    <row r="547" spans="3:17">
      <c r="C547" s="962"/>
      <c r="D547" s="962"/>
      <c r="E547" s="658"/>
      <c r="F547" s="658"/>
      <c r="G547" s="658"/>
      <c r="H547" s="658"/>
      <c r="I547" s="658"/>
      <c r="J547" s="658"/>
      <c r="K547" s="658"/>
      <c r="L547" s="658"/>
      <c r="M547" s="658"/>
      <c r="N547" s="658"/>
      <c r="O547" s="658"/>
      <c r="P547" s="658"/>
      <c r="Q547" s="658"/>
    </row>
    <row r="548" spans="3:17">
      <c r="C548" s="962"/>
      <c r="D548" s="962"/>
      <c r="E548" s="658"/>
      <c r="F548" s="658"/>
      <c r="G548" s="658"/>
      <c r="H548" s="658"/>
      <c r="I548" s="658"/>
      <c r="J548" s="658"/>
      <c r="K548" s="658"/>
      <c r="L548" s="658"/>
      <c r="M548" s="658"/>
      <c r="N548" s="658"/>
      <c r="O548" s="658"/>
      <c r="P548" s="658"/>
      <c r="Q548" s="658"/>
    </row>
    <row r="549" spans="3:17">
      <c r="C549" s="962"/>
      <c r="D549" s="962"/>
      <c r="E549" s="658"/>
      <c r="F549" s="658"/>
      <c r="G549" s="658"/>
      <c r="H549" s="658"/>
      <c r="I549" s="658"/>
      <c r="J549" s="658"/>
      <c r="K549" s="658"/>
      <c r="L549" s="658"/>
      <c r="M549" s="658"/>
      <c r="N549" s="658"/>
      <c r="O549" s="658"/>
      <c r="P549" s="658"/>
      <c r="Q549" s="658"/>
    </row>
    <row r="550" spans="3:17">
      <c r="C550" s="962"/>
      <c r="D550" s="962"/>
      <c r="E550" s="658"/>
      <c r="F550" s="658"/>
      <c r="G550" s="658"/>
      <c r="H550" s="658"/>
      <c r="I550" s="658"/>
      <c r="J550" s="658"/>
      <c r="K550" s="658"/>
      <c r="L550" s="658"/>
      <c r="M550" s="658"/>
      <c r="N550" s="658"/>
      <c r="O550" s="658"/>
      <c r="P550" s="658"/>
      <c r="Q550" s="658"/>
    </row>
    <row r="551" spans="3:17">
      <c r="C551" s="962"/>
      <c r="D551" s="962"/>
      <c r="E551" s="658"/>
      <c r="F551" s="658"/>
      <c r="G551" s="658"/>
      <c r="H551" s="658"/>
      <c r="I551" s="658"/>
      <c r="J551" s="658"/>
      <c r="K551" s="658"/>
      <c r="L551" s="658"/>
      <c r="M551" s="658"/>
      <c r="N551" s="658"/>
      <c r="O551" s="658"/>
      <c r="P551" s="658"/>
      <c r="Q551" s="658"/>
    </row>
    <row r="552" spans="3:17">
      <c r="C552" s="962"/>
      <c r="D552" s="962"/>
      <c r="E552" s="658"/>
      <c r="F552" s="658"/>
      <c r="G552" s="658"/>
      <c r="H552" s="658"/>
      <c r="I552" s="658"/>
      <c r="J552" s="658"/>
      <c r="K552" s="658"/>
      <c r="L552" s="658"/>
      <c r="M552" s="658"/>
      <c r="N552" s="658"/>
      <c r="O552" s="658"/>
      <c r="P552" s="658"/>
      <c r="Q552" s="658"/>
    </row>
    <row r="553" spans="3:17">
      <c r="C553" s="962"/>
      <c r="D553" s="962"/>
      <c r="E553" s="658"/>
      <c r="F553" s="658"/>
      <c r="G553" s="658"/>
      <c r="H553" s="658"/>
      <c r="I553" s="658"/>
      <c r="J553" s="658"/>
      <c r="K553" s="658"/>
      <c r="L553" s="658"/>
      <c r="M553" s="658"/>
      <c r="N553" s="658"/>
      <c r="O553" s="658"/>
      <c r="P553" s="658"/>
      <c r="Q553" s="658"/>
    </row>
    <row r="554" spans="3:17">
      <c r="C554" s="962"/>
      <c r="D554" s="962"/>
      <c r="E554" s="658"/>
      <c r="F554" s="658"/>
      <c r="G554" s="658"/>
      <c r="H554" s="658"/>
      <c r="I554" s="658"/>
      <c r="J554" s="658"/>
      <c r="K554" s="658"/>
      <c r="L554" s="658"/>
      <c r="M554" s="658"/>
      <c r="N554" s="658"/>
      <c r="O554" s="658"/>
      <c r="P554" s="658"/>
      <c r="Q554" s="658"/>
    </row>
    <row r="555" spans="3:17">
      <c r="C555" s="962"/>
      <c r="D555" s="962"/>
      <c r="E555" s="658"/>
      <c r="F555" s="658"/>
      <c r="G555" s="658"/>
      <c r="H555" s="658"/>
      <c r="I555" s="658"/>
      <c r="J555" s="658"/>
      <c r="K555" s="658"/>
      <c r="L555" s="658"/>
      <c r="M555" s="658"/>
      <c r="N555" s="658"/>
      <c r="O555" s="658"/>
      <c r="P555" s="658"/>
      <c r="Q555" s="658"/>
    </row>
    <row r="556" spans="3:17">
      <c r="C556" s="962"/>
      <c r="D556" s="962"/>
      <c r="E556" s="658"/>
      <c r="F556" s="658"/>
      <c r="G556" s="658"/>
      <c r="H556" s="658"/>
      <c r="I556" s="658"/>
      <c r="J556" s="658"/>
      <c r="K556" s="658"/>
      <c r="L556" s="658"/>
      <c r="M556" s="658"/>
      <c r="N556" s="658"/>
      <c r="O556" s="658"/>
      <c r="P556" s="658"/>
      <c r="Q556" s="658"/>
    </row>
    <row r="557" spans="3:17">
      <c r="C557" s="962"/>
      <c r="D557" s="962"/>
      <c r="E557" s="658"/>
      <c r="F557" s="658"/>
      <c r="G557" s="658"/>
      <c r="H557" s="658"/>
      <c r="I557" s="658"/>
      <c r="J557" s="658"/>
      <c r="K557" s="658"/>
      <c r="L557" s="658"/>
      <c r="M557" s="658"/>
      <c r="N557" s="658"/>
      <c r="O557" s="658"/>
      <c r="P557" s="658"/>
      <c r="Q557" s="658"/>
    </row>
    <row r="558" spans="3:17">
      <c r="C558" s="962"/>
      <c r="D558" s="962"/>
      <c r="E558" s="658"/>
      <c r="F558" s="658"/>
      <c r="G558" s="658"/>
      <c r="H558" s="658"/>
      <c r="I558" s="658"/>
      <c r="J558" s="658"/>
      <c r="K558" s="658"/>
      <c r="L558" s="658"/>
      <c r="M558" s="658"/>
      <c r="N558" s="658"/>
      <c r="O558" s="658"/>
      <c r="P558" s="658"/>
      <c r="Q558" s="658"/>
    </row>
    <row r="559" spans="3:17">
      <c r="C559" s="962"/>
      <c r="D559" s="962"/>
      <c r="E559" s="658"/>
      <c r="F559" s="658"/>
      <c r="G559" s="658"/>
      <c r="H559" s="658"/>
      <c r="I559" s="658"/>
      <c r="J559" s="658"/>
      <c r="K559" s="658"/>
      <c r="L559" s="658"/>
      <c r="M559" s="658"/>
      <c r="N559" s="658"/>
      <c r="O559" s="658"/>
      <c r="P559" s="658"/>
      <c r="Q559" s="658"/>
    </row>
    <row r="560" spans="3:17">
      <c r="C560" s="962"/>
      <c r="D560" s="962"/>
      <c r="E560" s="658"/>
      <c r="F560" s="658"/>
      <c r="G560" s="658"/>
      <c r="H560" s="658"/>
      <c r="I560" s="658"/>
      <c r="J560" s="658"/>
      <c r="K560" s="658"/>
      <c r="L560" s="658"/>
      <c r="M560" s="658"/>
      <c r="N560" s="658"/>
      <c r="O560" s="658"/>
      <c r="P560" s="658"/>
      <c r="Q560" s="658"/>
    </row>
    <row r="561" spans="3:17">
      <c r="C561" s="962"/>
      <c r="D561" s="962"/>
      <c r="E561" s="658"/>
      <c r="F561" s="658"/>
      <c r="G561" s="658"/>
      <c r="H561" s="658"/>
      <c r="I561" s="658"/>
      <c r="J561" s="658"/>
      <c r="K561" s="658"/>
      <c r="L561" s="658"/>
      <c r="M561" s="658"/>
      <c r="N561" s="658"/>
      <c r="O561" s="658"/>
      <c r="P561" s="658"/>
      <c r="Q561" s="658"/>
    </row>
    <row r="562" spans="3:17">
      <c r="C562" s="962"/>
      <c r="D562" s="962"/>
      <c r="E562" s="658"/>
      <c r="F562" s="658"/>
      <c r="G562" s="658"/>
      <c r="H562" s="658"/>
      <c r="I562" s="658"/>
      <c r="J562" s="658"/>
      <c r="K562" s="658"/>
      <c r="L562" s="658"/>
      <c r="M562" s="658"/>
      <c r="N562" s="658"/>
      <c r="O562" s="658"/>
      <c r="P562" s="658"/>
      <c r="Q562" s="658"/>
    </row>
    <row r="563" spans="3:17">
      <c r="C563" s="962"/>
      <c r="D563" s="962"/>
      <c r="E563" s="658"/>
      <c r="F563" s="658"/>
      <c r="G563" s="658"/>
      <c r="H563" s="658"/>
      <c r="I563" s="658"/>
      <c r="J563" s="658"/>
      <c r="K563" s="658"/>
      <c r="L563" s="658"/>
      <c r="M563" s="658"/>
      <c r="N563" s="658"/>
      <c r="O563" s="658"/>
      <c r="P563" s="658"/>
      <c r="Q563" s="658"/>
    </row>
    <row r="564" spans="3:17">
      <c r="C564" s="962"/>
      <c r="D564" s="962"/>
      <c r="E564" s="658"/>
      <c r="F564" s="658"/>
      <c r="G564" s="658"/>
      <c r="H564" s="658"/>
      <c r="I564" s="658"/>
      <c r="J564" s="658"/>
      <c r="K564" s="658"/>
      <c r="L564" s="658"/>
      <c r="M564" s="658"/>
      <c r="N564" s="658"/>
      <c r="O564" s="658"/>
      <c r="P564" s="658"/>
      <c r="Q564" s="658"/>
    </row>
    <row r="565" spans="3:17">
      <c r="C565" s="962"/>
      <c r="D565" s="962"/>
      <c r="E565" s="658"/>
      <c r="F565" s="658"/>
      <c r="G565" s="658"/>
      <c r="H565" s="658"/>
      <c r="I565" s="658"/>
      <c r="J565" s="658"/>
      <c r="K565" s="658"/>
      <c r="L565" s="658"/>
      <c r="M565" s="658"/>
      <c r="N565" s="658"/>
      <c r="O565" s="658"/>
      <c r="P565" s="658"/>
      <c r="Q565" s="658"/>
    </row>
    <row r="566" spans="3:17">
      <c r="C566" s="962"/>
      <c r="D566" s="962"/>
      <c r="E566" s="658"/>
      <c r="F566" s="658"/>
      <c r="G566" s="658"/>
      <c r="H566" s="658"/>
      <c r="I566" s="658"/>
      <c r="J566" s="658"/>
      <c r="K566" s="658"/>
      <c r="L566" s="658"/>
      <c r="M566" s="658"/>
      <c r="N566" s="658"/>
      <c r="O566" s="658"/>
      <c r="P566" s="658"/>
      <c r="Q566" s="658"/>
    </row>
    <row r="567" spans="3:17">
      <c r="C567" s="962"/>
      <c r="D567" s="962"/>
      <c r="E567" s="658"/>
      <c r="F567" s="658"/>
      <c r="G567" s="658"/>
      <c r="H567" s="658"/>
      <c r="I567" s="658"/>
      <c r="J567" s="658"/>
      <c r="K567" s="658"/>
      <c r="L567" s="658"/>
      <c r="M567" s="658"/>
      <c r="N567" s="658"/>
      <c r="O567" s="658"/>
      <c r="P567" s="658"/>
      <c r="Q567" s="658"/>
    </row>
    <row r="568" spans="3:17">
      <c r="C568" s="962"/>
      <c r="D568" s="962"/>
      <c r="E568" s="658"/>
      <c r="F568" s="658"/>
      <c r="G568" s="658"/>
      <c r="H568" s="658"/>
      <c r="I568" s="658"/>
      <c r="J568" s="658"/>
      <c r="K568" s="658"/>
      <c r="L568" s="658"/>
      <c r="M568" s="658"/>
      <c r="N568" s="658"/>
      <c r="O568" s="658"/>
      <c r="P568" s="658"/>
      <c r="Q568" s="658"/>
    </row>
    <row r="569" spans="3:17">
      <c r="C569" s="962"/>
      <c r="D569" s="962"/>
      <c r="E569" s="658"/>
      <c r="F569" s="658"/>
      <c r="G569" s="658"/>
      <c r="H569" s="658"/>
      <c r="I569" s="658"/>
      <c r="J569" s="658"/>
      <c r="K569" s="658"/>
      <c r="L569" s="658"/>
      <c r="M569" s="658"/>
      <c r="N569" s="658"/>
      <c r="O569" s="658"/>
      <c r="P569" s="658"/>
      <c r="Q569" s="658"/>
    </row>
    <row r="570" spans="3:17">
      <c r="C570" s="962"/>
      <c r="D570" s="962"/>
      <c r="E570" s="658"/>
      <c r="F570" s="658"/>
      <c r="G570" s="658"/>
      <c r="H570" s="658"/>
      <c r="I570" s="658"/>
      <c r="J570" s="658"/>
      <c r="K570" s="658"/>
      <c r="L570" s="658"/>
      <c r="M570" s="658"/>
      <c r="N570" s="658"/>
      <c r="O570" s="658"/>
      <c r="P570" s="658"/>
      <c r="Q570" s="658"/>
    </row>
    <row r="571" spans="3:17">
      <c r="C571" s="962"/>
      <c r="D571" s="962"/>
      <c r="E571" s="658"/>
      <c r="F571" s="658"/>
      <c r="G571" s="658"/>
      <c r="H571" s="658"/>
      <c r="I571" s="658"/>
      <c r="J571" s="658"/>
      <c r="K571" s="658"/>
      <c r="L571" s="658"/>
      <c r="M571" s="658"/>
      <c r="N571" s="658"/>
      <c r="O571" s="658"/>
      <c r="P571" s="658"/>
      <c r="Q571" s="658"/>
    </row>
    <row r="572" spans="3:17">
      <c r="C572" s="962"/>
      <c r="D572" s="962"/>
      <c r="E572" s="658"/>
      <c r="F572" s="658"/>
      <c r="G572" s="658"/>
      <c r="H572" s="658"/>
      <c r="I572" s="658"/>
      <c r="J572" s="658"/>
      <c r="K572" s="658"/>
      <c r="L572" s="658"/>
      <c r="M572" s="658"/>
      <c r="N572" s="658"/>
      <c r="O572" s="658"/>
      <c r="P572" s="658"/>
      <c r="Q572" s="658"/>
    </row>
    <row r="573" spans="3:17">
      <c r="C573" s="962"/>
      <c r="D573" s="962"/>
      <c r="E573" s="658"/>
      <c r="F573" s="658"/>
      <c r="G573" s="658"/>
      <c r="H573" s="658"/>
      <c r="I573" s="658"/>
      <c r="J573" s="658"/>
      <c r="K573" s="658"/>
      <c r="L573" s="658"/>
      <c r="M573" s="658"/>
      <c r="N573" s="658"/>
      <c r="O573" s="658"/>
      <c r="P573" s="658"/>
      <c r="Q573" s="658"/>
    </row>
    <row r="574" spans="3:17">
      <c r="C574" s="962"/>
      <c r="D574" s="962"/>
      <c r="E574" s="658"/>
      <c r="F574" s="658"/>
      <c r="G574" s="658"/>
      <c r="H574" s="658"/>
      <c r="I574" s="658"/>
      <c r="J574" s="658"/>
      <c r="K574" s="658"/>
      <c r="L574" s="658"/>
      <c r="M574" s="658"/>
      <c r="N574" s="658"/>
      <c r="O574" s="658"/>
      <c r="P574" s="658"/>
      <c r="Q574" s="658"/>
    </row>
    <row r="575" spans="3:17">
      <c r="C575" s="962"/>
      <c r="D575" s="962"/>
      <c r="E575" s="658"/>
      <c r="F575" s="658"/>
      <c r="G575" s="658"/>
      <c r="H575" s="658"/>
      <c r="I575" s="658"/>
      <c r="J575" s="658"/>
      <c r="K575" s="658"/>
      <c r="L575" s="658"/>
      <c r="M575" s="658"/>
      <c r="N575" s="658"/>
      <c r="O575" s="658"/>
      <c r="P575" s="658"/>
      <c r="Q575" s="658"/>
    </row>
    <row r="576" spans="3:17">
      <c r="C576" s="962"/>
      <c r="D576" s="962"/>
      <c r="E576" s="658"/>
      <c r="F576" s="658"/>
      <c r="G576" s="658"/>
      <c r="H576" s="658"/>
      <c r="I576" s="658"/>
      <c r="J576" s="658"/>
      <c r="K576" s="658"/>
      <c r="L576" s="658"/>
      <c r="M576" s="658"/>
      <c r="N576" s="658"/>
      <c r="O576" s="658"/>
      <c r="P576" s="658"/>
      <c r="Q576" s="658"/>
    </row>
    <row r="577" spans="3:17">
      <c r="C577" s="962"/>
      <c r="D577" s="962"/>
      <c r="E577" s="658"/>
      <c r="F577" s="658"/>
      <c r="G577" s="658"/>
      <c r="H577" s="658"/>
      <c r="I577" s="658"/>
      <c r="J577" s="658"/>
      <c r="K577" s="658"/>
      <c r="L577" s="658"/>
      <c r="M577" s="658"/>
      <c r="N577" s="658"/>
      <c r="O577" s="658"/>
      <c r="P577" s="658"/>
      <c r="Q577" s="658"/>
    </row>
    <row r="578" spans="3:17">
      <c r="C578" s="962"/>
      <c r="D578" s="962"/>
      <c r="E578" s="658"/>
      <c r="F578" s="658"/>
      <c r="G578" s="658"/>
      <c r="H578" s="658"/>
      <c r="I578" s="658"/>
      <c r="J578" s="658"/>
      <c r="K578" s="658"/>
      <c r="L578" s="658"/>
      <c r="M578" s="658"/>
      <c r="N578" s="658"/>
      <c r="O578" s="658"/>
      <c r="P578" s="658"/>
      <c r="Q578" s="658"/>
    </row>
    <row r="579" spans="3:17">
      <c r="C579" s="962"/>
      <c r="D579" s="962"/>
      <c r="E579" s="658"/>
      <c r="F579" s="658"/>
      <c r="G579" s="658"/>
      <c r="H579" s="658"/>
      <c r="I579" s="658"/>
      <c r="J579" s="658"/>
      <c r="K579" s="658"/>
      <c r="L579" s="658"/>
      <c r="M579" s="658"/>
      <c r="N579" s="658"/>
      <c r="O579" s="658"/>
      <c r="P579" s="658"/>
      <c r="Q579" s="658"/>
    </row>
    <row r="580" spans="3:17">
      <c r="C580" s="962"/>
      <c r="D580" s="962"/>
      <c r="E580" s="658"/>
      <c r="F580" s="658"/>
      <c r="G580" s="658"/>
      <c r="H580" s="658"/>
      <c r="I580" s="658"/>
      <c r="J580" s="658"/>
      <c r="K580" s="658"/>
      <c r="L580" s="658"/>
      <c r="M580" s="658"/>
      <c r="N580" s="658"/>
      <c r="O580" s="658"/>
      <c r="P580" s="658"/>
      <c r="Q580" s="658"/>
    </row>
    <row r="581" spans="3:17">
      <c r="C581" s="962"/>
      <c r="D581" s="962"/>
      <c r="E581" s="658"/>
      <c r="F581" s="658"/>
      <c r="G581" s="658"/>
      <c r="H581" s="658"/>
      <c r="I581" s="658"/>
      <c r="J581" s="658"/>
      <c r="K581" s="658"/>
      <c r="L581" s="658"/>
      <c r="M581" s="658"/>
      <c r="N581" s="658"/>
      <c r="O581" s="658"/>
      <c r="P581" s="658"/>
      <c r="Q581" s="658"/>
    </row>
    <row r="582" spans="3:17">
      <c r="C582" s="962"/>
      <c r="D582" s="962"/>
      <c r="E582" s="658"/>
      <c r="F582" s="658"/>
      <c r="G582" s="658"/>
      <c r="H582" s="658"/>
      <c r="I582" s="658"/>
      <c r="J582" s="658"/>
      <c r="K582" s="658"/>
      <c r="L582" s="658"/>
      <c r="M582" s="658"/>
      <c r="N582" s="658"/>
      <c r="O582" s="658"/>
      <c r="P582" s="658"/>
      <c r="Q582" s="658"/>
    </row>
    <row r="583" spans="3:17">
      <c r="C583" s="962"/>
      <c r="D583" s="962"/>
      <c r="E583" s="658"/>
      <c r="F583" s="658"/>
      <c r="G583" s="658"/>
      <c r="H583" s="658"/>
      <c r="I583" s="658"/>
      <c r="J583" s="658"/>
      <c r="K583" s="658"/>
      <c r="L583" s="658"/>
      <c r="M583" s="658"/>
      <c r="N583" s="658"/>
      <c r="O583" s="658"/>
      <c r="P583" s="658"/>
      <c r="Q583" s="658"/>
    </row>
    <row r="584" spans="3:17">
      <c r="C584" s="962"/>
      <c r="D584" s="962"/>
      <c r="E584" s="658"/>
      <c r="F584" s="658"/>
      <c r="G584" s="658"/>
      <c r="H584" s="658"/>
      <c r="I584" s="658"/>
      <c r="J584" s="658"/>
      <c r="K584" s="658"/>
      <c r="L584" s="658"/>
      <c r="M584" s="658"/>
      <c r="N584" s="658"/>
      <c r="O584" s="658"/>
      <c r="P584" s="658"/>
      <c r="Q584" s="658"/>
    </row>
    <row r="585" spans="3:17">
      <c r="C585" s="962"/>
      <c r="D585" s="962"/>
      <c r="E585" s="658"/>
      <c r="F585" s="658"/>
      <c r="G585" s="658"/>
      <c r="H585" s="658"/>
      <c r="I585" s="658"/>
      <c r="J585" s="658"/>
      <c r="K585" s="658"/>
      <c r="L585" s="658"/>
      <c r="M585" s="658"/>
      <c r="N585" s="658"/>
      <c r="O585" s="658"/>
      <c r="P585" s="658"/>
      <c r="Q585" s="658"/>
    </row>
    <row r="586" spans="3:17">
      <c r="C586" s="962"/>
      <c r="D586" s="962"/>
      <c r="E586" s="658"/>
      <c r="F586" s="658"/>
      <c r="G586" s="658"/>
      <c r="H586" s="658"/>
      <c r="I586" s="658"/>
      <c r="J586" s="658"/>
      <c r="K586" s="658"/>
      <c r="L586" s="658"/>
      <c r="M586" s="658"/>
      <c r="N586" s="658"/>
      <c r="O586" s="658"/>
      <c r="P586" s="658"/>
      <c r="Q586" s="658"/>
    </row>
    <row r="587" spans="3:17">
      <c r="C587" s="962"/>
      <c r="D587" s="962"/>
      <c r="E587" s="658"/>
      <c r="F587" s="658"/>
      <c r="G587" s="658"/>
      <c r="H587" s="658"/>
      <c r="I587" s="658"/>
      <c r="J587" s="658"/>
      <c r="K587" s="658"/>
      <c r="L587" s="658"/>
      <c r="M587" s="658"/>
      <c r="N587" s="658"/>
      <c r="O587" s="658"/>
      <c r="P587" s="658"/>
      <c r="Q587" s="658"/>
    </row>
    <row r="588" spans="3:17">
      <c r="C588" s="962"/>
      <c r="D588" s="962"/>
      <c r="E588" s="658"/>
      <c r="F588" s="658"/>
      <c r="G588" s="658"/>
      <c r="H588" s="658"/>
      <c r="I588" s="658"/>
      <c r="J588" s="658"/>
      <c r="K588" s="658"/>
      <c r="L588" s="658"/>
      <c r="M588" s="658"/>
      <c r="N588" s="658"/>
      <c r="O588" s="658"/>
      <c r="P588" s="658"/>
      <c r="Q588" s="658"/>
    </row>
    <row r="589" spans="3:17">
      <c r="C589" s="962"/>
      <c r="D589" s="962"/>
      <c r="E589" s="658"/>
      <c r="F589" s="658"/>
      <c r="G589" s="658"/>
      <c r="H589" s="658"/>
      <c r="I589" s="658"/>
      <c r="J589" s="658"/>
      <c r="K589" s="658"/>
      <c r="L589" s="658"/>
      <c r="M589" s="658"/>
      <c r="N589" s="658"/>
      <c r="O589" s="658"/>
      <c r="P589" s="658"/>
      <c r="Q589" s="658"/>
    </row>
    <row r="590" spans="3:17">
      <c r="C590" s="962"/>
      <c r="D590" s="962"/>
      <c r="E590" s="658"/>
      <c r="F590" s="658"/>
      <c r="G590" s="658"/>
      <c r="H590" s="658"/>
      <c r="I590" s="658"/>
      <c r="J590" s="658"/>
      <c r="K590" s="658"/>
      <c r="L590" s="658"/>
      <c r="M590" s="658"/>
      <c r="N590" s="658"/>
      <c r="O590" s="658"/>
      <c r="P590" s="658"/>
      <c r="Q590" s="658"/>
    </row>
    <row r="591" spans="3:17">
      <c r="C591" s="962"/>
      <c r="D591" s="962"/>
      <c r="E591" s="658"/>
      <c r="F591" s="658"/>
      <c r="G591" s="658"/>
      <c r="H591" s="658"/>
      <c r="I591" s="658"/>
      <c r="J591" s="658"/>
      <c r="K591" s="658"/>
      <c r="L591" s="658"/>
      <c r="M591" s="658"/>
      <c r="N591" s="658"/>
      <c r="O591" s="658"/>
      <c r="P591" s="658"/>
      <c r="Q591" s="658"/>
    </row>
    <row r="592" spans="3:17">
      <c r="C592" s="962"/>
      <c r="D592" s="962"/>
      <c r="E592" s="658"/>
      <c r="F592" s="658"/>
      <c r="G592" s="658"/>
      <c r="H592" s="658"/>
      <c r="I592" s="658"/>
      <c r="J592" s="658"/>
      <c r="K592" s="658"/>
      <c r="L592" s="658"/>
      <c r="M592" s="658"/>
      <c r="N592" s="658"/>
      <c r="O592" s="658"/>
      <c r="P592" s="658"/>
      <c r="Q592" s="658"/>
    </row>
    <row r="593" spans="3:17">
      <c r="C593" s="962"/>
      <c r="D593" s="962"/>
      <c r="E593" s="658"/>
      <c r="F593" s="658"/>
      <c r="G593" s="658"/>
      <c r="H593" s="658"/>
      <c r="I593" s="658"/>
      <c r="J593" s="658"/>
      <c r="K593" s="658"/>
      <c r="L593" s="658"/>
      <c r="M593" s="658"/>
      <c r="N593" s="658"/>
      <c r="O593" s="658"/>
      <c r="P593" s="658"/>
      <c r="Q593" s="658"/>
    </row>
    <row r="594" spans="3:17">
      <c r="C594" s="962"/>
      <c r="D594" s="962"/>
      <c r="E594" s="658"/>
      <c r="F594" s="658"/>
      <c r="G594" s="658"/>
      <c r="H594" s="658"/>
      <c r="I594" s="658"/>
      <c r="J594" s="658"/>
      <c r="K594" s="658"/>
      <c r="L594" s="658"/>
      <c r="M594" s="658"/>
      <c r="N594" s="658"/>
      <c r="O594" s="658"/>
      <c r="P594" s="658"/>
      <c r="Q594" s="658"/>
    </row>
    <row r="595" spans="3:17">
      <c r="C595" s="962"/>
      <c r="D595" s="962"/>
      <c r="E595" s="658"/>
      <c r="F595" s="658"/>
      <c r="G595" s="658"/>
      <c r="H595" s="658"/>
      <c r="I595" s="658"/>
      <c r="J595" s="658"/>
      <c r="K595" s="658"/>
      <c r="L595" s="658"/>
      <c r="M595" s="658"/>
      <c r="N595" s="658"/>
      <c r="O595" s="658"/>
      <c r="P595" s="658"/>
      <c r="Q595" s="658"/>
    </row>
    <row r="596" spans="3:17">
      <c r="C596" s="962"/>
      <c r="D596" s="962"/>
      <c r="E596" s="658"/>
      <c r="F596" s="658"/>
      <c r="G596" s="658"/>
      <c r="H596" s="658"/>
      <c r="I596" s="658"/>
      <c r="J596" s="658"/>
      <c r="K596" s="658"/>
      <c r="L596" s="658"/>
      <c r="M596" s="658"/>
      <c r="N596" s="658"/>
      <c r="O596" s="658"/>
      <c r="P596" s="658"/>
      <c r="Q596" s="658"/>
    </row>
    <row r="597" spans="3:17">
      <c r="C597" s="962"/>
      <c r="D597" s="962"/>
      <c r="E597" s="658"/>
      <c r="F597" s="658"/>
      <c r="G597" s="658"/>
      <c r="H597" s="658"/>
      <c r="I597" s="658"/>
      <c r="J597" s="658"/>
      <c r="K597" s="658"/>
      <c r="L597" s="658"/>
      <c r="M597" s="658"/>
      <c r="N597" s="658"/>
      <c r="O597" s="658"/>
      <c r="P597" s="658"/>
      <c r="Q597" s="658"/>
    </row>
    <row r="598" spans="3:17">
      <c r="C598" s="962"/>
      <c r="D598" s="962"/>
      <c r="E598" s="658"/>
      <c r="F598" s="658"/>
      <c r="G598" s="658"/>
      <c r="H598" s="658"/>
      <c r="I598" s="658"/>
      <c r="J598" s="658"/>
      <c r="K598" s="658"/>
      <c r="L598" s="658"/>
      <c r="M598" s="658"/>
      <c r="N598" s="658"/>
      <c r="O598" s="658"/>
      <c r="P598" s="658"/>
      <c r="Q598" s="658"/>
    </row>
    <row r="599" spans="3:17">
      <c r="C599" s="962"/>
      <c r="D599" s="962"/>
      <c r="E599" s="658"/>
      <c r="F599" s="658"/>
      <c r="G599" s="658"/>
      <c r="H599" s="658"/>
      <c r="I599" s="658"/>
      <c r="J599" s="658"/>
      <c r="K599" s="658"/>
      <c r="L599" s="658"/>
      <c r="M599" s="658"/>
      <c r="N599" s="658"/>
      <c r="O599" s="658"/>
      <c r="P599" s="658"/>
      <c r="Q599" s="658"/>
    </row>
    <row r="600" spans="3:17">
      <c r="C600" s="962"/>
      <c r="D600" s="962"/>
      <c r="E600" s="658"/>
      <c r="F600" s="658"/>
      <c r="G600" s="658"/>
      <c r="H600" s="658"/>
      <c r="I600" s="658"/>
      <c r="J600" s="658"/>
      <c r="K600" s="658"/>
      <c r="L600" s="658"/>
      <c r="M600" s="658"/>
      <c r="N600" s="658"/>
      <c r="O600" s="658"/>
      <c r="P600" s="658"/>
      <c r="Q600" s="658"/>
    </row>
    <row r="601" spans="3:17">
      <c r="C601" s="962"/>
      <c r="D601" s="962"/>
      <c r="E601" s="658"/>
      <c r="F601" s="658"/>
      <c r="G601" s="658"/>
      <c r="H601" s="658"/>
      <c r="I601" s="658"/>
      <c r="J601" s="658"/>
      <c r="K601" s="658"/>
      <c r="L601" s="658"/>
      <c r="M601" s="658"/>
      <c r="N601" s="658"/>
      <c r="O601" s="658"/>
      <c r="P601" s="658"/>
      <c r="Q601" s="658"/>
    </row>
    <row r="602" spans="3:17">
      <c r="C602" s="962"/>
      <c r="D602" s="962"/>
      <c r="E602" s="658"/>
      <c r="F602" s="658"/>
      <c r="G602" s="658"/>
      <c r="H602" s="658"/>
      <c r="I602" s="658"/>
      <c r="J602" s="658"/>
      <c r="K602" s="658"/>
      <c r="L602" s="658"/>
      <c r="M602" s="658"/>
      <c r="N602" s="658"/>
      <c r="O602" s="658"/>
      <c r="P602" s="658"/>
      <c r="Q602" s="658"/>
    </row>
    <row r="603" spans="3:17">
      <c r="C603" s="962"/>
      <c r="D603" s="962"/>
      <c r="E603" s="658"/>
      <c r="F603" s="658"/>
      <c r="G603" s="658"/>
      <c r="H603" s="658"/>
      <c r="I603" s="658"/>
      <c r="J603" s="658"/>
      <c r="K603" s="658"/>
      <c r="L603" s="658"/>
      <c r="M603" s="658"/>
      <c r="N603" s="658"/>
      <c r="O603" s="658"/>
      <c r="P603" s="658"/>
      <c r="Q603" s="658"/>
    </row>
    <row r="604" spans="3:17">
      <c r="C604" s="962"/>
      <c r="D604" s="962"/>
      <c r="E604" s="658"/>
      <c r="F604" s="658"/>
      <c r="G604" s="658"/>
      <c r="H604" s="658"/>
      <c r="I604" s="658"/>
      <c r="J604" s="658"/>
      <c r="K604" s="658"/>
      <c r="L604" s="658"/>
      <c r="M604" s="658"/>
      <c r="N604" s="658"/>
      <c r="O604" s="658"/>
      <c r="P604" s="658"/>
      <c r="Q604" s="658"/>
    </row>
    <row r="605" spans="3:17">
      <c r="C605" s="962"/>
      <c r="D605" s="962"/>
      <c r="E605" s="658"/>
      <c r="F605" s="658"/>
      <c r="G605" s="658"/>
      <c r="H605" s="658"/>
      <c r="I605" s="658"/>
      <c r="J605" s="658"/>
      <c r="K605" s="658"/>
      <c r="L605" s="658"/>
      <c r="M605" s="658"/>
      <c r="N605" s="658"/>
      <c r="O605" s="658"/>
      <c r="P605" s="658"/>
      <c r="Q605" s="658"/>
    </row>
    <row r="606" spans="3:17">
      <c r="C606" s="962"/>
      <c r="D606" s="962"/>
      <c r="E606" s="658"/>
      <c r="F606" s="658"/>
      <c r="G606" s="658"/>
      <c r="H606" s="658"/>
      <c r="I606" s="658"/>
      <c r="J606" s="658"/>
      <c r="K606" s="658"/>
      <c r="L606" s="658"/>
      <c r="M606" s="658"/>
      <c r="N606" s="658"/>
      <c r="O606" s="658"/>
      <c r="P606" s="658"/>
      <c r="Q606" s="658"/>
    </row>
    <row r="607" spans="3:17">
      <c r="C607" s="962"/>
      <c r="D607" s="962"/>
      <c r="E607" s="658"/>
      <c r="F607" s="658"/>
      <c r="G607" s="658"/>
      <c r="H607" s="658"/>
      <c r="I607" s="658"/>
      <c r="J607" s="658"/>
      <c r="K607" s="658"/>
      <c r="L607" s="658"/>
      <c r="M607" s="658"/>
      <c r="N607" s="658"/>
      <c r="O607" s="658"/>
      <c r="P607" s="658"/>
      <c r="Q607" s="658"/>
    </row>
    <row r="608" spans="3:17">
      <c r="C608" s="962"/>
      <c r="D608" s="962"/>
      <c r="E608" s="658"/>
      <c r="F608" s="658"/>
      <c r="G608" s="658"/>
      <c r="H608" s="658"/>
      <c r="I608" s="658"/>
      <c r="J608" s="658"/>
      <c r="K608" s="658"/>
      <c r="L608" s="658"/>
      <c r="M608" s="658"/>
      <c r="N608" s="658"/>
      <c r="O608" s="658"/>
      <c r="P608" s="658"/>
      <c r="Q608" s="658"/>
    </row>
    <row r="609" spans="3:17">
      <c r="C609" s="962"/>
      <c r="D609" s="962"/>
      <c r="E609" s="658"/>
      <c r="F609" s="658"/>
      <c r="G609" s="658"/>
      <c r="H609" s="658"/>
      <c r="I609" s="658"/>
      <c r="J609" s="658"/>
      <c r="K609" s="658"/>
      <c r="L609" s="658"/>
      <c r="M609" s="658"/>
      <c r="N609" s="658"/>
      <c r="O609" s="658"/>
      <c r="P609" s="658"/>
      <c r="Q609" s="658"/>
    </row>
    <row r="610" spans="3:17">
      <c r="C610" s="962"/>
      <c r="D610" s="962"/>
      <c r="E610" s="658"/>
      <c r="F610" s="658"/>
      <c r="G610" s="658"/>
      <c r="H610" s="658"/>
      <c r="I610" s="658"/>
      <c r="J610" s="658"/>
      <c r="K610" s="658"/>
      <c r="L610" s="658"/>
      <c r="M610" s="658"/>
      <c r="N610" s="658"/>
      <c r="O610" s="658"/>
      <c r="P610" s="658"/>
      <c r="Q610" s="658"/>
    </row>
    <row r="611" spans="3:17">
      <c r="C611" s="962"/>
      <c r="D611" s="962"/>
      <c r="E611" s="658"/>
      <c r="F611" s="658"/>
      <c r="G611" s="658"/>
      <c r="H611" s="658"/>
      <c r="I611" s="658"/>
      <c r="J611" s="658"/>
      <c r="K611" s="658"/>
      <c r="L611" s="658"/>
      <c r="M611" s="658"/>
      <c r="N611" s="658"/>
      <c r="O611" s="658"/>
      <c r="P611" s="658"/>
      <c r="Q611" s="658"/>
    </row>
    <row r="612" spans="3:17">
      <c r="C612" s="962"/>
      <c r="D612" s="962"/>
      <c r="E612" s="658"/>
      <c r="F612" s="658"/>
      <c r="G612" s="658"/>
      <c r="H612" s="658"/>
      <c r="I612" s="658"/>
      <c r="J612" s="658"/>
      <c r="K612" s="658"/>
      <c r="L612" s="658"/>
      <c r="M612" s="658"/>
      <c r="N612" s="658"/>
      <c r="O612" s="658"/>
      <c r="P612" s="658"/>
      <c r="Q612" s="658"/>
    </row>
    <row r="613" spans="3:17">
      <c r="C613" s="962"/>
      <c r="D613" s="962"/>
      <c r="E613" s="658"/>
      <c r="F613" s="658"/>
      <c r="G613" s="658"/>
      <c r="H613" s="658"/>
      <c r="I613" s="658"/>
      <c r="J613" s="658"/>
      <c r="K613" s="658"/>
      <c r="L613" s="658"/>
      <c r="M613" s="658"/>
      <c r="N613" s="658"/>
      <c r="O613" s="658"/>
      <c r="P613" s="658"/>
      <c r="Q613" s="658"/>
    </row>
    <row r="614" spans="3:17">
      <c r="C614" s="962"/>
      <c r="D614" s="962"/>
      <c r="E614" s="658"/>
      <c r="F614" s="658"/>
      <c r="G614" s="658"/>
      <c r="H614" s="658"/>
      <c r="I614" s="658"/>
      <c r="J614" s="658"/>
      <c r="K614" s="658"/>
      <c r="L614" s="658"/>
      <c r="M614" s="658"/>
      <c r="N614" s="658"/>
      <c r="O614" s="658"/>
      <c r="P614" s="658"/>
      <c r="Q614" s="658"/>
    </row>
    <row r="615" spans="3:17">
      <c r="C615" s="962"/>
      <c r="D615" s="962"/>
      <c r="E615" s="658"/>
      <c r="F615" s="658"/>
      <c r="G615" s="658"/>
      <c r="H615" s="658"/>
      <c r="I615" s="658"/>
      <c r="J615" s="658"/>
      <c r="K615" s="658"/>
      <c r="L615" s="658"/>
      <c r="M615" s="658"/>
      <c r="N615" s="658"/>
      <c r="O615" s="658"/>
      <c r="P615" s="658"/>
      <c r="Q615" s="658"/>
    </row>
    <row r="616" spans="3:17">
      <c r="C616" s="962"/>
      <c r="D616" s="962"/>
      <c r="E616" s="658"/>
      <c r="F616" s="658"/>
      <c r="G616" s="658"/>
      <c r="H616" s="658"/>
      <c r="I616" s="658"/>
      <c r="J616" s="658"/>
      <c r="K616" s="658"/>
      <c r="L616" s="658"/>
      <c r="M616" s="658"/>
      <c r="N616" s="658"/>
      <c r="O616" s="658"/>
      <c r="P616" s="658"/>
      <c r="Q616" s="658"/>
    </row>
    <row r="617" spans="3:17">
      <c r="C617" s="962"/>
      <c r="D617" s="962"/>
      <c r="E617" s="658"/>
      <c r="F617" s="658"/>
      <c r="G617" s="658"/>
      <c r="H617" s="658"/>
      <c r="I617" s="658"/>
      <c r="J617" s="658"/>
      <c r="K617" s="658"/>
      <c r="L617" s="658"/>
      <c r="M617" s="658"/>
      <c r="N617" s="658"/>
      <c r="O617" s="658"/>
      <c r="P617" s="658"/>
      <c r="Q617" s="658"/>
    </row>
    <row r="618" spans="3:17">
      <c r="C618" s="962"/>
      <c r="D618" s="962"/>
      <c r="E618" s="658"/>
      <c r="F618" s="658"/>
      <c r="G618" s="658"/>
      <c r="H618" s="658"/>
      <c r="I618" s="658"/>
      <c r="J618" s="658"/>
      <c r="K618" s="658"/>
      <c r="L618" s="658"/>
      <c r="M618" s="658"/>
      <c r="N618" s="658"/>
      <c r="O618" s="658"/>
      <c r="P618" s="658"/>
      <c r="Q618" s="658"/>
    </row>
    <row r="619" spans="3:17">
      <c r="C619" s="962"/>
      <c r="D619" s="962"/>
      <c r="E619" s="658"/>
      <c r="F619" s="658"/>
      <c r="G619" s="658"/>
      <c r="H619" s="658"/>
      <c r="I619" s="658"/>
      <c r="J619" s="658"/>
      <c r="K619" s="658"/>
      <c r="L619" s="658"/>
      <c r="M619" s="658"/>
      <c r="N619" s="658"/>
      <c r="O619" s="658"/>
      <c r="P619" s="658"/>
      <c r="Q619" s="658"/>
    </row>
    <row r="620" spans="3:17">
      <c r="C620" s="962"/>
      <c r="D620" s="962"/>
      <c r="E620" s="658"/>
      <c r="F620" s="658"/>
      <c r="G620" s="658"/>
      <c r="H620" s="658"/>
      <c r="I620" s="658"/>
      <c r="J620" s="658"/>
      <c r="K620" s="658"/>
      <c r="L620" s="658"/>
      <c r="M620" s="658"/>
      <c r="N620" s="658"/>
      <c r="O620" s="658"/>
      <c r="P620" s="658"/>
      <c r="Q620" s="658"/>
    </row>
    <row r="621" spans="3:17">
      <c r="C621" s="962"/>
      <c r="D621" s="962"/>
      <c r="E621" s="658"/>
      <c r="F621" s="658"/>
      <c r="G621" s="658"/>
      <c r="H621" s="658"/>
      <c r="I621" s="658"/>
      <c r="J621" s="658"/>
      <c r="K621" s="658"/>
      <c r="L621" s="658"/>
      <c r="M621" s="658"/>
      <c r="N621" s="658"/>
      <c r="O621" s="658"/>
      <c r="P621" s="658"/>
      <c r="Q621" s="658"/>
    </row>
    <row r="622" spans="3:17">
      <c r="C622" s="962"/>
      <c r="D622" s="962"/>
      <c r="E622" s="658"/>
      <c r="F622" s="658"/>
      <c r="G622" s="658"/>
      <c r="H622" s="658"/>
      <c r="I622" s="658"/>
      <c r="J622" s="658"/>
      <c r="K622" s="658"/>
      <c r="L622" s="658"/>
      <c r="M622" s="658"/>
      <c r="N622" s="658"/>
      <c r="O622" s="658"/>
      <c r="P622" s="658"/>
      <c r="Q622" s="658"/>
    </row>
    <row r="623" spans="3:17">
      <c r="C623" s="962"/>
      <c r="D623" s="962"/>
      <c r="E623" s="658"/>
      <c r="F623" s="658"/>
      <c r="G623" s="658"/>
      <c r="H623" s="658"/>
      <c r="I623" s="658"/>
      <c r="J623" s="658"/>
      <c r="K623" s="658"/>
      <c r="L623" s="658"/>
      <c r="M623" s="658"/>
      <c r="N623" s="658"/>
      <c r="O623" s="658"/>
      <c r="P623" s="658"/>
      <c r="Q623" s="658"/>
    </row>
    <row r="624" spans="3:17">
      <c r="C624" s="962"/>
      <c r="D624" s="962"/>
      <c r="E624" s="658"/>
      <c r="F624" s="658"/>
      <c r="G624" s="658"/>
      <c r="H624" s="658"/>
      <c r="I624" s="658"/>
      <c r="J624" s="658"/>
      <c r="K624" s="658"/>
      <c r="L624" s="658"/>
      <c r="M624" s="658"/>
      <c r="N624" s="658"/>
      <c r="O624" s="658"/>
      <c r="P624" s="658"/>
      <c r="Q624" s="658"/>
    </row>
    <row r="625" spans="3:17">
      <c r="C625" s="962"/>
      <c r="D625" s="962"/>
      <c r="E625" s="658"/>
      <c r="F625" s="658"/>
      <c r="G625" s="658"/>
      <c r="H625" s="658"/>
      <c r="I625" s="658"/>
      <c r="J625" s="658"/>
      <c r="K625" s="658"/>
      <c r="L625" s="658"/>
      <c r="M625" s="658"/>
      <c r="N625" s="658"/>
      <c r="O625" s="658"/>
      <c r="P625" s="658"/>
      <c r="Q625" s="658"/>
    </row>
    <row r="626" spans="3:17">
      <c r="C626" s="962"/>
      <c r="D626" s="962"/>
      <c r="E626" s="658"/>
      <c r="F626" s="658"/>
      <c r="G626" s="658"/>
      <c r="H626" s="658"/>
      <c r="I626" s="658"/>
      <c r="J626" s="658"/>
      <c r="K626" s="658"/>
      <c r="L626" s="658"/>
      <c r="M626" s="658"/>
      <c r="N626" s="658"/>
      <c r="O626" s="658"/>
      <c r="P626" s="658"/>
      <c r="Q626" s="658"/>
    </row>
    <row r="627" spans="3:17">
      <c r="C627" s="962"/>
      <c r="D627" s="962"/>
      <c r="E627" s="658"/>
      <c r="F627" s="658"/>
      <c r="G627" s="658"/>
      <c r="H627" s="658"/>
      <c r="I627" s="658"/>
      <c r="J627" s="658"/>
      <c r="K627" s="658"/>
      <c r="L627" s="658"/>
      <c r="M627" s="658"/>
      <c r="N627" s="658"/>
      <c r="O627" s="658"/>
      <c r="P627" s="658"/>
      <c r="Q627" s="658"/>
    </row>
    <row r="628" spans="3:17">
      <c r="C628" s="962"/>
      <c r="D628" s="962"/>
      <c r="E628" s="658"/>
      <c r="F628" s="658"/>
      <c r="G628" s="658"/>
      <c r="H628" s="658"/>
      <c r="I628" s="658"/>
      <c r="J628" s="658"/>
      <c r="K628" s="658"/>
      <c r="L628" s="658"/>
      <c r="M628" s="658"/>
      <c r="N628" s="658"/>
      <c r="O628" s="658"/>
      <c r="P628" s="658"/>
      <c r="Q628" s="658"/>
    </row>
    <row r="629" spans="3:17">
      <c r="C629" s="962"/>
      <c r="D629" s="962"/>
      <c r="E629" s="658"/>
      <c r="F629" s="658"/>
      <c r="G629" s="658"/>
      <c r="H629" s="658"/>
      <c r="I629" s="658"/>
      <c r="J629" s="658"/>
      <c r="K629" s="658"/>
      <c r="L629" s="658"/>
      <c r="M629" s="658"/>
      <c r="N629" s="658"/>
      <c r="O629" s="658"/>
      <c r="P629" s="658"/>
      <c r="Q629" s="658"/>
    </row>
    <row r="630" spans="3:17">
      <c r="C630" s="962"/>
      <c r="D630" s="962"/>
      <c r="E630" s="658"/>
      <c r="F630" s="658"/>
      <c r="G630" s="658"/>
      <c r="H630" s="658"/>
      <c r="I630" s="658"/>
      <c r="J630" s="658"/>
      <c r="K630" s="658"/>
      <c r="L630" s="658"/>
      <c r="M630" s="658"/>
      <c r="N630" s="658"/>
      <c r="O630" s="658"/>
      <c r="P630" s="658"/>
      <c r="Q630" s="658"/>
    </row>
    <row r="631" spans="3:17">
      <c r="C631" s="962"/>
      <c r="D631" s="962"/>
      <c r="E631" s="658"/>
      <c r="F631" s="658"/>
      <c r="G631" s="658"/>
      <c r="H631" s="658"/>
      <c r="I631" s="658"/>
      <c r="J631" s="658"/>
      <c r="K631" s="658"/>
      <c r="L631" s="658"/>
      <c r="M631" s="658"/>
      <c r="N631" s="658"/>
      <c r="O631" s="658"/>
      <c r="P631" s="658"/>
      <c r="Q631" s="658"/>
    </row>
    <row r="632" spans="3:17">
      <c r="C632" s="962"/>
      <c r="D632" s="962"/>
      <c r="E632" s="658"/>
      <c r="F632" s="658"/>
      <c r="G632" s="658"/>
      <c r="H632" s="658"/>
      <c r="I632" s="658"/>
      <c r="J632" s="658"/>
      <c r="K632" s="658"/>
      <c r="L632" s="658"/>
      <c r="M632" s="658"/>
      <c r="N632" s="658"/>
      <c r="O632" s="658"/>
      <c r="P632" s="658"/>
      <c r="Q632" s="658"/>
    </row>
    <row r="633" spans="3:17">
      <c r="C633" s="962"/>
      <c r="D633" s="962"/>
      <c r="E633" s="658"/>
      <c r="F633" s="658"/>
      <c r="G633" s="658"/>
      <c r="H633" s="658"/>
      <c r="I633" s="658"/>
      <c r="J633" s="658"/>
      <c r="K633" s="658"/>
      <c r="L633" s="658"/>
      <c r="M633" s="658"/>
      <c r="N633" s="658"/>
      <c r="O633" s="658"/>
      <c r="P633" s="658"/>
      <c r="Q633" s="658"/>
    </row>
    <row r="634" spans="3:17">
      <c r="C634" s="962"/>
      <c r="D634" s="962"/>
      <c r="E634" s="658"/>
      <c r="F634" s="658"/>
      <c r="G634" s="658"/>
      <c r="H634" s="658"/>
      <c r="I634" s="658"/>
      <c r="J634" s="658"/>
      <c r="K634" s="658"/>
      <c r="L634" s="658"/>
      <c r="M634" s="658"/>
      <c r="N634" s="658"/>
      <c r="O634" s="658"/>
      <c r="P634" s="658"/>
      <c r="Q634" s="658"/>
    </row>
    <row r="635" spans="3:17">
      <c r="C635" s="962"/>
      <c r="D635" s="962"/>
      <c r="E635" s="658"/>
      <c r="F635" s="658"/>
      <c r="G635" s="658"/>
      <c r="H635" s="658"/>
      <c r="I635" s="658"/>
      <c r="J635" s="658"/>
      <c r="K635" s="658"/>
      <c r="L635" s="658"/>
      <c r="M635" s="658"/>
      <c r="N635" s="658"/>
      <c r="O635" s="658"/>
      <c r="P635" s="658"/>
      <c r="Q635" s="658"/>
    </row>
    <row r="636" spans="3:17">
      <c r="C636" s="962"/>
      <c r="D636" s="962"/>
      <c r="E636" s="658"/>
      <c r="F636" s="658"/>
      <c r="G636" s="658"/>
      <c r="H636" s="658"/>
      <c r="I636" s="658"/>
      <c r="J636" s="658"/>
      <c r="K636" s="658"/>
      <c r="L636" s="658"/>
      <c r="M636" s="658"/>
      <c r="N636" s="658"/>
      <c r="O636" s="658"/>
      <c r="P636" s="658"/>
      <c r="Q636" s="658"/>
    </row>
    <row r="637" spans="3:17">
      <c r="C637" s="962"/>
      <c r="D637" s="962"/>
      <c r="E637" s="658"/>
      <c r="F637" s="658"/>
      <c r="G637" s="658"/>
      <c r="H637" s="658"/>
      <c r="I637" s="658"/>
      <c r="J637" s="658"/>
      <c r="K637" s="658"/>
      <c r="L637" s="658"/>
      <c r="M637" s="658"/>
      <c r="N637" s="658"/>
      <c r="O637" s="658"/>
      <c r="P637" s="658"/>
      <c r="Q637" s="658"/>
    </row>
    <row r="638" spans="3:17">
      <c r="C638" s="962"/>
      <c r="D638" s="962"/>
      <c r="E638" s="658"/>
      <c r="F638" s="658"/>
      <c r="G638" s="658"/>
      <c r="H638" s="658"/>
      <c r="I638" s="658"/>
      <c r="J638" s="658"/>
      <c r="K638" s="658"/>
      <c r="L638" s="658"/>
      <c r="M638" s="658"/>
      <c r="N638" s="658"/>
      <c r="O638" s="658"/>
      <c r="P638" s="658"/>
      <c r="Q638" s="658"/>
    </row>
    <row r="639" spans="3:17">
      <c r="C639" s="962"/>
      <c r="D639" s="962"/>
      <c r="E639" s="658"/>
      <c r="F639" s="658"/>
      <c r="G639" s="658"/>
      <c r="H639" s="658"/>
      <c r="I639" s="658"/>
      <c r="J639" s="658"/>
      <c r="K639" s="658"/>
      <c r="L639" s="658"/>
      <c r="M639" s="658"/>
      <c r="N639" s="658"/>
      <c r="O639" s="658"/>
      <c r="P639" s="658"/>
      <c r="Q639" s="658"/>
    </row>
    <row r="640" spans="3:17">
      <c r="C640" s="962"/>
      <c r="D640" s="962"/>
      <c r="E640" s="658"/>
      <c r="F640" s="658"/>
      <c r="G640" s="658"/>
      <c r="H640" s="658"/>
      <c r="I640" s="658"/>
      <c r="J640" s="658"/>
      <c r="K640" s="658"/>
      <c r="L640" s="658"/>
      <c r="M640" s="658"/>
      <c r="N640" s="658"/>
      <c r="O640" s="658"/>
      <c r="P640" s="658"/>
      <c r="Q640" s="658"/>
    </row>
    <row r="641" spans="3:17">
      <c r="C641" s="962"/>
      <c r="D641" s="962"/>
      <c r="E641" s="658"/>
      <c r="F641" s="658"/>
      <c r="G641" s="658"/>
      <c r="H641" s="658"/>
      <c r="I641" s="658"/>
      <c r="J641" s="658"/>
      <c r="K641" s="658"/>
      <c r="L641" s="658"/>
      <c r="M641" s="658"/>
      <c r="N641" s="658"/>
      <c r="O641" s="658"/>
      <c r="P641" s="658"/>
      <c r="Q641" s="658"/>
    </row>
    <row r="642" spans="3:17">
      <c r="C642" s="962"/>
      <c r="D642" s="962"/>
      <c r="E642" s="658"/>
      <c r="F642" s="658"/>
      <c r="G642" s="658"/>
      <c r="H642" s="658"/>
      <c r="I642" s="658"/>
      <c r="J642" s="658"/>
      <c r="K642" s="658"/>
      <c r="L642" s="658"/>
      <c r="M642" s="658"/>
      <c r="N642" s="658"/>
      <c r="O642" s="658"/>
      <c r="P642" s="658"/>
      <c r="Q642" s="658"/>
    </row>
    <row r="643" spans="3:17">
      <c r="C643" s="962"/>
      <c r="D643" s="962"/>
      <c r="E643" s="658"/>
      <c r="F643" s="658"/>
      <c r="G643" s="658"/>
      <c r="H643" s="658"/>
      <c r="I643" s="658"/>
      <c r="J643" s="658"/>
      <c r="K643" s="658"/>
      <c r="L643" s="658"/>
      <c r="M643" s="658"/>
      <c r="N643" s="658"/>
      <c r="O643" s="658"/>
      <c r="P643" s="658"/>
      <c r="Q643" s="658"/>
    </row>
    <row r="644" spans="3:17">
      <c r="C644" s="962"/>
      <c r="D644" s="962"/>
      <c r="E644" s="658"/>
      <c r="F644" s="658"/>
      <c r="G644" s="658"/>
      <c r="H644" s="658"/>
      <c r="I644" s="658"/>
      <c r="J644" s="658"/>
      <c r="K644" s="658"/>
      <c r="L644" s="658"/>
      <c r="M644" s="658"/>
      <c r="N644" s="658"/>
      <c r="O644" s="658"/>
      <c r="P644" s="658"/>
      <c r="Q644" s="658"/>
    </row>
    <row r="645" spans="3:17">
      <c r="C645" s="962"/>
      <c r="D645" s="962"/>
      <c r="E645" s="658"/>
      <c r="F645" s="658"/>
      <c r="G645" s="658"/>
      <c r="H645" s="658"/>
      <c r="I645" s="658"/>
      <c r="J645" s="658"/>
      <c r="K645" s="658"/>
      <c r="L645" s="658"/>
      <c r="M645" s="658"/>
      <c r="N645" s="658"/>
      <c r="O645" s="658"/>
      <c r="P645" s="658"/>
      <c r="Q645" s="658"/>
    </row>
    <row r="646" spans="3:17">
      <c r="C646" s="962"/>
      <c r="D646" s="962"/>
      <c r="E646" s="658"/>
      <c r="F646" s="658"/>
      <c r="G646" s="658"/>
      <c r="H646" s="658"/>
      <c r="I646" s="658"/>
      <c r="J646" s="658"/>
      <c r="K646" s="658"/>
      <c r="L646" s="658"/>
      <c r="M646" s="658"/>
      <c r="N646" s="658"/>
      <c r="O646" s="658"/>
      <c r="P646" s="658"/>
      <c r="Q646" s="658"/>
    </row>
    <row r="647" spans="3:17">
      <c r="C647" s="962"/>
      <c r="D647" s="962"/>
      <c r="E647" s="658"/>
      <c r="F647" s="658"/>
      <c r="G647" s="658"/>
      <c r="H647" s="658"/>
      <c r="I647" s="658"/>
      <c r="J647" s="658"/>
      <c r="K647" s="658"/>
      <c r="L647" s="658"/>
      <c r="M647" s="658"/>
      <c r="N647" s="658"/>
      <c r="O647" s="658"/>
      <c r="P647" s="658"/>
      <c r="Q647" s="658"/>
    </row>
    <row r="648" spans="3:17">
      <c r="C648" s="962"/>
      <c r="D648" s="962"/>
      <c r="E648" s="658"/>
      <c r="F648" s="658"/>
      <c r="G648" s="658"/>
      <c r="H648" s="658"/>
      <c r="I648" s="658"/>
      <c r="J648" s="658"/>
      <c r="K648" s="658"/>
      <c r="L648" s="658"/>
      <c r="M648" s="658"/>
      <c r="N648" s="658"/>
      <c r="O648" s="658"/>
      <c r="P648" s="658"/>
      <c r="Q648" s="658"/>
    </row>
    <row r="649" spans="3:17">
      <c r="C649" s="962"/>
      <c r="D649" s="962"/>
      <c r="E649" s="658"/>
      <c r="F649" s="658"/>
      <c r="G649" s="658"/>
      <c r="H649" s="658"/>
      <c r="I649" s="658"/>
      <c r="J649" s="658"/>
      <c r="K649" s="658"/>
      <c r="L649" s="658"/>
      <c r="M649" s="658"/>
      <c r="N649" s="658"/>
      <c r="O649" s="658"/>
      <c r="P649" s="658"/>
      <c r="Q649" s="658"/>
    </row>
    <row r="650" spans="3:17">
      <c r="C650" s="962"/>
      <c r="D650" s="962"/>
      <c r="E650" s="658"/>
      <c r="F650" s="658"/>
      <c r="G650" s="658"/>
      <c r="H650" s="658"/>
      <c r="I650" s="658"/>
      <c r="J650" s="658"/>
      <c r="K650" s="658"/>
      <c r="L650" s="658"/>
      <c r="M650" s="658"/>
      <c r="N650" s="658"/>
      <c r="O650" s="658"/>
      <c r="P650" s="658"/>
      <c r="Q650" s="658"/>
    </row>
    <row r="651" spans="3:17">
      <c r="C651" s="962"/>
      <c r="D651" s="962"/>
      <c r="E651" s="658"/>
      <c r="F651" s="658"/>
      <c r="G651" s="658"/>
      <c r="H651" s="658"/>
      <c r="I651" s="658"/>
      <c r="J651" s="658"/>
      <c r="K651" s="658"/>
      <c r="L651" s="658"/>
      <c r="M651" s="658"/>
      <c r="N651" s="658"/>
      <c r="O651" s="658"/>
      <c r="P651" s="658"/>
      <c r="Q651" s="658"/>
    </row>
    <row r="652" spans="3:17">
      <c r="C652" s="962"/>
      <c r="D652" s="962"/>
      <c r="E652" s="658"/>
      <c r="F652" s="658"/>
      <c r="G652" s="658"/>
      <c r="H652" s="658"/>
      <c r="I652" s="658"/>
      <c r="J652" s="658"/>
      <c r="K652" s="658"/>
      <c r="L652" s="658"/>
      <c r="M652" s="658"/>
      <c r="N652" s="658"/>
      <c r="O652" s="658"/>
      <c r="P652" s="658"/>
      <c r="Q652" s="658"/>
    </row>
    <row r="653" spans="3:17">
      <c r="C653" s="962"/>
      <c r="D653" s="962"/>
      <c r="E653" s="658"/>
      <c r="F653" s="658"/>
      <c r="G653" s="658"/>
      <c r="H653" s="658"/>
      <c r="I653" s="658"/>
      <c r="J653" s="658"/>
      <c r="K653" s="658"/>
      <c r="L653" s="658"/>
      <c r="M653" s="658"/>
      <c r="N653" s="658"/>
      <c r="O653" s="658"/>
      <c r="P653" s="658"/>
      <c r="Q653" s="658"/>
    </row>
    <row r="654" spans="3:17">
      <c r="C654" s="962"/>
      <c r="D654" s="962"/>
      <c r="E654" s="658"/>
      <c r="F654" s="658"/>
      <c r="G654" s="658"/>
      <c r="H654" s="658"/>
      <c r="I654" s="658"/>
      <c r="J654" s="658"/>
      <c r="K654" s="658"/>
      <c r="L654" s="658"/>
      <c r="M654" s="658"/>
      <c r="N654" s="658"/>
      <c r="O654" s="658"/>
      <c r="P654" s="658"/>
      <c r="Q654" s="658"/>
    </row>
    <row r="655" spans="3:17">
      <c r="C655" s="962"/>
      <c r="D655" s="962"/>
      <c r="E655" s="658"/>
      <c r="F655" s="658"/>
      <c r="G655" s="658"/>
      <c r="H655" s="658"/>
      <c r="I655" s="658"/>
      <c r="J655" s="658"/>
      <c r="K655" s="658"/>
      <c r="L655" s="658"/>
      <c r="M655" s="658"/>
      <c r="N655" s="658"/>
      <c r="O655" s="658"/>
      <c r="P655" s="658"/>
      <c r="Q655" s="658"/>
    </row>
    <row r="656" spans="3:17">
      <c r="C656" s="962"/>
      <c r="D656" s="962"/>
      <c r="E656" s="658"/>
      <c r="F656" s="658"/>
      <c r="G656" s="658"/>
      <c r="H656" s="658"/>
      <c r="I656" s="658"/>
      <c r="J656" s="658"/>
      <c r="K656" s="658"/>
      <c r="L656" s="658"/>
      <c r="M656" s="658"/>
      <c r="N656" s="658"/>
      <c r="O656" s="658"/>
      <c r="P656" s="658"/>
      <c r="Q656" s="658"/>
    </row>
    <row r="657" spans="3:17">
      <c r="C657" s="962"/>
      <c r="D657" s="962"/>
      <c r="E657" s="658"/>
      <c r="F657" s="658"/>
      <c r="G657" s="658"/>
      <c r="H657" s="658"/>
      <c r="I657" s="658"/>
      <c r="J657" s="658"/>
      <c r="K657" s="658"/>
      <c r="L657" s="658"/>
      <c r="M657" s="658"/>
      <c r="N657" s="658"/>
      <c r="O657" s="658"/>
      <c r="P657" s="658"/>
      <c r="Q657" s="658"/>
    </row>
    <row r="658" spans="3:17">
      <c r="C658" s="962"/>
      <c r="D658" s="962"/>
      <c r="E658" s="658"/>
      <c r="F658" s="658"/>
      <c r="G658" s="658"/>
      <c r="H658" s="658"/>
      <c r="I658" s="658"/>
      <c r="J658" s="658"/>
      <c r="K658" s="658"/>
      <c r="L658" s="658"/>
      <c r="M658" s="658"/>
      <c r="N658" s="658"/>
      <c r="O658" s="658"/>
      <c r="P658" s="658"/>
      <c r="Q658" s="658"/>
    </row>
    <row r="659" spans="3:17">
      <c r="C659" s="962"/>
      <c r="D659" s="962"/>
      <c r="E659" s="658"/>
      <c r="F659" s="658"/>
      <c r="G659" s="658"/>
      <c r="H659" s="658"/>
      <c r="I659" s="658"/>
      <c r="J659" s="658"/>
      <c r="K659" s="658"/>
      <c r="L659" s="658"/>
      <c r="M659" s="658"/>
      <c r="N659" s="658"/>
      <c r="O659" s="658"/>
      <c r="P659" s="658"/>
      <c r="Q659" s="658"/>
    </row>
    <row r="660" spans="3:17">
      <c r="C660" s="962"/>
      <c r="D660" s="962"/>
      <c r="E660" s="658"/>
      <c r="F660" s="658"/>
      <c r="G660" s="658"/>
      <c r="H660" s="658"/>
      <c r="I660" s="658"/>
      <c r="J660" s="658"/>
      <c r="K660" s="658"/>
      <c r="L660" s="658"/>
      <c r="M660" s="658"/>
      <c r="N660" s="658"/>
      <c r="O660" s="658"/>
      <c r="P660" s="658"/>
      <c r="Q660" s="658"/>
    </row>
    <row r="661" spans="3:17">
      <c r="C661" s="962"/>
      <c r="D661" s="962"/>
      <c r="E661" s="658"/>
      <c r="F661" s="658"/>
      <c r="G661" s="658"/>
      <c r="H661" s="658"/>
      <c r="I661" s="658"/>
      <c r="J661" s="658"/>
      <c r="K661" s="658"/>
      <c r="L661" s="658"/>
      <c r="M661" s="658"/>
      <c r="N661" s="658"/>
      <c r="O661" s="658"/>
      <c r="P661" s="658"/>
      <c r="Q661" s="658"/>
    </row>
    <row r="662" spans="3:17">
      <c r="C662" s="962"/>
      <c r="D662" s="962"/>
      <c r="E662" s="658"/>
      <c r="F662" s="658"/>
      <c r="G662" s="658"/>
      <c r="H662" s="658"/>
      <c r="I662" s="658"/>
      <c r="J662" s="658"/>
      <c r="K662" s="658"/>
      <c r="L662" s="658"/>
      <c r="M662" s="658"/>
      <c r="N662" s="658"/>
      <c r="O662" s="658"/>
      <c r="P662" s="658"/>
      <c r="Q662" s="658"/>
    </row>
    <row r="663" spans="3:17">
      <c r="C663" s="962"/>
      <c r="D663" s="962"/>
      <c r="E663" s="658"/>
      <c r="F663" s="658"/>
      <c r="G663" s="658"/>
      <c r="H663" s="658"/>
      <c r="I663" s="658"/>
      <c r="J663" s="658"/>
      <c r="K663" s="658"/>
      <c r="L663" s="658"/>
      <c r="M663" s="658"/>
      <c r="N663" s="658"/>
      <c r="O663" s="658"/>
      <c r="P663" s="658"/>
      <c r="Q663" s="658"/>
    </row>
    <row r="664" spans="3:17">
      <c r="C664" s="962"/>
      <c r="D664" s="962"/>
      <c r="E664" s="658"/>
      <c r="F664" s="658"/>
      <c r="G664" s="658"/>
      <c r="H664" s="658"/>
      <c r="I664" s="658"/>
      <c r="J664" s="658"/>
      <c r="K664" s="658"/>
      <c r="L664" s="658"/>
      <c r="M664" s="658"/>
      <c r="N664" s="658"/>
      <c r="O664" s="658"/>
      <c r="P664" s="658"/>
      <c r="Q664" s="658"/>
    </row>
    <row r="665" spans="3:17">
      <c r="C665" s="962"/>
      <c r="D665" s="962"/>
      <c r="E665" s="658"/>
      <c r="F665" s="658"/>
      <c r="G665" s="658"/>
      <c r="H665" s="658"/>
      <c r="I665" s="658"/>
      <c r="J665" s="658"/>
      <c r="K665" s="658"/>
      <c r="L665" s="658"/>
      <c r="M665" s="658"/>
      <c r="N665" s="658"/>
      <c r="O665" s="658"/>
      <c r="P665" s="658"/>
      <c r="Q665" s="658"/>
    </row>
    <row r="666" spans="3:17">
      <c r="C666" s="962"/>
      <c r="D666" s="962"/>
      <c r="E666" s="658"/>
      <c r="F666" s="658"/>
      <c r="G666" s="658"/>
      <c r="H666" s="658"/>
      <c r="I666" s="658"/>
      <c r="J666" s="658"/>
      <c r="K666" s="658"/>
      <c r="L666" s="658"/>
      <c r="M666" s="658"/>
      <c r="N666" s="658"/>
      <c r="O666" s="658"/>
      <c r="P666" s="658"/>
      <c r="Q666" s="658"/>
    </row>
    <row r="667" spans="3:17">
      <c r="C667" s="962"/>
      <c r="D667" s="962"/>
      <c r="E667" s="658"/>
      <c r="F667" s="658"/>
      <c r="G667" s="658"/>
      <c r="H667" s="658"/>
      <c r="I667" s="658"/>
      <c r="J667" s="658"/>
      <c r="K667" s="658"/>
      <c r="L667" s="658"/>
      <c r="M667" s="658"/>
      <c r="N667" s="658"/>
      <c r="O667" s="658"/>
      <c r="P667" s="658"/>
      <c r="Q667" s="658"/>
    </row>
    <row r="668" spans="3:17">
      <c r="C668" s="962"/>
      <c r="D668" s="962"/>
      <c r="E668" s="658"/>
      <c r="F668" s="658"/>
      <c r="G668" s="658"/>
      <c r="H668" s="658"/>
      <c r="I668" s="658"/>
      <c r="J668" s="658"/>
      <c r="K668" s="658"/>
      <c r="L668" s="658"/>
      <c r="M668" s="658"/>
      <c r="N668" s="658"/>
      <c r="O668" s="658"/>
      <c r="P668" s="658"/>
      <c r="Q668" s="658"/>
    </row>
    <row r="669" spans="3:17">
      <c r="C669" s="962"/>
      <c r="D669" s="962"/>
      <c r="E669" s="658"/>
      <c r="F669" s="658"/>
      <c r="G669" s="658"/>
      <c r="H669" s="658"/>
      <c r="I669" s="658"/>
      <c r="J669" s="658"/>
      <c r="K669" s="658"/>
      <c r="L669" s="658"/>
      <c r="M669" s="658"/>
      <c r="N669" s="658"/>
      <c r="O669" s="658"/>
      <c r="P669" s="658"/>
      <c r="Q669" s="658"/>
    </row>
    <row r="670" spans="3:17">
      <c r="C670" s="962"/>
      <c r="D670" s="962"/>
      <c r="E670" s="658"/>
      <c r="F670" s="658"/>
      <c r="G670" s="658"/>
      <c r="H670" s="658"/>
      <c r="I670" s="658"/>
      <c r="J670" s="658"/>
      <c r="K670" s="658"/>
      <c r="L670" s="658"/>
      <c r="M670" s="658"/>
      <c r="N670" s="658"/>
      <c r="O670" s="658"/>
      <c r="P670" s="658"/>
      <c r="Q670" s="658"/>
    </row>
    <row r="671" spans="3:17">
      <c r="C671" s="962"/>
      <c r="D671" s="962"/>
      <c r="E671" s="658"/>
      <c r="F671" s="658"/>
      <c r="G671" s="658"/>
      <c r="H671" s="658"/>
      <c r="I671" s="658"/>
      <c r="J671" s="658"/>
      <c r="K671" s="658"/>
      <c r="L671" s="658"/>
      <c r="M671" s="658"/>
      <c r="N671" s="658"/>
      <c r="O671" s="658"/>
      <c r="P671" s="658"/>
      <c r="Q671" s="658"/>
    </row>
    <row r="672" spans="3:17">
      <c r="C672" s="962"/>
      <c r="D672" s="962"/>
      <c r="E672" s="658"/>
      <c r="F672" s="658"/>
      <c r="G672" s="658"/>
      <c r="H672" s="658"/>
      <c r="I672" s="658"/>
      <c r="J672" s="658"/>
      <c r="K672" s="658"/>
      <c r="L672" s="658"/>
      <c r="M672" s="658"/>
      <c r="N672" s="658"/>
      <c r="O672" s="658"/>
      <c r="P672" s="658"/>
      <c r="Q672" s="658"/>
    </row>
    <row r="673" spans="3:17">
      <c r="C673" s="962"/>
      <c r="D673" s="962"/>
      <c r="E673" s="658"/>
      <c r="F673" s="658"/>
      <c r="G673" s="658"/>
      <c r="H673" s="658"/>
      <c r="I673" s="658"/>
      <c r="J673" s="658"/>
      <c r="K673" s="658"/>
      <c r="L673" s="658"/>
      <c r="M673" s="658"/>
      <c r="N673" s="658"/>
      <c r="O673" s="658"/>
      <c r="P673" s="658"/>
      <c r="Q673" s="658"/>
    </row>
    <row r="674" spans="3:17">
      <c r="C674" s="962"/>
      <c r="D674" s="962"/>
      <c r="E674" s="658"/>
      <c r="F674" s="658"/>
      <c r="G674" s="658"/>
      <c r="H674" s="658"/>
      <c r="I674" s="658"/>
      <c r="J674" s="658"/>
      <c r="K674" s="658"/>
      <c r="L674" s="658"/>
      <c r="M674" s="658"/>
      <c r="N674" s="658"/>
      <c r="O674" s="658"/>
      <c r="P674" s="658"/>
      <c r="Q674" s="658"/>
    </row>
    <row r="675" spans="3:17">
      <c r="C675" s="962"/>
      <c r="D675" s="962"/>
      <c r="E675" s="658"/>
      <c r="F675" s="658"/>
      <c r="G675" s="658"/>
      <c r="H675" s="658"/>
      <c r="I675" s="658"/>
      <c r="J675" s="658"/>
      <c r="K675" s="658"/>
      <c r="L675" s="658"/>
      <c r="M675" s="658"/>
      <c r="N675" s="658"/>
      <c r="O675" s="658"/>
      <c r="P675" s="658"/>
      <c r="Q675" s="658"/>
    </row>
    <row r="676" spans="3:17">
      <c r="C676" s="962"/>
      <c r="D676" s="962"/>
      <c r="E676" s="658"/>
      <c r="F676" s="658"/>
      <c r="G676" s="658"/>
      <c r="H676" s="658"/>
      <c r="I676" s="658"/>
      <c r="J676" s="658"/>
      <c r="K676" s="658"/>
      <c r="L676" s="658"/>
      <c r="M676" s="658"/>
      <c r="N676" s="658"/>
      <c r="O676" s="658"/>
      <c r="P676" s="658"/>
      <c r="Q676" s="658"/>
    </row>
    <row r="677" spans="3:17">
      <c r="C677" s="962"/>
      <c r="D677" s="962"/>
      <c r="E677" s="658"/>
      <c r="F677" s="658"/>
      <c r="G677" s="658"/>
      <c r="H677" s="658"/>
      <c r="I677" s="658"/>
      <c r="J677" s="658"/>
      <c r="K677" s="658"/>
      <c r="L677" s="658"/>
      <c r="M677" s="658"/>
      <c r="N677" s="658"/>
      <c r="O677" s="658"/>
      <c r="P677" s="658"/>
      <c r="Q677" s="658"/>
    </row>
    <row r="678" spans="3:17">
      <c r="C678" s="962"/>
      <c r="D678" s="962"/>
      <c r="E678" s="658"/>
      <c r="F678" s="658"/>
      <c r="G678" s="658"/>
      <c r="H678" s="658"/>
      <c r="I678" s="658"/>
      <c r="J678" s="658"/>
      <c r="K678" s="658"/>
      <c r="L678" s="658"/>
      <c r="M678" s="658"/>
      <c r="N678" s="658"/>
      <c r="O678" s="658"/>
      <c r="P678" s="658"/>
      <c r="Q678" s="658"/>
    </row>
    <row r="679" spans="3:17">
      <c r="C679" s="962"/>
      <c r="D679" s="962"/>
      <c r="E679" s="658"/>
      <c r="F679" s="658"/>
      <c r="G679" s="658"/>
      <c r="H679" s="658"/>
      <c r="I679" s="658"/>
      <c r="J679" s="658"/>
      <c r="K679" s="658"/>
      <c r="L679" s="658"/>
      <c r="M679" s="658"/>
      <c r="N679" s="658"/>
      <c r="O679" s="658"/>
      <c r="P679" s="658"/>
      <c r="Q679" s="658"/>
    </row>
    <row r="680" spans="3:17">
      <c r="C680" s="962"/>
      <c r="D680" s="962"/>
      <c r="E680" s="658"/>
      <c r="F680" s="658"/>
      <c r="G680" s="658"/>
      <c r="H680" s="658"/>
      <c r="I680" s="658"/>
      <c r="J680" s="658"/>
      <c r="K680" s="658"/>
      <c r="L680" s="658"/>
      <c r="M680" s="658"/>
      <c r="N680" s="658"/>
      <c r="O680" s="658"/>
      <c r="P680" s="658"/>
      <c r="Q680" s="658"/>
    </row>
    <row r="681" spans="3:17">
      <c r="C681" s="962"/>
      <c r="D681" s="962"/>
      <c r="E681" s="658"/>
      <c r="F681" s="658"/>
      <c r="G681" s="658"/>
      <c r="H681" s="658"/>
      <c r="I681" s="658"/>
      <c r="J681" s="658"/>
      <c r="K681" s="658"/>
      <c r="L681" s="658"/>
      <c r="M681" s="658"/>
      <c r="N681" s="658"/>
      <c r="O681" s="658"/>
      <c r="P681" s="658"/>
      <c r="Q681" s="658"/>
    </row>
    <row r="682" spans="3:17">
      <c r="C682" s="962"/>
      <c r="D682" s="962"/>
      <c r="E682" s="658"/>
      <c r="F682" s="658"/>
      <c r="G682" s="658"/>
      <c r="H682" s="658"/>
      <c r="I682" s="658"/>
      <c r="J682" s="658"/>
      <c r="K682" s="658"/>
      <c r="L682" s="658"/>
      <c r="M682" s="658"/>
      <c r="N682" s="658"/>
      <c r="O682" s="658"/>
      <c r="P682" s="658"/>
      <c r="Q682" s="658"/>
    </row>
    <row r="683" spans="3:17">
      <c r="C683" s="962"/>
      <c r="D683" s="962"/>
      <c r="E683" s="658"/>
      <c r="F683" s="658"/>
      <c r="G683" s="658"/>
      <c r="H683" s="658"/>
      <c r="I683" s="658"/>
      <c r="J683" s="658"/>
      <c r="K683" s="658"/>
      <c r="L683" s="658"/>
      <c r="M683" s="658"/>
      <c r="N683" s="658"/>
      <c r="O683" s="658"/>
      <c r="P683" s="658"/>
      <c r="Q683" s="658"/>
    </row>
    <row r="684" spans="3:17">
      <c r="C684" s="962"/>
      <c r="D684" s="962"/>
      <c r="E684" s="658"/>
      <c r="F684" s="658"/>
      <c r="G684" s="658"/>
      <c r="H684" s="658"/>
      <c r="I684" s="658"/>
      <c r="J684" s="658"/>
      <c r="K684" s="658"/>
      <c r="L684" s="658"/>
      <c r="M684" s="658"/>
      <c r="N684" s="658"/>
      <c r="O684" s="658"/>
      <c r="P684" s="658"/>
      <c r="Q684" s="658"/>
    </row>
    <row r="685" spans="3:17">
      <c r="C685" s="962"/>
      <c r="D685" s="962"/>
      <c r="E685" s="658"/>
      <c r="F685" s="658"/>
      <c r="G685" s="658"/>
      <c r="H685" s="658"/>
      <c r="I685" s="658"/>
      <c r="J685" s="658"/>
      <c r="K685" s="658"/>
      <c r="L685" s="658"/>
      <c r="M685" s="658"/>
      <c r="N685" s="658"/>
      <c r="O685" s="658"/>
      <c r="P685" s="658"/>
      <c r="Q685" s="658"/>
    </row>
    <row r="686" spans="3:17">
      <c r="C686" s="962"/>
      <c r="D686" s="962"/>
      <c r="E686" s="658"/>
      <c r="F686" s="658"/>
      <c r="G686" s="658"/>
      <c r="H686" s="658"/>
      <c r="I686" s="658"/>
      <c r="J686" s="658"/>
      <c r="K686" s="658"/>
      <c r="L686" s="658"/>
      <c r="M686" s="658"/>
      <c r="N686" s="658"/>
      <c r="O686" s="658"/>
      <c r="P686" s="658"/>
      <c r="Q686" s="658"/>
    </row>
    <row r="687" spans="3:17">
      <c r="C687" s="962"/>
      <c r="D687" s="962"/>
      <c r="E687" s="658"/>
      <c r="F687" s="658"/>
      <c r="G687" s="658"/>
      <c r="H687" s="658"/>
      <c r="I687" s="658"/>
      <c r="J687" s="658"/>
      <c r="K687" s="658"/>
      <c r="L687" s="658"/>
      <c r="M687" s="658"/>
      <c r="N687" s="658"/>
      <c r="O687" s="658"/>
      <c r="P687" s="658"/>
      <c r="Q687" s="658"/>
    </row>
    <row r="688" spans="3:17">
      <c r="C688" s="962"/>
      <c r="D688" s="962"/>
      <c r="E688" s="658"/>
      <c r="F688" s="658"/>
      <c r="G688" s="658"/>
      <c r="H688" s="658"/>
      <c r="I688" s="658"/>
      <c r="J688" s="658"/>
      <c r="K688" s="658"/>
      <c r="L688" s="658"/>
      <c r="M688" s="658"/>
      <c r="N688" s="658"/>
      <c r="O688" s="658"/>
      <c r="P688" s="658"/>
      <c r="Q688" s="658"/>
    </row>
    <row r="689" spans="3:17">
      <c r="C689" s="962"/>
      <c r="D689" s="962"/>
      <c r="E689" s="658"/>
      <c r="F689" s="658"/>
      <c r="G689" s="658"/>
      <c r="H689" s="658"/>
      <c r="I689" s="658"/>
      <c r="J689" s="658"/>
      <c r="K689" s="658"/>
      <c r="L689" s="658"/>
      <c r="M689" s="658"/>
      <c r="N689" s="658"/>
      <c r="O689" s="658"/>
      <c r="P689" s="658"/>
      <c r="Q689" s="658"/>
    </row>
    <row r="690" spans="3:17">
      <c r="C690" s="962"/>
      <c r="D690" s="962"/>
      <c r="E690" s="658"/>
      <c r="F690" s="658"/>
      <c r="G690" s="658"/>
      <c r="H690" s="658"/>
      <c r="I690" s="658"/>
      <c r="J690" s="658"/>
      <c r="K690" s="658"/>
      <c r="L690" s="658"/>
      <c r="M690" s="658"/>
      <c r="N690" s="658"/>
      <c r="O690" s="658"/>
      <c r="P690" s="658"/>
      <c r="Q690" s="658"/>
    </row>
    <row r="691" spans="3:17">
      <c r="C691" s="962"/>
      <c r="D691" s="962"/>
      <c r="E691" s="658"/>
      <c r="F691" s="658"/>
      <c r="G691" s="658"/>
      <c r="H691" s="658"/>
      <c r="I691" s="658"/>
      <c r="J691" s="658"/>
      <c r="K691" s="658"/>
      <c r="L691" s="658"/>
      <c r="M691" s="658"/>
      <c r="N691" s="658"/>
      <c r="O691" s="658"/>
      <c r="P691" s="658"/>
      <c r="Q691" s="658"/>
    </row>
    <row r="692" spans="3:17">
      <c r="C692" s="962"/>
      <c r="D692" s="962"/>
      <c r="E692" s="658"/>
      <c r="F692" s="658"/>
      <c r="G692" s="658"/>
      <c r="H692" s="658"/>
      <c r="I692" s="658"/>
      <c r="J692" s="658"/>
      <c r="K692" s="658"/>
      <c r="L692" s="658"/>
      <c r="M692" s="658"/>
      <c r="N692" s="658"/>
      <c r="O692" s="658"/>
      <c r="P692" s="658"/>
      <c r="Q692" s="658"/>
    </row>
    <row r="693" spans="3:17">
      <c r="C693" s="962"/>
      <c r="D693" s="962"/>
      <c r="E693" s="658"/>
      <c r="F693" s="658"/>
      <c r="G693" s="658"/>
      <c r="H693" s="658"/>
      <c r="I693" s="658"/>
      <c r="J693" s="658"/>
      <c r="K693" s="658"/>
      <c r="L693" s="658"/>
      <c r="M693" s="658"/>
      <c r="N693" s="658"/>
      <c r="O693" s="658"/>
      <c r="P693" s="658"/>
      <c r="Q693" s="658"/>
    </row>
    <row r="694" spans="3:17">
      <c r="C694" s="962"/>
      <c r="D694" s="962"/>
      <c r="E694" s="658"/>
      <c r="F694" s="658"/>
      <c r="G694" s="658"/>
      <c r="H694" s="658"/>
      <c r="I694" s="658"/>
      <c r="J694" s="658"/>
      <c r="K694" s="658"/>
      <c r="L694" s="658"/>
      <c r="M694" s="658"/>
      <c r="N694" s="658"/>
      <c r="O694" s="658"/>
      <c r="P694" s="658"/>
      <c r="Q694" s="658"/>
    </row>
    <row r="695" spans="3:17">
      <c r="C695" s="962"/>
      <c r="D695" s="962"/>
      <c r="E695" s="658"/>
      <c r="F695" s="658"/>
      <c r="G695" s="658"/>
      <c r="H695" s="658"/>
      <c r="I695" s="658"/>
      <c r="J695" s="658"/>
      <c r="K695" s="658"/>
      <c r="L695" s="658"/>
      <c r="M695" s="658"/>
      <c r="N695" s="658"/>
      <c r="O695" s="658"/>
      <c r="P695" s="658"/>
      <c r="Q695" s="658"/>
    </row>
    <row r="696" spans="3:17">
      <c r="C696" s="962"/>
      <c r="D696" s="962"/>
      <c r="E696" s="658"/>
      <c r="F696" s="658"/>
      <c r="G696" s="658"/>
      <c r="H696" s="658"/>
      <c r="I696" s="658"/>
      <c r="J696" s="658"/>
      <c r="K696" s="658"/>
      <c r="L696" s="658"/>
      <c r="M696" s="658"/>
      <c r="N696" s="658"/>
      <c r="O696" s="658"/>
      <c r="P696" s="658"/>
      <c r="Q696" s="658"/>
    </row>
    <row r="697" spans="3:17">
      <c r="C697" s="962"/>
      <c r="D697" s="962"/>
      <c r="E697" s="658"/>
      <c r="F697" s="658"/>
      <c r="G697" s="658"/>
      <c r="H697" s="658"/>
      <c r="I697" s="658"/>
      <c r="J697" s="658"/>
      <c r="K697" s="658"/>
      <c r="L697" s="658"/>
      <c r="M697" s="658"/>
      <c r="N697" s="658"/>
      <c r="O697" s="658"/>
      <c r="P697" s="658"/>
      <c r="Q697" s="658"/>
    </row>
    <row r="698" spans="3:17">
      <c r="C698" s="962"/>
      <c r="D698" s="962"/>
      <c r="E698" s="658"/>
      <c r="F698" s="658"/>
      <c r="G698" s="658"/>
      <c r="H698" s="658"/>
      <c r="I698" s="658"/>
      <c r="J698" s="658"/>
      <c r="K698" s="658"/>
      <c r="L698" s="658"/>
      <c r="M698" s="658"/>
      <c r="N698" s="658"/>
      <c r="O698" s="658"/>
      <c r="P698" s="658"/>
      <c r="Q698" s="658"/>
    </row>
    <row r="699" spans="3:17">
      <c r="C699" s="962"/>
      <c r="D699" s="962"/>
      <c r="E699" s="658"/>
      <c r="F699" s="658"/>
      <c r="G699" s="658"/>
      <c r="H699" s="658"/>
      <c r="I699" s="658"/>
      <c r="J699" s="658"/>
      <c r="K699" s="658"/>
      <c r="L699" s="658"/>
      <c r="M699" s="658"/>
      <c r="N699" s="658"/>
      <c r="O699" s="658"/>
      <c r="P699" s="658"/>
      <c r="Q699" s="658"/>
    </row>
    <row r="700" spans="3:17">
      <c r="C700" s="962"/>
      <c r="D700" s="962"/>
      <c r="E700" s="658"/>
      <c r="F700" s="658"/>
      <c r="G700" s="658"/>
      <c r="H700" s="658"/>
      <c r="I700" s="658"/>
      <c r="J700" s="658"/>
      <c r="K700" s="658"/>
      <c r="L700" s="658"/>
      <c r="M700" s="658"/>
      <c r="N700" s="658"/>
      <c r="O700" s="658"/>
      <c r="P700" s="658"/>
      <c r="Q700" s="658"/>
    </row>
    <row r="701" spans="3:17">
      <c r="C701" s="962"/>
      <c r="D701" s="962"/>
      <c r="E701" s="658"/>
      <c r="F701" s="658"/>
      <c r="G701" s="658"/>
      <c r="H701" s="658"/>
      <c r="I701" s="658"/>
      <c r="J701" s="658"/>
      <c r="K701" s="658"/>
      <c r="L701" s="658"/>
      <c r="M701" s="658"/>
      <c r="N701" s="658"/>
      <c r="O701" s="658"/>
      <c r="P701" s="658"/>
      <c r="Q701" s="658"/>
    </row>
    <row r="702" spans="3:17">
      <c r="C702" s="962"/>
      <c r="D702" s="962"/>
      <c r="E702" s="658"/>
      <c r="F702" s="658"/>
      <c r="G702" s="658"/>
      <c r="H702" s="658"/>
      <c r="I702" s="658"/>
      <c r="J702" s="658"/>
      <c r="K702" s="658"/>
      <c r="L702" s="658"/>
      <c r="M702" s="658"/>
      <c r="N702" s="658"/>
      <c r="O702" s="658"/>
      <c r="P702" s="658"/>
      <c r="Q702" s="658"/>
    </row>
    <row r="703" spans="3:17">
      <c r="C703" s="962"/>
      <c r="D703" s="962"/>
      <c r="E703" s="658"/>
      <c r="F703" s="658"/>
      <c r="G703" s="658"/>
      <c r="H703" s="658"/>
      <c r="I703" s="658"/>
      <c r="J703" s="658"/>
      <c r="K703" s="658"/>
      <c r="L703" s="658"/>
      <c r="M703" s="658"/>
      <c r="N703" s="658"/>
      <c r="O703" s="658"/>
      <c r="P703" s="658"/>
      <c r="Q703" s="658"/>
    </row>
    <row r="704" spans="3:17">
      <c r="C704" s="962"/>
      <c r="D704" s="962"/>
      <c r="E704" s="658"/>
      <c r="F704" s="658"/>
      <c r="G704" s="658"/>
      <c r="H704" s="658"/>
      <c r="I704" s="658"/>
      <c r="J704" s="658"/>
      <c r="K704" s="658"/>
      <c r="L704" s="658"/>
      <c r="M704" s="658"/>
      <c r="N704" s="658"/>
      <c r="O704" s="658"/>
      <c r="P704" s="658"/>
      <c r="Q704" s="658"/>
    </row>
    <row r="705" spans="3:17">
      <c r="C705" s="962"/>
      <c r="D705" s="962"/>
      <c r="E705" s="658"/>
      <c r="F705" s="658"/>
      <c r="G705" s="658"/>
      <c r="H705" s="658"/>
      <c r="I705" s="658"/>
      <c r="J705" s="658"/>
      <c r="K705" s="658"/>
      <c r="L705" s="658"/>
      <c r="M705" s="658"/>
      <c r="N705" s="658"/>
      <c r="O705" s="658"/>
      <c r="P705" s="658"/>
      <c r="Q705" s="658"/>
    </row>
    <row r="706" spans="3:17">
      <c r="C706" s="962"/>
      <c r="D706" s="962"/>
      <c r="E706" s="658"/>
      <c r="F706" s="658"/>
      <c r="G706" s="658"/>
      <c r="H706" s="658"/>
      <c r="I706" s="658"/>
      <c r="J706" s="658"/>
      <c r="K706" s="658"/>
      <c r="L706" s="658"/>
      <c r="M706" s="658"/>
      <c r="N706" s="658"/>
      <c r="O706" s="658"/>
      <c r="P706" s="658"/>
      <c r="Q706" s="658"/>
    </row>
    <row r="707" spans="3:17">
      <c r="C707" s="962"/>
      <c r="D707" s="962"/>
      <c r="E707" s="658"/>
      <c r="F707" s="658"/>
      <c r="G707" s="658"/>
      <c r="H707" s="658"/>
      <c r="I707" s="658"/>
      <c r="J707" s="658"/>
      <c r="K707" s="658"/>
      <c r="L707" s="658"/>
      <c r="M707" s="658"/>
      <c r="N707" s="658"/>
      <c r="O707" s="658"/>
      <c r="P707" s="658"/>
      <c r="Q707" s="658"/>
    </row>
    <row r="708" spans="3:17">
      <c r="C708" s="962"/>
      <c r="D708" s="962"/>
      <c r="E708" s="658"/>
      <c r="F708" s="658"/>
      <c r="G708" s="658"/>
      <c r="H708" s="658"/>
      <c r="I708" s="658"/>
      <c r="J708" s="658"/>
      <c r="K708" s="658"/>
      <c r="L708" s="658"/>
      <c r="M708" s="658"/>
      <c r="N708" s="658"/>
      <c r="O708" s="658"/>
      <c r="P708" s="658"/>
      <c r="Q708" s="658"/>
    </row>
    <row r="709" spans="3:17">
      <c r="C709" s="962"/>
      <c r="D709" s="962"/>
      <c r="E709" s="658"/>
      <c r="F709" s="658"/>
      <c r="G709" s="658"/>
      <c r="H709" s="658"/>
      <c r="I709" s="658"/>
      <c r="J709" s="658"/>
      <c r="K709" s="658"/>
      <c r="L709" s="658"/>
      <c r="M709" s="658"/>
      <c r="N709" s="658"/>
      <c r="O709" s="658"/>
      <c r="P709" s="658"/>
      <c r="Q709" s="658"/>
    </row>
    <row r="710" spans="3:17">
      <c r="C710" s="962"/>
      <c r="D710" s="962"/>
      <c r="E710" s="658"/>
      <c r="F710" s="658"/>
      <c r="G710" s="658"/>
      <c r="H710" s="658"/>
      <c r="I710" s="658"/>
      <c r="J710" s="658"/>
      <c r="K710" s="658"/>
      <c r="L710" s="658"/>
      <c r="M710" s="658"/>
      <c r="N710" s="658"/>
      <c r="O710" s="658"/>
      <c r="P710" s="658"/>
      <c r="Q710" s="658"/>
    </row>
    <row r="711" spans="3:17">
      <c r="C711" s="962"/>
      <c r="D711" s="962"/>
      <c r="E711" s="658"/>
      <c r="F711" s="658"/>
      <c r="G711" s="658"/>
      <c r="H711" s="658"/>
      <c r="I711" s="658"/>
      <c r="J711" s="658"/>
      <c r="K711" s="658"/>
      <c r="L711" s="658"/>
      <c r="M711" s="658"/>
      <c r="N711" s="658"/>
      <c r="O711" s="658"/>
      <c r="P711" s="658"/>
      <c r="Q711" s="658"/>
    </row>
    <row r="712" spans="3:17">
      <c r="C712" s="962"/>
      <c r="D712" s="962"/>
      <c r="E712" s="658"/>
      <c r="F712" s="658"/>
      <c r="G712" s="658"/>
      <c r="H712" s="658"/>
      <c r="I712" s="658"/>
      <c r="J712" s="658"/>
      <c r="K712" s="658"/>
      <c r="L712" s="658"/>
      <c r="M712" s="658"/>
      <c r="N712" s="658"/>
      <c r="O712" s="658"/>
      <c r="P712" s="658"/>
      <c r="Q712" s="658"/>
    </row>
    <row r="713" spans="3:17">
      <c r="C713" s="962"/>
      <c r="D713" s="962"/>
      <c r="E713" s="658"/>
      <c r="F713" s="658"/>
      <c r="G713" s="658"/>
      <c r="H713" s="658"/>
      <c r="I713" s="658"/>
      <c r="J713" s="658"/>
      <c r="K713" s="658"/>
      <c r="L713" s="658"/>
      <c r="M713" s="658"/>
      <c r="N713" s="658"/>
      <c r="O713" s="658"/>
      <c r="P713" s="658"/>
      <c r="Q713" s="658"/>
    </row>
    <row r="714" spans="3:17">
      <c r="C714" s="962"/>
      <c r="D714" s="962"/>
      <c r="E714" s="658"/>
      <c r="F714" s="658"/>
      <c r="G714" s="658"/>
      <c r="H714" s="658"/>
      <c r="I714" s="658"/>
      <c r="J714" s="658"/>
      <c r="K714" s="658"/>
      <c r="L714" s="658"/>
      <c r="M714" s="658"/>
      <c r="N714" s="658"/>
      <c r="O714" s="658"/>
      <c r="P714" s="658"/>
      <c r="Q714" s="658"/>
    </row>
    <row r="715" spans="3:17">
      <c r="C715" s="962"/>
      <c r="D715" s="962"/>
      <c r="E715" s="658"/>
      <c r="F715" s="658"/>
      <c r="G715" s="658"/>
      <c r="H715" s="658"/>
      <c r="I715" s="658"/>
      <c r="J715" s="658"/>
      <c r="K715" s="658"/>
      <c r="L715" s="658"/>
      <c r="M715" s="658"/>
      <c r="N715" s="658"/>
      <c r="O715" s="658"/>
      <c r="P715" s="658"/>
      <c r="Q715" s="658"/>
    </row>
    <row r="716" spans="3:17">
      <c r="C716" s="962"/>
      <c r="D716" s="962"/>
      <c r="E716" s="658"/>
      <c r="F716" s="658"/>
      <c r="G716" s="658"/>
      <c r="H716" s="658"/>
      <c r="I716" s="658"/>
      <c r="J716" s="658"/>
      <c r="K716" s="658"/>
      <c r="L716" s="658"/>
      <c r="M716" s="658"/>
      <c r="N716" s="658"/>
      <c r="O716" s="658"/>
      <c r="P716" s="658"/>
      <c r="Q716" s="658"/>
    </row>
    <row r="717" spans="3:17">
      <c r="C717" s="962"/>
      <c r="D717" s="962"/>
      <c r="E717" s="658"/>
      <c r="F717" s="658"/>
      <c r="G717" s="658"/>
      <c r="H717" s="658"/>
      <c r="I717" s="658"/>
      <c r="J717" s="658"/>
      <c r="K717" s="658"/>
      <c r="L717" s="658"/>
      <c r="M717" s="658"/>
      <c r="N717" s="658"/>
      <c r="O717" s="658"/>
      <c r="P717" s="658"/>
      <c r="Q717" s="658"/>
    </row>
    <row r="718" spans="3:17">
      <c r="C718" s="962"/>
      <c r="D718" s="962"/>
      <c r="E718" s="658"/>
      <c r="F718" s="658"/>
      <c r="G718" s="658"/>
      <c r="H718" s="658"/>
      <c r="I718" s="658"/>
      <c r="J718" s="658"/>
      <c r="K718" s="658"/>
      <c r="L718" s="658"/>
      <c r="M718" s="658"/>
      <c r="N718" s="658"/>
      <c r="O718" s="658"/>
      <c r="P718" s="658"/>
      <c r="Q718" s="658"/>
    </row>
    <row r="719" spans="3:17">
      <c r="C719" s="962"/>
      <c r="D719" s="962"/>
      <c r="E719" s="658"/>
      <c r="F719" s="658"/>
      <c r="G719" s="658"/>
      <c r="H719" s="658"/>
      <c r="I719" s="658"/>
      <c r="J719" s="658"/>
      <c r="K719" s="658"/>
      <c r="L719" s="658"/>
      <c r="M719" s="658"/>
      <c r="N719" s="658"/>
      <c r="O719" s="658"/>
      <c r="P719" s="658"/>
      <c r="Q719" s="658"/>
    </row>
    <row r="720" spans="3:17">
      <c r="C720" s="962"/>
      <c r="D720" s="962"/>
      <c r="E720" s="658"/>
      <c r="F720" s="658"/>
      <c r="G720" s="658"/>
      <c r="H720" s="658"/>
      <c r="I720" s="658"/>
      <c r="J720" s="658"/>
      <c r="K720" s="658"/>
      <c r="L720" s="658"/>
      <c r="M720" s="658"/>
      <c r="N720" s="658"/>
      <c r="O720" s="658"/>
      <c r="P720" s="658"/>
      <c r="Q720" s="658"/>
    </row>
    <row r="721" spans="3:17">
      <c r="C721" s="962"/>
      <c r="D721" s="962"/>
      <c r="E721" s="658"/>
      <c r="F721" s="658"/>
      <c r="G721" s="658"/>
      <c r="H721" s="658"/>
      <c r="I721" s="658"/>
      <c r="J721" s="658"/>
      <c r="K721" s="658"/>
      <c r="L721" s="658"/>
      <c r="M721" s="658"/>
      <c r="N721" s="658"/>
      <c r="O721" s="658"/>
      <c r="P721" s="658"/>
      <c r="Q721" s="658"/>
    </row>
    <row r="722" spans="3:17">
      <c r="C722" s="962"/>
      <c r="D722" s="962"/>
      <c r="E722" s="658"/>
      <c r="F722" s="658"/>
      <c r="G722" s="658"/>
      <c r="H722" s="658"/>
      <c r="I722" s="658"/>
      <c r="J722" s="658"/>
      <c r="K722" s="658"/>
      <c r="L722" s="658"/>
      <c r="M722" s="658"/>
      <c r="N722" s="658"/>
      <c r="O722" s="658"/>
      <c r="P722" s="658"/>
      <c r="Q722" s="658"/>
    </row>
    <row r="723" spans="3:17">
      <c r="C723" s="962"/>
      <c r="D723" s="962"/>
      <c r="E723" s="658"/>
      <c r="F723" s="658"/>
      <c r="G723" s="658"/>
      <c r="H723" s="658"/>
      <c r="I723" s="658"/>
      <c r="J723" s="658"/>
      <c r="K723" s="658"/>
      <c r="L723" s="658"/>
      <c r="M723" s="658"/>
      <c r="N723" s="658"/>
      <c r="O723" s="658"/>
      <c r="P723" s="658"/>
      <c r="Q723" s="658"/>
    </row>
    <row r="724" spans="3:17">
      <c r="C724" s="962"/>
      <c r="D724" s="962"/>
      <c r="E724" s="658"/>
      <c r="F724" s="658"/>
      <c r="G724" s="658"/>
      <c r="H724" s="658"/>
      <c r="I724" s="658"/>
      <c r="J724" s="658"/>
      <c r="K724" s="658"/>
      <c r="L724" s="658"/>
      <c r="M724" s="658"/>
      <c r="N724" s="658"/>
      <c r="O724" s="658"/>
      <c r="P724" s="658"/>
      <c r="Q724" s="658"/>
    </row>
    <row r="725" spans="3:17">
      <c r="C725" s="962"/>
      <c r="D725" s="962"/>
      <c r="E725" s="658"/>
      <c r="F725" s="658"/>
      <c r="G725" s="658"/>
      <c r="H725" s="658"/>
      <c r="I725" s="658"/>
      <c r="J725" s="658"/>
      <c r="K725" s="658"/>
      <c r="L725" s="658"/>
      <c r="M725" s="658"/>
      <c r="N725" s="658"/>
      <c r="O725" s="658"/>
      <c r="P725" s="658"/>
      <c r="Q725" s="658"/>
    </row>
    <row r="726" spans="3:17">
      <c r="C726" s="962"/>
      <c r="D726" s="962"/>
      <c r="E726" s="658"/>
      <c r="F726" s="658"/>
      <c r="G726" s="658"/>
      <c r="H726" s="658"/>
      <c r="I726" s="658"/>
      <c r="J726" s="658"/>
      <c r="K726" s="658"/>
      <c r="L726" s="658"/>
      <c r="M726" s="658"/>
      <c r="N726" s="658"/>
      <c r="O726" s="658"/>
      <c r="P726" s="658"/>
      <c r="Q726" s="658"/>
    </row>
    <row r="727" spans="3:17">
      <c r="C727" s="962"/>
      <c r="D727" s="962"/>
      <c r="E727" s="658"/>
      <c r="F727" s="658"/>
      <c r="G727" s="658"/>
      <c r="H727" s="658"/>
      <c r="I727" s="658"/>
      <c r="J727" s="658"/>
      <c r="K727" s="658"/>
      <c r="L727" s="658"/>
      <c r="M727" s="658"/>
      <c r="N727" s="658"/>
      <c r="O727" s="658"/>
      <c r="P727" s="658"/>
      <c r="Q727" s="658"/>
    </row>
    <row r="728" spans="3:17">
      <c r="C728" s="962"/>
      <c r="D728" s="962"/>
      <c r="E728" s="658"/>
      <c r="F728" s="658"/>
      <c r="G728" s="658"/>
      <c r="H728" s="658"/>
      <c r="I728" s="658"/>
      <c r="J728" s="658"/>
      <c r="K728" s="658"/>
      <c r="L728" s="658"/>
      <c r="M728" s="658"/>
      <c r="N728" s="658"/>
      <c r="O728" s="658"/>
      <c r="P728" s="658"/>
      <c r="Q728" s="658"/>
    </row>
    <row r="729" spans="3:17">
      <c r="C729" s="962"/>
      <c r="D729" s="962"/>
      <c r="E729" s="658"/>
      <c r="F729" s="658"/>
      <c r="G729" s="658"/>
      <c r="H729" s="658"/>
      <c r="I729" s="658"/>
      <c r="J729" s="658"/>
      <c r="K729" s="658"/>
      <c r="L729" s="658"/>
      <c r="M729" s="658"/>
      <c r="N729" s="658"/>
      <c r="O729" s="658"/>
      <c r="P729" s="658"/>
      <c r="Q729" s="658"/>
    </row>
    <row r="730" spans="3:17">
      <c r="C730" s="962"/>
      <c r="D730" s="962"/>
      <c r="E730" s="658"/>
      <c r="F730" s="658"/>
      <c r="G730" s="658"/>
      <c r="H730" s="658"/>
      <c r="I730" s="658"/>
      <c r="J730" s="658"/>
      <c r="K730" s="658"/>
      <c r="L730" s="658"/>
      <c r="M730" s="658"/>
      <c r="N730" s="658"/>
      <c r="O730" s="658"/>
      <c r="P730" s="658"/>
      <c r="Q730" s="658"/>
    </row>
    <row r="731" spans="3:17">
      <c r="C731" s="962"/>
      <c r="D731" s="962"/>
      <c r="E731" s="658"/>
      <c r="F731" s="658"/>
      <c r="G731" s="658"/>
      <c r="H731" s="658"/>
      <c r="I731" s="658"/>
      <c r="J731" s="658"/>
      <c r="K731" s="658"/>
      <c r="L731" s="658"/>
      <c r="M731" s="658"/>
      <c r="N731" s="658"/>
      <c r="O731" s="658"/>
      <c r="P731" s="658"/>
      <c r="Q731" s="658"/>
    </row>
    <row r="732" spans="3:17">
      <c r="C732" s="962"/>
      <c r="D732" s="962"/>
      <c r="E732" s="658"/>
      <c r="F732" s="658"/>
      <c r="G732" s="658"/>
      <c r="H732" s="658"/>
      <c r="I732" s="658"/>
      <c r="J732" s="658"/>
      <c r="K732" s="658"/>
      <c r="L732" s="658"/>
      <c r="M732" s="658"/>
      <c r="N732" s="658"/>
      <c r="O732" s="658"/>
      <c r="P732" s="658"/>
      <c r="Q732" s="658"/>
    </row>
    <row r="733" spans="3:17">
      <c r="C733" s="962"/>
      <c r="D733" s="962"/>
      <c r="E733" s="658"/>
      <c r="F733" s="658"/>
      <c r="G733" s="658"/>
      <c r="H733" s="658"/>
      <c r="I733" s="658"/>
      <c r="J733" s="658"/>
      <c r="K733" s="658"/>
      <c r="L733" s="658"/>
      <c r="M733" s="658"/>
      <c r="N733" s="658"/>
      <c r="O733" s="658"/>
      <c r="P733" s="658"/>
      <c r="Q733" s="658"/>
    </row>
    <row r="734" spans="3:17">
      <c r="C734" s="962"/>
      <c r="D734" s="962"/>
      <c r="E734" s="658"/>
      <c r="F734" s="658"/>
      <c r="G734" s="658"/>
      <c r="H734" s="658"/>
      <c r="I734" s="658"/>
      <c r="J734" s="658"/>
      <c r="K734" s="658"/>
      <c r="L734" s="658"/>
      <c r="M734" s="658"/>
      <c r="N734" s="658"/>
      <c r="O734" s="658"/>
      <c r="P734" s="658"/>
      <c r="Q734" s="658"/>
    </row>
    <row r="735" spans="3:17">
      <c r="C735" s="962"/>
      <c r="D735" s="962"/>
      <c r="E735" s="658"/>
      <c r="F735" s="658"/>
      <c r="G735" s="658"/>
      <c r="H735" s="658"/>
      <c r="I735" s="658"/>
      <c r="J735" s="658"/>
      <c r="K735" s="658"/>
      <c r="L735" s="658"/>
      <c r="M735" s="658"/>
      <c r="N735" s="658"/>
      <c r="O735" s="658"/>
      <c r="P735" s="658"/>
      <c r="Q735" s="658"/>
    </row>
    <row r="736" spans="3:17">
      <c r="C736" s="962"/>
      <c r="D736" s="962"/>
      <c r="E736" s="658"/>
      <c r="F736" s="658"/>
      <c r="G736" s="658"/>
      <c r="H736" s="658"/>
      <c r="I736" s="658"/>
      <c r="J736" s="658"/>
      <c r="K736" s="658"/>
      <c r="L736" s="658"/>
      <c r="M736" s="658"/>
      <c r="N736" s="658"/>
      <c r="O736" s="658"/>
      <c r="P736" s="658"/>
      <c r="Q736" s="658"/>
    </row>
    <row r="737" spans="3:17">
      <c r="C737" s="962"/>
      <c r="D737" s="962"/>
      <c r="E737" s="658"/>
      <c r="F737" s="658"/>
      <c r="G737" s="658"/>
      <c r="H737" s="658"/>
      <c r="I737" s="658"/>
      <c r="J737" s="658"/>
      <c r="K737" s="658"/>
      <c r="L737" s="658"/>
      <c r="M737" s="658"/>
      <c r="N737" s="658"/>
      <c r="O737" s="658"/>
      <c r="P737" s="658"/>
      <c r="Q737" s="658"/>
    </row>
    <row r="738" spans="3:17">
      <c r="C738" s="962"/>
      <c r="D738" s="962"/>
      <c r="E738" s="658"/>
      <c r="F738" s="658"/>
      <c r="G738" s="658"/>
      <c r="H738" s="658"/>
      <c r="I738" s="658"/>
      <c r="J738" s="658"/>
      <c r="K738" s="658"/>
      <c r="L738" s="658"/>
      <c r="M738" s="658"/>
      <c r="N738" s="658"/>
      <c r="O738" s="658"/>
      <c r="P738" s="658"/>
      <c r="Q738" s="658"/>
    </row>
    <row r="739" spans="3:17">
      <c r="C739" s="962"/>
      <c r="D739" s="962"/>
      <c r="E739" s="658"/>
      <c r="F739" s="658"/>
      <c r="G739" s="658"/>
      <c r="H739" s="658"/>
      <c r="I739" s="658"/>
      <c r="J739" s="658"/>
      <c r="K739" s="658"/>
      <c r="L739" s="658"/>
      <c r="M739" s="658"/>
      <c r="N739" s="658"/>
      <c r="O739" s="658"/>
      <c r="P739" s="658"/>
      <c r="Q739" s="658"/>
    </row>
    <row r="740" spans="3:17">
      <c r="C740" s="962"/>
      <c r="D740" s="962"/>
      <c r="E740" s="658"/>
      <c r="F740" s="658"/>
      <c r="G740" s="658"/>
      <c r="H740" s="658"/>
      <c r="I740" s="658"/>
      <c r="J740" s="658"/>
      <c r="K740" s="658"/>
      <c r="L740" s="658"/>
      <c r="M740" s="658"/>
      <c r="N740" s="658"/>
      <c r="O740" s="658"/>
      <c r="P740" s="658"/>
      <c r="Q740" s="658"/>
    </row>
    <row r="741" spans="3:17">
      <c r="C741" s="962"/>
      <c r="D741" s="962"/>
      <c r="E741" s="658"/>
      <c r="F741" s="658"/>
      <c r="G741" s="658"/>
      <c r="H741" s="658"/>
      <c r="I741" s="658"/>
      <c r="J741" s="658"/>
      <c r="K741" s="658"/>
      <c r="L741" s="658"/>
      <c r="M741" s="658"/>
      <c r="N741" s="658"/>
      <c r="O741" s="658"/>
      <c r="P741" s="658"/>
      <c r="Q741" s="658"/>
    </row>
    <row r="742" spans="3:17">
      <c r="C742" s="962"/>
      <c r="D742" s="962"/>
      <c r="E742" s="658"/>
      <c r="F742" s="658"/>
      <c r="G742" s="658"/>
      <c r="H742" s="658"/>
      <c r="I742" s="658"/>
      <c r="J742" s="658"/>
      <c r="K742" s="658"/>
      <c r="L742" s="658"/>
      <c r="M742" s="658"/>
      <c r="N742" s="658"/>
      <c r="O742" s="658"/>
      <c r="P742" s="658"/>
      <c r="Q742" s="658"/>
    </row>
    <row r="743" spans="3:17">
      <c r="C743" s="962"/>
      <c r="D743" s="962"/>
      <c r="E743" s="658"/>
      <c r="F743" s="658"/>
      <c r="G743" s="658"/>
      <c r="H743" s="658"/>
      <c r="I743" s="658"/>
      <c r="J743" s="658"/>
      <c r="K743" s="658"/>
      <c r="L743" s="658"/>
      <c r="M743" s="658"/>
      <c r="N743" s="658"/>
      <c r="O743" s="658"/>
      <c r="P743" s="658"/>
      <c r="Q743" s="658"/>
    </row>
    <row r="744" spans="3:17">
      <c r="C744" s="962"/>
      <c r="D744" s="962"/>
      <c r="E744" s="658"/>
      <c r="F744" s="658"/>
      <c r="G744" s="658"/>
      <c r="H744" s="658"/>
      <c r="I744" s="658"/>
      <c r="J744" s="658"/>
      <c r="K744" s="658"/>
      <c r="L744" s="658"/>
      <c r="M744" s="658"/>
      <c r="N744" s="658"/>
      <c r="O744" s="658"/>
      <c r="P744" s="658"/>
      <c r="Q744" s="658"/>
    </row>
    <row r="745" spans="3:17">
      <c r="C745" s="962"/>
      <c r="D745" s="962"/>
      <c r="E745" s="658"/>
      <c r="F745" s="658"/>
      <c r="G745" s="658"/>
      <c r="H745" s="658"/>
      <c r="I745" s="658"/>
      <c r="J745" s="658"/>
      <c r="K745" s="658"/>
      <c r="L745" s="658"/>
      <c r="M745" s="658"/>
      <c r="N745" s="658"/>
      <c r="O745" s="658"/>
      <c r="P745" s="658"/>
      <c r="Q745" s="658"/>
    </row>
    <row r="746" spans="3:17">
      <c r="C746" s="962"/>
      <c r="D746" s="962"/>
      <c r="E746" s="658"/>
      <c r="F746" s="658"/>
      <c r="G746" s="658"/>
      <c r="H746" s="658"/>
      <c r="I746" s="658"/>
      <c r="J746" s="658"/>
      <c r="K746" s="658"/>
      <c r="L746" s="658"/>
      <c r="M746" s="658"/>
      <c r="N746" s="658"/>
      <c r="O746" s="658"/>
      <c r="P746" s="658"/>
      <c r="Q746" s="658"/>
    </row>
    <row r="747" spans="3:17">
      <c r="C747" s="962"/>
      <c r="D747" s="962"/>
      <c r="E747" s="658"/>
      <c r="F747" s="658"/>
      <c r="G747" s="658"/>
      <c r="H747" s="658"/>
      <c r="I747" s="658"/>
      <c r="J747" s="658"/>
      <c r="K747" s="658"/>
      <c r="L747" s="658"/>
      <c r="M747" s="658"/>
      <c r="N747" s="658"/>
      <c r="O747" s="658"/>
      <c r="P747" s="658"/>
      <c r="Q747" s="658"/>
    </row>
    <row r="748" spans="3:17">
      <c r="C748" s="962"/>
      <c r="D748" s="962"/>
      <c r="E748" s="658"/>
      <c r="F748" s="658"/>
      <c r="G748" s="658"/>
      <c r="H748" s="658"/>
      <c r="I748" s="658"/>
      <c r="J748" s="658"/>
      <c r="K748" s="658"/>
      <c r="L748" s="658"/>
      <c r="M748" s="658"/>
      <c r="N748" s="658"/>
      <c r="O748" s="658"/>
      <c r="P748" s="658"/>
      <c r="Q748" s="658"/>
    </row>
    <row r="749" spans="3:17">
      <c r="C749" s="962"/>
      <c r="D749" s="962"/>
      <c r="E749" s="658"/>
      <c r="F749" s="658"/>
      <c r="G749" s="658"/>
      <c r="H749" s="658"/>
      <c r="I749" s="658"/>
      <c r="J749" s="658"/>
      <c r="K749" s="658"/>
      <c r="L749" s="658"/>
      <c r="M749" s="658"/>
      <c r="N749" s="658"/>
      <c r="O749" s="658"/>
      <c r="P749" s="658"/>
      <c r="Q749" s="658"/>
    </row>
    <row r="750" spans="3:17">
      <c r="C750" s="962"/>
      <c r="D750" s="962"/>
      <c r="E750" s="658"/>
      <c r="F750" s="658"/>
      <c r="G750" s="658"/>
      <c r="H750" s="658"/>
      <c r="I750" s="658"/>
      <c r="J750" s="658"/>
      <c r="K750" s="658"/>
      <c r="L750" s="658"/>
      <c r="M750" s="658"/>
      <c r="N750" s="658"/>
      <c r="O750" s="658"/>
      <c r="P750" s="658"/>
      <c r="Q750" s="658"/>
    </row>
    <row r="751" spans="3:17">
      <c r="C751" s="962"/>
      <c r="D751" s="962"/>
      <c r="E751" s="658"/>
      <c r="F751" s="658"/>
      <c r="G751" s="658"/>
      <c r="H751" s="658"/>
      <c r="I751" s="658"/>
      <c r="J751" s="658"/>
      <c r="K751" s="658"/>
      <c r="L751" s="658"/>
      <c r="M751" s="658"/>
      <c r="N751" s="658"/>
      <c r="O751" s="658"/>
      <c r="P751" s="658"/>
      <c r="Q751" s="658"/>
    </row>
    <row r="752" spans="3:17">
      <c r="C752" s="962"/>
      <c r="D752" s="962"/>
      <c r="E752" s="658"/>
      <c r="F752" s="658"/>
      <c r="G752" s="658"/>
      <c r="H752" s="658"/>
      <c r="I752" s="658"/>
      <c r="J752" s="658"/>
      <c r="K752" s="658"/>
      <c r="L752" s="658"/>
      <c r="M752" s="658"/>
      <c r="N752" s="658"/>
      <c r="O752" s="658"/>
      <c r="P752" s="658"/>
      <c r="Q752" s="658"/>
    </row>
    <row r="753" spans="3:17">
      <c r="C753" s="962"/>
      <c r="D753" s="962"/>
      <c r="E753" s="658"/>
      <c r="F753" s="658"/>
      <c r="G753" s="658"/>
      <c r="H753" s="658"/>
      <c r="I753" s="658"/>
      <c r="J753" s="658"/>
      <c r="K753" s="658"/>
      <c r="L753" s="658"/>
      <c r="M753" s="658"/>
      <c r="N753" s="658"/>
      <c r="O753" s="658"/>
      <c r="P753" s="658"/>
      <c r="Q753" s="658"/>
    </row>
    <row r="754" spans="3:17">
      <c r="C754" s="962"/>
      <c r="D754" s="962"/>
      <c r="E754" s="658"/>
      <c r="F754" s="658"/>
      <c r="G754" s="658"/>
      <c r="H754" s="658"/>
      <c r="I754" s="658"/>
      <c r="J754" s="658"/>
      <c r="K754" s="658"/>
      <c r="L754" s="658"/>
      <c r="M754" s="658"/>
      <c r="N754" s="658"/>
      <c r="O754" s="658"/>
      <c r="P754" s="658"/>
      <c r="Q754" s="658"/>
    </row>
    <row r="755" spans="3:17">
      <c r="C755" s="962"/>
      <c r="D755" s="962"/>
      <c r="E755" s="658"/>
      <c r="F755" s="658"/>
      <c r="G755" s="658"/>
      <c r="H755" s="658"/>
      <c r="I755" s="658"/>
      <c r="J755" s="658"/>
      <c r="K755" s="658"/>
      <c r="L755" s="658"/>
      <c r="M755" s="658"/>
      <c r="N755" s="658"/>
      <c r="O755" s="658"/>
      <c r="P755" s="658"/>
      <c r="Q755" s="658"/>
    </row>
    <row r="756" spans="3:17">
      <c r="C756" s="962"/>
      <c r="D756" s="962"/>
      <c r="E756" s="658"/>
      <c r="F756" s="658"/>
      <c r="G756" s="658"/>
      <c r="H756" s="658"/>
      <c r="I756" s="658"/>
      <c r="J756" s="658"/>
      <c r="K756" s="658"/>
      <c r="L756" s="658"/>
      <c r="M756" s="658"/>
      <c r="N756" s="658"/>
      <c r="O756" s="658"/>
      <c r="P756" s="658"/>
      <c r="Q756" s="658"/>
    </row>
    <row r="757" spans="3:17">
      <c r="C757" s="962"/>
      <c r="D757" s="962"/>
      <c r="E757" s="658"/>
      <c r="F757" s="658"/>
      <c r="G757" s="658"/>
      <c r="H757" s="658"/>
      <c r="I757" s="658"/>
      <c r="J757" s="658"/>
      <c r="K757" s="658"/>
      <c r="L757" s="658"/>
      <c r="M757" s="658"/>
      <c r="N757" s="658"/>
      <c r="O757" s="658"/>
      <c r="P757" s="658"/>
      <c r="Q757" s="658"/>
    </row>
    <row r="758" spans="3:17">
      <c r="C758" s="962"/>
      <c r="D758" s="962"/>
      <c r="E758" s="658"/>
      <c r="F758" s="658"/>
      <c r="G758" s="658"/>
      <c r="H758" s="658"/>
      <c r="I758" s="658"/>
      <c r="J758" s="658"/>
      <c r="K758" s="658"/>
      <c r="L758" s="658"/>
      <c r="M758" s="658"/>
      <c r="N758" s="658"/>
      <c r="O758" s="658"/>
      <c r="P758" s="658"/>
      <c r="Q758" s="658"/>
    </row>
    <row r="759" spans="3:17">
      <c r="C759" s="962"/>
      <c r="D759" s="962"/>
      <c r="E759" s="658"/>
      <c r="F759" s="658"/>
      <c r="G759" s="658"/>
      <c r="H759" s="658"/>
      <c r="I759" s="658"/>
      <c r="J759" s="658"/>
      <c r="K759" s="658"/>
      <c r="L759" s="658"/>
      <c r="M759" s="658"/>
      <c r="N759" s="658"/>
      <c r="O759" s="658"/>
      <c r="P759" s="658"/>
      <c r="Q759" s="658"/>
    </row>
    <row r="760" spans="3:17">
      <c r="C760" s="962"/>
      <c r="D760" s="962"/>
      <c r="E760" s="658"/>
      <c r="F760" s="658"/>
      <c r="G760" s="658"/>
      <c r="H760" s="658"/>
      <c r="I760" s="658"/>
      <c r="J760" s="658"/>
      <c r="K760" s="658"/>
      <c r="L760" s="658"/>
      <c r="M760" s="658"/>
      <c r="N760" s="658"/>
      <c r="O760" s="658"/>
      <c r="P760" s="658"/>
      <c r="Q760" s="658"/>
    </row>
    <row r="761" spans="3:17">
      <c r="C761" s="962"/>
      <c r="D761" s="962"/>
      <c r="E761" s="658"/>
      <c r="F761" s="658"/>
      <c r="G761" s="658"/>
      <c r="H761" s="658"/>
      <c r="I761" s="658"/>
      <c r="J761" s="658"/>
      <c r="K761" s="658"/>
      <c r="L761" s="658"/>
      <c r="M761" s="658"/>
      <c r="N761" s="658"/>
      <c r="O761" s="658"/>
      <c r="P761" s="658"/>
      <c r="Q761" s="658"/>
    </row>
    <row r="762" spans="3:17">
      <c r="C762" s="962"/>
      <c r="D762" s="962"/>
      <c r="E762" s="658"/>
      <c r="F762" s="658"/>
      <c r="G762" s="658"/>
      <c r="H762" s="658"/>
      <c r="I762" s="658"/>
      <c r="J762" s="658"/>
      <c r="K762" s="658"/>
      <c r="L762" s="658"/>
      <c r="M762" s="658"/>
      <c r="N762" s="658"/>
      <c r="O762" s="658"/>
      <c r="P762" s="658"/>
      <c r="Q762" s="658"/>
    </row>
    <row r="763" spans="3:17">
      <c r="C763" s="962"/>
      <c r="D763" s="962"/>
      <c r="E763" s="658"/>
      <c r="F763" s="658"/>
      <c r="G763" s="658"/>
      <c r="H763" s="658"/>
      <c r="I763" s="658"/>
      <c r="J763" s="658"/>
      <c r="K763" s="658"/>
      <c r="L763" s="658"/>
      <c r="M763" s="658"/>
      <c r="N763" s="658"/>
      <c r="O763" s="658"/>
      <c r="P763" s="658"/>
      <c r="Q763" s="658"/>
    </row>
    <row r="764" spans="3:17">
      <c r="C764" s="962"/>
      <c r="D764" s="962"/>
      <c r="E764" s="658"/>
      <c r="F764" s="658"/>
      <c r="G764" s="658"/>
      <c r="H764" s="658"/>
      <c r="I764" s="658"/>
      <c r="J764" s="658"/>
      <c r="K764" s="658"/>
      <c r="L764" s="658"/>
      <c r="M764" s="658"/>
      <c r="N764" s="658"/>
      <c r="O764" s="658"/>
      <c r="P764" s="658"/>
      <c r="Q764" s="658"/>
    </row>
    <row r="765" spans="3:17">
      <c r="C765" s="962"/>
      <c r="D765" s="962"/>
      <c r="E765" s="658"/>
      <c r="F765" s="658"/>
      <c r="G765" s="658"/>
      <c r="H765" s="658"/>
      <c r="I765" s="658"/>
      <c r="J765" s="658"/>
      <c r="K765" s="658"/>
      <c r="L765" s="658"/>
      <c r="M765" s="658"/>
      <c r="N765" s="658"/>
      <c r="O765" s="658"/>
      <c r="P765" s="658"/>
      <c r="Q765" s="658"/>
    </row>
    <row r="766" spans="3:17">
      <c r="C766" s="962"/>
      <c r="D766" s="962"/>
      <c r="E766" s="658"/>
      <c r="F766" s="658"/>
      <c r="G766" s="658"/>
      <c r="H766" s="658"/>
      <c r="I766" s="658"/>
      <c r="J766" s="658"/>
      <c r="K766" s="658"/>
      <c r="L766" s="658"/>
      <c r="M766" s="658"/>
      <c r="N766" s="658"/>
      <c r="O766" s="658"/>
      <c r="P766" s="658"/>
      <c r="Q766" s="658"/>
    </row>
    <row r="767" spans="3:17">
      <c r="C767" s="962"/>
      <c r="D767" s="962"/>
      <c r="E767" s="658"/>
      <c r="F767" s="658"/>
      <c r="G767" s="658"/>
      <c r="H767" s="658"/>
      <c r="I767" s="658"/>
      <c r="J767" s="658"/>
      <c r="K767" s="658"/>
      <c r="L767" s="658"/>
      <c r="M767" s="658"/>
      <c r="N767" s="658"/>
      <c r="O767" s="658"/>
      <c r="P767" s="658"/>
      <c r="Q767" s="658"/>
    </row>
    <row r="768" spans="3:17">
      <c r="C768" s="962"/>
      <c r="D768" s="962"/>
      <c r="E768" s="658"/>
      <c r="F768" s="658"/>
      <c r="G768" s="658"/>
      <c r="H768" s="658"/>
      <c r="I768" s="658"/>
      <c r="J768" s="658"/>
      <c r="K768" s="658"/>
      <c r="L768" s="658"/>
      <c r="M768" s="658"/>
      <c r="N768" s="658"/>
      <c r="O768" s="658"/>
      <c r="P768" s="658"/>
      <c r="Q768" s="658"/>
    </row>
    <row r="769" spans="3:17">
      <c r="C769" s="962"/>
      <c r="D769" s="962"/>
      <c r="E769" s="658"/>
      <c r="F769" s="658"/>
      <c r="G769" s="658"/>
      <c r="H769" s="658"/>
      <c r="I769" s="658"/>
      <c r="J769" s="658"/>
      <c r="K769" s="658"/>
      <c r="L769" s="658"/>
      <c r="M769" s="658"/>
      <c r="N769" s="658"/>
      <c r="O769" s="658"/>
      <c r="P769" s="658"/>
      <c r="Q769" s="658"/>
    </row>
    <row r="770" spans="3:17">
      <c r="C770" s="962"/>
      <c r="D770" s="962"/>
      <c r="E770" s="658"/>
      <c r="F770" s="658"/>
      <c r="G770" s="658"/>
      <c r="H770" s="658"/>
      <c r="I770" s="658"/>
      <c r="J770" s="658"/>
      <c r="K770" s="658"/>
      <c r="L770" s="658"/>
      <c r="M770" s="658"/>
      <c r="N770" s="658"/>
      <c r="O770" s="658"/>
      <c r="P770" s="658"/>
      <c r="Q770" s="658"/>
    </row>
    <row r="771" spans="3:17">
      <c r="C771" s="962"/>
      <c r="D771" s="962"/>
      <c r="E771" s="658"/>
      <c r="F771" s="658"/>
      <c r="G771" s="658"/>
      <c r="H771" s="658"/>
      <c r="I771" s="658"/>
      <c r="J771" s="658"/>
      <c r="K771" s="658"/>
      <c r="L771" s="658"/>
      <c r="M771" s="658"/>
      <c r="N771" s="658"/>
      <c r="O771" s="658"/>
      <c r="P771" s="658"/>
      <c r="Q771" s="658"/>
    </row>
    <row r="772" spans="3:17">
      <c r="C772" s="962"/>
      <c r="D772" s="962"/>
      <c r="E772" s="658"/>
      <c r="F772" s="658"/>
      <c r="G772" s="658"/>
      <c r="H772" s="658"/>
      <c r="I772" s="658"/>
      <c r="J772" s="658"/>
      <c r="K772" s="658"/>
      <c r="L772" s="658"/>
      <c r="M772" s="658"/>
      <c r="N772" s="658"/>
      <c r="O772" s="658"/>
      <c r="P772" s="658"/>
      <c r="Q772" s="658"/>
    </row>
    <row r="773" spans="3:17">
      <c r="C773" s="962"/>
      <c r="D773" s="962"/>
      <c r="E773" s="658"/>
      <c r="F773" s="658"/>
      <c r="G773" s="658"/>
      <c r="H773" s="658"/>
      <c r="I773" s="658"/>
      <c r="J773" s="658"/>
      <c r="K773" s="658"/>
      <c r="L773" s="658"/>
      <c r="M773" s="658"/>
      <c r="N773" s="658"/>
      <c r="O773" s="658"/>
      <c r="P773" s="658"/>
      <c r="Q773" s="658"/>
    </row>
    <row r="774" spans="3:17">
      <c r="C774" s="962"/>
      <c r="D774" s="962"/>
      <c r="E774" s="658"/>
      <c r="F774" s="658"/>
      <c r="G774" s="658"/>
      <c r="H774" s="658"/>
      <c r="I774" s="658"/>
      <c r="J774" s="658"/>
      <c r="K774" s="658"/>
      <c r="L774" s="658"/>
      <c r="M774" s="658"/>
      <c r="N774" s="658"/>
      <c r="O774" s="658"/>
      <c r="P774" s="658"/>
      <c r="Q774" s="658"/>
    </row>
    <row r="775" spans="3:17">
      <c r="C775" s="962"/>
      <c r="D775" s="962"/>
      <c r="E775" s="658"/>
      <c r="F775" s="658"/>
      <c r="G775" s="658"/>
      <c r="H775" s="658"/>
      <c r="I775" s="658"/>
      <c r="J775" s="658"/>
      <c r="K775" s="658"/>
      <c r="L775" s="658"/>
      <c r="M775" s="658"/>
      <c r="N775" s="658"/>
      <c r="O775" s="658"/>
      <c r="P775" s="658"/>
      <c r="Q775" s="658"/>
    </row>
    <row r="776" spans="3:17">
      <c r="C776" s="962"/>
      <c r="D776" s="962"/>
      <c r="E776" s="658"/>
      <c r="F776" s="658"/>
      <c r="G776" s="658"/>
      <c r="H776" s="658"/>
      <c r="I776" s="658"/>
      <c r="J776" s="658"/>
      <c r="K776" s="658"/>
      <c r="L776" s="658"/>
      <c r="M776" s="658"/>
      <c r="N776" s="658"/>
      <c r="O776" s="658"/>
      <c r="P776" s="658"/>
      <c r="Q776" s="658"/>
    </row>
    <row r="777" spans="3:17">
      <c r="C777" s="962"/>
      <c r="D777" s="962"/>
      <c r="E777" s="658"/>
      <c r="F777" s="658"/>
      <c r="G777" s="658"/>
      <c r="H777" s="658"/>
      <c r="I777" s="658"/>
      <c r="J777" s="658"/>
      <c r="K777" s="658"/>
      <c r="L777" s="658"/>
      <c r="M777" s="658"/>
      <c r="N777" s="658"/>
      <c r="O777" s="658"/>
      <c r="P777" s="658"/>
      <c r="Q777" s="658"/>
    </row>
    <row r="778" spans="3:17">
      <c r="C778" s="962"/>
      <c r="D778" s="962"/>
      <c r="E778" s="658"/>
      <c r="F778" s="658"/>
      <c r="G778" s="658"/>
      <c r="H778" s="658"/>
      <c r="I778" s="658"/>
      <c r="J778" s="658"/>
      <c r="K778" s="658"/>
      <c r="L778" s="658"/>
      <c r="M778" s="658"/>
      <c r="N778" s="658"/>
      <c r="O778" s="658"/>
      <c r="P778" s="658"/>
      <c r="Q778" s="658"/>
    </row>
    <row r="779" spans="3:17">
      <c r="C779" s="962"/>
      <c r="D779" s="962"/>
      <c r="E779" s="658"/>
      <c r="F779" s="658"/>
      <c r="G779" s="658"/>
      <c r="H779" s="658"/>
      <c r="I779" s="658"/>
      <c r="J779" s="658"/>
      <c r="K779" s="658"/>
      <c r="L779" s="658"/>
      <c r="M779" s="658"/>
      <c r="N779" s="658"/>
      <c r="O779" s="658"/>
      <c r="P779" s="658"/>
      <c r="Q779" s="658"/>
    </row>
    <row r="780" spans="3:17">
      <c r="C780" s="962"/>
      <c r="D780" s="962"/>
      <c r="E780" s="658"/>
      <c r="F780" s="658"/>
      <c r="G780" s="658"/>
      <c r="H780" s="658"/>
      <c r="I780" s="658"/>
      <c r="J780" s="658"/>
      <c r="K780" s="658"/>
      <c r="L780" s="658"/>
      <c r="M780" s="658"/>
      <c r="N780" s="658"/>
      <c r="O780" s="658"/>
      <c r="P780" s="658"/>
      <c r="Q780" s="658"/>
    </row>
    <row r="781" spans="3:17">
      <c r="C781" s="962"/>
      <c r="D781" s="962"/>
      <c r="E781" s="658"/>
      <c r="F781" s="658"/>
      <c r="G781" s="658"/>
      <c r="H781" s="658"/>
      <c r="I781" s="658"/>
      <c r="J781" s="658"/>
      <c r="K781" s="658"/>
      <c r="L781" s="658"/>
      <c r="M781" s="658"/>
      <c r="N781" s="658"/>
      <c r="O781" s="658"/>
      <c r="P781" s="658"/>
      <c r="Q781" s="658"/>
    </row>
    <row r="782" spans="3:17">
      <c r="C782" s="962"/>
      <c r="D782" s="962"/>
      <c r="E782" s="658"/>
      <c r="F782" s="658"/>
      <c r="G782" s="658"/>
      <c r="H782" s="658"/>
      <c r="I782" s="658"/>
      <c r="J782" s="658"/>
      <c r="K782" s="658"/>
      <c r="L782" s="658"/>
      <c r="M782" s="658"/>
      <c r="N782" s="658"/>
      <c r="O782" s="658"/>
      <c r="P782" s="658"/>
      <c r="Q782" s="658"/>
    </row>
    <row r="783" spans="3:17">
      <c r="C783" s="962"/>
      <c r="D783" s="962"/>
      <c r="E783" s="658"/>
      <c r="F783" s="658"/>
      <c r="G783" s="658"/>
      <c r="H783" s="658"/>
      <c r="I783" s="658"/>
      <c r="J783" s="658"/>
      <c r="K783" s="658"/>
      <c r="L783" s="658"/>
      <c r="M783" s="658"/>
      <c r="N783" s="658"/>
      <c r="O783" s="658"/>
      <c r="P783" s="658"/>
      <c r="Q783" s="658"/>
    </row>
    <row r="784" spans="3:17">
      <c r="C784" s="962"/>
      <c r="D784" s="962"/>
      <c r="E784" s="658"/>
      <c r="F784" s="658"/>
      <c r="G784" s="658"/>
      <c r="H784" s="658"/>
      <c r="I784" s="658"/>
      <c r="J784" s="658"/>
      <c r="K784" s="658"/>
      <c r="L784" s="658"/>
      <c r="M784" s="658"/>
      <c r="N784" s="658"/>
      <c r="O784" s="658"/>
      <c r="P784" s="658"/>
      <c r="Q784" s="658"/>
    </row>
    <row r="785" spans="3:17">
      <c r="C785" s="962"/>
      <c r="D785" s="962"/>
      <c r="E785" s="658"/>
      <c r="F785" s="658"/>
      <c r="G785" s="658"/>
      <c r="H785" s="658"/>
      <c r="I785" s="658"/>
      <c r="J785" s="658"/>
      <c r="K785" s="658"/>
      <c r="L785" s="658"/>
      <c r="M785" s="658"/>
      <c r="N785" s="658"/>
      <c r="O785" s="658"/>
      <c r="P785" s="658"/>
      <c r="Q785" s="658"/>
    </row>
    <row r="786" spans="3:17">
      <c r="C786" s="962"/>
      <c r="D786" s="962"/>
      <c r="E786" s="658"/>
      <c r="F786" s="658"/>
      <c r="G786" s="658"/>
      <c r="H786" s="658"/>
      <c r="I786" s="658"/>
      <c r="J786" s="658"/>
      <c r="K786" s="658"/>
      <c r="L786" s="658"/>
      <c r="M786" s="658"/>
      <c r="N786" s="658"/>
      <c r="O786" s="658"/>
      <c r="P786" s="658"/>
      <c r="Q786" s="658"/>
    </row>
    <row r="787" spans="3:17">
      <c r="C787" s="962"/>
      <c r="D787" s="962"/>
      <c r="E787" s="658"/>
      <c r="F787" s="658"/>
      <c r="G787" s="658"/>
      <c r="H787" s="658"/>
      <c r="I787" s="658"/>
      <c r="J787" s="658"/>
      <c r="K787" s="658"/>
      <c r="L787" s="658"/>
      <c r="M787" s="658"/>
      <c r="N787" s="658"/>
      <c r="O787" s="658"/>
      <c r="P787" s="658"/>
      <c r="Q787" s="658"/>
    </row>
    <row r="788" spans="3:17">
      <c r="C788" s="962"/>
      <c r="D788" s="962"/>
      <c r="E788" s="658"/>
      <c r="F788" s="658"/>
      <c r="G788" s="658"/>
      <c r="H788" s="658"/>
      <c r="I788" s="658"/>
      <c r="J788" s="658"/>
      <c r="K788" s="658"/>
      <c r="L788" s="658"/>
      <c r="M788" s="658"/>
      <c r="N788" s="658"/>
      <c r="O788" s="658"/>
      <c r="P788" s="658"/>
      <c r="Q788" s="658"/>
    </row>
    <row r="789" spans="3:17">
      <c r="C789" s="962"/>
      <c r="D789" s="962"/>
      <c r="E789" s="658"/>
      <c r="F789" s="658"/>
      <c r="G789" s="658"/>
      <c r="H789" s="658"/>
      <c r="I789" s="658"/>
      <c r="J789" s="658"/>
      <c r="K789" s="658"/>
      <c r="L789" s="658"/>
      <c r="M789" s="658"/>
      <c r="N789" s="658"/>
      <c r="O789" s="658"/>
      <c r="P789" s="658"/>
      <c r="Q789" s="658"/>
    </row>
    <row r="790" spans="3:17">
      <c r="C790" s="962"/>
      <c r="D790" s="962"/>
      <c r="E790" s="658"/>
      <c r="F790" s="658"/>
      <c r="G790" s="658"/>
      <c r="H790" s="658"/>
      <c r="I790" s="658"/>
      <c r="J790" s="658"/>
      <c r="K790" s="658"/>
      <c r="L790" s="658"/>
      <c r="M790" s="658"/>
      <c r="N790" s="658"/>
      <c r="O790" s="658"/>
      <c r="P790" s="658"/>
      <c r="Q790" s="658"/>
    </row>
    <row r="791" spans="3:17">
      <c r="C791" s="962"/>
      <c r="D791" s="962"/>
      <c r="E791" s="658"/>
      <c r="F791" s="658"/>
      <c r="G791" s="658"/>
      <c r="H791" s="658"/>
      <c r="I791" s="658"/>
      <c r="J791" s="658"/>
      <c r="K791" s="658"/>
      <c r="L791" s="658"/>
      <c r="M791" s="658"/>
      <c r="N791" s="658"/>
      <c r="O791" s="658"/>
      <c r="P791" s="658"/>
      <c r="Q791" s="658"/>
    </row>
    <row r="792" spans="3:17">
      <c r="C792" s="962"/>
      <c r="D792" s="962"/>
      <c r="E792" s="658"/>
      <c r="F792" s="658"/>
      <c r="G792" s="658"/>
      <c r="H792" s="658"/>
      <c r="I792" s="658"/>
      <c r="J792" s="658"/>
      <c r="K792" s="658"/>
      <c r="L792" s="658"/>
      <c r="M792" s="658"/>
      <c r="N792" s="658"/>
      <c r="O792" s="658"/>
      <c r="P792" s="658"/>
      <c r="Q792" s="658"/>
    </row>
    <row r="793" spans="3:17">
      <c r="C793" s="962"/>
      <c r="D793" s="962"/>
      <c r="E793" s="658"/>
      <c r="F793" s="658"/>
      <c r="G793" s="658"/>
      <c r="H793" s="658"/>
      <c r="I793" s="658"/>
      <c r="J793" s="658"/>
      <c r="K793" s="658"/>
      <c r="L793" s="658"/>
      <c r="M793" s="658"/>
      <c r="N793" s="658"/>
      <c r="O793" s="658"/>
      <c r="P793" s="658"/>
      <c r="Q793" s="658"/>
    </row>
    <row r="794" spans="3:17">
      <c r="C794" s="962"/>
      <c r="D794" s="962"/>
      <c r="E794" s="658"/>
      <c r="F794" s="658"/>
      <c r="G794" s="658"/>
      <c r="H794" s="658"/>
      <c r="I794" s="658"/>
      <c r="J794" s="658"/>
      <c r="K794" s="658"/>
      <c r="L794" s="658"/>
      <c r="M794" s="658"/>
      <c r="N794" s="658"/>
      <c r="O794" s="658"/>
      <c r="P794" s="658"/>
      <c r="Q794" s="658"/>
    </row>
    <row r="795" spans="3:17">
      <c r="C795" s="962"/>
      <c r="D795" s="962"/>
      <c r="E795" s="658"/>
      <c r="F795" s="658"/>
      <c r="G795" s="658"/>
      <c r="H795" s="658"/>
      <c r="I795" s="658"/>
      <c r="J795" s="658"/>
      <c r="K795" s="658"/>
      <c r="L795" s="658"/>
      <c r="M795" s="658"/>
      <c r="N795" s="658"/>
      <c r="O795" s="658"/>
      <c r="P795" s="658"/>
      <c r="Q795" s="658"/>
    </row>
    <row r="796" spans="3:17">
      <c r="C796" s="962"/>
      <c r="D796" s="962"/>
      <c r="E796" s="658"/>
      <c r="F796" s="658"/>
      <c r="G796" s="658"/>
      <c r="H796" s="658"/>
      <c r="I796" s="658"/>
      <c r="J796" s="658"/>
      <c r="K796" s="658"/>
      <c r="L796" s="658"/>
      <c r="M796" s="658"/>
      <c r="N796" s="658"/>
      <c r="O796" s="658"/>
      <c r="P796" s="658"/>
      <c r="Q796" s="658"/>
    </row>
    <row r="797" spans="3:17">
      <c r="C797" s="962"/>
      <c r="D797" s="962"/>
      <c r="E797" s="658"/>
      <c r="F797" s="658"/>
      <c r="G797" s="658"/>
      <c r="H797" s="658"/>
      <c r="I797" s="658"/>
      <c r="J797" s="658"/>
      <c r="K797" s="658"/>
      <c r="L797" s="658"/>
      <c r="M797" s="658"/>
      <c r="N797" s="658"/>
      <c r="O797" s="658"/>
      <c r="P797" s="658"/>
      <c r="Q797" s="658"/>
    </row>
    <row r="798" spans="3:17">
      <c r="C798" s="962"/>
      <c r="D798" s="962"/>
      <c r="E798" s="658"/>
      <c r="F798" s="658"/>
      <c r="G798" s="658"/>
      <c r="H798" s="658"/>
      <c r="I798" s="658"/>
      <c r="J798" s="658"/>
      <c r="K798" s="658"/>
      <c r="L798" s="658"/>
      <c r="M798" s="658"/>
      <c r="N798" s="658"/>
      <c r="O798" s="658"/>
      <c r="P798" s="658"/>
      <c r="Q798" s="658"/>
    </row>
    <row r="799" spans="3:17">
      <c r="C799" s="962"/>
      <c r="D799" s="962"/>
      <c r="E799" s="658"/>
      <c r="F799" s="658"/>
      <c r="G799" s="658"/>
      <c r="H799" s="658"/>
      <c r="I799" s="658"/>
      <c r="J799" s="658"/>
      <c r="K799" s="658"/>
      <c r="L799" s="658"/>
      <c r="M799" s="658"/>
      <c r="N799" s="658"/>
      <c r="O799" s="658"/>
      <c r="P799" s="658"/>
      <c r="Q799" s="658"/>
    </row>
    <row r="800" spans="3:17">
      <c r="C800" s="962"/>
      <c r="D800" s="962"/>
      <c r="E800" s="658"/>
      <c r="F800" s="658"/>
      <c r="G800" s="658"/>
      <c r="H800" s="658"/>
      <c r="I800" s="658"/>
      <c r="J800" s="658"/>
      <c r="K800" s="658"/>
      <c r="L800" s="658"/>
      <c r="M800" s="658"/>
      <c r="N800" s="658"/>
      <c r="O800" s="658"/>
      <c r="P800" s="658"/>
      <c r="Q800" s="658"/>
    </row>
    <row r="801" spans="3:17">
      <c r="C801" s="962"/>
      <c r="D801" s="962"/>
      <c r="E801" s="658"/>
      <c r="F801" s="658"/>
      <c r="G801" s="658"/>
      <c r="H801" s="658"/>
      <c r="I801" s="658"/>
      <c r="J801" s="658"/>
      <c r="K801" s="658"/>
      <c r="L801" s="658"/>
      <c r="M801" s="658"/>
      <c r="N801" s="658"/>
      <c r="O801" s="658"/>
      <c r="P801" s="658"/>
      <c r="Q801" s="658"/>
    </row>
    <row r="802" spans="3:17">
      <c r="C802" s="962"/>
      <c r="D802" s="962"/>
      <c r="E802" s="658"/>
      <c r="F802" s="658"/>
      <c r="G802" s="658"/>
      <c r="H802" s="658"/>
      <c r="I802" s="658"/>
      <c r="J802" s="658"/>
      <c r="K802" s="658"/>
      <c r="L802" s="658"/>
      <c r="M802" s="658"/>
      <c r="N802" s="658"/>
      <c r="O802" s="658"/>
      <c r="P802" s="658"/>
      <c r="Q802" s="658"/>
    </row>
    <row r="803" spans="3:17">
      <c r="C803" s="962"/>
      <c r="D803" s="962"/>
      <c r="E803" s="658"/>
      <c r="F803" s="658"/>
      <c r="G803" s="658"/>
      <c r="H803" s="658"/>
      <c r="I803" s="658"/>
      <c r="J803" s="658"/>
      <c r="K803" s="658"/>
      <c r="L803" s="658"/>
      <c r="M803" s="658"/>
      <c r="N803" s="658"/>
      <c r="O803" s="658"/>
      <c r="P803" s="658"/>
      <c r="Q803" s="658"/>
    </row>
    <row r="804" spans="3:17">
      <c r="C804" s="962"/>
      <c r="D804" s="962"/>
      <c r="E804" s="658"/>
      <c r="F804" s="658"/>
      <c r="G804" s="658"/>
      <c r="H804" s="658"/>
      <c r="I804" s="658"/>
      <c r="J804" s="658"/>
      <c r="K804" s="658"/>
      <c r="L804" s="658"/>
      <c r="M804" s="658"/>
      <c r="N804" s="658"/>
      <c r="O804" s="658"/>
      <c r="P804" s="658"/>
      <c r="Q804" s="658"/>
    </row>
    <row r="805" spans="3:17">
      <c r="C805" s="962"/>
      <c r="D805" s="962"/>
      <c r="E805" s="658"/>
      <c r="F805" s="658"/>
      <c r="G805" s="658"/>
      <c r="H805" s="658"/>
      <c r="I805" s="658"/>
      <c r="J805" s="658"/>
      <c r="K805" s="658"/>
      <c r="L805" s="658"/>
      <c r="M805" s="658"/>
      <c r="N805" s="658"/>
      <c r="O805" s="658"/>
      <c r="P805" s="658"/>
      <c r="Q805" s="658"/>
    </row>
    <row r="806" spans="3:17">
      <c r="C806" s="962"/>
      <c r="D806" s="962"/>
      <c r="E806" s="658"/>
      <c r="F806" s="658"/>
      <c r="G806" s="658"/>
      <c r="H806" s="658"/>
      <c r="I806" s="658"/>
      <c r="J806" s="658"/>
      <c r="K806" s="658"/>
      <c r="L806" s="658"/>
      <c r="M806" s="658"/>
      <c r="N806" s="658"/>
      <c r="O806" s="658"/>
      <c r="P806" s="658"/>
      <c r="Q806" s="658"/>
    </row>
    <row r="807" spans="3:17">
      <c r="C807" s="962"/>
      <c r="D807" s="962"/>
      <c r="E807" s="658"/>
      <c r="F807" s="658"/>
      <c r="G807" s="658"/>
      <c r="H807" s="658"/>
      <c r="I807" s="658"/>
      <c r="J807" s="658"/>
      <c r="K807" s="658"/>
      <c r="L807" s="658"/>
      <c r="M807" s="658"/>
      <c r="N807" s="658"/>
      <c r="O807" s="658"/>
      <c r="P807" s="658"/>
      <c r="Q807" s="658"/>
    </row>
    <row r="808" spans="3:17">
      <c r="C808" s="962"/>
      <c r="D808" s="962"/>
      <c r="E808" s="658"/>
      <c r="F808" s="658"/>
      <c r="G808" s="658"/>
      <c r="H808" s="658"/>
      <c r="I808" s="658"/>
      <c r="J808" s="658"/>
      <c r="K808" s="658"/>
      <c r="L808" s="658"/>
      <c r="M808" s="658"/>
      <c r="N808" s="658"/>
      <c r="O808" s="658"/>
      <c r="P808" s="658"/>
      <c r="Q808" s="658"/>
    </row>
    <row r="809" spans="3:17">
      <c r="C809" s="962"/>
      <c r="D809" s="962"/>
      <c r="E809" s="658"/>
      <c r="F809" s="658"/>
      <c r="G809" s="658"/>
      <c r="H809" s="658"/>
      <c r="I809" s="658"/>
      <c r="J809" s="658"/>
      <c r="K809" s="658"/>
      <c r="L809" s="658"/>
      <c r="M809" s="658"/>
      <c r="N809" s="658"/>
      <c r="O809" s="658"/>
      <c r="P809" s="658"/>
      <c r="Q809" s="658"/>
    </row>
    <row r="810" spans="3:17">
      <c r="C810" s="962"/>
      <c r="D810" s="962"/>
      <c r="E810" s="658"/>
      <c r="F810" s="658"/>
      <c r="G810" s="658"/>
      <c r="H810" s="658"/>
      <c r="I810" s="658"/>
      <c r="J810" s="658"/>
      <c r="K810" s="658"/>
      <c r="L810" s="658"/>
      <c r="M810" s="658"/>
      <c r="N810" s="658"/>
      <c r="O810" s="658"/>
      <c r="P810" s="658"/>
      <c r="Q810" s="658"/>
    </row>
    <row r="811" spans="3:17">
      <c r="C811" s="962"/>
      <c r="D811" s="962"/>
      <c r="E811" s="658"/>
      <c r="F811" s="658"/>
      <c r="G811" s="658"/>
      <c r="H811" s="658"/>
      <c r="I811" s="658"/>
      <c r="J811" s="658"/>
      <c r="K811" s="658"/>
      <c r="L811" s="658"/>
      <c r="M811" s="658"/>
      <c r="N811" s="658"/>
      <c r="O811" s="658"/>
      <c r="P811" s="658"/>
      <c r="Q811" s="658"/>
    </row>
    <row r="812" spans="3:17">
      <c r="C812" s="962"/>
      <c r="D812" s="962"/>
      <c r="E812" s="658"/>
      <c r="F812" s="658"/>
      <c r="G812" s="658"/>
      <c r="H812" s="658"/>
      <c r="I812" s="658"/>
      <c r="J812" s="658"/>
      <c r="K812" s="658"/>
      <c r="L812" s="658"/>
      <c r="M812" s="658"/>
      <c r="N812" s="658"/>
      <c r="O812" s="658"/>
      <c r="P812" s="658"/>
      <c r="Q812" s="658"/>
    </row>
    <row r="813" spans="3:17">
      <c r="C813" s="962"/>
      <c r="D813" s="962"/>
      <c r="E813" s="658"/>
      <c r="F813" s="658"/>
      <c r="G813" s="658"/>
      <c r="H813" s="658"/>
      <c r="I813" s="658"/>
      <c r="J813" s="658"/>
      <c r="K813" s="658"/>
      <c r="L813" s="658"/>
      <c r="M813" s="658"/>
      <c r="N813" s="658"/>
      <c r="O813" s="658"/>
      <c r="P813" s="658"/>
      <c r="Q813" s="658"/>
    </row>
    <row r="814" spans="3:17">
      <c r="C814" s="962"/>
      <c r="D814" s="962"/>
      <c r="E814" s="658"/>
      <c r="F814" s="658"/>
      <c r="G814" s="658"/>
      <c r="H814" s="658"/>
      <c r="I814" s="658"/>
      <c r="J814" s="658"/>
      <c r="K814" s="658"/>
      <c r="L814" s="658"/>
      <c r="M814" s="658"/>
      <c r="N814" s="658"/>
      <c r="O814" s="658"/>
      <c r="P814" s="658"/>
      <c r="Q814" s="658"/>
    </row>
    <row r="815" spans="3:17">
      <c r="C815" s="962"/>
      <c r="D815" s="962"/>
      <c r="E815" s="658"/>
      <c r="F815" s="658"/>
      <c r="G815" s="658"/>
      <c r="H815" s="658"/>
      <c r="I815" s="658"/>
      <c r="J815" s="658"/>
      <c r="K815" s="658"/>
      <c r="L815" s="658"/>
      <c r="M815" s="658"/>
      <c r="N815" s="658"/>
      <c r="O815" s="658"/>
      <c r="P815" s="658"/>
      <c r="Q815" s="658"/>
    </row>
    <row r="816" spans="3:17">
      <c r="C816" s="962"/>
      <c r="D816" s="962"/>
      <c r="E816" s="658"/>
      <c r="F816" s="658"/>
      <c r="G816" s="658"/>
      <c r="H816" s="658"/>
      <c r="I816" s="658"/>
      <c r="J816" s="658"/>
      <c r="K816" s="658"/>
      <c r="L816" s="658"/>
      <c r="M816" s="658"/>
      <c r="N816" s="658"/>
      <c r="O816" s="658"/>
      <c r="P816" s="658"/>
      <c r="Q816" s="658"/>
    </row>
    <row r="817" spans="3:17">
      <c r="C817" s="962"/>
      <c r="D817" s="962"/>
      <c r="E817" s="658"/>
      <c r="F817" s="658"/>
      <c r="G817" s="658"/>
      <c r="H817" s="658"/>
      <c r="I817" s="658"/>
      <c r="J817" s="658"/>
      <c r="K817" s="658"/>
      <c r="L817" s="658"/>
      <c r="M817" s="658"/>
      <c r="N817" s="658"/>
      <c r="O817" s="658"/>
      <c r="P817" s="658"/>
      <c r="Q817" s="658"/>
    </row>
    <row r="818" spans="3:17">
      <c r="C818" s="962"/>
      <c r="D818" s="962"/>
      <c r="E818" s="658"/>
      <c r="F818" s="658"/>
      <c r="G818" s="658"/>
      <c r="H818" s="658"/>
      <c r="I818" s="658"/>
      <c r="J818" s="658"/>
      <c r="K818" s="658"/>
      <c r="L818" s="658"/>
      <c r="M818" s="658"/>
      <c r="N818" s="658"/>
      <c r="O818" s="658"/>
      <c r="P818" s="658"/>
      <c r="Q818" s="658"/>
    </row>
    <row r="819" spans="3:17">
      <c r="C819" s="962"/>
      <c r="D819" s="962"/>
      <c r="E819" s="658"/>
      <c r="F819" s="658"/>
      <c r="G819" s="658"/>
      <c r="H819" s="658"/>
      <c r="I819" s="658"/>
      <c r="J819" s="658"/>
      <c r="K819" s="658"/>
      <c r="L819" s="658"/>
      <c r="M819" s="658"/>
      <c r="N819" s="658"/>
      <c r="O819" s="658"/>
      <c r="P819" s="658"/>
      <c r="Q819" s="658"/>
    </row>
    <row r="820" spans="3:17">
      <c r="C820" s="962"/>
      <c r="D820" s="962"/>
      <c r="E820" s="658"/>
      <c r="F820" s="658"/>
      <c r="G820" s="658"/>
      <c r="H820" s="658"/>
      <c r="I820" s="658"/>
      <c r="J820" s="658"/>
      <c r="K820" s="658"/>
      <c r="L820" s="658"/>
      <c r="M820" s="658"/>
      <c r="N820" s="658"/>
      <c r="O820" s="658"/>
      <c r="P820" s="658"/>
      <c r="Q820" s="658"/>
    </row>
    <row r="821" spans="3:17">
      <c r="C821" s="962"/>
      <c r="D821" s="962"/>
      <c r="E821" s="658"/>
      <c r="F821" s="658"/>
      <c r="G821" s="658"/>
      <c r="H821" s="658"/>
      <c r="I821" s="658"/>
      <c r="J821" s="658"/>
      <c r="K821" s="658"/>
      <c r="L821" s="658"/>
      <c r="M821" s="658"/>
      <c r="N821" s="658"/>
      <c r="O821" s="658"/>
      <c r="P821" s="658"/>
      <c r="Q821" s="658"/>
    </row>
    <row r="822" spans="3:17">
      <c r="C822" s="962"/>
      <c r="D822" s="962"/>
      <c r="E822" s="658"/>
      <c r="F822" s="658"/>
      <c r="G822" s="658"/>
      <c r="H822" s="658"/>
      <c r="I822" s="658"/>
      <c r="J822" s="658"/>
      <c r="K822" s="658"/>
      <c r="L822" s="658"/>
      <c r="M822" s="658"/>
      <c r="N822" s="658"/>
      <c r="O822" s="658"/>
      <c r="P822" s="658"/>
      <c r="Q822" s="658"/>
    </row>
    <row r="823" spans="3:17">
      <c r="C823" s="962"/>
      <c r="D823" s="962"/>
      <c r="E823" s="658"/>
      <c r="F823" s="658"/>
      <c r="G823" s="658"/>
      <c r="H823" s="658"/>
      <c r="I823" s="658"/>
      <c r="J823" s="658"/>
      <c r="K823" s="658"/>
      <c r="L823" s="658"/>
      <c r="M823" s="658"/>
      <c r="N823" s="658"/>
      <c r="O823" s="658"/>
      <c r="P823" s="658"/>
      <c r="Q823" s="658"/>
    </row>
    <row r="824" spans="3:17">
      <c r="C824" s="962"/>
      <c r="D824" s="962"/>
      <c r="E824" s="658"/>
      <c r="F824" s="658"/>
      <c r="G824" s="658"/>
      <c r="H824" s="658"/>
      <c r="I824" s="658"/>
      <c r="J824" s="658"/>
      <c r="K824" s="658"/>
      <c r="L824" s="658"/>
      <c r="M824" s="658"/>
      <c r="N824" s="658"/>
      <c r="O824" s="658"/>
      <c r="P824" s="658"/>
      <c r="Q824" s="658"/>
    </row>
    <row r="825" spans="3:17">
      <c r="C825" s="962"/>
      <c r="D825" s="962"/>
      <c r="E825" s="658"/>
      <c r="F825" s="658"/>
      <c r="G825" s="658"/>
      <c r="H825" s="658"/>
      <c r="I825" s="658"/>
      <c r="J825" s="658"/>
      <c r="K825" s="658"/>
      <c r="L825" s="658"/>
      <c r="M825" s="658"/>
      <c r="N825" s="658"/>
      <c r="O825" s="658"/>
      <c r="P825" s="658"/>
      <c r="Q825" s="658"/>
    </row>
    <row r="826" spans="3:17">
      <c r="C826" s="962"/>
      <c r="D826" s="962"/>
      <c r="E826" s="658"/>
      <c r="F826" s="658"/>
      <c r="G826" s="658"/>
      <c r="H826" s="658"/>
      <c r="I826" s="658"/>
      <c r="J826" s="658"/>
      <c r="K826" s="658"/>
      <c r="L826" s="658"/>
      <c r="M826" s="658"/>
      <c r="N826" s="658"/>
      <c r="O826" s="658"/>
      <c r="P826" s="658"/>
      <c r="Q826" s="658"/>
    </row>
    <row r="827" spans="3:17">
      <c r="C827" s="962"/>
      <c r="D827" s="962"/>
      <c r="E827" s="658"/>
      <c r="F827" s="658"/>
      <c r="G827" s="658"/>
      <c r="H827" s="658"/>
      <c r="I827" s="658"/>
      <c r="J827" s="658"/>
      <c r="K827" s="658"/>
      <c r="L827" s="658"/>
      <c r="M827" s="658"/>
      <c r="N827" s="658"/>
      <c r="O827" s="658"/>
      <c r="P827" s="658"/>
      <c r="Q827" s="658"/>
    </row>
    <row r="828" spans="3:17">
      <c r="C828" s="962"/>
      <c r="D828" s="962"/>
      <c r="E828" s="658"/>
      <c r="F828" s="658"/>
      <c r="G828" s="658"/>
      <c r="H828" s="658"/>
      <c r="I828" s="658"/>
      <c r="J828" s="658"/>
      <c r="K828" s="658"/>
      <c r="L828" s="658"/>
      <c r="M828" s="658"/>
      <c r="N828" s="658"/>
      <c r="O828" s="658"/>
      <c r="P828" s="658"/>
      <c r="Q828" s="658"/>
    </row>
    <row r="829" spans="3:17">
      <c r="C829" s="962"/>
      <c r="D829" s="962"/>
      <c r="E829" s="658"/>
      <c r="F829" s="658"/>
      <c r="G829" s="658"/>
      <c r="H829" s="658"/>
      <c r="I829" s="658"/>
      <c r="J829" s="658"/>
      <c r="K829" s="658"/>
      <c r="L829" s="658"/>
      <c r="M829" s="658"/>
      <c r="N829" s="658"/>
      <c r="O829" s="658"/>
      <c r="P829" s="658"/>
      <c r="Q829" s="658"/>
    </row>
    <row r="830" spans="3:17">
      <c r="C830" s="962"/>
      <c r="D830" s="962"/>
      <c r="E830" s="658"/>
      <c r="F830" s="658"/>
      <c r="G830" s="658"/>
      <c r="H830" s="658"/>
      <c r="I830" s="658"/>
      <c r="J830" s="658"/>
      <c r="K830" s="658"/>
      <c r="L830" s="658"/>
      <c r="M830" s="658"/>
      <c r="N830" s="658"/>
      <c r="O830" s="658"/>
      <c r="P830" s="658"/>
      <c r="Q830" s="658"/>
    </row>
    <row r="831" spans="3:17">
      <c r="C831" s="962"/>
      <c r="D831" s="962"/>
      <c r="E831" s="658"/>
      <c r="F831" s="658"/>
      <c r="G831" s="658"/>
      <c r="H831" s="658"/>
      <c r="I831" s="658"/>
      <c r="J831" s="658"/>
      <c r="K831" s="658"/>
      <c r="L831" s="658"/>
      <c r="M831" s="658"/>
      <c r="N831" s="658"/>
      <c r="O831" s="658"/>
      <c r="P831" s="658"/>
      <c r="Q831" s="658"/>
    </row>
    <row r="832" spans="3:17">
      <c r="C832" s="962"/>
      <c r="D832" s="962"/>
      <c r="E832" s="658"/>
      <c r="F832" s="658"/>
      <c r="G832" s="658"/>
      <c r="H832" s="658"/>
      <c r="I832" s="658"/>
      <c r="J832" s="658"/>
      <c r="K832" s="658"/>
      <c r="L832" s="658"/>
      <c r="M832" s="658"/>
      <c r="N832" s="658"/>
      <c r="O832" s="658"/>
      <c r="P832" s="658"/>
      <c r="Q832" s="658"/>
    </row>
    <row r="833" spans="3:17">
      <c r="C833" s="962"/>
      <c r="D833" s="962"/>
      <c r="E833" s="658"/>
      <c r="F833" s="658"/>
      <c r="G833" s="658"/>
      <c r="H833" s="658"/>
      <c r="I833" s="658"/>
      <c r="J833" s="658"/>
      <c r="K833" s="658"/>
      <c r="L833" s="658"/>
      <c r="M833" s="658"/>
      <c r="N833" s="658"/>
      <c r="O833" s="658"/>
      <c r="P833" s="658"/>
      <c r="Q833" s="658"/>
    </row>
    <row r="834" spans="3:17">
      <c r="C834" s="962"/>
      <c r="D834" s="962"/>
      <c r="E834" s="658"/>
      <c r="F834" s="658"/>
      <c r="G834" s="658"/>
      <c r="H834" s="658"/>
      <c r="I834" s="658"/>
      <c r="J834" s="658"/>
      <c r="K834" s="658"/>
      <c r="L834" s="658"/>
      <c r="M834" s="658"/>
      <c r="N834" s="658"/>
      <c r="O834" s="658"/>
      <c r="P834" s="658"/>
      <c r="Q834" s="658"/>
    </row>
    <row r="835" spans="3:17">
      <c r="C835" s="962"/>
      <c r="D835" s="962"/>
      <c r="E835" s="658"/>
      <c r="F835" s="658"/>
      <c r="G835" s="658"/>
      <c r="H835" s="658"/>
      <c r="I835" s="658"/>
      <c r="J835" s="658"/>
      <c r="K835" s="658"/>
      <c r="L835" s="658"/>
      <c r="M835" s="658"/>
      <c r="N835" s="658"/>
      <c r="O835" s="658"/>
      <c r="P835" s="658"/>
      <c r="Q835" s="658"/>
    </row>
    <row r="836" spans="3:17">
      <c r="C836" s="962"/>
      <c r="D836" s="962"/>
      <c r="E836" s="658"/>
      <c r="F836" s="658"/>
      <c r="G836" s="658"/>
      <c r="H836" s="658"/>
      <c r="I836" s="658"/>
      <c r="J836" s="658"/>
      <c r="K836" s="658"/>
      <c r="L836" s="658"/>
      <c r="M836" s="658"/>
      <c r="N836" s="658"/>
      <c r="O836" s="658"/>
      <c r="P836" s="658"/>
      <c r="Q836" s="658"/>
    </row>
    <row r="837" spans="3:17">
      <c r="C837" s="962"/>
      <c r="D837" s="962"/>
      <c r="E837" s="658"/>
      <c r="F837" s="658"/>
      <c r="G837" s="658"/>
      <c r="H837" s="658"/>
      <c r="I837" s="658"/>
      <c r="J837" s="658"/>
      <c r="K837" s="658"/>
      <c r="L837" s="658"/>
      <c r="M837" s="658"/>
      <c r="N837" s="658"/>
      <c r="O837" s="658"/>
      <c r="P837" s="658"/>
      <c r="Q837" s="658"/>
    </row>
    <row r="838" spans="3:17">
      <c r="C838" s="962"/>
      <c r="D838" s="962"/>
      <c r="E838" s="658"/>
      <c r="F838" s="658"/>
      <c r="G838" s="658"/>
      <c r="H838" s="658"/>
      <c r="I838" s="658"/>
      <c r="J838" s="658"/>
      <c r="K838" s="658"/>
      <c r="L838" s="658"/>
      <c r="M838" s="658"/>
      <c r="N838" s="658"/>
      <c r="O838" s="658"/>
      <c r="P838" s="658"/>
      <c r="Q838" s="658"/>
    </row>
    <row r="839" spans="3:17">
      <c r="C839" s="962"/>
      <c r="D839" s="962"/>
      <c r="E839" s="658"/>
      <c r="F839" s="658"/>
      <c r="G839" s="658"/>
      <c r="H839" s="658"/>
      <c r="I839" s="658"/>
      <c r="J839" s="658"/>
      <c r="K839" s="658"/>
      <c r="L839" s="658"/>
      <c r="M839" s="658"/>
      <c r="N839" s="658"/>
      <c r="O839" s="658"/>
      <c r="P839" s="658"/>
      <c r="Q839" s="658"/>
    </row>
    <row r="840" spans="3:17">
      <c r="C840" s="962"/>
      <c r="D840" s="962"/>
      <c r="E840" s="658"/>
      <c r="F840" s="658"/>
      <c r="G840" s="658"/>
      <c r="H840" s="658"/>
      <c r="I840" s="658"/>
      <c r="J840" s="658"/>
      <c r="K840" s="658"/>
      <c r="L840" s="658"/>
      <c r="M840" s="658"/>
      <c r="N840" s="658"/>
      <c r="O840" s="658"/>
      <c r="P840" s="658"/>
      <c r="Q840" s="658"/>
    </row>
    <row r="841" spans="3:17">
      <c r="C841" s="962"/>
      <c r="D841" s="962"/>
      <c r="E841" s="658"/>
      <c r="F841" s="658"/>
      <c r="G841" s="658"/>
      <c r="H841" s="658"/>
      <c r="I841" s="658"/>
      <c r="J841" s="658"/>
      <c r="K841" s="658"/>
      <c r="L841" s="658"/>
      <c r="M841" s="658"/>
      <c r="N841" s="658"/>
      <c r="O841" s="658"/>
      <c r="P841" s="658"/>
      <c r="Q841" s="658"/>
    </row>
    <row r="842" spans="3:17">
      <c r="C842" s="962"/>
      <c r="D842" s="962"/>
      <c r="E842" s="658"/>
      <c r="F842" s="658"/>
      <c r="G842" s="658"/>
      <c r="H842" s="658"/>
      <c r="I842" s="658"/>
      <c r="J842" s="658"/>
      <c r="K842" s="658"/>
      <c r="L842" s="658"/>
      <c r="M842" s="658"/>
      <c r="N842" s="658"/>
      <c r="O842" s="658"/>
      <c r="P842" s="658"/>
      <c r="Q842" s="658"/>
    </row>
    <row r="843" spans="3:17">
      <c r="C843" s="962"/>
      <c r="D843" s="962"/>
      <c r="E843" s="658"/>
      <c r="F843" s="658"/>
      <c r="G843" s="658"/>
      <c r="H843" s="658"/>
      <c r="I843" s="658"/>
      <c r="J843" s="658"/>
      <c r="K843" s="658"/>
      <c r="L843" s="658"/>
      <c r="M843" s="658"/>
      <c r="N843" s="658"/>
      <c r="O843" s="658"/>
      <c r="P843" s="658"/>
      <c r="Q843" s="658"/>
    </row>
    <row r="844" spans="3:17">
      <c r="C844" s="962"/>
      <c r="D844" s="962"/>
      <c r="E844" s="658"/>
      <c r="F844" s="658"/>
      <c r="G844" s="658"/>
      <c r="H844" s="658"/>
      <c r="I844" s="658"/>
      <c r="J844" s="658"/>
      <c r="K844" s="658"/>
      <c r="L844" s="658"/>
      <c r="M844" s="658"/>
      <c r="N844" s="658"/>
      <c r="O844" s="658"/>
      <c r="P844" s="658"/>
      <c r="Q844" s="658"/>
    </row>
    <row r="845" spans="3:17">
      <c r="C845" s="962"/>
      <c r="D845" s="962"/>
      <c r="E845" s="658"/>
      <c r="F845" s="658"/>
      <c r="G845" s="658"/>
      <c r="H845" s="658"/>
      <c r="I845" s="658"/>
      <c r="J845" s="658"/>
      <c r="K845" s="658"/>
      <c r="L845" s="658"/>
      <c r="M845" s="658"/>
      <c r="N845" s="658"/>
      <c r="O845" s="658"/>
      <c r="P845" s="658"/>
      <c r="Q845" s="658"/>
    </row>
    <row r="846" spans="3:17">
      <c r="C846" s="962"/>
      <c r="D846" s="962"/>
      <c r="E846" s="658"/>
      <c r="F846" s="658"/>
      <c r="G846" s="658"/>
      <c r="H846" s="658"/>
      <c r="I846" s="658"/>
      <c r="J846" s="658"/>
      <c r="K846" s="658"/>
      <c r="L846" s="658"/>
      <c r="M846" s="658"/>
      <c r="N846" s="658"/>
      <c r="O846" s="658"/>
      <c r="P846" s="658"/>
      <c r="Q846" s="658"/>
    </row>
    <row r="847" spans="3:17">
      <c r="C847" s="962"/>
      <c r="D847" s="962"/>
      <c r="E847" s="658"/>
      <c r="F847" s="658"/>
      <c r="G847" s="658"/>
      <c r="H847" s="658"/>
      <c r="I847" s="658"/>
      <c r="J847" s="658"/>
      <c r="K847" s="658"/>
      <c r="L847" s="658"/>
      <c r="M847" s="658"/>
      <c r="N847" s="658"/>
      <c r="O847" s="658"/>
      <c r="P847" s="658"/>
      <c r="Q847" s="658"/>
    </row>
    <row r="848" spans="3:17">
      <c r="C848" s="962"/>
      <c r="D848" s="962"/>
      <c r="E848" s="658"/>
      <c r="F848" s="658"/>
      <c r="G848" s="658"/>
      <c r="H848" s="658"/>
      <c r="I848" s="658"/>
      <c r="J848" s="658"/>
      <c r="K848" s="658"/>
      <c r="L848" s="658"/>
      <c r="M848" s="658"/>
      <c r="N848" s="658"/>
      <c r="O848" s="658"/>
      <c r="P848" s="658"/>
      <c r="Q848" s="658"/>
    </row>
    <row r="849" spans="3:17">
      <c r="C849" s="962"/>
      <c r="D849" s="962"/>
      <c r="E849" s="658"/>
      <c r="F849" s="658"/>
      <c r="G849" s="658"/>
      <c r="H849" s="658"/>
      <c r="I849" s="658"/>
      <c r="J849" s="658"/>
      <c r="K849" s="658"/>
      <c r="L849" s="658"/>
      <c r="M849" s="658"/>
      <c r="N849" s="658"/>
      <c r="O849" s="658"/>
      <c r="P849" s="658"/>
      <c r="Q849" s="658"/>
    </row>
    <row r="850" spans="3:17">
      <c r="C850" s="962"/>
      <c r="D850" s="962"/>
      <c r="E850" s="658"/>
      <c r="F850" s="658"/>
      <c r="G850" s="658"/>
      <c r="H850" s="658"/>
      <c r="I850" s="658"/>
      <c r="J850" s="658"/>
      <c r="K850" s="658"/>
      <c r="L850" s="658"/>
      <c r="M850" s="658"/>
      <c r="N850" s="658"/>
      <c r="O850" s="658"/>
      <c r="P850" s="658"/>
      <c r="Q850" s="658"/>
    </row>
    <row r="851" spans="3:17">
      <c r="C851" s="962"/>
      <c r="D851" s="962"/>
      <c r="E851" s="658"/>
      <c r="F851" s="658"/>
      <c r="G851" s="658"/>
      <c r="H851" s="658"/>
      <c r="I851" s="658"/>
      <c r="J851" s="658"/>
      <c r="K851" s="658"/>
      <c r="L851" s="658"/>
      <c r="M851" s="658"/>
      <c r="N851" s="658"/>
      <c r="O851" s="658"/>
      <c r="P851" s="658"/>
      <c r="Q851" s="658"/>
    </row>
    <row r="852" spans="3:17">
      <c r="C852" s="962"/>
      <c r="D852" s="962"/>
      <c r="E852" s="658"/>
      <c r="F852" s="658"/>
      <c r="G852" s="658"/>
      <c r="H852" s="658"/>
      <c r="I852" s="658"/>
      <c r="J852" s="658"/>
      <c r="K852" s="658"/>
      <c r="L852" s="658"/>
      <c r="M852" s="658"/>
      <c r="N852" s="658"/>
      <c r="O852" s="658"/>
      <c r="P852" s="658"/>
      <c r="Q852" s="658"/>
    </row>
    <row r="853" spans="3:17">
      <c r="C853" s="962"/>
      <c r="D853" s="962"/>
      <c r="E853" s="658"/>
      <c r="F853" s="658"/>
      <c r="G853" s="658"/>
      <c r="H853" s="658"/>
      <c r="I853" s="658"/>
      <c r="J853" s="658"/>
      <c r="K853" s="658"/>
      <c r="L853" s="658"/>
      <c r="M853" s="658"/>
      <c r="N853" s="658"/>
      <c r="O853" s="658"/>
      <c r="P853" s="658"/>
      <c r="Q853" s="658"/>
    </row>
    <row r="854" spans="3:17">
      <c r="C854" s="962"/>
      <c r="D854" s="962"/>
      <c r="E854" s="658"/>
      <c r="F854" s="658"/>
      <c r="G854" s="658"/>
      <c r="H854" s="658"/>
      <c r="I854" s="658"/>
      <c r="J854" s="658"/>
      <c r="K854" s="658"/>
      <c r="L854" s="658"/>
      <c r="M854" s="658"/>
      <c r="N854" s="658"/>
      <c r="O854" s="658"/>
      <c r="P854" s="658"/>
      <c r="Q854" s="658"/>
    </row>
    <row r="855" spans="3:17">
      <c r="C855" s="962"/>
      <c r="D855" s="962"/>
      <c r="E855" s="658"/>
      <c r="F855" s="658"/>
      <c r="G855" s="658"/>
      <c r="H855" s="658"/>
      <c r="I855" s="658"/>
      <c r="J855" s="658"/>
      <c r="K855" s="658"/>
      <c r="L855" s="658"/>
      <c r="M855" s="658"/>
      <c r="N855" s="658"/>
      <c r="O855" s="658"/>
      <c r="P855" s="658"/>
      <c r="Q855" s="658"/>
    </row>
    <row r="856" spans="3:17">
      <c r="C856" s="962"/>
      <c r="D856" s="962"/>
      <c r="E856" s="658"/>
      <c r="F856" s="658"/>
      <c r="G856" s="658"/>
      <c r="H856" s="658"/>
      <c r="I856" s="658"/>
      <c r="J856" s="658"/>
      <c r="K856" s="658"/>
      <c r="L856" s="658"/>
      <c r="M856" s="658"/>
      <c r="N856" s="658"/>
      <c r="O856" s="658"/>
      <c r="P856" s="658"/>
      <c r="Q856" s="658"/>
    </row>
    <row r="857" spans="3:17">
      <c r="C857" s="962"/>
      <c r="D857" s="962"/>
      <c r="E857" s="658"/>
      <c r="F857" s="658"/>
      <c r="G857" s="658"/>
      <c r="H857" s="658"/>
      <c r="I857" s="658"/>
      <c r="J857" s="658"/>
      <c r="K857" s="658"/>
      <c r="L857" s="658"/>
      <c r="M857" s="658"/>
      <c r="N857" s="658"/>
      <c r="O857" s="658"/>
      <c r="P857" s="658"/>
      <c r="Q857" s="658"/>
    </row>
    <row r="858" spans="3:17">
      <c r="C858" s="962"/>
      <c r="D858" s="962"/>
      <c r="E858" s="658"/>
      <c r="F858" s="658"/>
      <c r="G858" s="658"/>
      <c r="H858" s="658"/>
      <c r="I858" s="658"/>
      <c r="J858" s="658"/>
      <c r="K858" s="658"/>
      <c r="L858" s="658"/>
      <c r="M858" s="658"/>
      <c r="N858" s="658"/>
      <c r="O858" s="658"/>
      <c r="P858" s="658"/>
      <c r="Q858" s="658"/>
    </row>
    <row r="859" spans="3:17">
      <c r="C859" s="962"/>
      <c r="D859" s="962"/>
      <c r="E859" s="658"/>
      <c r="F859" s="658"/>
      <c r="G859" s="658"/>
      <c r="H859" s="658"/>
      <c r="I859" s="658"/>
      <c r="J859" s="658"/>
      <c r="K859" s="658"/>
      <c r="L859" s="658"/>
      <c r="M859" s="658"/>
      <c r="N859" s="658"/>
      <c r="O859" s="658"/>
      <c r="P859" s="658"/>
      <c r="Q859" s="658"/>
    </row>
    <row r="860" spans="3:17">
      <c r="C860" s="962"/>
      <c r="D860" s="962"/>
      <c r="E860" s="658"/>
      <c r="F860" s="658"/>
      <c r="G860" s="658"/>
      <c r="H860" s="658"/>
      <c r="I860" s="658"/>
      <c r="J860" s="658"/>
      <c r="K860" s="658"/>
      <c r="L860" s="658"/>
      <c r="M860" s="658"/>
      <c r="N860" s="658"/>
      <c r="O860" s="658"/>
      <c r="P860" s="658"/>
      <c r="Q860" s="658"/>
    </row>
    <row r="861" spans="3:17">
      <c r="C861" s="962"/>
      <c r="D861" s="962"/>
      <c r="E861" s="658"/>
      <c r="F861" s="658"/>
      <c r="G861" s="658"/>
      <c r="H861" s="658"/>
      <c r="I861" s="658"/>
      <c r="J861" s="658"/>
      <c r="K861" s="658"/>
      <c r="L861" s="658"/>
      <c r="M861" s="658"/>
      <c r="N861" s="658"/>
      <c r="O861" s="658"/>
      <c r="P861" s="658"/>
      <c r="Q861" s="658"/>
    </row>
    <row r="862" spans="3:17">
      <c r="C862" s="962"/>
      <c r="D862" s="962"/>
      <c r="E862" s="658"/>
      <c r="F862" s="658"/>
      <c r="G862" s="658"/>
      <c r="H862" s="658"/>
      <c r="I862" s="658"/>
      <c r="J862" s="658"/>
      <c r="K862" s="658"/>
      <c r="L862" s="658"/>
      <c r="M862" s="658"/>
      <c r="N862" s="658"/>
      <c r="O862" s="658"/>
      <c r="P862" s="658"/>
      <c r="Q862" s="658"/>
    </row>
    <row r="863" spans="3:17">
      <c r="C863" s="962"/>
      <c r="D863" s="962"/>
      <c r="E863" s="658"/>
      <c r="F863" s="658"/>
      <c r="G863" s="658"/>
      <c r="H863" s="658"/>
      <c r="I863" s="658"/>
      <c r="J863" s="658"/>
      <c r="K863" s="658"/>
      <c r="L863" s="658"/>
      <c r="M863" s="658"/>
      <c r="N863" s="658"/>
      <c r="O863" s="658"/>
      <c r="P863" s="658"/>
      <c r="Q863" s="658"/>
    </row>
    <row r="864" spans="3:17">
      <c r="C864" s="962"/>
      <c r="D864" s="962"/>
      <c r="E864" s="658"/>
      <c r="F864" s="658"/>
      <c r="G864" s="658"/>
      <c r="H864" s="658"/>
      <c r="I864" s="658"/>
      <c r="J864" s="658"/>
      <c r="K864" s="658"/>
      <c r="L864" s="658"/>
      <c r="M864" s="658"/>
      <c r="N864" s="658"/>
      <c r="O864" s="658"/>
      <c r="P864" s="658"/>
      <c r="Q864" s="658"/>
    </row>
    <row r="865" spans="3:17">
      <c r="C865" s="962"/>
      <c r="D865" s="962"/>
      <c r="E865" s="658"/>
      <c r="F865" s="658"/>
      <c r="G865" s="658"/>
      <c r="H865" s="658"/>
      <c r="I865" s="658"/>
      <c r="J865" s="658"/>
      <c r="K865" s="658"/>
      <c r="L865" s="658"/>
      <c r="M865" s="658"/>
      <c r="N865" s="658"/>
      <c r="O865" s="658"/>
      <c r="P865" s="658"/>
      <c r="Q865" s="658"/>
    </row>
    <row r="866" spans="3:17">
      <c r="C866" s="962"/>
      <c r="D866" s="962"/>
      <c r="E866" s="658"/>
      <c r="F866" s="658"/>
      <c r="G866" s="658"/>
      <c r="H866" s="658"/>
      <c r="I866" s="658"/>
      <c r="J866" s="658"/>
      <c r="K866" s="658"/>
      <c r="L866" s="658"/>
      <c r="M866" s="658"/>
      <c r="N866" s="658"/>
      <c r="O866" s="658"/>
      <c r="P866" s="658"/>
      <c r="Q866" s="658"/>
    </row>
    <row r="867" spans="3:17">
      <c r="C867" s="962"/>
      <c r="D867" s="962"/>
      <c r="E867" s="658"/>
      <c r="F867" s="658"/>
      <c r="G867" s="658"/>
      <c r="H867" s="658"/>
      <c r="I867" s="658"/>
      <c r="J867" s="658"/>
      <c r="K867" s="658"/>
      <c r="L867" s="658"/>
      <c r="M867" s="658"/>
      <c r="N867" s="658"/>
      <c r="O867" s="658"/>
      <c r="P867" s="658"/>
      <c r="Q867" s="658"/>
    </row>
    <row r="868" spans="3:17">
      <c r="C868" s="962"/>
      <c r="D868" s="962"/>
      <c r="E868" s="658"/>
      <c r="F868" s="658"/>
      <c r="G868" s="658"/>
      <c r="H868" s="658"/>
      <c r="I868" s="658"/>
      <c r="J868" s="658"/>
      <c r="K868" s="658"/>
      <c r="L868" s="658"/>
      <c r="M868" s="658"/>
      <c r="N868" s="658"/>
      <c r="O868" s="658"/>
      <c r="P868" s="658"/>
      <c r="Q868" s="658"/>
    </row>
    <row r="869" spans="3:17">
      <c r="C869" s="962"/>
      <c r="D869" s="962"/>
      <c r="E869" s="658"/>
      <c r="F869" s="658"/>
      <c r="G869" s="658"/>
      <c r="H869" s="658"/>
      <c r="I869" s="658"/>
      <c r="J869" s="658"/>
      <c r="K869" s="658"/>
      <c r="L869" s="658"/>
      <c r="M869" s="658"/>
      <c r="N869" s="658"/>
      <c r="O869" s="658"/>
      <c r="P869" s="658"/>
      <c r="Q869" s="658"/>
    </row>
    <row r="870" spans="3:17">
      <c r="C870" s="962"/>
      <c r="D870" s="962"/>
      <c r="E870" s="658"/>
      <c r="F870" s="658"/>
      <c r="G870" s="658"/>
      <c r="H870" s="658"/>
      <c r="I870" s="658"/>
      <c r="J870" s="658"/>
      <c r="K870" s="658"/>
      <c r="L870" s="658"/>
      <c r="M870" s="658"/>
      <c r="N870" s="658"/>
      <c r="O870" s="658"/>
      <c r="P870" s="658"/>
      <c r="Q870" s="658"/>
    </row>
    <row r="871" spans="3:17">
      <c r="C871" s="962"/>
      <c r="D871" s="962"/>
      <c r="E871" s="658"/>
      <c r="F871" s="658"/>
      <c r="G871" s="658"/>
      <c r="H871" s="658"/>
      <c r="I871" s="658"/>
      <c r="J871" s="658"/>
      <c r="K871" s="658"/>
      <c r="L871" s="658"/>
      <c r="M871" s="658"/>
      <c r="N871" s="658"/>
      <c r="O871" s="658"/>
      <c r="P871" s="658"/>
      <c r="Q871" s="658"/>
    </row>
    <row r="872" spans="3:17">
      <c r="C872" s="962"/>
      <c r="D872" s="962"/>
      <c r="E872" s="658"/>
      <c r="F872" s="658"/>
      <c r="G872" s="658"/>
      <c r="H872" s="658"/>
      <c r="I872" s="658"/>
      <c r="J872" s="658"/>
      <c r="K872" s="658"/>
      <c r="L872" s="658"/>
      <c r="M872" s="658"/>
      <c r="N872" s="658"/>
      <c r="O872" s="658"/>
      <c r="P872" s="658"/>
      <c r="Q872" s="658"/>
    </row>
    <row r="873" spans="3:17">
      <c r="C873" s="962"/>
      <c r="D873" s="962"/>
      <c r="E873" s="658"/>
      <c r="F873" s="658"/>
      <c r="G873" s="658"/>
      <c r="H873" s="658"/>
      <c r="I873" s="658"/>
      <c r="J873" s="658"/>
      <c r="K873" s="658"/>
      <c r="L873" s="658"/>
      <c r="M873" s="658"/>
      <c r="N873" s="658"/>
      <c r="O873" s="658"/>
      <c r="P873" s="658"/>
      <c r="Q873" s="658"/>
    </row>
    <row r="874" spans="3:17">
      <c r="C874" s="962"/>
      <c r="D874" s="962"/>
      <c r="E874" s="658"/>
      <c r="F874" s="658"/>
      <c r="G874" s="658"/>
      <c r="H874" s="658"/>
      <c r="I874" s="658"/>
      <c r="J874" s="658"/>
      <c r="K874" s="658"/>
      <c r="L874" s="658"/>
      <c r="M874" s="658"/>
      <c r="N874" s="658"/>
      <c r="O874" s="658"/>
      <c r="P874" s="658"/>
      <c r="Q874" s="658"/>
    </row>
    <row r="875" spans="3:17">
      <c r="C875" s="962"/>
      <c r="D875" s="962"/>
      <c r="E875" s="658"/>
      <c r="F875" s="658"/>
      <c r="G875" s="658"/>
      <c r="H875" s="658"/>
      <c r="I875" s="658"/>
      <c r="J875" s="658"/>
      <c r="K875" s="658"/>
      <c r="L875" s="658"/>
      <c r="M875" s="658"/>
      <c r="N875" s="658"/>
      <c r="O875" s="658"/>
      <c r="P875" s="658"/>
      <c r="Q875" s="658"/>
    </row>
    <row r="876" spans="3:17">
      <c r="C876" s="962"/>
      <c r="D876" s="962"/>
      <c r="E876" s="658"/>
      <c r="F876" s="658"/>
      <c r="G876" s="658"/>
      <c r="H876" s="658"/>
      <c r="I876" s="658"/>
      <c r="J876" s="658"/>
      <c r="K876" s="658"/>
      <c r="L876" s="658"/>
      <c r="M876" s="658"/>
      <c r="N876" s="658"/>
      <c r="O876" s="658"/>
      <c r="P876" s="658"/>
      <c r="Q876" s="658"/>
    </row>
    <row r="877" spans="3:17">
      <c r="C877" s="962"/>
      <c r="D877" s="962"/>
      <c r="E877" s="658"/>
      <c r="F877" s="658"/>
      <c r="G877" s="658"/>
      <c r="H877" s="658"/>
      <c r="I877" s="658"/>
      <c r="J877" s="658"/>
      <c r="K877" s="658"/>
      <c r="L877" s="658"/>
      <c r="M877" s="658"/>
      <c r="N877" s="658"/>
      <c r="O877" s="658"/>
      <c r="P877" s="658"/>
      <c r="Q877" s="658"/>
    </row>
    <row r="878" spans="3:17">
      <c r="C878" s="962"/>
      <c r="D878" s="962"/>
      <c r="E878" s="658"/>
      <c r="F878" s="658"/>
      <c r="G878" s="658"/>
      <c r="H878" s="658"/>
      <c r="I878" s="658"/>
      <c r="J878" s="658"/>
      <c r="K878" s="658"/>
      <c r="L878" s="658"/>
      <c r="M878" s="658"/>
      <c r="N878" s="658"/>
      <c r="O878" s="658"/>
      <c r="P878" s="658"/>
      <c r="Q878" s="658"/>
    </row>
    <row r="879" spans="3:17">
      <c r="C879" s="962"/>
      <c r="D879" s="962"/>
      <c r="E879" s="658"/>
      <c r="F879" s="658"/>
      <c r="G879" s="658"/>
      <c r="H879" s="658"/>
      <c r="I879" s="658"/>
      <c r="J879" s="658"/>
      <c r="K879" s="658"/>
      <c r="L879" s="658"/>
      <c r="M879" s="658"/>
      <c r="N879" s="658"/>
      <c r="O879" s="658"/>
      <c r="P879" s="658"/>
      <c r="Q879" s="658"/>
    </row>
    <row r="880" spans="3:17">
      <c r="C880" s="962"/>
      <c r="D880" s="962"/>
      <c r="E880" s="658"/>
      <c r="F880" s="658"/>
      <c r="G880" s="658"/>
      <c r="H880" s="658"/>
      <c r="I880" s="658"/>
      <c r="J880" s="658"/>
      <c r="K880" s="658"/>
      <c r="L880" s="658"/>
      <c r="M880" s="658"/>
      <c r="N880" s="658"/>
      <c r="O880" s="658"/>
      <c r="P880" s="658"/>
      <c r="Q880" s="658"/>
    </row>
    <row r="881" spans="3:17">
      <c r="C881" s="962"/>
      <c r="D881" s="962"/>
      <c r="E881" s="658"/>
      <c r="F881" s="658"/>
      <c r="G881" s="658"/>
      <c r="H881" s="658"/>
      <c r="I881" s="658"/>
      <c r="J881" s="658"/>
      <c r="K881" s="658"/>
      <c r="L881" s="658"/>
      <c r="M881" s="658"/>
      <c r="N881" s="658"/>
      <c r="O881" s="658"/>
      <c r="P881" s="658"/>
      <c r="Q881" s="658"/>
    </row>
    <row r="882" spans="3:17">
      <c r="C882" s="962"/>
      <c r="D882" s="962"/>
      <c r="E882" s="658"/>
      <c r="F882" s="658"/>
      <c r="G882" s="658"/>
      <c r="H882" s="658"/>
      <c r="I882" s="658"/>
      <c r="J882" s="658"/>
      <c r="K882" s="658"/>
      <c r="L882" s="658"/>
      <c r="M882" s="658"/>
      <c r="N882" s="658"/>
      <c r="O882" s="658"/>
      <c r="P882" s="658"/>
      <c r="Q882" s="658"/>
    </row>
    <row r="883" spans="3:17">
      <c r="C883" s="962"/>
      <c r="D883" s="962"/>
      <c r="E883" s="658"/>
      <c r="F883" s="658"/>
      <c r="G883" s="658"/>
      <c r="H883" s="658"/>
      <c r="I883" s="658"/>
      <c r="J883" s="658"/>
      <c r="K883" s="658"/>
      <c r="L883" s="658"/>
      <c r="M883" s="658"/>
      <c r="N883" s="658"/>
      <c r="O883" s="658"/>
      <c r="P883" s="658"/>
      <c r="Q883" s="658"/>
    </row>
    <row r="884" spans="3:17">
      <c r="C884" s="962"/>
      <c r="D884" s="962"/>
      <c r="E884" s="658"/>
      <c r="F884" s="658"/>
      <c r="G884" s="658"/>
      <c r="H884" s="658"/>
      <c r="I884" s="658"/>
      <c r="J884" s="658"/>
      <c r="K884" s="658"/>
      <c r="L884" s="658"/>
      <c r="M884" s="658"/>
      <c r="N884" s="658"/>
      <c r="O884" s="658"/>
      <c r="P884" s="658"/>
      <c r="Q884" s="658"/>
    </row>
    <row r="885" spans="3:17">
      <c r="C885" s="962"/>
      <c r="D885" s="962"/>
      <c r="E885" s="658"/>
      <c r="F885" s="658"/>
      <c r="G885" s="658"/>
      <c r="H885" s="658"/>
      <c r="I885" s="658"/>
      <c r="J885" s="658"/>
      <c r="K885" s="658"/>
      <c r="L885" s="658"/>
      <c r="M885" s="658"/>
      <c r="N885" s="658"/>
      <c r="O885" s="658"/>
      <c r="P885" s="658"/>
      <c r="Q885" s="658"/>
    </row>
    <row r="886" spans="3:17">
      <c r="C886" s="962"/>
      <c r="D886" s="962"/>
      <c r="E886" s="658"/>
      <c r="F886" s="658"/>
      <c r="G886" s="658"/>
      <c r="H886" s="658"/>
      <c r="I886" s="658"/>
      <c r="J886" s="658"/>
      <c r="K886" s="658"/>
      <c r="L886" s="658"/>
      <c r="M886" s="658"/>
      <c r="N886" s="658"/>
      <c r="O886" s="658"/>
      <c r="P886" s="658"/>
      <c r="Q886" s="658"/>
    </row>
    <row r="887" spans="3:17">
      <c r="C887" s="962"/>
      <c r="D887" s="962"/>
      <c r="E887" s="658"/>
      <c r="F887" s="658"/>
      <c r="G887" s="658"/>
      <c r="H887" s="658"/>
      <c r="I887" s="658"/>
      <c r="J887" s="658"/>
      <c r="K887" s="658"/>
      <c r="L887" s="658"/>
      <c r="M887" s="658"/>
      <c r="N887" s="658"/>
      <c r="O887" s="658"/>
      <c r="P887" s="658"/>
      <c r="Q887" s="658"/>
    </row>
    <row r="888" spans="3:17">
      <c r="C888" s="962"/>
      <c r="D888" s="962"/>
      <c r="E888" s="658"/>
      <c r="F888" s="658"/>
      <c r="G888" s="658"/>
      <c r="H888" s="658"/>
      <c r="I888" s="658"/>
      <c r="J888" s="658"/>
      <c r="K888" s="658"/>
      <c r="L888" s="658"/>
      <c r="M888" s="658"/>
      <c r="N888" s="658"/>
      <c r="O888" s="658"/>
      <c r="P888" s="658"/>
      <c r="Q888" s="658"/>
    </row>
    <row r="889" spans="3:17">
      <c r="C889" s="962"/>
      <c r="D889" s="962"/>
      <c r="E889" s="658"/>
      <c r="F889" s="658"/>
      <c r="G889" s="658"/>
      <c r="H889" s="658"/>
      <c r="I889" s="658"/>
      <c r="J889" s="658"/>
      <c r="K889" s="658"/>
      <c r="L889" s="658"/>
      <c r="M889" s="658"/>
      <c r="N889" s="658"/>
      <c r="O889" s="658"/>
      <c r="P889" s="658"/>
      <c r="Q889" s="658"/>
    </row>
    <row r="890" spans="3:17">
      <c r="C890" s="962"/>
      <c r="D890" s="962"/>
      <c r="E890" s="658"/>
      <c r="F890" s="658"/>
      <c r="G890" s="658"/>
      <c r="H890" s="658"/>
      <c r="I890" s="658"/>
      <c r="J890" s="658"/>
      <c r="K890" s="658"/>
      <c r="L890" s="658"/>
      <c r="M890" s="658"/>
      <c r="N890" s="658"/>
      <c r="O890" s="658"/>
      <c r="P890" s="658"/>
      <c r="Q890" s="658"/>
    </row>
    <row r="891" spans="3:17">
      <c r="C891" s="962"/>
      <c r="D891" s="962"/>
      <c r="E891" s="658"/>
      <c r="F891" s="658"/>
      <c r="G891" s="658"/>
      <c r="H891" s="658"/>
      <c r="I891" s="658"/>
      <c r="J891" s="658"/>
      <c r="K891" s="658"/>
      <c r="L891" s="658"/>
      <c r="M891" s="658"/>
      <c r="N891" s="658"/>
      <c r="O891" s="658"/>
      <c r="P891" s="658"/>
      <c r="Q891" s="658"/>
    </row>
    <row r="892" spans="3:17">
      <c r="C892" s="962"/>
      <c r="D892" s="962"/>
      <c r="E892" s="658"/>
      <c r="F892" s="658"/>
      <c r="G892" s="658"/>
      <c r="H892" s="658"/>
      <c r="I892" s="658"/>
      <c r="J892" s="658"/>
      <c r="K892" s="658"/>
      <c r="L892" s="658"/>
      <c r="M892" s="658"/>
      <c r="N892" s="658"/>
      <c r="O892" s="658"/>
      <c r="P892" s="658"/>
      <c r="Q892" s="658"/>
    </row>
    <row r="893" spans="3:17">
      <c r="C893" s="962"/>
      <c r="D893" s="962"/>
      <c r="E893" s="658"/>
      <c r="F893" s="658"/>
      <c r="G893" s="658"/>
      <c r="H893" s="658"/>
      <c r="I893" s="658"/>
      <c r="J893" s="658"/>
      <c r="K893" s="658"/>
      <c r="L893" s="658"/>
      <c r="M893" s="658"/>
      <c r="N893" s="658"/>
      <c r="O893" s="658"/>
      <c r="P893" s="658"/>
      <c r="Q893" s="658"/>
    </row>
    <row r="894" spans="3:17">
      <c r="C894" s="962"/>
      <c r="D894" s="962"/>
      <c r="E894" s="658"/>
      <c r="F894" s="658"/>
      <c r="G894" s="658"/>
      <c r="H894" s="658"/>
      <c r="I894" s="658"/>
      <c r="J894" s="658"/>
      <c r="K894" s="658"/>
      <c r="L894" s="658"/>
      <c r="M894" s="658"/>
      <c r="N894" s="658"/>
      <c r="O894" s="658"/>
      <c r="P894" s="658"/>
      <c r="Q894" s="658"/>
    </row>
    <row r="895" spans="3:17">
      <c r="C895" s="962"/>
      <c r="D895" s="962"/>
      <c r="E895" s="658"/>
      <c r="F895" s="658"/>
      <c r="G895" s="658"/>
      <c r="H895" s="658"/>
      <c r="I895" s="658"/>
      <c r="J895" s="658"/>
      <c r="K895" s="658"/>
      <c r="L895" s="658"/>
      <c r="M895" s="658"/>
      <c r="N895" s="658"/>
      <c r="O895" s="658"/>
      <c r="P895" s="658"/>
      <c r="Q895" s="658"/>
    </row>
    <row r="896" spans="3:17">
      <c r="C896" s="962"/>
      <c r="D896" s="962"/>
      <c r="E896" s="658"/>
      <c r="F896" s="658"/>
      <c r="G896" s="658"/>
      <c r="H896" s="658"/>
      <c r="I896" s="658"/>
      <c r="J896" s="658"/>
      <c r="K896" s="658"/>
      <c r="L896" s="658"/>
      <c r="M896" s="658"/>
      <c r="N896" s="658"/>
      <c r="O896" s="658"/>
      <c r="P896" s="658"/>
      <c r="Q896" s="658"/>
    </row>
    <row r="897" spans="3:17">
      <c r="C897" s="962"/>
      <c r="D897" s="962"/>
      <c r="E897" s="658"/>
      <c r="F897" s="658"/>
      <c r="G897" s="658"/>
      <c r="H897" s="658"/>
      <c r="I897" s="658"/>
      <c r="J897" s="658"/>
      <c r="K897" s="658"/>
      <c r="L897" s="658"/>
      <c r="M897" s="658"/>
      <c r="N897" s="658"/>
      <c r="O897" s="658"/>
      <c r="P897" s="658"/>
      <c r="Q897" s="658"/>
    </row>
    <row r="898" spans="3:17">
      <c r="C898" s="962"/>
      <c r="D898" s="962"/>
      <c r="E898" s="658"/>
      <c r="F898" s="658"/>
      <c r="G898" s="658"/>
      <c r="H898" s="658"/>
      <c r="I898" s="658"/>
      <c r="J898" s="658"/>
      <c r="K898" s="658"/>
      <c r="L898" s="658"/>
      <c r="M898" s="658"/>
      <c r="N898" s="658"/>
      <c r="O898" s="658"/>
      <c r="P898" s="658"/>
      <c r="Q898" s="658"/>
    </row>
    <row r="899" spans="3:17">
      <c r="C899" s="962"/>
      <c r="D899" s="962"/>
      <c r="E899" s="658"/>
      <c r="F899" s="658"/>
      <c r="G899" s="658"/>
      <c r="H899" s="658"/>
      <c r="I899" s="658"/>
      <c r="J899" s="658"/>
      <c r="K899" s="658"/>
      <c r="L899" s="658"/>
      <c r="M899" s="658"/>
      <c r="N899" s="658"/>
      <c r="O899" s="658"/>
      <c r="P899" s="658"/>
      <c r="Q899" s="658"/>
    </row>
    <row r="900" spans="3:17">
      <c r="C900" s="962"/>
      <c r="D900" s="962"/>
      <c r="E900" s="658"/>
      <c r="F900" s="658"/>
      <c r="G900" s="658"/>
      <c r="H900" s="658"/>
      <c r="I900" s="658"/>
      <c r="J900" s="658"/>
      <c r="K900" s="658"/>
      <c r="L900" s="658"/>
      <c r="M900" s="658"/>
      <c r="N900" s="658"/>
      <c r="O900" s="658"/>
      <c r="P900" s="658"/>
      <c r="Q900" s="658"/>
    </row>
    <row r="901" spans="3:17">
      <c r="C901" s="962"/>
      <c r="D901" s="962"/>
      <c r="E901" s="658"/>
      <c r="F901" s="658"/>
      <c r="G901" s="658"/>
      <c r="H901" s="658"/>
      <c r="I901" s="658"/>
      <c r="J901" s="658"/>
      <c r="K901" s="658"/>
      <c r="L901" s="658"/>
      <c r="M901" s="658"/>
      <c r="N901" s="658"/>
      <c r="O901" s="658"/>
      <c r="P901" s="658"/>
      <c r="Q901" s="658"/>
    </row>
    <row r="902" spans="3:17">
      <c r="C902" s="962"/>
      <c r="D902" s="962"/>
      <c r="E902" s="658"/>
      <c r="F902" s="658"/>
      <c r="G902" s="658"/>
      <c r="H902" s="658"/>
      <c r="I902" s="658"/>
      <c r="J902" s="658"/>
      <c r="K902" s="658"/>
      <c r="L902" s="658"/>
      <c r="M902" s="658"/>
      <c r="N902" s="658"/>
      <c r="O902" s="658"/>
      <c r="P902" s="658"/>
      <c r="Q902" s="658"/>
    </row>
    <row r="903" spans="3:17">
      <c r="C903" s="962"/>
      <c r="D903" s="962"/>
      <c r="E903" s="658"/>
      <c r="F903" s="658"/>
      <c r="G903" s="658"/>
      <c r="H903" s="658"/>
      <c r="I903" s="658"/>
      <c r="J903" s="658"/>
      <c r="K903" s="658"/>
      <c r="L903" s="658"/>
      <c r="M903" s="658"/>
      <c r="N903" s="658"/>
      <c r="O903" s="658"/>
      <c r="P903" s="658"/>
      <c r="Q903" s="658"/>
    </row>
    <row r="904" spans="3:17">
      <c r="C904" s="962"/>
      <c r="D904" s="962"/>
      <c r="E904" s="658"/>
      <c r="F904" s="658"/>
      <c r="G904" s="658"/>
      <c r="H904" s="658"/>
      <c r="I904" s="658"/>
      <c r="J904" s="658"/>
      <c r="K904" s="658"/>
      <c r="L904" s="658"/>
      <c r="M904" s="658"/>
      <c r="N904" s="658"/>
      <c r="O904" s="658"/>
      <c r="P904" s="658"/>
      <c r="Q904" s="658"/>
    </row>
    <row r="905" spans="3:17">
      <c r="C905" s="962"/>
      <c r="D905" s="962"/>
      <c r="E905" s="658"/>
      <c r="F905" s="658"/>
      <c r="G905" s="658"/>
      <c r="H905" s="658"/>
      <c r="I905" s="658"/>
      <c r="J905" s="658"/>
      <c r="K905" s="658"/>
      <c r="L905" s="658"/>
      <c r="M905" s="658"/>
      <c r="N905" s="658"/>
      <c r="O905" s="658"/>
      <c r="P905" s="658"/>
      <c r="Q905" s="658"/>
    </row>
    <row r="906" spans="3:17">
      <c r="C906" s="962"/>
      <c r="D906" s="962"/>
      <c r="E906" s="658"/>
      <c r="F906" s="658"/>
      <c r="G906" s="658"/>
      <c r="H906" s="658"/>
      <c r="I906" s="658"/>
      <c r="J906" s="658"/>
      <c r="K906" s="658"/>
      <c r="L906" s="658"/>
      <c r="M906" s="658"/>
      <c r="N906" s="658"/>
      <c r="O906" s="658"/>
      <c r="P906" s="658"/>
      <c r="Q906" s="658"/>
    </row>
    <row r="907" spans="3:17">
      <c r="C907" s="962"/>
      <c r="D907" s="962"/>
      <c r="E907" s="658"/>
      <c r="F907" s="658"/>
      <c r="G907" s="658"/>
      <c r="H907" s="658"/>
      <c r="I907" s="658"/>
      <c r="J907" s="658"/>
      <c r="K907" s="658"/>
      <c r="L907" s="658"/>
      <c r="M907" s="658"/>
      <c r="N907" s="658"/>
      <c r="O907" s="658"/>
      <c r="P907" s="658"/>
      <c r="Q907" s="658"/>
    </row>
    <row r="908" spans="3:17">
      <c r="C908" s="962"/>
      <c r="D908" s="962"/>
      <c r="E908" s="658"/>
      <c r="F908" s="658"/>
      <c r="G908" s="658"/>
      <c r="H908" s="658"/>
      <c r="I908" s="658"/>
      <c r="J908" s="658"/>
      <c r="K908" s="658"/>
      <c r="L908" s="658"/>
      <c r="M908" s="658"/>
      <c r="N908" s="658"/>
      <c r="O908" s="658"/>
      <c r="P908" s="658"/>
      <c r="Q908" s="658"/>
    </row>
    <row r="909" spans="3:17">
      <c r="C909" s="962"/>
      <c r="D909" s="962"/>
      <c r="E909" s="658"/>
      <c r="F909" s="658"/>
      <c r="G909" s="658"/>
      <c r="H909" s="658"/>
      <c r="I909" s="658"/>
      <c r="J909" s="658"/>
      <c r="K909" s="658"/>
      <c r="L909" s="658"/>
      <c r="M909" s="658"/>
      <c r="N909" s="658"/>
      <c r="O909" s="658"/>
      <c r="P909" s="658"/>
      <c r="Q909" s="658"/>
    </row>
    <row r="910" spans="3:17">
      <c r="C910" s="962"/>
      <c r="D910" s="962"/>
      <c r="E910" s="658"/>
      <c r="F910" s="658"/>
      <c r="G910" s="658"/>
      <c r="H910" s="658"/>
      <c r="I910" s="658"/>
      <c r="J910" s="658"/>
      <c r="K910" s="658"/>
      <c r="L910" s="658"/>
      <c r="M910" s="658"/>
      <c r="N910" s="658"/>
      <c r="O910" s="658"/>
      <c r="P910" s="658"/>
      <c r="Q910" s="658"/>
    </row>
    <row r="911" spans="3:17">
      <c r="C911" s="962"/>
      <c r="D911" s="962"/>
      <c r="E911" s="658"/>
      <c r="F911" s="658"/>
      <c r="G911" s="658"/>
      <c r="H911" s="658"/>
      <c r="I911" s="658"/>
      <c r="J911" s="658"/>
      <c r="K911" s="658"/>
      <c r="L911" s="658"/>
      <c r="M911" s="658"/>
      <c r="N911" s="658"/>
      <c r="O911" s="658"/>
      <c r="P911" s="658"/>
      <c r="Q911" s="658"/>
    </row>
    <row r="912" spans="3:17">
      <c r="C912" s="962"/>
      <c r="D912" s="962"/>
      <c r="E912" s="658"/>
      <c r="F912" s="658"/>
      <c r="G912" s="658"/>
      <c r="H912" s="658"/>
      <c r="I912" s="658"/>
      <c r="J912" s="658"/>
      <c r="K912" s="658"/>
      <c r="L912" s="658"/>
      <c r="M912" s="658"/>
      <c r="N912" s="658"/>
      <c r="O912" s="658"/>
      <c r="P912" s="658"/>
      <c r="Q912" s="658"/>
    </row>
    <row r="913" spans="3:17">
      <c r="C913" s="962"/>
      <c r="D913" s="962"/>
      <c r="E913" s="658"/>
      <c r="F913" s="658"/>
      <c r="G913" s="658"/>
      <c r="H913" s="658"/>
      <c r="I913" s="658"/>
      <c r="J913" s="658"/>
      <c r="K913" s="658"/>
      <c r="L913" s="658"/>
      <c r="M913" s="658"/>
      <c r="N913" s="658"/>
      <c r="O913" s="658"/>
      <c r="P913" s="658"/>
      <c r="Q913" s="658"/>
    </row>
    <row r="914" spans="3:17">
      <c r="C914" s="962"/>
      <c r="D914" s="962"/>
      <c r="E914" s="658"/>
      <c r="F914" s="658"/>
      <c r="G914" s="658"/>
      <c r="H914" s="658"/>
      <c r="I914" s="658"/>
      <c r="J914" s="658"/>
      <c r="K914" s="658"/>
      <c r="L914" s="658"/>
      <c r="M914" s="658"/>
      <c r="N914" s="658"/>
      <c r="O914" s="658"/>
      <c r="P914" s="658"/>
      <c r="Q914" s="658"/>
    </row>
    <row r="915" spans="3:17">
      <c r="C915" s="962"/>
      <c r="D915" s="962"/>
      <c r="E915" s="658"/>
      <c r="F915" s="658"/>
      <c r="G915" s="658"/>
      <c r="H915" s="658"/>
      <c r="I915" s="658"/>
      <c r="J915" s="658"/>
      <c r="K915" s="658"/>
      <c r="L915" s="658"/>
      <c r="M915" s="658"/>
      <c r="N915" s="658"/>
      <c r="O915" s="658"/>
      <c r="P915" s="658"/>
      <c r="Q915" s="658"/>
    </row>
    <row r="916" spans="3:17">
      <c r="C916" s="962"/>
      <c r="D916" s="962"/>
      <c r="E916" s="658"/>
      <c r="F916" s="658"/>
      <c r="G916" s="658"/>
      <c r="H916" s="658"/>
      <c r="I916" s="658"/>
      <c r="J916" s="658"/>
      <c r="K916" s="658"/>
      <c r="L916" s="658"/>
      <c r="M916" s="658"/>
      <c r="N916" s="658"/>
      <c r="O916" s="658"/>
      <c r="P916" s="658"/>
      <c r="Q916" s="658"/>
    </row>
    <row r="917" spans="3:17">
      <c r="C917" s="962"/>
      <c r="D917" s="962"/>
      <c r="E917" s="658"/>
      <c r="F917" s="658"/>
      <c r="G917" s="658"/>
      <c r="H917" s="658"/>
      <c r="I917" s="658"/>
      <c r="J917" s="658"/>
      <c r="K917" s="658"/>
      <c r="L917" s="658"/>
      <c r="M917" s="658"/>
      <c r="N917" s="658"/>
      <c r="O917" s="658"/>
      <c r="P917" s="658"/>
      <c r="Q917" s="658"/>
    </row>
    <row r="918" spans="3:17">
      <c r="C918" s="962"/>
      <c r="D918" s="962"/>
      <c r="E918" s="658"/>
      <c r="F918" s="658"/>
      <c r="G918" s="658"/>
      <c r="H918" s="658"/>
      <c r="I918" s="658"/>
      <c r="J918" s="658"/>
      <c r="K918" s="658"/>
      <c r="L918" s="658"/>
      <c r="M918" s="658"/>
      <c r="N918" s="658"/>
      <c r="O918" s="658"/>
      <c r="P918" s="658"/>
      <c r="Q918" s="658"/>
    </row>
    <row r="919" spans="3:17">
      <c r="C919" s="962"/>
      <c r="D919" s="962"/>
      <c r="E919" s="658"/>
      <c r="F919" s="658"/>
      <c r="G919" s="658"/>
      <c r="H919" s="658"/>
      <c r="I919" s="658"/>
      <c r="J919" s="658"/>
      <c r="K919" s="658"/>
      <c r="L919" s="658"/>
      <c r="M919" s="658"/>
      <c r="N919" s="658"/>
      <c r="O919" s="658"/>
      <c r="P919" s="658"/>
      <c r="Q919" s="658"/>
    </row>
    <row r="920" spans="3:17">
      <c r="C920" s="962"/>
      <c r="D920" s="962"/>
      <c r="E920" s="658"/>
      <c r="F920" s="658"/>
      <c r="G920" s="658"/>
      <c r="H920" s="658"/>
      <c r="I920" s="658"/>
      <c r="J920" s="658"/>
      <c r="K920" s="658"/>
      <c r="L920" s="658"/>
      <c r="M920" s="658"/>
      <c r="N920" s="658"/>
      <c r="O920" s="658"/>
      <c r="P920" s="658"/>
      <c r="Q920" s="658"/>
    </row>
    <row r="921" spans="3:17">
      <c r="C921" s="962"/>
      <c r="D921" s="962"/>
      <c r="E921" s="658"/>
      <c r="F921" s="658"/>
      <c r="G921" s="658"/>
      <c r="H921" s="658"/>
      <c r="I921" s="658"/>
      <c r="J921" s="658"/>
      <c r="K921" s="658"/>
      <c r="L921" s="658"/>
      <c r="M921" s="658"/>
      <c r="N921" s="658"/>
      <c r="O921" s="658"/>
      <c r="P921" s="658"/>
      <c r="Q921" s="658"/>
    </row>
    <row r="922" spans="3:17">
      <c r="C922" s="962"/>
      <c r="D922" s="962"/>
      <c r="E922" s="658"/>
      <c r="F922" s="658"/>
      <c r="G922" s="658"/>
      <c r="H922" s="658"/>
      <c r="I922" s="658"/>
      <c r="J922" s="658"/>
      <c r="K922" s="658"/>
      <c r="L922" s="658"/>
      <c r="M922" s="658"/>
      <c r="N922" s="658"/>
      <c r="O922" s="658"/>
      <c r="P922" s="658"/>
      <c r="Q922" s="658"/>
    </row>
    <row r="923" spans="3:17">
      <c r="C923" s="962"/>
      <c r="D923" s="962"/>
      <c r="E923" s="658"/>
      <c r="F923" s="658"/>
      <c r="G923" s="658"/>
      <c r="H923" s="658"/>
      <c r="I923" s="658"/>
      <c r="J923" s="658"/>
      <c r="K923" s="658"/>
      <c r="L923" s="658"/>
      <c r="M923" s="658"/>
      <c r="N923" s="658"/>
      <c r="O923" s="658"/>
      <c r="P923" s="658"/>
      <c r="Q923" s="658"/>
    </row>
    <row r="924" spans="3:17">
      <c r="C924" s="962"/>
      <c r="D924" s="962"/>
      <c r="E924" s="658"/>
      <c r="F924" s="658"/>
      <c r="G924" s="658"/>
      <c r="H924" s="658"/>
      <c r="I924" s="658"/>
      <c r="J924" s="658"/>
      <c r="K924" s="658"/>
      <c r="L924" s="658"/>
      <c r="M924" s="658"/>
      <c r="N924" s="658"/>
      <c r="O924" s="658"/>
      <c r="P924" s="658"/>
      <c r="Q924" s="658"/>
    </row>
    <row r="925" spans="3:17">
      <c r="C925" s="962"/>
      <c r="D925" s="962"/>
      <c r="E925" s="658"/>
      <c r="F925" s="658"/>
      <c r="G925" s="658"/>
      <c r="H925" s="658"/>
      <c r="I925" s="658"/>
      <c r="J925" s="658"/>
      <c r="K925" s="658"/>
      <c r="L925" s="658"/>
      <c r="M925" s="658"/>
      <c r="N925" s="658"/>
      <c r="O925" s="658"/>
      <c r="P925" s="658"/>
      <c r="Q925" s="658"/>
    </row>
    <row r="926" spans="3:17">
      <c r="C926" s="962"/>
      <c r="D926" s="962"/>
      <c r="E926" s="658"/>
      <c r="F926" s="658"/>
      <c r="G926" s="658"/>
      <c r="H926" s="658"/>
      <c r="I926" s="658"/>
      <c r="J926" s="658"/>
      <c r="K926" s="658"/>
      <c r="L926" s="658"/>
      <c r="M926" s="658"/>
      <c r="N926" s="658"/>
      <c r="O926" s="658"/>
      <c r="P926" s="658"/>
      <c r="Q926" s="658"/>
    </row>
    <row r="927" spans="3:17">
      <c r="C927" s="962"/>
      <c r="D927" s="962"/>
      <c r="E927" s="658"/>
      <c r="F927" s="658"/>
      <c r="G927" s="658"/>
      <c r="H927" s="658"/>
      <c r="I927" s="658"/>
      <c r="J927" s="658"/>
      <c r="K927" s="658"/>
      <c r="L927" s="658"/>
      <c r="M927" s="658"/>
      <c r="N927" s="658"/>
      <c r="O927" s="658"/>
      <c r="P927" s="658"/>
      <c r="Q927" s="658"/>
    </row>
    <row r="928" spans="3:17">
      <c r="C928" s="962"/>
      <c r="D928" s="962"/>
      <c r="E928" s="658"/>
      <c r="F928" s="658"/>
      <c r="G928" s="658"/>
      <c r="H928" s="658"/>
      <c r="I928" s="658"/>
      <c r="J928" s="658"/>
      <c r="K928" s="658"/>
      <c r="L928" s="658"/>
      <c r="M928" s="658"/>
      <c r="N928" s="658"/>
      <c r="O928" s="658"/>
      <c r="P928" s="658"/>
      <c r="Q928" s="658"/>
    </row>
    <row r="929" spans="3:17">
      <c r="C929" s="962"/>
      <c r="D929" s="962"/>
      <c r="E929" s="658"/>
      <c r="F929" s="658"/>
      <c r="G929" s="658"/>
      <c r="H929" s="658"/>
      <c r="I929" s="658"/>
      <c r="J929" s="658"/>
      <c r="K929" s="658"/>
      <c r="L929" s="658"/>
      <c r="M929" s="658"/>
      <c r="N929" s="658"/>
      <c r="O929" s="658"/>
      <c r="P929" s="658"/>
      <c r="Q929" s="658"/>
    </row>
    <row r="930" spans="3:17">
      <c r="C930" s="962"/>
      <c r="D930" s="962"/>
      <c r="E930" s="658"/>
      <c r="F930" s="658"/>
      <c r="G930" s="658"/>
      <c r="H930" s="658"/>
      <c r="I930" s="658"/>
      <c r="J930" s="658"/>
      <c r="K930" s="658"/>
      <c r="L930" s="658"/>
      <c r="M930" s="658"/>
      <c r="N930" s="658"/>
      <c r="O930" s="658"/>
      <c r="P930" s="658"/>
      <c r="Q930" s="658"/>
    </row>
    <row r="931" spans="3:17">
      <c r="C931" s="962"/>
      <c r="D931" s="962"/>
      <c r="E931" s="658"/>
      <c r="F931" s="658"/>
      <c r="G931" s="658"/>
      <c r="H931" s="658"/>
      <c r="I931" s="658"/>
      <c r="J931" s="658"/>
      <c r="K931" s="658"/>
      <c r="L931" s="658"/>
      <c r="M931" s="658"/>
      <c r="N931" s="658"/>
      <c r="O931" s="658"/>
      <c r="P931" s="658"/>
      <c r="Q931" s="658"/>
    </row>
    <row r="932" spans="3:17">
      <c r="C932" s="962"/>
      <c r="D932" s="962"/>
      <c r="E932" s="658"/>
      <c r="F932" s="658"/>
      <c r="G932" s="658"/>
      <c r="H932" s="658"/>
      <c r="I932" s="658"/>
      <c r="J932" s="658"/>
      <c r="K932" s="658"/>
      <c r="L932" s="658"/>
      <c r="M932" s="658"/>
      <c r="N932" s="658"/>
      <c r="O932" s="658"/>
      <c r="P932" s="658"/>
      <c r="Q932" s="658"/>
    </row>
    <row r="933" spans="3:17">
      <c r="C933" s="962"/>
      <c r="D933" s="962"/>
      <c r="E933" s="658"/>
      <c r="F933" s="658"/>
      <c r="G933" s="658"/>
      <c r="H933" s="658"/>
      <c r="I933" s="658"/>
      <c r="J933" s="658"/>
      <c r="K933" s="658"/>
      <c r="L933" s="658"/>
      <c r="M933" s="658"/>
      <c r="N933" s="658"/>
      <c r="O933" s="658"/>
      <c r="P933" s="658"/>
      <c r="Q933" s="658"/>
    </row>
    <row r="934" spans="3:17">
      <c r="C934" s="962"/>
      <c r="D934" s="962"/>
      <c r="E934" s="658"/>
      <c r="F934" s="658"/>
      <c r="G934" s="658"/>
      <c r="H934" s="658"/>
      <c r="I934" s="658"/>
      <c r="J934" s="658"/>
      <c r="K934" s="658"/>
      <c r="L934" s="658"/>
      <c r="M934" s="658"/>
      <c r="N934" s="658"/>
      <c r="O934" s="658"/>
      <c r="P934" s="658"/>
      <c r="Q934" s="658"/>
    </row>
    <row r="935" spans="3:17">
      <c r="C935" s="962"/>
      <c r="D935" s="962"/>
      <c r="E935" s="658"/>
      <c r="F935" s="658"/>
      <c r="G935" s="658"/>
      <c r="H935" s="658"/>
      <c r="I935" s="658"/>
      <c r="J935" s="658"/>
      <c r="K935" s="658"/>
      <c r="L935" s="658"/>
      <c r="M935" s="658"/>
      <c r="N935" s="658"/>
      <c r="O935" s="658"/>
      <c r="P935" s="658"/>
      <c r="Q935" s="658"/>
    </row>
    <row r="936" spans="3:17">
      <c r="C936" s="962"/>
      <c r="D936" s="962"/>
      <c r="E936" s="658"/>
      <c r="F936" s="658"/>
      <c r="G936" s="658"/>
      <c r="H936" s="658"/>
      <c r="I936" s="658"/>
      <c r="J936" s="658"/>
      <c r="K936" s="658"/>
      <c r="L936" s="658"/>
      <c r="M936" s="658"/>
      <c r="N936" s="658"/>
      <c r="O936" s="658"/>
      <c r="P936" s="658"/>
      <c r="Q936" s="658"/>
    </row>
    <row r="937" spans="3:17">
      <c r="C937" s="962"/>
      <c r="D937" s="962"/>
      <c r="E937" s="658"/>
      <c r="F937" s="658"/>
      <c r="G937" s="658"/>
      <c r="H937" s="658"/>
      <c r="I937" s="658"/>
      <c r="J937" s="658"/>
      <c r="K937" s="658"/>
      <c r="L937" s="658"/>
      <c r="M937" s="658"/>
      <c r="N937" s="658"/>
      <c r="O937" s="658"/>
      <c r="P937" s="658"/>
      <c r="Q937" s="658"/>
    </row>
    <row r="938" spans="3:17">
      <c r="C938" s="962"/>
      <c r="D938" s="962"/>
      <c r="E938" s="658"/>
      <c r="F938" s="658"/>
      <c r="G938" s="658"/>
      <c r="H938" s="658"/>
      <c r="I938" s="658"/>
      <c r="J938" s="658"/>
      <c r="K938" s="658"/>
      <c r="L938" s="658"/>
      <c r="M938" s="658"/>
      <c r="N938" s="658"/>
      <c r="O938" s="658"/>
      <c r="P938" s="658"/>
      <c r="Q938" s="658"/>
    </row>
    <row r="939" spans="3:17">
      <c r="C939" s="962"/>
      <c r="D939" s="962"/>
      <c r="E939" s="658"/>
      <c r="F939" s="658"/>
      <c r="G939" s="658"/>
      <c r="H939" s="658"/>
      <c r="I939" s="658"/>
      <c r="J939" s="658"/>
      <c r="K939" s="658"/>
      <c r="L939" s="658"/>
      <c r="M939" s="658"/>
      <c r="N939" s="658"/>
      <c r="O939" s="658"/>
      <c r="P939" s="658"/>
      <c r="Q939" s="658"/>
    </row>
    <row r="940" spans="3:17">
      <c r="C940" s="962"/>
      <c r="D940" s="962"/>
      <c r="E940" s="658"/>
      <c r="F940" s="658"/>
      <c r="G940" s="658"/>
      <c r="H940" s="658"/>
      <c r="I940" s="658"/>
      <c r="J940" s="658"/>
      <c r="K940" s="658"/>
      <c r="L940" s="658"/>
      <c r="M940" s="658"/>
      <c r="N940" s="658"/>
      <c r="O940" s="658"/>
      <c r="P940" s="658"/>
      <c r="Q940" s="658"/>
    </row>
    <row r="941" spans="3:17">
      <c r="C941" s="962"/>
      <c r="D941" s="962"/>
      <c r="E941" s="658"/>
      <c r="F941" s="658"/>
      <c r="G941" s="658"/>
      <c r="H941" s="658"/>
      <c r="I941" s="658"/>
      <c r="J941" s="658"/>
      <c r="K941" s="658"/>
      <c r="L941" s="658"/>
      <c r="M941" s="658"/>
      <c r="N941" s="658"/>
      <c r="O941" s="658"/>
      <c r="P941" s="658"/>
      <c r="Q941" s="658"/>
    </row>
    <row r="942" spans="3:17">
      <c r="C942" s="962"/>
      <c r="D942" s="962"/>
      <c r="E942" s="658"/>
      <c r="F942" s="658"/>
      <c r="G942" s="658"/>
      <c r="H942" s="658"/>
      <c r="I942" s="658"/>
      <c r="J942" s="658"/>
      <c r="K942" s="658"/>
      <c r="L942" s="658"/>
      <c r="M942" s="658"/>
      <c r="N942" s="658"/>
      <c r="O942" s="658"/>
      <c r="P942" s="658"/>
      <c r="Q942" s="658"/>
    </row>
    <row r="943" spans="3:17">
      <c r="C943" s="962"/>
      <c r="D943" s="962"/>
      <c r="E943" s="658"/>
      <c r="F943" s="658"/>
      <c r="G943" s="658"/>
      <c r="H943" s="658"/>
      <c r="I943" s="658"/>
      <c r="J943" s="658"/>
      <c r="K943" s="658"/>
      <c r="L943" s="658"/>
      <c r="M943" s="658"/>
      <c r="N943" s="658"/>
      <c r="O943" s="658"/>
      <c r="P943" s="658"/>
      <c r="Q943" s="658"/>
    </row>
    <row r="944" spans="3:17">
      <c r="C944" s="962"/>
      <c r="D944" s="962"/>
      <c r="E944" s="658"/>
      <c r="F944" s="658"/>
      <c r="G944" s="658"/>
      <c r="H944" s="658"/>
      <c r="I944" s="658"/>
      <c r="J944" s="658"/>
      <c r="K944" s="658"/>
      <c r="L944" s="658"/>
      <c r="M944" s="658"/>
      <c r="N944" s="658"/>
      <c r="O944" s="658"/>
      <c r="P944" s="658"/>
      <c r="Q944" s="658"/>
    </row>
    <row r="945" spans="3:17">
      <c r="C945" s="962"/>
      <c r="D945" s="962"/>
      <c r="E945" s="658"/>
      <c r="F945" s="658"/>
      <c r="G945" s="658"/>
      <c r="H945" s="658"/>
      <c r="I945" s="658"/>
      <c r="J945" s="658"/>
      <c r="K945" s="658"/>
      <c r="L945" s="658"/>
      <c r="M945" s="658"/>
      <c r="N945" s="658"/>
      <c r="O945" s="658"/>
      <c r="P945" s="658"/>
      <c r="Q945" s="658"/>
    </row>
    <row r="946" spans="3:17">
      <c r="C946" s="962"/>
      <c r="D946" s="962"/>
      <c r="E946" s="658"/>
      <c r="F946" s="658"/>
      <c r="G946" s="658"/>
      <c r="H946" s="658"/>
      <c r="I946" s="658"/>
      <c r="J946" s="658"/>
      <c r="K946" s="658"/>
      <c r="L946" s="658"/>
      <c r="M946" s="658"/>
      <c r="N946" s="658"/>
      <c r="O946" s="658"/>
      <c r="P946" s="658"/>
      <c r="Q946" s="658"/>
    </row>
    <row r="947" spans="3:17">
      <c r="C947" s="962"/>
      <c r="D947" s="962"/>
      <c r="E947" s="658"/>
      <c r="F947" s="658"/>
      <c r="G947" s="658"/>
      <c r="H947" s="658"/>
      <c r="I947" s="658"/>
      <c r="J947" s="658"/>
      <c r="K947" s="658"/>
      <c r="L947" s="658"/>
      <c r="M947" s="658"/>
      <c r="N947" s="658"/>
      <c r="O947" s="658"/>
      <c r="P947" s="658"/>
      <c r="Q947" s="658"/>
    </row>
    <row r="948" spans="3:17">
      <c r="C948" s="962"/>
      <c r="D948" s="962"/>
      <c r="E948" s="658"/>
      <c r="F948" s="658"/>
      <c r="G948" s="658"/>
      <c r="H948" s="658"/>
      <c r="I948" s="658"/>
      <c r="J948" s="658"/>
      <c r="K948" s="658"/>
      <c r="L948" s="658"/>
      <c r="M948" s="658"/>
      <c r="N948" s="658"/>
      <c r="O948" s="658"/>
      <c r="P948" s="658"/>
      <c r="Q948" s="658"/>
    </row>
    <row r="949" spans="3:17">
      <c r="C949" s="962"/>
      <c r="D949" s="962"/>
      <c r="E949" s="658"/>
      <c r="F949" s="658"/>
      <c r="G949" s="658"/>
      <c r="H949" s="658"/>
      <c r="I949" s="658"/>
      <c r="J949" s="658"/>
      <c r="K949" s="658"/>
      <c r="L949" s="658"/>
      <c r="M949" s="658"/>
      <c r="N949" s="658"/>
      <c r="O949" s="658"/>
      <c r="P949" s="658"/>
      <c r="Q949" s="658"/>
    </row>
    <row r="950" spans="3:17">
      <c r="C950" s="962"/>
      <c r="D950" s="962"/>
      <c r="E950" s="658"/>
      <c r="F950" s="658"/>
      <c r="G950" s="658"/>
      <c r="H950" s="658"/>
      <c r="I950" s="658"/>
      <c r="J950" s="658"/>
      <c r="K950" s="658"/>
      <c r="L950" s="658"/>
      <c r="M950" s="658"/>
      <c r="N950" s="658"/>
      <c r="O950" s="658"/>
      <c r="P950" s="658"/>
      <c r="Q950" s="658"/>
    </row>
    <row r="951" spans="3:17">
      <c r="C951" s="962"/>
      <c r="D951" s="962"/>
      <c r="E951" s="658"/>
      <c r="F951" s="658"/>
      <c r="G951" s="658"/>
      <c r="H951" s="658"/>
      <c r="I951" s="658"/>
      <c r="J951" s="658"/>
      <c r="K951" s="658"/>
      <c r="L951" s="658"/>
      <c r="M951" s="658"/>
      <c r="N951" s="658"/>
      <c r="O951" s="658"/>
      <c r="P951" s="658"/>
      <c r="Q951" s="658"/>
    </row>
    <row r="952" spans="3:17">
      <c r="C952" s="962"/>
      <c r="D952" s="962"/>
      <c r="E952" s="658"/>
      <c r="F952" s="658"/>
      <c r="G952" s="658"/>
      <c r="H952" s="658"/>
      <c r="I952" s="658"/>
      <c r="J952" s="658"/>
      <c r="K952" s="658"/>
      <c r="L952" s="658"/>
      <c r="M952" s="658"/>
      <c r="N952" s="658"/>
      <c r="O952" s="658"/>
      <c r="P952" s="658"/>
      <c r="Q952" s="658"/>
    </row>
    <row r="953" spans="3:17">
      <c r="C953" s="962"/>
      <c r="D953" s="962"/>
      <c r="E953" s="658"/>
      <c r="F953" s="658"/>
      <c r="G953" s="658"/>
      <c r="H953" s="658"/>
      <c r="I953" s="658"/>
      <c r="J953" s="658"/>
      <c r="K953" s="658"/>
      <c r="L953" s="658"/>
      <c r="M953" s="658"/>
      <c r="N953" s="658"/>
      <c r="O953" s="658"/>
      <c r="P953" s="658"/>
      <c r="Q953" s="658"/>
    </row>
    <row r="954" spans="3:17">
      <c r="C954" s="962"/>
      <c r="D954" s="962"/>
      <c r="E954" s="658"/>
      <c r="F954" s="658"/>
      <c r="G954" s="658"/>
      <c r="H954" s="658"/>
      <c r="I954" s="658"/>
      <c r="J954" s="658"/>
      <c r="K954" s="658"/>
      <c r="L954" s="658"/>
      <c r="M954" s="658"/>
      <c r="N954" s="658"/>
      <c r="O954" s="658"/>
      <c r="P954" s="658"/>
      <c r="Q954" s="658"/>
    </row>
    <row r="955" spans="3:17">
      <c r="C955" s="962"/>
      <c r="D955" s="962"/>
      <c r="E955" s="658"/>
      <c r="F955" s="658"/>
      <c r="G955" s="658"/>
      <c r="H955" s="658"/>
      <c r="I955" s="658"/>
      <c r="J955" s="658"/>
      <c r="K955" s="658"/>
      <c r="L955" s="658"/>
      <c r="M955" s="658"/>
      <c r="N955" s="658"/>
      <c r="O955" s="658"/>
      <c r="P955" s="658"/>
      <c r="Q955" s="658"/>
    </row>
    <row r="956" spans="3:17">
      <c r="C956" s="962"/>
      <c r="D956" s="962"/>
      <c r="E956" s="658"/>
      <c r="F956" s="658"/>
      <c r="G956" s="658"/>
      <c r="H956" s="658"/>
      <c r="I956" s="658"/>
      <c r="J956" s="658"/>
      <c r="K956" s="658"/>
      <c r="L956" s="658"/>
      <c r="M956" s="658"/>
      <c r="N956" s="658"/>
      <c r="O956" s="658"/>
      <c r="P956" s="658"/>
      <c r="Q956" s="658"/>
    </row>
    <row r="957" spans="3:17">
      <c r="C957" s="962"/>
      <c r="D957" s="962"/>
      <c r="E957" s="658"/>
      <c r="F957" s="658"/>
      <c r="G957" s="658"/>
      <c r="H957" s="658"/>
      <c r="I957" s="658"/>
      <c r="J957" s="658"/>
      <c r="K957" s="658"/>
      <c r="L957" s="658"/>
      <c r="M957" s="658"/>
      <c r="N957" s="658"/>
      <c r="O957" s="658"/>
      <c r="P957" s="658"/>
      <c r="Q957" s="658"/>
    </row>
    <row r="958" spans="3:17">
      <c r="C958" s="962"/>
      <c r="D958" s="962"/>
      <c r="E958" s="658"/>
      <c r="F958" s="658"/>
      <c r="G958" s="658"/>
      <c r="H958" s="658"/>
      <c r="I958" s="658"/>
      <c r="J958" s="658"/>
      <c r="K958" s="658"/>
      <c r="L958" s="658"/>
      <c r="M958" s="658"/>
      <c r="N958" s="658"/>
      <c r="O958" s="658"/>
      <c r="P958" s="658"/>
      <c r="Q958" s="658"/>
    </row>
    <row r="959" spans="3:17">
      <c r="C959" s="962"/>
      <c r="D959" s="962"/>
      <c r="E959" s="658"/>
      <c r="F959" s="658"/>
      <c r="G959" s="658"/>
      <c r="H959" s="658"/>
      <c r="I959" s="658"/>
      <c r="J959" s="658"/>
      <c r="K959" s="658"/>
      <c r="L959" s="658"/>
      <c r="M959" s="658"/>
      <c r="N959" s="658"/>
      <c r="O959" s="658"/>
      <c r="P959" s="658"/>
      <c r="Q959" s="658"/>
    </row>
    <row r="960" spans="3:17">
      <c r="C960" s="962"/>
      <c r="D960" s="962"/>
      <c r="E960" s="658"/>
      <c r="F960" s="658"/>
      <c r="G960" s="658"/>
      <c r="H960" s="658"/>
      <c r="I960" s="658"/>
      <c r="J960" s="658"/>
      <c r="K960" s="658"/>
      <c r="L960" s="658"/>
      <c r="M960" s="658"/>
      <c r="N960" s="658"/>
      <c r="O960" s="658"/>
      <c r="P960" s="658"/>
      <c r="Q960" s="658"/>
    </row>
    <row r="961" spans="3:17">
      <c r="C961" s="962"/>
      <c r="D961" s="962"/>
      <c r="E961" s="658"/>
      <c r="F961" s="658"/>
      <c r="G961" s="658"/>
      <c r="H961" s="658"/>
      <c r="I961" s="658"/>
      <c r="J961" s="658"/>
      <c r="K961" s="658"/>
      <c r="L961" s="658"/>
      <c r="M961" s="658"/>
      <c r="N961" s="658"/>
      <c r="O961" s="658"/>
      <c r="P961" s="658"/>
      <c r="Q961" s="658"/>
    </row>
    <row r="962" spans="3:17">
      <c r="C962" s="962"/>
      <c r="D962" s="962"/>
      <c r="E962" s="658"/>
      <c r="F962" s="658"/>
      <c r="G962" s="658"/>
      <c r="H962" s="658"/>
      <c r="I962" s="658"/>
      <c r="J962" s="658"/>
      <c r="K962" s="658"/>
      <c r="L962" s="658"/>
      <c r="M962" s="658"/>
      <c r="N962" s="658"/>
      <c r="O962" s="658"/>
      <c r="P962" s="658"/>
      <c r="Q962" s="658"/>
    </row>
    <row r="963" spans="3:17">
      <c r="C963" s="962"/>
      <c r="D963" s="962"/>
      <c r="E963" s="658"/>
      <c r="F963" s="658"/>
      <c r="G963" s="658"/>
      <c r="H963" s="658"/>
      <c r="I963" s="658"/>
      <c r="J963" s="658"/>
      <c r="K963" s="658"/>
      <c r="L963" s="658"/>
      <c r="M963" s="658"/>
      <c r="N963" s="658"/>
      <c r="O963" s="658"/>
      <c r="P963" s="658"/>
      <c r="Q963" s="658"/>
    </row>
    <row r="964" spans="3:17">
      <c r="C964" s="962"/>
      <c r="D964" s="962"/>
      <c r="E964" s="658"/>
      <c r="F964" s="658"/>
      <c r="G964" s="658"/>
      <c r="H964" s="658"/>
      <c r="I964" s="658"/>
      <c r="J964" s="658"/>
      <c r="K964" s="658"/>
      <c r="L964" s="658"/>
      <c r="M964" s="658"/>
      <c r="N964" s="658"/>
      <c r="O964" s="658"/>
      <c r="P964" s="658"/>
      <c r="Q964" s="658"/>
    </row>
    <row r="965" spans="3:17">
      <c r="C965" s="962"/>
      <c r="D965" s="962"/>
      <c r="E965" s="658"/>
      <c r="F965" s="658"/>
      <c r="G965" s="658"/>
      <c r="H965" s="658"/>
      <c r="I965" s="658"/>
      <c r="J965" s="658"/>
      <c r="K965" s="658"/>
      <c r="L965" s="658"/>
      <c r="M965" s="658"/>
      <c r="N965" s="658"/>
      <c r="O965" s="658"/>
      <c r="P965" s="658"/>
      <c r="Q965" s="658"/>
    </row>
    <row r="966" spans="3:17">
      <c r="C966" s="962"/>
      <c r="D966" s="962"/>
      <c r="E966" s="658"/>
      <c r="F966" s="658"/>
      <c r="G966" s="658"/>
      <c r="H966" s="658"/>
      <c r="I966" s="658"/>
      <c r="J966" s="658"/>
      <c r="K966" s="658"/>
      <c r="L966" s="658"/>
      <c r="M966" s="658"/>
      <c r="N966" s="658"/>
      <c r="O966" s="658"/>
      <c r="P966" s="658"/>
      <c r="Q966" s="658"/>
    </row>
    <row r="967" spans="3:17">
      <c r="C967" s="962"/>
      <c r="D967" s="962"/>
      <c r="E967" s="658"/>
      <c r="F967" s="658"/>
      <c r="G967" s="658"/>
      <c r="H967" s="658"/>
      <c r="I967" s="658"/>
      <c r="J967" s="658"/>
      <c r="K967" s="658"/>
      <c r="L967" s="658"/>
      <c r="M967" s="658"/>
      <c r="N967" s="658"/>
      <c r="O967" s="658"/>
      <c r="P967" s="658"/>
      <c r="Q967" s="658"/>
    </row>
    <row r="968" spans="3:17">
      <c r="C968" s="962"/>
      <c r="D968" s="962"/>
      <c r="E968" s="658"/>
      <c r="F968" s="658"/>
      <c r="G968" s="658"/>
      <c r="H968" s="658"/>
      <c r="I968" s="658"/>
      <c r="J968" s="658"/>
      <c r="K968" s="658"/>
      <c r="L968" s="658"/>
      <c r="M968" s="658"/>
      <c r="N968" s="658"/>
      <c r="O968" s="658"/>
      <c r="P968" s="658"/>
      <c r="Q968" s="658"/>
    </row>
    <row r="969" spans="3:17">
      <c r="C969" s="962"/>
      <c r="D969" s="962"/>
      <c r="E969" s="658"/>
      <c r="F969" s="658"/>
      <c r="G969" s="658"/>
      <c r="H969" s="658"/>
      <c r="I969" s="658"/>
      <c r="J969" s="658"/>
      <c r="K969" s="658"/>
      <c r="L969" s="658"/>
      <c r="M969" s="658"/>
      <c r="N969" s="658"/>
      <c r="O969" s="658"/>
      <c r="P969" s="658"/>
      <c r="Q969" s="658"/>
    </row>
    <row r="970" spans="3:17">
      <c r="C970" s="962"/>
      <c r="D970" s="962"/>
      <c r="E970" s="658"/>
      <c r="F970" s="658"/>
      <c r="G970" s="658"/>
      <c r="H970" s="658"/>
      <c r="I970" s="658"/>
      <c r="J970" s="658"/>
      <c r="K970" s="658"/>
      <c r="L970" s="658"/>
      <c r="M970" s="658"/>
      <c r="N970" s="658"/>
      <c r="O970" s="658"/>
      <c r="P970" s="658"/>
      <c r="Q970" s="658"/>
    </row>
    <row r="971" spans="3:17">
      <c r="C971" s="962"/>
      <c r="D971" s="962"/>
      <c r="E971" s="658"/>
      <c r="F971" s="658"/>
      <c r="G971" s="658"/>
      <c r="H971" s="658"/>
      <c r="I971" s="658"/>
      <c r="J971" s="658"/>
      <c r="K971" s="658"/>
      <c r="L971" s="658"/>
      <c r="M971" s="658"/>
      <c r="N971" s="658"/>
      <c r="O971" s="658"/>
      <c r="P971" s="658"/>
      <c r="Q971" s="658"/>
    </row>
    <row r="972" spans="3:17">
      <c r="C972" s="962"/>
      <c r="D972" s="962"/>
      <c r="E972" s="658"/>
      <c r="F972" s="658"/>
      <c r="G972" s="658"/>
      <c r="H972" s="658"/>
      <c r="I972" s="658"/>
      <c r="J972" s="658"/>
      <c r="K972" s="658"/>
      <c r="L972" s="658"/>
      <c r="M972" s="658"/>
      <c r="N972" s="658"/>
      <c r="O972" s="658"/>
      <c r="P972" s="658"/>
      <c r="Q972" s="658"/>
    </row>
    <row r="973" spans="3:17">
      <c r="C973" s="962"/>
      <c r="D973" s="962"/>
      <c r="E973" s="658"/>
      <c r="F973" s="658"/>
      <c r="G973" s="658"/>
      <c r="H973" s="658"/>
      <c r="I973" s="658"/>
      <c r="J973" s="658"/>
      <c r="K973" s="658"/>
      <c r="L973" s="658"/>
      <c r="M973" s="658"/>
      <c r="N973" s="658"/>
      <c r="O973" s="658"/>
      <c r="P973" s="658"/>
      <c r="Q973" s="658"/>
    </row>
    <row r="974" spans="3:17">
      <c r="C974" s="962"/>
      <c r="D974" s="962"/>
      <c r="E974" s="658"/>
      <c r="F974" s="658"/>
      <c r="G974" s="658"/>
      <c r="H974" s="658"/>
      <c r="I974" s="658"/>
      <c r="J974" s="658"/>
      <c r="K974" s="658"/>
      <c r="L974" s="658"/>
      <c r="M974" s="658"/>
      <c r="N974" s="658"/>
      <c r="O974" s="658"/>
      <c r="P974" s="658"/>
      <c r="Q974" s="658"/>
    </row>
    <row r="975" spans="3:17">
      <c r="C975" s="962"/>
      <c r="D975" s="962"/>
      <c r="E975" s="658"/>
      <c r="F975" s="658"/>
      <c r="G975" s="658"/>
      <c r="H975" s="658"/>
      <c r="I975" s="658"/>
      <c r="J975" s="658"/>
      <c r="K975" s="658"/>
      <c r="L975" s="658"/>
      <c r="M975" s="658"/>
      <c r="N975" s="658"/>
      <c r="O975" s="658"/>
      <c r="P975" s="658"/>
      <c r="Q975" s="658"/>
    </row>
    <row r="976" spans="3:17">
      <c r="C976" s="962"/>
      <c r="D976" s="962"/>
      <c r="E976" s="658"/>
      <c r="F976" s="658"/>
      <c r="G976" s="658"/>
      <c r="H976" s="658"/>
      <c r="I976" s="658"/>
      <c r="J976" s="658"/>
      <c r="K976" s="658"/>
      <c r="L976" s="658"/>
      <c r="M976" s="658"/>
      <c r="N976" s="658"/>
      <c r="O976" s="658"/>
      <c r="P976" s="658"/>
      <c r="Q976" s="658"/>
    </row>
    <row r="977" spans="3:17">
      <c r="C977" s="962"/>
      <c r="D977" s="962"/>
      <c r="E977" s="658"/>
      <c r="F977" s="658"/>
      <c r="G977" s="658"/>
      <c r="H977" s="658"/>
      <c r="I977" s="658"/>
      <c r="J977" s="658"/>
      <c r="K977" s="658"/>
      <c r="L977" s="658"/>
      <c r="M977" s="658"/>
      <c r="N977" s="658"/>
      <c r="O977" s="658"/>
      <c r="P977" s="658"/>
      <c r="Q977" s="658"/>
    </row>
    <row r="978" spans="3:17">
      <c r="C978" s="962"/>
      <c r="D978" s="962"/>
      <c r="E978" s="658"/>
      <c r="F978" s="658"/>
      <c r="G978" s="658"/>
      <c r="H978" s="658"/>
      <c r="I978" s="658"/>
      <c r="J978" s="658"/>
      <c r="K978" s="658"/>
      <c r="L978" s="658"/>
      <c r="M978" s="658"/>
      <c r="N978" s="658"/>
      <c r="O978" s="658"/>
      <c r="P978" s="658"/>
      <c r="Q978" s="658"/>
    </row>
    <row r="979" spans="3:17">
      <c r="C979" s="962"/>
      <c r="D979" s="962"/>
      <c r="E979" s="658"/>
      <c r="F979" s="658"/>
      <c r="G979" s="658"/>
      <c r="H979" s="658"/>
      <c r="I979" s="658"/>
      <c r="J979" s="658"/>
      <c r="K979" s="658"/>
      <c r="L979" s="658"/>
      <c r="M979" s="658"/>
      <c r="N979" s="658"/>
      <c r="O979" s="658"/>
      <c r="P979" s="658"/>
      <c r="Q979" s="658"/>
    </row>
    <row r="980" spans="3:17">
      <c r="C980" s="962"/>
      <c r="D980" s="962"/>
      <c r="E980" s="658"/>
      <c r="F980" s="658"/>
      <c r="G980" s="658"/>
      <c r="H980" s="658"/>
      <c r="I980" s="658"/>
      <c r="J980" s="658"/>
      <c r="K980" s="658"/>
      <c r="L980" s="658"/>
      <c r="M980" s="658"/>
      <c r="N980" s="658"/>
      <c r="O980" s="658"/>
      <c r="P980" s="658"/>
      <c r="Q980" s="658"/>
    </row>
    <row r="981" spans="3:17">
      <c r="C981" s="962"/>
      <c r="D981" s="962"/>
      <c r="E981" s="658"/>
      <c r="F981" s="658"/>
      <c r="G981" s="658"/>
      <c r="H981" s="658"/>
      <c r="I981" s="658"/>
      <c r="J981" s="658"/>
      <c r="K981" s="658"/>
      <c r="L981" s="658"/>
      <c r="M981" s="658"/>
      <c r="N981" s="658"/>
      <c r="O981" s="658"/>
      <c r="P981" s="658"/>
      <c r="Q981" s="658"/>
    </row>
    <row r="982" spans="3:17">
      <c r="C982" s="962"/>
      <c r="D982" s="962"/>
      <c r="E982" s="658"/>
      <c r="F982" s="658"/>
      <c r="G982" s="658"/>
      <c r="H982" s="658"/>
      <c r="I982" s="658"/>
      <c r="J982" s="658"/>
      <c r="K982" s="658"/>
      <c r="L982" s="658"/>
      <c r="M982" s="658"/>
      <c r="N982" s="658"/>
      <c r="O982" s="658"/>
      <c r="P982" s="658"/>
      <c r="Q982" s="658"/>
    </row>
    <row r="983" spans="3:17">
      <c r="C983" s="962"/>
      <c r="D983" s="962"/>
      <c r="E983" s="658"/>
      <c r="F983" s="658"/>
      <c r="G983" s="658"/>
      <c r="H983" s="658"/>
      <c r="I983" s="658"/>
      <c r="J983" s="658"/>
      <c r="K983" s="658"/>
      <c r="L983" s="658"/>
      <c r="M983" s="658"/>
      <c r="N983" s="658"/>
      <c r="O983" s="658"/>
      <c r="P983" s="658"/>
      <c r="Q983" s="658"/>
    </row>
    <row r="984" spans="3:17">
      <c r="C984" s="962"/>
      <c r="D984" s="962"/>
      <c r="E984" s="658"/>
      <c r="F984" s="658"/>
      <c r="G984" s="658"/>
      <c r="H984" s="658"/>
      <c r="I984" s="658"/>
      <c r="J984" s="658"/>
      <c r="K984" s="658"/>
      <c r="L984" s="658"/>
      <c r="M984" s="658"/>
      <c r="N984" s="658"/>
      <c r="O984" s="658"/>
      <c r="P984" s="658"/>
      <c r="Q984" s="658"/>
    </row>
    <row r="985" spans="3:17">
      <c r="C985" s="962"/>
      <c r="D985" s="962"/>
      <c r="E985" s="658"/>
      <c r="F985" s="658"/>
      <c r="G985" s="658"/>
      <c r="H985" s="658"/>
      <c r="I985" s="658"/>
      <c r="J985" s="658"/>
      <c r="K985" s="658"/>
      <c r="L985" s="658"/>
      <c r="M985" s="658"/>
      <c r="N985" s="658"/>
      <c r="O985" s="658"/>
      <c r="P985" s="658"/>
      <c r="Q985" s="658"/>
    </row>
    <row r="986" spans="3:17">
      <c r="C986" s="962"/>
      <c r="D986" s="962"/>
      <c r="E986" s="658"/>
      <c r="F986" s="658"/>
      <c r="G986" s="658"/>
      <c r="H986" s="658"/>
      <c r="I986" s="658"/>
      <c r="J986" s="658"/>
      <c r="K986" s="658"/>
      <c r="L986" s="658"/>
      <c r="M986" s="658"/>
      <c r="N986" s="658"/>
      <c r="O986" s="658"/>
      <c r="P986" s="658"/>
      <c r="Q986" s="658"/>
    </row>
    <row r="987" spans="3:17">
      <c r="C987" s="962"/>
      <c r="D987" s="962"/>
      <c r="E987" s="658"/>
      <c r="F987" s="658"/>
      <c r="G987" s="658"/>
      <c r="H987" s="658"/>
      <c r="I987" s="658"/>
      <c r="J987" s="658"/>
      <c r="K987" s="658"/>
      <c r="L987" s="658"/>
      <c r="M987" s="658"/>
      <c r="N987" s="658"/>
      <c r="O987" s="658"/>
      <c r="P987" s="658"/>
      <c r="Q987" s="658"/>
    </row>
    <row r="988" spans="3:17">
      <c r="C988" s="962"/>
      <c r="D988" s="962"/>
      <c r="E988" s="658"/>
      <c r="F988" s="658"/>
      <c r="G988" s="658"/>
      <c r="H988" s="658"/>
      <c r="I988" s="658"/>
      <c r="J988" s="658"/>
      <c r="K988" s="658"/>
      <c r="L988" s="658"/>
      <c r="M988" s="658"/>
      <c r="N988" s="658"/>
      <c r="O988" s="658"/>
      <c r="P988" s="658"/>
      <c r="Q988" s="658"/>
    </row>
    <row r="989" spans="3:17">
      <c r="C989" s="962"/>
      <c r="D989" s="962"/>
      <c r="E989" s="658"/>
      <c r="F989" s="658"/>
      <c r="G989" s="658"/>
      <c r="H989" s="658"/>
      <c r="I989" s="658"/>
      <c r="J989" s="658"/>
      <c r="K989" s="658"/>
      <c r="L989" s="658"/>
      <c r="M989" s="658"/>
      <c r="N989" s="658"/>
      <c r="O989" s="658"/>
      <c r="P989" s="658"/>
      <c r="Q989" s="658"/>
    </row>
    <row r="990" spans="3:17">
      <c r="C990" s="962"/>
      <c r="D990" s="962"/>
      <c r="E990" s="658"/>
      <c r="F990" s="658"/>
      <c r="G990" s="658"/>
      <c r="H990" s="658"/>
      <c r="I990" s="658"/>
      <c r="J990" s="658"/>
      <c r="K990" s="658"/>
      <c r="L990" s="658"/>
      <c r="M990" s="658"/>
      <c r="N990" s="658"/>
      <c r="O990" s="658"/>
      <c r="P990" s="658"/>
      <c r="Q990" s="658"/>
    </row>
    <row r="991" spans="3:17">
      <c r="C991" s="962"/>
      <c r="D991" s="962"/>
      <c r="E991" s="658"/>
      <c r="F991" s="658"/>
      <c r="G991" s="658"/>
      <c r="H991" s="658"/>
      <c r="I991" s="658"/>
      <c r="J991" s="658"/>
      <c r="K991" s="658"/>
      <c r="L991" s="658"/>
      <c r="M991" s="658"/>
      <c r="N991" s="658"/>
      <c r="O991" s="658"/>
      <c r="P991" s="658"/>
      <c r="Q991" s="658"/>
    </row>
    <row r="992" spans="3:17">
      <c r="C992" s="962"/>
      <c r="D992" s="962"/>
      <c r="E992" s="658"/>
      <c r="F992" s="658"/>
      <c r="G992" s="658"/>
      <c r="H992" s="658"/>
      <c r="I992" s="658"/>
      <c r="J992" s="658"/>
      <c r="K992" s="658"/>
      <c r="L992" s="658"/>
      <c r="M992" s="658"/>
      <c r="N992" s="658"/>
      <c r="O992" s="658"/>
      <c r="P992" s="658"/>
      <c r="Q992" s="658"/>
    </row>
    <row r="993" spans="3:17">
      <c r="C993" s="962"/>
      <c r="D993" s="962"/>
      <c r="E993" s="658"/>
      <c r="F993" s="658"/>
      <c r="G993" s="658"/>
      <c r="H993" s="658"/>
      <c r="I993" s="658"/>
      <c r="J993" s="658"/>
      <c r="K993" s="658"/>
      <c r="L993" s="658"/>
      <c r="M993" s="658"/>
      <c r="N993" s="658"/>
      <c r="O993" s="658"/>
      <c r="P993" s="658"/>
      <c r="Q993" s="658"/>
    </row>
    <row r="994" spans="3:17">
      <c r="C994" s="962"/>
      <c r="D994" s="962"/>
      <c r="E994" s="658"/>
      <c r="F994" s="658"/>
      <c r="G994" s="658"/>
      <c r="H994" s="658"/>
      <c r="I994" s="658"/>
      <c r="J994" s="658"/>
      <c r="K994" s="658"/>
      <c r="L994" s="658"/>
      <c r="M994" s="658"/>
      <c r="N994" s="658"/>
      <c r="O994" s="658"/>
      <c r="P994" s="658"/>
      <c r="Q994" s="658"/>
    </row>
    <row r="995" spans="3:17">
      <c r="C995" s="962"/>
      <c r="D995" s="962"/>
      <c r="E995" s="658"/>
      <c r="F995" s="658"/>
      <c r="G995" s="658"/>
      <c r="H995" s="658"/>
      <c r="I995" s="658"/>
      <c r="J995" s="658"/>
      <c r="K995" s="658"/>
      <c r="L995" s="658"/>
      <c r="M995" s="658"/>
      <c r="N995" s="658"/>
      <c r="O995" s="658"/>
      <c r="P995" s="658"/>
      <c r="Q995" s="658"/>
    </row>
    <row r="996" spans="3:17">
      <c r="C996" s="962"/>
      <c r="D996" s="962"/>
      <c r="E996" s="658"/>
      <c r="F996" s="658"/>
      <c r="G996" s="658"/>
      <c r="H996" s="658"/>
      <c r="I996" s="658"/>
      <c r="J996" s="658"/>
      <c r="K996" s="658"/>
      <c r="L996" s="658"/>
      <c r="M996" s="658"/>
      <c r="N996" s="658"/>
      <c r="O996" s="658"/>
      <c r="P996" s="658"/>
      <c r="Q996" s="658"/>
    </row>
    <row r="997" spans="3:17">
      <c r="C997" s="962"/>
      <c r="D997" s="962"/>
      <c r="E997" s="658"/>
      <c r="F997" s="658"/>
      <c r="G997" s="658"/>
      <c r="H997" s="658"/>
      <c r="I997" s="658"/>
      <c r="J997" s="658"/>
      <c r="K997" s="658"/>
      <c r="L997" s="658"/>
      <c r="M997" s="658"/>
      <c r="N997" s="658"/>
      <c r="O997" s="658"/>
      <c r="P997" s="658"/>
      <c r="Q997" s="658"/>
    </row>
    <row r="998" spans="3:17">
      <c r="C998" s="962"/>
      <c r="D998" s="962"/>
      <c r="E998" s="658"/>
      <c r="F998" s="658"/>
      <c r="G998" s="658"/>
      <c r="H998" s="658"/>
      <c r="I998" s="658"/>
      <c r="J998" s="658"/>
      <c r="K998" s="658"/>
      <c r="L998" s="658"/>
      <c r="M998" s="658"/>
      <c r="N998" s="658"/>
      <c r="O998" s="658"/>
      <c r="P998" s="658"/>
      <c r="Q998" s="658"/>
    </row>
    <row r="999" spans="3:17">
      <c r="C999" s="962"/>
      <c r="D999" s="962"/>
      <c r="E999" s="658"/>
      <c r="F999" s="658"/>
      <c r="G999" s="658"/>
      <c r="H999" s="658"/>
      <c r="I999" s="658"/>
      <c r="J999" s="658"/>
      <c r="K999" s="658"/>
      <c r="L999" s="658"/>
      <c r="M999" s="658"/>
      <c r="N999" s="658"/>
      <c r="O999" s="658"/>
      <c r="P999" s="658"/>
      <c r="Q999" s="658"/>
    </row>
    <row r="1000" spans="3:17">
      <c r="C1000" s="962"/>
      <c r="D1000" s="962"/>
      <c r="E1000" s="658"/>
      <c r="F1000" s="658"/>
      <c r="G1000" s="658"/>
      <c r="H1000" s="658"/>
      <c r="I1000" s="658"/>
      <c r="J1000" s="658"/>
      <c r="K1000" s="658"/>
      <c r="L1000" s="658"/>
      <c r="M1000" s="658"/>
      <c r="N1000" s="658"/>
      <c r="O1000" s="658"/>
      <c r="P1000" s="658"/>
      <c r="Q1000" s="658"/>
    </row>
    <row r="1001" spans="3:17">
      <c r="C1001" s="962"/>
      <c r="D1001" s="962"/>
      <c r="E1001" s="658"/>
      <c r="F1001" s="658"/>
      <c r="G1001" s="658"/>
      <c r="H1001" s="658"/>
      <c r="I1001" s="658"/>
      <c r="J1001" s="658"/>
      <c r="K1001" s="658"/>
      <c r="L1001" s="658"/>
      <c r="M1001" s="658"/>
      <c r="N1001" s="658"/>
      <c r="O1001" s="658"/>
      <c r="P1001" s="658"/>
      <c r="Q1001" s="658"/>
    </row>
    <row r="1002" spans="3:17">
      <c r="C1002" s="962"/>
      <c r="D1002" s="962"/>
      <c r="E1002" s="658"/>
      <c r="F1002" s="658"/>
      <c r="G1002" s="658"/>
      <c r="H1002" s="658"/>
      <c r="I1002" s="658"/>
      <c r="J1002" s="658"/>
      <c r="K1002" s="658"/>
      <c r="L1002" s="658"/>
      <c r="M1002" s="658"/>
      <c r="N1002" s="658"/>
      <c r="O1002" s="658"/>
      <c r="P1002" s="658"/>
      <c r="Q1002" s="658"/>
    </row>
    <row r="1003" spans="3:17">
      <c r="C1003" s="962"/>
      <c r="D1003" s="962"/>
      <c r="E1003" s="658"/>
      <c r="F1003" s="658"/>
      <c r="G1003" s="658"/>
      <c r="H1003" s="658"/>
      <c r="I1003" s="658"/>
      <c r="J1003" s="658"/>
      <c r="K1003" s="658"/>
      <c r="L1003" s="658"/>
      <c r="M1003" s="658"/>
      <c r="N1003" s="658"/>
      <c r="O1003" s="658"/>
      <c r="P1003" s="658"/>
      <c r="Q1003" s="658"/>
    </row>
    <row r="1004" spans="3:17">
      <c r="C1004" s="962"/>
      <c r="D1004" s="962"/>
      <c r="E1004" s="658"/>
      <c r="F1004" s="658"/>
      <c r="G1004" s="658"/>
      <c r="H1004" s="658"/>
      <c r="I1004" s="658"/>
      <c r="J1004" s="658"/>
      <c r="K1004" s="658"/>
      <c r="L1004" s="658"/>
      <c r="M1004" s="658"/>
      <c r="N1004" s="658"/>
      <c r="O1004" s="658"/>
      <c r="P1004" s="658"/>
      <c r="Q1004" s="658"/>
    </row>
    <row r="1005" spans="3:17">
      <c r="C1005" s="962"/>
      <c r="D1005" s="962"/>
      <c r="E1005" s="658"/>
      <c r="F1005" s="658"/>
      <c r="G1005" s="658"/>
      <c r="H1005" s="658"/>
      <c r="I1005" s="658"/>
      <c r="J1005" s="658"/>
      <c r="K1005" s="658"/>
      <c r="L1005" s="658"/>
      <c r="M1005" s="658"/>
      <c r="N1005" s="658"/>
      <c r="O1005" s="658"/>
      <c r="P1005" s="658"/>
      <c r="Q1005" s="658"/>
    </row>
    <row r="1006" spans="3:17">
      <c r="C1006" s="962"/>
      <c r="D1006" s="962"/>
      <c r="E1006" s="658"/>
      <c r="F1006" s="658"/>
      <c r="G1006" s="658"/>
      <c r="H1006" s="658"/>
      <c r="I1006" s="658"/>
      <c r="J1006" s="658"/>
      <c r="K1006" s="658"/>
      <c r="L1006" s="658"/>
      <c r="M1006" s="658"/>
      <c r="N1006" s="658"/>
      <c r="O1006" s="658"/>
      <c r="P1006" s="658"/>
      <c r="Q1006" s="658"/>
    </row>
    <row r="1007" spans="3:17">
      <c r="C1007" s="962"/>
      <c r="D1007" s="962"/>
      <c r="E1007" s="658"/>
      <c r="F1007" s="658"/>
      <c r="G1007" s="658"/>
      <c r="H1007" s="658"/>
      <c r="I1007" s="658"/>
      <c r="J1007" s="658"/>
      <c r="K1007" s="658"/>
      <c r="L1007" s="658"/>
      <c r="M1007" s="658"/>
      <c r="N1007" s="658"/>
      <c r="O1007" s="658"/>
      <c r="P1007" s="658"/>
      <c r="Q1007" s="658"/>
    </row>
    <row r="1008" spans="3:17">
      <c r="C1008" s="962"/>
      <c r="D1008" s="962"/>
      <c r="E1008" s="658"/>
      <c r="F1008" s="658"/>
      <c r="G1008" s="658"/>
      <c r="H1008" s="658"/>
      <c r="I1008" s="658"/>
      <c r="J1008" s="658"/>
      <c r="K1008" s="658"/>
      <c r="L1008" s="658"/>
      <c r="M1008" s="658"/>
      <c r="N1008" s="658"/>
      <c r="O1008" s="658"/>
      <c r="P1008" s="658"/>
      <c r="Q1008" s="658"/>
    </row>
    <row r="1009" spans="3:17">
      <c r="C1009" s="962"/>
      <c r="D1009" s="962"/>
      <c r="E1009" s="658"/>
      <c r="F1009" s="658"/>
      <c r="G1009" s="658"/>
      <c r="H1009" s="658"/>
      <c r="I1009" s="658"/>
      <c r="J1009" s="658"/>
      <c r="K1009" s="658"/>
      <c r="L1009" s="658"/>
      <c r="M1009" s="658"/>
      <c r="N1009" s="658"/>
      <c r="O1009" s="658"/>
      <c r="P1009" s="658"/>
      <c r="Q1009" s="658"/>
    </row>
    <row r="1010" spans="3:17">
      <c r="C1010" s="962"/>
      <c r="D1010" s="962"/>
      <c r="E1010" s="658"/>
      <c r="F1010" s="658"/>
      <c r="G1010" s="658"/>
      <c r="H1010" s="658"/>
      <c r="I1010" s="658"/>
      <c r="J1010" s="658"/>
      <c r="K1010" s="658"/>
      <c r="L1010" s="658"/>
      <c r="M1010" s="658"/>
      <c r="N1010" s="658"/>
      <c r="O1010" s="658"/>
      <c r="P1010" s="658"/>
      <c r="Q1010" s="658"/>
    </row>
    <row r="1011" spans="3:17">
      <c r="C1011" s="962"/>
      <c r="D1011" s="962"/>
      <c r="E1011" s="658"/>
      <c r="F1011" s="658"/>
      <c r="G1011" s="658"/>
      <c r="H1011" s="658"/>
      <c r="I1011" s="658"/>
      <c r="J1011" s="658"/>
      <c r="K1011" s="658"/>
      <c r="L1011" s="658"/>
      <c r="M1011" s="658"/>
      <c r="N1011" s="658"/>
      <c r="O1011" s="658"/>
      <c r="P1011" s="658"/>
      <c r="Q1011" s="658"/>
    </row>
    <row r="1012" spans="3:17">
      <c r="C1012" s="962"/>
      <c r="D1012" s="962"/>
      <c r="E1012" s="658"/>
      <c r="F1012" s="658"/>
      <c r="G1012" s="658"/>
      <c r="H1012" s="658"/>
      <c r="I1012" s="658"/>
      <c r="J1012" s="658"/>
      <c r="K1012" s="658"/>
      <c r="L1012" s="658"/>
      <c r="M1012" s="658"/>
      <c r="N1012" s="658"/>
      <c r="O1012" s="658"/>
      <c r="P1012" s="658"/>
      <c r="Q1012" s="658"/>
    </row>
    <row r="1013" spans="3:17">
      <c r="C1013" s="962"/>
      <c r="D1013" s="962"/>
      <c r="E1013" s="658"/>
      <c r="F1013" s="658"/>
      <c r="G1013" s="658"/>
      <c r="H1013" s="658"/>
      <c r="I1013" s="658"/>
      <c r="J1013" s="658"/>
      <c r="K1013" s="658"/>
      <c r="L1013" s="658"/>
      <c r="M1013" s="658"/>
      <c r="N1013" s="658"/>
      <c r="O1013" s="658"/>
      <c r="P1013" s="658"/>
      <c r="Q1013" s="658"/>
    </row>
    <row r="1014" spans="3:17">
      <c r="C1014" s="962"/>
      <c r="D1014" s="962"/>
      <c r="E1014" s="658"/>
      <c r="F1014" s="658"/>
      <c r="G1014" s="658"/>
      <c r="H1014" s="658"/>
      <c r="I1014" s="658"/>
      <c r="J1014" s="658"/>
      <c r="K1014" s="658"/>
      <c r="L1014" s="658"/>
      <c r="M1014" s="658"/>
      <c r="N1014" s="658"/>
      <c r="O1014" s="658"/>
      <c r="P1014" s="658"/>
      <c r="Q1014" s="658"/>
    </row>
    <row r="1015" spans="3:17">
      <c r="C1015" s="962"/>
      <c r="D1015" s="962"/>
      <c r="E1015" s="658"/>
      <c r="F1015" s="658"/>
      <c r="G1015" s="658"/>
      <c r="H1015" s="658"/>
      <c r="I1015" s="658"/>
      <c r="J1015" s="658"/>
      <c r="K1015" s="658"/>
      <c r="L1015" s="658"/>
      <c r="M1015" s="658"/>
      <c r="N1015" s="658"/>
      <c r="O1015" s="658"/>
      <c r="P1015" s="658"/>
      <c r="Q1015" s="658"/>
    </row>
    <row r="1016" spans="3:17">
      <c r="C1016" s="962"/>
      <c r="D1016" s="962"/>
      <c r="E1016" s="658"/>
      <c r="F1016" s="658"/>
      <c r="G1016" s="658"/>
      <c r="H1016" s="658"/>
      <c r="I1016" s="658"/>
      <c r="J1016" s="658"/>
      <c r="K1016" s="658"/>
      <c r="L1016" s="658"/>
      <c r="M1016" s="658"/>
      <c r="N1016" s="658"/>
      <c r="O1016" s="658"/>
      <c r="P1016" s="658"/>
      <c r="Q1016" s="658"/>
    </row>
    <row r="1017" spans="3:17">
      <c r="C1017" s="962"/>
      <c r="D1017" s="962"/>
      <c r="E1017" s="658"/>
      <c r="F1017" s="658"/>
      <c r="G1017" s="658"/>
      <c r="H1017" s="658"/>
      <c r="I1017" s="658"/>
      <c r="J1017" s="658"/>
      <c r="K1017" s="658"/>
      <c r="L1017" s="658"/>
      <c r="M1017" s="658"/>
      <c r="N1017" s="658"/>
      <c r="O1017" s="658"/>
      <c r="P1017" s="658"/>
      <c r="Q1017" s="658"/>
    </row>
    <row r="1018" spans="3:17">
      <c r="C1018" s="962"/>
      <c r="D1018" s="962"/>
      <c r="E1018" s="658"/>
      <c r="F1018" s="658"/>
      <c r="G1018" s="658"/>
      <c r="H1018" s="658"/>
      <c r="I1018" s="658"/>
      <c r="J1018" s="658"/>
      <c r="K1018" s="658"/>
      <c r="L1018" s="658"/>
      <c r="M1018" s="658"/>
      <c r="N1018" s="658"/>
      <c r="O1018" s="658"/>
      <c r="P1018" s="658"/>
      <c r="Q1018" s="658"/>
    </row>
    <row r="1019" spans="3:17">
      <c r="C1019" s="962"/>
      <c r="D1019" s="962"/>
      <c r="E1019" s="658"/>
      <c r="F1019" s="658"/>
      <c r="G1019" s="658"/>
      <c r="H1019" s="658"/>
      <c r="I1019" s="658"/>
      <c r="J1019" s="658"/>
      <c r="K1019" s="658"/>
      <c r="L1019" s="658"/>
      <c r="M1019" s="658"/>
      <c r="N1019" s="658"/>
      <c r="O1019" s="658"/>
      <c r="P1019" s="658"/>
      <c r="Q1019" s="658"/>
    </row>
    <row r="1020" spans="3:17">
      <c r="C1020" s="962"/>
      <c r="D1020" s="962"/>
      <c r="E1020" s="658"/>
      <c r="F1020" s="658"/>
      <c r="G1020" s="658"/>
      <c r="H1020" s="658"/>
      <c r="I1020" s="658"/>
      <c r="J1020" s="658"/>
      <c r="K1020" s="658"/>
      <c r="L1020" s="658"/>
      <c r="M1020" s="658"/>
      <c r="N1020" s="658"/>
      <c r="O1020" s="658"/>
      <c r="P1020" s="658"/>
      <c r="Q1020" s="658"/>
    </row>
    <row r="1021" spans="3:17">
      <c r="C1021" s="962"/>
      <c r="D1021" s="962"/>
      <c r="E1021" s="658"/>
      <c r="F1021" s="658"/>
      <c r="G1021" s="658"/>
      <c r="H1021" s="658"/>
      <c r="I1021" s="658"/>
      <c r="J1021" s="658"/>
      <c r="K1021" s="658"/>
      <c r="L1021" s="658"/>
      <c r="M1021" s="658"/>
      <c r="N1021" s="658"/>
      <c r="O1021" s="658"/>
      <c r="P1021" s="658"/>
      <c r="Q1021" s="658"/>
    </row>
    <row r="1022" spans="3:17">
      <c r="C1022" s="962"/>
      <c r="D1022" s="962"/>
      <c r="E1022" s="658"/>
      <c r="F1022" s="658"/>
      <c r="G1022" s="658"/>
      <c r="H1022" s="658"/>
      <c r="I1022" s="658"/>
      <c r="J1022" s="658"/>
      <c r="K1022" s="658"/>
      <c r="L1022" s="658"/>
      <c r="M1022" s="658"/>
      <c r="N1022" s="658"/>
      <c r="O1022" s="658"/>
      <c r="P1022" s="658"/>
      <c r="Q1022" s="658"/>
    </row>
    <row r="1023" spans="3:17">
      <c r="C1023" s="962"/>
      <c r="D1023" s="962"/>
      <c r="E1023" s="658"/>
      <c r="F1023" s="658"/>
      <c r="G1023" s="658"/>
      <c r="H1023" s="658"/>
      <c r="I1023" s="658"/>
      <c r="J1023" s="658"/>
      <c r="K1023" s="658"/>
      <c r="L1023" s="658"/>
      <c r="M1023" s="658"/>
      <c r="N1023" s="658"/>
      <c r="O1023" s="658"/>
      <c r="P1023" s="658"/>
      <c r="Q1023" s="658"/>
    </row>
  </sheetData>
  <sheetProtection password="95B1" sheet="1" objects="1" scenarios="1"/>
  <phoneticPr fontId="34" type="noConversion"/>
  <printOptions horizontalCentered="1" verticalCentered="1"/>
  <pageMargins left="0" right="0.19685039370078741" top="0.39370078740157483" bottom="0.51181102362204722" header="0.19685039370078741" footer="0.19685039370078741"/>
  <pageSetup scale="40" orientation="landscape" horizontalDpi="4294967293" r:id="rId1"/>
  <headerFooter alignWithMargins="0">
    <oddHeader>&amp;C&amp;"Arial,Negrita"&amp;12&amp;F</oddHeader>
    <oddFooter>&amp;L&amp;"Arial,Negrita"&amp;F &amp;A&amp;R&amp;"Arial,Negrita"Página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9"/>
  <dimension ref="A1:AL189"/>
  <sheetViews>
    <sheetView topLeftCell="A193" zoomScaleNormal="100" workbookViewId="0">
      <selection sqref="A1:Q172"/>
    </sheetView>
  </sheetViews>
  <sheetFormatPr baseColWidth="10" defaultRowHeight="12.75"/>
  <cols>
    <col min="1" max="1" width="17" style="1320" customWidth="1"/>
    <col min="2" max="2" width="39.140625" style="1320" customWidth="1"/>
    <col min="3" max="17" width="14.85546875" style="1320" customWidth="1"/>
    <col min="18" max="18" width="35.5703125" style="1320" customWidth="1"/>
    <col min="19" max="20" width="11.42578125" style="1320"/>
    <col min="21" max="24" width="11.42578125" style="1416"/>
    <col min="25" max="33" width="11.42578125" style="1320"/>
    <col min="34" max="34" width="31.85546875" style="1320" bestFit="1" customWidth="1"/>
    <col min="35" max="35" width="3.140625" style="1415" customWidth="1"/>
    <col min="36" max="16384" width="11.42578125" style="1320"/>
  </cols>
  <sheetData>
    <row r="1" spans="1:34" ht="15">
      <c r="A1" s="38" t="s">
        <v>1224</v>
      </c>
      <c r="B1" s="38"/>
      <c r="C1" s="38"/>
      <c r="D1" s="38"/>
      <c r="E1" s="38"/>
      <c r="F1" s="1"/>
      <c r="G1" s="1"/>
      <c r="H1" s="10"/>
      <c r="I1" s="1"/>
      <c r="J1" s="1"/>
      <c r="K1" s="1"/>
      <c r="L1" s="1"/>
      <c r="M1" s="1"/>
      <c r="N1" s="1"/>
      <c r="O1" s="1"/>
      <c r="P1" s="1"/>
      <c r="Q1" s="1"/>
      <c r="R1" s="1"/>
    </row>
    <row r="2" spans="1:34" ht="15.75" thickBot="1">
      <c r="A2" s="38" t="s">
        <v>1225</v>
      </c>
      <c r="B2" s="38"/>
      <c r="C2" s="38"/>
      <c r="D2" s="38"/>
      <c r="E2" s="38"/>
      <c r="F2" s="1"/>
      <c r="G2" s="1"/>
      <c r="H2" s="10"/>
      <c r="I2" s="1"/>
      <c r="J2" s="1"/>
      <c r="K2" s="1"/>
      <c r="L2" s="1"/>
      <c r="M2" s="1"/>
      <c r="N2" s="1"/>
      <c r="O2" s="1"/>
      <c r="P2" s="1"/>
      <c r="Q2" s="1"/>
      <c r="R2" s="1"/>
    </row>
    <row r="3" spans="1:34" ht="15.75" hidden="1" thickBot="1">
      <c r="A3" s="309"/>
      <c r="B3" s="309"/>
      <c r="C3" s="309"/>
      <c r="D3" s="1"/>
      <c r="E3" s="1"/>
      <c r="F3" s="1"/>
      <c r="G3" s="1"/>
      <c r="H3" s="10"/>
      <c r="I3" s="1"/>
      <c r="J3" s="1"/>
      <c r="K3" s="1"/>
      <c r="L3" s="1"/>
      <c r="M3" s="1"/>
      <c r="N3" s="1"/>
      <c r="O3" s="1"/>
      <c r="P3" s="1"/>
      <c r="Q3" s="1"/>
      <c r="R3" s="1"/>
    </row>
    <row r="4" spans="1:34" ht="13.5" hidden="1" thickBot="1">
      <c r="A4" s="310"/>
      <c r="B4" s="310"/>
      <c r="C4" s="310"/>
      <c r="D4" s="1"/>
      <c r="E4" s="1"/>
      <c r="F4" s="1"/>
      <c r="G4" s="1"/>
      <c r="H4" s="10"/>
      <c r="I4" s="1"/>
      <c r="J4" s="1"/>
      <c r="K4" s="1"/>
      <c r="L4" s="1"/>
      <c r="M4" s="1"/>
      <c r="N4" s="1"/>
      <c r="O4" s="1"/>
      <c r="P4" s="1"/>
      <c r="Q4" s="1"/>
      <c r="R4" s="1"/>
    </row>
    <row r="5" spans="1:34" ht="13.5" hidden="1" thickBot="1">
      <c r="A5" s="307" t="s">
        <v>1226</v>
      </c>
      <c r="B5" s="308"/>
      <c r="C5" s="316">
        <f>+Ingresos!B6</f>
        <v>0</v>
      </c>
      <c r="D5" s="1"/>
      <c r="E5" s="1"/>
      <c r="F5" s="1"/>
      <c r="G5" s="1"/>
      <c r="H5" s="10"/>
      <c r="I5" s="1"/>
      <c r="J5" s="1"/>
      <c r="K5" s="1"/>
      <c r="L5" s="1"/>
      <c r="M5" s="1"/>
      <c r="N5" s="1"/>
      <c r="O5" s="1"/>
      <c r="P5" s="1"/>
      <c r="Q5" s="1"/>
      <c r="R5" s="1"/>
    </row>
    <row r="6" spans="1:34">
      <c r="A6" s="307" t="s">
        <v>100</v>
      </c>
      <c r="B6" s="308"/>
      <c r="C6" s="973" t="str">
        <f>+Ingresos!B8</f>
        <v>MUNICIPIO DE CUNDAY</v>
      </c>
      <c r="D6" s="5"/>
      <c r="E6" s="5"/>
      <c r="F6" s="1"/>
      <c r="G6" s="1"/>
      <c r="H6" s="10"/>
      <c r="I6" s="1"/>
      <c r="J6" s="1"/>
      <c r="K6" s="1"/>
      <c r="L6" s="1"/>
      <c r="M6" s="1"/>
      <c r="N6" s="1"/>
      <c r="O6" s="1"/>
      <c r="P6" s="1"/>
      <c r="Q6" s="1"/>
      <c r="R6" s="1"/>
    </row>
    <row r="7" spans="1:34">
      <c r="A7" s="317" t="s">
        <v>1228</v>
      </c>
      <c r="B7" s="318"/>
      <c r="C7" s="974">
        <f>+Ingresos!B10</f>
        <v>2011</v>
      </c>
      <c r="D7" s="19"/>
      <c r="E7" s="19"/>
      <c r="F7" s="1"/>
      <c r="G7" s="1"/>
      <c r="H7" s="10"/>
      <c r="I7" s="1"/>
      <c r="J7" s="1"/>
      <c r="K7" s="1"/>
      <c r="L7" s="1"/>
      <c r="M7" s="1"/>
      <c r="N7" s="1"/>
      <c r="O7" s="1"/>
      <c r="P7" s="1"/>
      <c r="Q7" s="1"/>
      <c r="R7" s="1"/>
    </row>
    <row r="8" spans="1:34" ht="13.5" thickBot="1">
      <c r="A8" s="320" t="s">
        <v>1230</v>
      </c>
      <c r="B8" s="321"/>
      <c r="C8" s="975">
        <f>+Ingresos!B12</f>
        <v>6</v>
      </c>
      <c r="D8" s="1415">
        <v>1.04</v>
      </c>
      <c r="E8" s="1415">
        <v>1.04</v>
      </c>
      <c r="F8" s="1415">
        <v>1.04</v>
      </c>
      <c r="G8" s="1415">
        <v>1.04</v>
      </c>
      <c r="H8" s="1415">
        <v>1.04</v>
      </c>
      <c r="I8" s="1415">
        <v>1.04</v>
      </c>
      <c r="J8" s="1415">
        <v>1.04</v>
      </c>
      <c r="K8" s="1415">
        <v>1.04</v>
      </c>
      <c r="L8" s="1415">
        <v>1.04</v>
      </c>
      <c r="M8" s="1415">
        <v>1.04</v>
      </c>
      <c r="N8" s="1415">
        <v>1.04</v>
      </c>
      <c r="O8" s="1415">
        <v>1.04</v>
      </c>
      <c r="P8" s="1415">
        <v>1.04</v>
      </c>
      <c r="Q8" s="1415">
        <v>1.04</v>
      </c>
      <c r="R8" s="1"/>
      <c r="S8" s="1415"/>
      <c r="T8" s="1415"/>
      <c r="U8" s="1422"/>
      <c r="V8" s="1422"/>
      <c r="W8" s="1422"/>
      <c r="X8" s="1422"/>
      <c r="Y8" s="1415"/>
      <c r="Z8" s="1415"/>
      <c r="AA8" s="1415"/>
      <c r="AB8" s="1415"/>
      <c r="AC8" s="1415"/>
      <c r="AD8" s="1415"/>
      <c r="AE8" s="1415"/>
      <c r="AF8" s="1415"/>
      <c r="AG8" s="1415"/>
      <c r="AH8" s="1415"/>
    </row>
    <row r="9" spans="1:34" ht="13.5" hidden="1" thickBot="1">
      <c r="A9" s="320" t="s">
        <v>1231</v>
      </c>
      <c r="B9" s="321"/>
      <c r="C9" s="322">
        <f>+Ingresos!B14</f>
        <v>0</v>
      </c>
      <c r="D9" s="1"/>
      <c r="E9" s="1"/>
      <c r="F9" s="1"/>
      <c r="G9" s="1"/>
      <c r="H9" s="10"/>
      <c r="I9" s="1"/>
      <c r="J9" s="1"/>
      <c r="K9" s="1"/>
      <c r="L9" s="1"/>
      <c r="M9" s="1"/>
      <c r="N9" s="1"/>
      <c r="O9" s="1"/>
      <c r="P9" s="1"/>
      <c r="Q9" s="1"/>
      <c r="R9" s="1"/>
    </row>
    <row r="10" spans="1:34" ht="13.5" hidden="1" thickBot="1">
      <c r="A10" s="112"/>
      <c r="B10" s="112"/>
      <c r="C10" s="323"/>
      <c r="D10" s="1"/>
      <c r="E10" s="1"/>
      <c r="F10" s="1"/>
      <c r="G10" s="1"/>
      <c r="H10" s="10"/>
      <c r="I10" s="1"/>
      <c r="J10" s="1"/>
      <c r="K10" s="1"/>
      <c r="L10" s="1"/>
      <c r="M10" s="1"/>
      <c r="N10" s="1"/>
      <c r="O10" s="1"/>
      <c r="P10" s="1"/>
      <c r="Q10" s="1"/>
      <c r="R10" s="1"/>
    </row>
    <row r="11" spans="1:34" ht="13.5" hidden="1" thickBot="1">
      <c r="A11" s="40" t="s">
        <v>101</v>
      </c>
      <c r="B11" s="40"/>
      <c r="C11" s="40"/>
      <c r="D11" s="40"/>
      <c r="E11" s="40"/>
      <c r="F11" s="1"/>
      <c r="G11" s="1"/>
      <c r="H11" s="10"/>
      <c r="I11" s="1"/>
      <c r="J11" s="1"/>
      <c r="K11" s="1"/>
      <c r="L11" s="1"/>
      <c r="M11" s="1"/>
      <c r="N11" s="1"/>
      <c r="O11" s="1"/>
      <c r="P11" s="1"/>
      <c r="Q11" s="1"/>
      <c r="R11" s="1"/>
    </row>
    <row r="12" spans="1:34" ht="13.5" hidden="1" thickBot="1">
      <c r="A12" s="324"/>
      <c r="B12" s="324"/>
      <c r="C12" s="324"/>
      <c r="D12" s="22"/>
      <c r="E12" s="22"/>
      <c r="F12" s="1"/>
      <c r="G12" s="1"/>
      <c r="H12" s="10"/>
      <c r="I12" s="1"/>
      <c r="J12" s="1"/>
      <c r="K12" s="1"/>
      <c r="L12" s="1"/>
      <c r="M12" s="1"/>
      <c r="N12" s="1"/>
      <c r="O12" s="1"/>
      <c r="P12" s="1"/>
      <c r="Q12" s="1"/>
      <c r="R12" s="1"/>
    </row>
    <row r="13" spans="1:34" ht="13.5" hidden="1" thickBot="1">
      <c r="A13" s="307" t="s">
        <v>1233</v>
      </c>
      <c r="B13" s="308"/>
      <c r="C13" s="316"/>
      <c r="D13" s="3"/>
      <c r="E13" s="3"/>
      <c r="F13" s="1"/>
      <c r="G13" s="1"/>
      <c r="H13" s="10"/>
      <c r="I13" s="1"/>
      <c r="J13" s="1"/>
      <c r="K13" s="1"/>
      <c r="L13" s="1"/>
      <c r="M13" s="1"/>
      <c r="N13" s="1"/>
      <c r="O13" s="1"/>
      <c r="P13" s="1"/>
      <c r="Q13" s="1"/>
      <c r="R13" s="1"/>
    </row>
    <row r="14" spans="1:34" ht="13.5" hidden="1" thickBot="1">
      <c r="A14" s="317" t="s">
        <v>1234</v>
      </c>
      <c r="B14" s="318"/>
      <c r="C14" s="319"/>
      <c r="D14" s="3"/>
      <c r="E14" s="3"/>
      <c r="F14" s="1"/>
      <c r="G14" s="1"/>
      <c r="H14" s="10"/>
      <c r="I14" s="1"/>
      <c r="J14" s="1"/>
      <c r="K14" s="1"/>
      <c r="L14" s="1"/>
      <c r="M14" s="1"/>
      <c r="N14" s="1"/>
      <c r="O14" s="1"/>
      <c r="P14" s="1"/>
      <c r="Q14" s="1"/>
      <c r="R14" s="1"/>
    </row>
    <row r="15" spans="1:34" ht="13.5" hidden="1" thickBot="1">
      <c r="A15" s="320" t="s">
        <v>1235</v>
      </c>
      <c r="B15" s="321"/>
      <c r="C15" s="322"/>
      <c r="D15" s="3"/>
      <c r="E15" s="3"/>
      <c r="F15" s="1"/>
      <c r="G15" s="1"/>
      <c r="H15" s="10"/>
      <c r="I15" s="1"/>
      <c r="J15" s="1"/>
      <c r="K15" s="1"/>
      <c r="L15" s="1"/>
      <c r="M15" s="1"/>
      <c r="N15" s="1"/>
      <c r="O15" s="1"/>
      <c r="P15" s="1"/>
      <c r="Q15" s="1"/>
      <c r="R15" s="1"/>
    </row>
    <row r="16" spans="1:34" ht="13.5" hidden="1" thickBot="1">
      <c r="A16" s="323"/>
      <c r="B16" s="323"/>
      <c r="C16" s="323"/>
      <c r="D16" s="3"/>
      <c r="E16" s="3"/>
      <c r="F16" s="1"/>
      <c r="G16" s="1"/>
      <c r="H16" s="10"/>
      <c r="I16" s="1"/>
      <c r="J16" s="1"/>
      <c r="K16" s="1"/>
      <c r="L16" s="1"/>
      <c r="M16" s="1"/>
      <c r="N16" s="1"/>
      <c r="O16" s="1"/>
      <c r="P16" s="1"/>
      <c r="Q16" s="1"/>
      <c r="R16" s="1"/>
    </row>
    <row r="17" spans="1:38" ht="13.5" hidden="1" thickBot="1">
      <c r="A17" s="40" t="s">
        <v>102</v>
      </c>
      <c r="B17" s="40"/>
      <c r="C17" s="40"/>
      <c r="D17" s="19"/>
      <c r="E17" s="19"/>
      <c r="F17" s="19"/>
      <c r="G17" s="19"/>
      <c r="H17" s="10"/>
      <c r="I17" s="1"/>
      <c r="J17" s="1"/>
      <c r="K17" s="1"/>
      <c r="L17" s="1"/>
      <c r="M17" s="1"/>
      <c r="N17" s="1"/>
      <c r="O17" s="1"/>
      <c r="P17" s="1"/>
      <c r="Q17" s="1"/>
      <c r="R17" s="1"/>
    </row>
    <row r="18" spans="1:38" ht="13.5" hidden="1" thickBot="1">
      <c r="A18" s="112"/>
      <c r="B18" s="112"/>
      <c r="C18" s="112"/>
      <c r="D18" s="1"/>
      <c r="E18" s="1"/>
      <c r="F18" s="19"/>
      <c r="G18" s="19"/>
      <c r="H18" s="10"/>
      <c r="I18" s="1"/>
      <c r="J18" s="1"/>
      <c r="K18" s="1"/>
      <c r="L18" s="1"/>
      <c r="M18" s="1"/>
      <c r="N18" s="1"/>
      <c r="O18" s="1"/>
      <c r="P18" s="1"/>
      <c r="Q18" s="1"/>
      <c r="R18" s="1"/>
    </row>
    <row r="19" spans="1:38" ht="13.5" hidden="1" thickBot="1">
      <c r="A19" s="112"/>
      <c r="B19" s="112"/>
      <c r="C19" s="325"/>
      <c r="D19" s="1"/>
      <c r="E19" s="1"/>
      <c r="F19" s="3"/>
      <c r="G19" s="6"/>
      <c r="H19" s="10"/>
      <c r="I19" s="1"/>
      <c r="J19" s="1"/>
      <c r="K19" s="1"/>
      <c r="L19" s="1"/>
      <c r="M19" s="1"/>
      <c r="N19" s="1"/>
      <c r="O19" s="1"/>
      <c r="P19" s="1"/>
      <c r="Q19" s="1"/>
      <c r="R19" s="1"/>
    </row>
    <row r="20" spans="1:38" ht="15.75" hidden="1" thickBot="1">
      <c r="A20" s="11"/>
      <c r="B20" s="1"/>
      <c r="C20" s="1"/>
      <c r="D20" s="1"/>
      <c r="E20" s="1"/>
      <c r="F20" s="15"/>
      <c r="G20" s="16"/>
      <c r="H20" s="10"/>
      <c r="I20" s="1"/>
      <c r="J20" s="1"/>
      <c r="K20" s="1"/>
      <c r="L20" s="1"/>
      <c r="M20" s="1"/>
      <c r="N20" s="1"/>
      <c r="O20" s="1"/>
      <c r="P20" s="1"/>
      <c r="Q20" s="1"/>
      <c r="R20" s="1"/>
    </row>
    <row r="21" spans="1:38" ht="13.5" hidden="1" thickBot="1">
      <c r="A21" s="10"/>
      <c r="B21" s="1"/>
      <c r="C21" s="49"/>
      <c r="D21" s="49"/>
      <c r="E21" s="49"/>
      <c r="F21" s="49"/>
      <c r="G21" s="50"/>
      <c r="H21" s="51"/>
      <c r="I21" s="49"/>
      <c r="J21" s="49"/>
      <c r="K21" s="49"/>
      <c r="L21" s="49"/>
      <c r="M21" s="49"/>
      <c r="N21" s="49"/>
      <c r="O21" s="49"/>
      <c r="P21" s="49"/>
      <c r="Q21" s="49"/>
      <c r="R21" s="49"/>
    </row>
    <row r="22" spans="1:38" ht="41.25" customHeight="1" thickBot="1">
      <c r="A22" s="602" t="s">
        <v>1240</v>
      </c>
      <c r="B22" s="336" t="s">
        <v>1241</v>
      </c>
      <c r="C22" s="409" t="str">
        <f>"Escenario Financiero Año "&amp;YEAR(Ingresos!$I$21)</f>
        <v>Escenario Financiero Año 2009</v>
      </c>
      <c r="D22" s="409" t="str">
        <f>"Escenario Financiero Año "&amp;YEAR(Ingresos!$I$21)+1</f>
        <v>Escenario Financiero Año 2010</v>
      </c>
      <c r="E22" s="409" t="str">
        <f>"Escenario Financiero Año "&amp;YEAR(Ingresos!$I$21)+2</f>
        <v>Escenario Financiero Año 2011</v>
      </c>
      <c r="F22" s="409" t="str">
        <f>"Escenario Financiero Año "&amp;YEAR(Ingresos!$I$21)+3</f>
        <v>Escenario Financiero Año 2012</v>
      </c>
      <c r="G22" s="409" t="str">
        <f>"Escenario Financiero Año "&amp;YEAR(Ingresos!$I$21)+4</f>
        <v>Escenario Financiero Año 2013</v>
      </c>
      <c r="H22" s="409" t="str">
        <f>"Escenario Financiero Año "&amp;YEAR(Ingresos!$I$21)+5</f>
        <v>Escenario Financiero Año 2014</v>
      </c>
      <c r="I22" s="409" t="str">
        <f>"Escenario Financiero Año "&amp;YEAR(Ingresos!$I$21)+6</f>
        <v>Escenario Financiero Año 2015</v>
      </c>
      <c r="J22" s="409" t="str">
        <f>"Escenario Financiero Año "&amp;YEAR(Ingresos!$I$21)+7</f>
        <v>Escenario Financiero Año 2016</v>
      </c>
      <c r="K22" s="409" t="str">
        <f>"Escenario Financiero Año "&amp;YEAR(Ingresos!$I$21)+8</f>
        <v>Escenario Financiero Año 2017</v>
      </c>
      <c r="L22" s="409" t="str">
        <f>"Escenario Financiero Año "&amp;YEAR(Ingresos!$I$21)+9</f>
        <v>Escenario Financiero Año 2018</v>
      </c>
      <c r="M22" s="409" t="str">
        <f>"Escenario Financiero Año "&amp;YEAR(Ingresos!$I$21)+10</f>
        <v>Escenario Financiero Año 2019</v>
      </c>
      <c r="N22" s="409" t="str">
        <f>"Escenario Financiero Año "&amp;YEAR(Ingresos!$I$21)+11</f>
        <v>Escenario Financiero Año 2020</v>
      </c>
      <c r="O22" s="409" t="str">
        <f>"Escenario Financiero Año "&amp;YEAR(Ingresos!$I$21)+12</f>
        <v>Escenario Financiero Año 2021</v>
      </c>
      <c r="P22" s="409" t="str">
        <f>"Escenario Financiero Año "&amp;YEAR(Ingresos!$I$21)+13</f>
        <v>Escenario Financiero Año 2022</v>
      </c>
      <c r="Q22" s="409" t="str">
        <f>"Escenario Financiero Año "&amp;YEAR(Ingresos!$I$21)+14</f>
        <v>Escenario Financiero Año 2023</v>
      </c>
      <c r="R22" s="336" t="s">
        <v>1018</v>
      </c>
      <c r="V22" s="1417"/>
    </row>
    <row r="23" spans="1:38" ht="6.75" hidden="1" customHeight="1" thickBot="1">
      <c r="A23" s="1148"/>
      <c r="B23" s="338"/>
      <c r="C23" s="312"/>
      <c r="D23" s="312"/>
      <c r="E23" s="312"/>
      <c r="F23" s="312"/>
      <c r="G23" s="312"/>
      <c r="H23" s="312"/>
      <c r="I23" s="312"/>
      <c r="J23" s="312"/>
      <c r="K23" s="312"/>
      <c r="L23" s="312"/>
      <c r="M23" s="312"/>
      <c r="N23" s="312"/>
      <c r="O23" s="312"/>
      <c r="P23" s="312"/>
      <c r="Q23" s="312"/>
      <c r="R23" s="338"/>
    </row>
    <row r="24" spans="1:38">
      <c r="A24" s="1149" t="s">
        <v>1252</v>
      </c>
      <c r="B24" s="1150" t="s">
        <v>1253</v>
      </c>
      <c r="C24" s="498">
        <f>+C25+C84</f>
        <v>6642691</v>
      </c>
      <c r="D24" s="498">
        <f t="shared" ref="D24:Q24" si="0">+D25+D84</f>
        <v>6291226.4800000004</v>
      </c>
      <c r="E24" s="498">
        <f t="shared" si="0"/>
        <v>6706172.0992000001</v>
      </c>
      <c r="F24" s="498">
        <f t="shared" si="0"/>
        <v>6618634.5031680008</v>
      </c>
      <c r="G24" s="498">
        <f t="shared" si="0"/>
        <v>5957129.6032947209</v>
      </c>
      <c r="H24" s="498">
        <f t="shared" si="0"/>
        <v>6137684.3874265086</v>
      </c>
      <c r="I24" s="498">
        <f t="shared" si="0"/>
        <v>6383191.7629235703</v>
      </c>
      <c r="J24" s="498">
        <f t="shared" si="0"/>
        <v>6638519.433440512</v>
      </c>
      <c r="K24" s="498">
        <f t="shared" si="0"/>
        <v>7704060.2107781339</v>
      </c>
      <c r="L24" s="498">
        <f t="shared" si="0"/>
        <v>7180222.6192092597</v>
      </c>
      <c r="M24" s="498">
        <f t="shared" si="0"/>
        <v>7467431.5239776289</v>
      </c>
      <c r="N24" s="498">
        <f t="shared" si="0"/>
        <v>7766128.7849367354</v>
      </c>
      <c r="O24" s="498">
        <f t="shared" si="0"/>
        <v>8076773.9363342039</v>
      </c>
      <c r="P24" s="498">
        <f t="shared" si="0"/>
        <v>8399844.893787574</v>
      </c>
      <c r="Q24" s="498">
        <f t="shared" si="0"/>
        <v>8735838.6895390768</v>
      </c>
      <c r="R24" s="1315"/>
      <c r="S24" s="1418"/>
      <c r="T24" s="1418"/>
      <c r="U24" s="1419"/>
      <c r="W24" s="1419"/>
      <c r="X24" s="1419"/>
      <c r="Y24" s="1418"/>
      <c r="Z24" s="1418"/>
      <c r="AA24" s="1418"/>
      <c r="AB24" s="1418"/>
      <c r="AC24" s="1418"/>
      <c r="AD24" s="1418"/>
      <c r="AE24" s="1418"/>
      <c r="AF24" s="1418"/>
      <c r="AG24" s="1418"/>
      <c r="AH24" s="1418"/>
      <c r="AI24" s="1423"/>
      <c r="AJ24" s="1418"/>
      <c r="AK24" s="1418"/>
      <c r="AL24" s="1418"/>
    </row>
    <row r="25" spans="1:38">
      <c r="A25" s="462" t="s">
        <v>1254</v>
      </c>
      <c r="B25" s="504" t="s">
        <v>1255</v>
      </c>
      <c r="C25" s="498">
        <f>+C26+C47</f>
        <v>6429104</v>
      </c>
      <c r="D25" s="498">
        <f t="shared" ref="D25:Q25" si="1">+D26+D47</f>
        <v>6069096</v>
      </c>
      <c r="E25" s="498">
        <f t="shared" si="1"/>
        <v>4978908.12</v>
      </c>
      <c r="F25" s="498">
        <f t="shared" si="1"/>
        <v>5578377.884800001</v>
      </c>
      <c r="G25" s="498">
        <f t="shared" si="1"/>
        <v>5707262.7201920012</v>
      </c>
      <c r="H25" s="498">
        <f t="shared" si="1"/>
        <v>5877822.8289996795</v>
      </c>
      <c r="I25" s="498">
        <f t="shared" si="1"/>
        <v>6112935.7421596684</v>
      </c>
      <c r="J25" s="498">
        <f t="shared" si="1"/>
        <v>6357453.1718460545</v>
      </c>
      <c r="K25" s="498">
        <f t="shared" si="1"/>
        <v>6611751.2987198969</v>
      </c>
      <c r="L25" s="498">
        <f t="shared" si="1"/>
        <v>6876221.3506686939</v>
      </c>
      <c r="M25" s="498">
        <f t="shared" si="1"/>
        <v>7151270.2046954408</v>
      </c>
      <c r="N25" s="498">
        <f t="shared" si="1"/>
        <v>7437321.0128832599</v>
      </c>
      <c r="O25" s="498">
        <f t="shared" si="1"/>
        <v>7734813.8533985894</v>
      </c>
      <c r="P25" s="498">
        <f t="shared" si="1"/>
        <v>8044206.407534535</v>
      </c>
      <c r="Q25" s="498">
        <f t="shared" si="1"/>
        <v>8365974.6638359157</v>
      </c>
      <c r="R25" s="1316"/>
      <c r="S25" s="1418"/>
      <c r="T25" s="1418"/>
      <c r="U25" s="1419"/>
      <c r="W25" s="1419"/>
      <c r="X25" s="1419"/>
      <c r="Y25" s="1418"/>
      <c r="Z25" s="1418"/>
      <c r="AA25" s="1418"/>
      <c r="AB25" s="1418"/>
      <c r="AC25" s="1418"/>
      <c r="AD25" s="1418"/>
      <c r="AE25" s="1418"/>
      <c r="AF25" s="1418"/>
      <c r="AG25" s="1418"/>
      <c r="AH25" s="1418"/>
      <c r="AI25" s="1423"/>
      <c r="AJ25" s="1418"/>
      <c r="AK25" s="1418"/>
      <c r="AL25" s="1418"/>
    </row>
    <row r="26" spans="1:38">
      <c r="A26" s="463" t="s">
        <v>1256</v>
      </c>
      <c r="B26" s="504" t="s">
        <v>1257</v>
      </c>
      <c r="C26" s="498">
        <f>+C27+C29+C30+C31+C32+C33+C34+C35+C36+C37+C39+C45+C46+C28+C38</f>
        <v>393482</v>
      </c>
      <c r="D26" s="498">
        <f t="shared" ref="D26:Q26" si="2">+D27+D29+D30+D31+D32+D33+D34+D35+D36+D37+D39+D45+D46+D28+D38</f>
        <v>571262</v>
      </c>
      <c r="E26" s="498">
        <f t="shared" si="2"/>
        <v>602986</v>
      </c>
      <c r="F26" s="498">
        <f t="shared" si="2"/>
        <v>578402.12</v>
      </c>
      <c r="G26" s="498">
        <f t="shared" si="2"/>
        <v>601538.20480000007</v>
      </c>
      <c r="H26" s="498">
        <f t="shared" si="2"/>
        <v>625599.73299199995</v>
      </c>
      <c r="I26" s="498">
        <f t="shared" si="2"/>
        <v>650623.72231168009</v>
      </c>
      <c r="J26" s="498">
        <f t="shared" si="2"/>
        <v>676648.67120414716</v>
      </c>
      <c r="K26" s="498">
        <f t="shared" si="2"/>
        <v>703714.61805231322</v>
      </c>
      <c r="L26" s="498">
        <f t="shared" si="2"/>
        <v>731863.20277440571</v>
      </c>
      <c r="M26" s="498">
        <f t="shared" si="2"/>
        <v>761137.73088538193</v>
      </c>
      <c r="N26" s="498">
        <f t="shared" si="2"/>
        <v>791583.24012079719</v>
      </c>
      <c r="O26" s="498">
        <f t="shared" si="2"/>
        <v>823246.56972562906</v>
      </c>
      <c r="P26" s="498">
        <f t="shared" si="2"/>
        <v>856176.43251465424</v>
      </c>
      <c r="Q26" s="498">
        <f t="shared" si="2"/>
        <v>890423.48981524061</v>
      </c>
      <c r="R26" s="1316"/>
      <c r="S26" s="1418"/>
      <c r="T26" s="1418"/>
      <c r="U26" s="1419"/>
      <c r="W26" s="1419"/>
      <c r="X26" s="1419"/>
      <c r="Y26" s="1418"/>
      <c r="Z26" s="1418"/>
      <c r="AA26" s="1418"/>
      <c r="AB26" s="1418"/>
      <c r="AC26" s="1418"/>
      <c r="AD26" s="1418"/>
      <c r="AE26" s="1418"/>
      <c r="AF26" s="1418"/>
      <c r="AG26" s="1418"/>
      <c r="AH26" s="1418"/>
      <c r="AI26" s="1423"/>
      <c r="AJ26" s="1418"/>
      <c r="AK26" s="1418"/>
      <c r="AL26" s="1418"/>
    </row>
    <row r="27" spans="1:38">
      <c r="A27" s="24" t="s">
        <v>1258</v>
      </c>
      <c r="B27" s="505" t="s">
        <v>1259</v>
      </c>
      <c r="C27" s="7">
        <v>184253</v>
      </c>
      <c r="D27" s="7">
        <v>310512</v>
      </c>
      <c r="E27" s="7">
        <v>375912</v>
      </c>
      <c r="F27" s="7">
        <v>342244</v>
      </c>
      <c r="G27" s="7">
        <f t="shared" ref="G27" si="3">+F27*$E$8</f>
        <v>355933.76</v>
      </c>
      <c r="H27" s="7">
        <f t="shared" ref="H27" si="4">+G27*$E$8</f>
        <v>370171.11040000001</v>
      </c>
      <c r="I27" s="7">
        <f t="shared" ref="I27" si="5">+H27*$E$8</f>
        <v>384977.95481600001</v>
      </c>
      <c r="J27" s="7">
        <f t="shared" ref="J27" si="6">+I27*$E$8</f>
        <v>400377.07300864003</v>
      </c>
      <c r="K27" s="7">
        <f t="shared" ref="K27" si="7">+J27*$E$8</f>
        <v>416392.15592898562</v>
      </c>
      <c r="L27" s="7">
        <f t="shared" ref="L27" si="8">+K27*$E$8</f>
        <v>433047.84216614504</v>
      </c>
      <c r="M27" s="7">
        <f t="shared" ref="M27" si="9">+L27*$E$8</f>
        <v>450369.75585279084</v>
      </c>
      <c r="N27" s="7">
        <f t="shared" ref="N27" si="10">+M27*$E$8</f>
        <v>468384.5460869025</v>
      </c>
      <c r="O27" s="7">
        <f t="shared" ref="O27" si="11">+N27*$E$8</f>
        <v>487119.92793037859</v>
      </c>
      <c r="P27" s="7">
        <f t="shared" ref="P27" si="12">+O27*$E$8</f>
        <v>506604.72504759376</v>
      </c>
      <c r="Q27" s="7">
        <f t="shared" ref="Q27" si="13">+P27*$E$8</f>
        <v>526868.91404949757</v>
      </c>
      <c r="R27" s="1316"/>
      <c r="S27" s="1418"/>
      <c r="T27" s="1418"/>
      <c r="U27" s="1419"/>
      <c r="W27" s="1419"/>
      <c r="X27" s="1419"/>
      <c r="Y27" s="1418"/>
      <c r="Z27" s="1418"/>
      <c r="AA27" s="1418"/>
      <c r="AB27" s="1418"/>
      <c r="AC27" s="1418"/>
      <c r="AD27" s="1418"/>
      <c r="AE27" s="1418"/>
      <c r="AF27" s="1418"/>
      <c r="AG27" s="1418"/>
      <c r="AH27" s="1418"/>
      <c r="AI27" s="1423"/>
      <c r="AJ27" s="1418"/>
      <c r="AK27" s="1418"/>
      <c r="AL27" s="1418"/>
    </row>
    <row r="28" spans="1:38">
      <c r="A28" s="24" t="s">
        <v>1260</v>
      </c>
      <c r="B28" s="505" t="s">
        <v>1019</v>
      </c>
      <c r="C28" s="7">
        <v>30358</v>
      </c>
      <c r="D28" s="7">
        <v>117986</v>
      </c>
      <c r="E28" s="7">
        <v>60785</v>
      </c>
      <c r="F28" s="7">
        <f t="shared" ref="F28:F38" si="14">+E28*$E$8</f>
        <v>63216.4</v>
      </c>
      <c r="G28" s="7">
        <f t="shared" ref="G28:G38" si="15">+F28*$E$8</f>
        <v>65745.055999999997</v>
      </c>
      <c r="H28" s="7">
        <f t="shared" ref="H28:H38" si="16">+G28*$E$8</f>
        <v>68374.858240000001</v>
      </c>
      <c r="I28" s="7">
        <f t="shared" ref="I28:I38" si="17">+H28*$E$8</f>
        <v>71109.8525696</v>
      </c>
      <c r="J28" s="7">
        <f t="shared" ref="J28:J38" si="18">+I28*$E$8</f>
        <v>73954.246672384004</v>
      </c>
      <c r="K28" s="7">
        <f t="shared" ref="K28:K38" si="19">+J28*$E$8</f>
        <v>76912.416539279366</v>
      </c>
      <c r="L28" s="7">
        <f t="shared" ref="L28:L38" si="20">+K28*$E$8</f>
        <v>79988.91320085054</v>
      </c>
      <c r="M28" s="7">
        <f t="shared" ref="M28:M38" si="21">+L28*$E$8</f>
        <v>83188.469728884564</v>
      </c>
      <c r="N28" s="7">
        <f t="shared" ref="N28:N38" si="22">+M28*$E$8</f>
        <v>86516.008518039947</v>
      </c>
      <c r="O28" s="7">
        <f t="shared" ref="O28:O38" si="23">+N28*$E$8</f>
        <v>89976.648858761546</v>
      </c>
      <c r="P28" s="7">
        <f t="shared" ref="P28:P38" si="24">+O28*$E$8</f>
        <v>93575.714813112005</v>
      </c>
      <c r="Q28" s="7">
        <f t="shared" ref="Q28:Q38" si="25">+P28*$E$8</f>
        <v>97318.743405636487</v>
      </c>
      <c r="R28" s="1316"/>
      <c r="S28" s="1418"/>
      <c r="T28" s="1418"/>
      <c r="U28" s="1419"/>
      <c r="W28" s="1419"/>
      <c r="X28" s="1419"/>
      <c r="Y28" s="1418"/>
      <c r="Z28" s="1418"/>
      <c r="AA28" s="1418"/>
      <c r="AB28" s="1418"/>
      <c r="AC28" s="1418"/>
      <c r="AD28" s="1418"/>
      <c r="AE28" s="1418"/>
      <c r="AF28" s="1418"/>
      <c r="AG28" s="1418"/>
      <c r="AH28" s="1418"/>
      <c r="AI28" s="1423"/>
      <c r="AJ28" s="1418"/>
      <c r="AK28" s="1418"/>
      <c r="AL28" s="1418"/>
    </row>
    <row r="29" spans="1:38">
      <c r="A29" s="1151" t="s">
        <v>1262</v>
      </c>
      <c r="B29" s="507" t="s">
        <v>1263</v>
      </c>
      <c r="C29" s="7">
        <v>0</v>
      </c>
      <c r="D29" s="7">
        <f>+C29*$D$8</f>
        <v>0</v>
      </c>
      <c r="E29" s="7">
        <v>0</v>
      </c>
      <c r="F29" s="7">
        <f t="shared" si="14"/>
        <v>0</v>
      </c>
      <c r="G29" s="7">
        <f t="shared" si="15"/>
        <v>0</v>
      </c>
      <c r="H29" s="7">
        <f t="shared" si="16"/>
        <v>0</v>
      </c>
      <c r="I29" s="7">
        <f t="shared" si="17"/>
        <v>0</v>
      </c>
      <c r="J29" s="7">
        <f t="shared" si="18"/>
        <v>0</v>
      </c>
      <c r="K29" s="7">
        <f t="shared" si="19"/>
        <v>0</v>
      </c>
      <c r="L29" s="7">
        <f t="shared" si="20"/>
        <v>0</v>
      </c>
      <c r="M29" s="7">
        <f t="shared" si="21"/>
        <v>0</v>
      </c>
      <c r="N29" s="7">
        <f t="shared" si="22"/>
        <v>0</v>
      </c>
      <c r="O29" s="7">
        <f t="shared" si="23"/>
        <v>0</v>
      </c>
      <c r="P29" s="7">
        <f t="shared" si="24"/>
        <v>0</v>
      </c>
      <c r="Q29" s="7">
        <f t="shared" si="25"/>
        <v>0</v>
      </c>
      <c r="R29" s="1316"/>
      <c r="S29" s="1418"/>
      <c r="T29" s="1418"/>
      <c r="U29" s="1419"/>
      <c r="W29" s="1419"/>
      <c r="X29" s="1419"/>
      <c r="Y29" s="1418"/>
      <c r="Z29" s="1418"/>
      <c r="AA29" s="1418"/>
      <c r="AB29" s="1418"/>
      <c r="AC29" s="1418"/>
      <c r="AD29" s="1418"/>
      <c r="AE29" s="1418"/>
      <c r="AF29" s="1418"/>
      <c r="AG29" s="1418"/>
      <c r="AH29" s="1418"/>
      <c r="AI29" s="1423"/>
      <c r="AJ29" s="1418"/>
      <c r="AK29" s="1418"/>
      <c r="AL29" s="1418"/>
    </row>
    <row r="30" spans="1:38">
      <c r="A30" s="24" t="s">
        <v>1264</v>
      </c>
      <c r="B30" s="505" t="s">
        <v>1265</v>
      </c>
      <c r="C30" s="7">
        <v>69578</v>
      </c>
      <c r="D30" s="7">
        <v>31883</v>
      </c>
      <c r="E30" s="7">
        <v>42779</v>
      </c>
      <c r="F30" s="7">
        <f t="shared" si="14"/>
        <v>44490.16</v>
      </c>
      <c r="G30" s="7">
        <f t="shared" si="15"/>
        <v>46269.766400000008</v>
      </c>
      <c r="H30" s="7">
        <f t="shared" si="16"/>
        <v>48120.557056000012</v>
      </c>
      <c r="I30" s="7">
        <f t="shared" si="17"/>
        <v>50045.379338240018</v>
      </c>
      <c r="J30" s="7">
        <f t="shared" si="18"/>
        <v>52047.194511769623</v>
      </c>
      <c r="K30" s="7">
        <f t="shared" si="19"/>
        <v>54129.082292240411</v>
      </c>
      <c r="L30" s="7">
        <f t="shared" si="20"/>
        <v>56294.245583930031</v>
      </c>
      <c r="M30" s="7">
        <f t="shared" si="21"/>
        <v>58546.015407287232</v>
      </c>
      <c r="N30" s="7">
        <f t="shared" si="22"/>
        <v>60887.856023578723</v>
      </c>
      <c r="O30" s="7">
        <f t="shared" si="23"/>
        <v>63323.370264521873</v>
      </c>
      <c r="P30" s="7">
        <f t="shared" si="24"/>
        <v>65856.305075102748</v>
      </c>
      <c r="Q30" s="7">
        <f t="shared" si="25"/>
        <v>68490.557278106862</v>
      </c>
      <c r="R30" s="1316"/>
      <c r="S30" s="1418"/>
      <c r="T30" s="1418"/>
      <c r="U30" s="1419"/>
      <c r="W30" s="1419"/>
      <c r="X30" s="1419"/>
      <c r="Y30" s="1418"/>
      <c r="Z30" s="1418"/>
      <c r="AA30" s="1418"/>
      <c r="AB30" s="1418"/>
      <c r="AC30" s="1418"/>
      <c r="AD30" s="1418"/>
      <c r="AE30" s="1418"/>
      <c r="AF30" s="1418"/>
      <c r="AG30" s="1418"/>
      <c r="AH30" s="1418"/>
      <c r="AI30" s="1423"/>
      <c r="AJ30" s="1418"/>
      <c r="AK30" s="1418"/>
      <c r="AL30" s="1418"/>
    </row>
    <row r="31" spans="1:38">
      <c r="A31" s="25" t="s">
        <v>1266</v>
      </c>
      <c r="B31" s="505" t="s">
        <v>1267</v>
      </c>
      <c r="C31" s="7">
        <v>56514</v>
      </c>
      <c r="D31" s="7">
        <v>46000</v>
      </c>
      <c r="E31" s="7">
        <v>42951</v>
      </c>
      <c r="F31" s="7">
        <f t="shared" si="14"/>
        <v>44669.04</v>
      </c>
      <c r="G31" s="7">
        <f t="shared" si="15"/>
        <v>46455.801599999999</v>
      </c>
      <c r="H31" s="7">
        <f t="shared" si="16"/>
        <v>48314.033664000002</v>
      </c>
      <c r="I31" s="7">
        <f t="shared" si="17"/>
        <v>50246.595010560006</v>
      </c>
      <c r="J31" s="7">
        <f t="shared" si="18"/>
        <v>52256.458810982411</v>
      </c>
      <c r="K31" s="7">
        <f t="shared" si="19"/>
        <v>54346.717163421708</v>
      </c>
      <c r="L31" s="7">
        <f t="shared" si="20"/>
        <v>56520.585849958581</v>
      </c>
      <c r="M31" s="7">
        <f t="shared" si="21"/>
        <v>58781.409283956928</v>
      </c>
      <c r="N31" s="7">
        <f t="shared" si="22"/>
        <v>61132.665655315206</v>
      </c>
      <c r="O31" s="7">
        <f t="shared" si="23"/>
        <v>63577.972281527815</v>
      </c>
      <c r="P31" s="7">
        <f t="shared" si="24"/>
        <v>66121.091172788932</v>
      </c>
      <c r="Q31" s="7">
        <f t="shared" si="25"/>
        <v>68765.934819700487</v>
      </c>
      <c r="R31" s="1316"/>
      <c r="S31" s="1418"/>
      <c r="T31" s="1418"/>
      <c r="U31" s="1419"/>
      <c r="W31" s="1419"/>
      <c r="X31" s="1419"/>
      <c r="Y31" s="1418"/>
      <c r="Z31" s="1418"/>
      <c r="AA31" s="1418"/>
      <c r="AB31" s="1418"/>
      <c r="AC31" s="1418"/>
      <c r="AD31" s="1418"/>
      <c r="AE31" s="1418"/>
      <c r="AF31" s="1418"/>
      <c r="AG31" s="1418"/>
      <c r="AH31" s="1418"/>
      <c r="AI31" s="1423"/>
      <c r="AJ31" s="1418"/>
      <c r="AK31" s="1418"/>
      <c r="AL31" s="1418"/>
    </row>
    <row r="32" spans="1:38">
      <c r="A32" s="25" t="s">
        <v>1268</v>
      </c>
      <c r="B32" s="505" t="s">
        <v>1269</v>
      </c>
      <c r="C32" s="7">
        <v>0</v>
      </c>
      <c r="D32" s="7"/>
      <c r="E32" s="7">
        <v>0</v>
      </c>
      <c r="F32" s="7">
        <f t="shared" si="14"/>
        <v>0</v>
      </c>
      <c r="G32" s="7">
        <f t="shared" si="15"/>
        <v>0</v>
      </c>
      <c r="H32" s="7">
        <f t="shared" si="16"/>
        <v>0</v>
      </c>
      <c r="I32" s="7">
        <f t="shared" si="17"/>
        <v>0</v>
      </c>
      <c r="J32" s="7">
        <f t="shared" si="18"/>
        <v>0</v>
      </c>
      <c r="K32" s="7">
        <f t="shared" si="19"/>
        <v>0</v>
      </c>
      <c r="L32" s="7">
        <f t="shared" si="20"/>
        <v>0</v>
      </c>
      <c r="M32" s="7">
        <f t="shared" si="21"/>
        <v>0</v>
      </c>
      <c r="N32" s="7">
        <f t="shared" si="22"/>
        <v>0</v>
      </c>
      <c r="O32" s="7">
        <f t="shared" si="23"/>
        <v>0</v>
      </c>
      <c r="P32" s="7">
        <f t="shared" si="24"/>
        <v>0</v>
      </c>
      <c r="Q32" s="7">
        <f t="shared" si="25"/>
        <v>0</v>
      </c>
      <c r="R32" s="1316"/>
      <c r="S32" s="1418"/>
      <c r="T32" s="1418"/>
      <c r="U32" s="1419"/>
      <c r="W32" s="1419"/>
      <c r="X32" s="1419"/>
      <c r="Y32" s="1418"/>
      <c r="Z32" s="1418"/>
      <c r="AA32" s="1418"/>
      <c r="AB32" s="1418"/>
      <c r="AC32" s="1418"/>
      <c r="AD32" s="1418"/>
      <c r="AE32" s="1418"/>
      <c r="AF32" s="1418"/>
      <c r="AG32" s="1418"/>
      <c r="AH32" s="1418"/>
      <c r="AI32" s="1423"/>
      <c r="AJ32" s="1418"/>
      <c r="AK32" s="1418"/>
      <c r="AL32" s="1418"/>
    </row>
    <row r="33" spans="1:38">
      <c r="A33" s="24" t="s">
        <v>1270</v>
      </c>
      <c r="B33" s="507" t="s">
        <v>1271</v>
      </c>
      <c r="C33" s="7">
        <v>0</v>
      </c>
      <c r="D33" s="7">
        <v>0</v>
      </c>
      <c r="E33" s="7">
        <v>0</v>
      </c>
      <c r="F33" s="7">
        <f t="shared" si="14"/>
        <v>0</v>
      </c>
      <c r="G33" s="7">
        <f t="shared" si="15"/>
        <v>0</v>
      </c>
      <c r="H33" s="7">
        <f t="shared" si="16"/>
        <v>0</v>
      </c>
      <c r="I33" s="7">
        <f t="shared" si="17"/>
        <v>0</v>
      </c>
      <c r="J33" s="7">
        <f t="shared" si="18"/>
        <v>0</v>
      </c>
      <c r="K33" s="7">
        <f t="shared" si="19"/>
        <v>0</v>
      </c>
      <c r="L33" s="7">
        <f t="shared" si="20"/>
        <v>0</v>
      </c>
      <c r="M33" s="7">
        <f t="shared" si="21"/>
        <v>0</v>
      </c>
      <c r="N33" s="7">
        <f t="shared" si="22"/>
        <v>0</v>
      </c>
      <c r="O33" s="7">
        <f t="shared" si="23"/>
        <v>0</v>
      </c>
      <c r="P33" s="7">
        <f t="shared" si="24"/>
        <v>0</v>
      </c>
      <c r="Q33" s="7">
        <f t="shared" si="25"/>
        <v>0</v>
      </c>
      <c r="R33" s="1316"/>
      <c r="S33" s="1418"/>
      <c r="T33" s="1418"/>
      <c r="U33" s="1419"/>
      <c r="W33" s="1419"/>
      <c r="X33" s="1419"/>
      <c r="Y33" s="1418"/>
      <c r="Z33" s="1418"/>
      <c r="AA33" s="1418"/>
      <c r="AB33" s="1418"/>
      <c r="AC33" s="1418"/>
      <c r="AD33" s="1418"/>
      <c r="AE33" s="1418"/>
      <c r="AF33" s="1418"/>
      <c r="AG33" s="1418"/>
      <c r="AH33" s="1418"/>
      <c r="AI33" s="1423"/>
      <c r="AJ33" s="1418"/>
      <c r="AK33" s="1418"/>
      <c r="AL33" s="1418"/>
    </row>
    <row r="34" spans="1:38">
      <c r="A34" s="25" t="s">
        <v>1272</v>
      </c>
      <c r="B34" s="505" t="s">
        <v>1273</v>
      </c>
      <c r="C34" s="7">
        <v>2747</v>
      </c>
      <c r="D34" s="7">
        <v>4615</v>
      </c>
      <c r="E34" s="7">
        <v>4658</v>
      </c>
      <c r="F34" s="7">
        <f t="shared" si="14"/>
        <v>4844.3200000000006</v>
      </c>
      <c r="G34" s="7">
        <f t="shared" si="15"/>
        <v>5038.0928000000013</v>
      </c>
      <c r="H34" s="7">
        <f t="shared" si="16"/>
        <v>5239.6165120000014</v>
      </c>
      <c r="I34" s="7">
        <f t="shared" si="17"/>
        <v>5449.2011724800013</v>
      </c>
      <c r="J34" s="7">
        <f t="shared" si="18"/>
        <v>5667.1692193792014</v>
      </c>
      <c r="K34" s="7">
        <f t="shared" si="19"/>
        <v>5893.8559881543697</v>
      </c>
      <c r="L34" s="7">
        <f t="shared" si="20"/>
        <v>6129.610227680545</v>
      </c>
      <c r="M34" s="7">
        <f t="shared" si="21"/>
        <v>6374.7946367877666</v>
      </c>
      <c r="N34" s="7">
        <f t="shared" si="22"/>
        <v>6629.786422259278</v>
      </c>
      <c r="O34" s="7">
        <f t="shared" si="23"/>
        <v>6894.9778791496492</v>
      </c>
      <c r="P34" s="7">
        <f t="shared" si="24"/>
        <v>7170.7769943156354</v>
      </c>
      <c r="Q34" s="7">
        <f t="shared" si="25"/>
        <v>7457.6080740882608</v>
      </c>
      <c r="R34" s="1316"/>
      <c r="S34" s="1418"/>
      <c r="T34" s="1418"/>
      <c r="U34" s="1419"/>
      <c r="W34" s="1419"/>
      <c r="X34" s="1419"/>
      <c r="Y34" s="1418"/>
      <c r="Z34" s="1418"/>
      <c r="AA34" s="1418"/>
      <c r="AB34" s="1418"/>
      <c r="AC34" s="1418"/>
      <c r="AD34" s="1418"/>
      <c r="AE34" s="1418"/>
      <c r="AF34" s="1418"/>
      <c r="AG34" s="1418"/>
      <c r="AH34" s="1418"/>
      <c r="AI34" s="1423"/>
      <c r="AJ34" s="1418"/>
      <c r="AK34" s="1418"/>
      <c r="AL34" s="1418"/>
    </row>
    <row r="35" spans="1:38">
      <c r="A35" s="25" t="s">
        <v>1274</v>
      </c>
      <c r="B35" s="505" t="s">
        <v>1275</v>
      </c>
      <c r="C35" s="7">
        <v>584</v>
      </c>
      <c r="D35" s="7">
        <v>993</v>
      </c>
      <c r="E35" s="7">
        <v>400</v>
      </c>
      <c r="F35" s="7">
        <f t="shared" si="14"/>
        <v>416</v>
      </c>
      <c r="G35" s="7">
        <f t="shared" si="15"/>
        <v>432.64</v>
      </c>
      <c r="H35" s="7">
        <f t="shared" si="16"/>
        <v>449.94560000000001</v>
      </c>
      <c r="I35" s="7">
        <f t="shared" si="17"/>
        <v>467.94342400000005</v>
      </c>
      <c r="J35" s="7">
        <f t="shared" si="18"/>
        <v>486.66116096000007</v>
      </c>
      <c r="K35" s="7">
        <f t="shared" si="19"/>
        <v>506.12760739840007</v>
      </c>
      <c r="L35" s="7">
        <f t="shared" si="20"/>
        <v>526.37271169433609</v>
      </c>
      <c r="M35" s="7">
        <f t="shared" si="21"/>
        <v>547.42762016210952</v>
      </c>
      <c r="N35" s="7">
        <f t="shared" si="22"/>
        <v>569.32472496859396</v>
      </c>
      <c r="O35" s="7">
        <f t="shared" si="23"/>
        <v>592.09771396733777</v>
      </c>
      <c r="P35" s="7">
        <f t="shared" si="24"/>
        <v>615.78162252603136</v>
      </c>
      <c r="Q35" s="7">
        <f t="shared" si="25"/>
        <v>640.41288742707263</v>
      </c>
      <c r="R35" s="1316"/>
      <c r="S35" s="1418"/>
      <c r="T35" s="1418"/>
      <c r="U35" s="1419"/>
      <c r="W35" s="1419"/>
      <c r="X35" s="1419"/>
      <c r="Y35" s="1418"/>
      <c r="Z35" s="1418"/>
      <c r="AA35" s="1418"/>
      <c r="AB35" s="1418"/>
      <c r="AC35" s="1418"/>
      <c r="AD35" s="1418"/>
      <c r="AE35" s="1418"/>
      <c r="AF35" s="1418"/>
      <c r="AG35" s="1418"/>
      <c r="AH35" s="1418"/>
      <c r="AI35" s="1423"/>
      <c r="AJ35" s="1418"/>
      <c r="AK35" s="1418"/>
      <c r="AL35" s="1418"/>
    </row>
    <row r="36" spans="1:38">
      <c r="A36" s="25" t="s">
        <v>1276</v>
      </c>
      <c r="B36" s="505" t="s">
        <v>1277</v>
      </c>
      <c r="C36" s="7">
        <v>0</v>
      </c>
      <c r="D36" s="7">
        <v>0</v>
      </c>
      <c r="E36" s="7">
        <v>0</v>
      </c>
      <c r="F36" s="7">
        <f t="shared" si="14"/>
        <v>0</v>
      </c>
      <c r="G36" s="7">
        <f t="shared" si="15"/>
        <v>0</v>
      </c>
      <c r="H36" s="7">
        <f t="shared" si="16"/>
        <v>0</v>
      </c>
      <c r="I36" s="7">
        <f t="shared" si="17"/>
        <v>0</v>
      </c>
      <c r="J36" s="7">
        <f t="shared" si="18"/>
        <v>0</v>
      </c>
      <c r="K36" s="7">
        <f t="shared" si="19"/>
        <v>0</v>
      </c>
      <c r="L36" s="7">
        <f t="shared" si="20"/>
        <v>0</v>
      </c>
      <c r="M36" s="7">
        <f t="shared" si="21"/>
        <v>0</v>
      </c>
      <c r="N36" s="7">
        <f t="shared" si="22"/>
        <v>0</v>
      </c>
      <c r="O36" s="7">
        <f t="shared" si="23"/>
        <v>0</v>
      </c>
      <c r="P36" s="7">
        <f t="shared" si="24"/>
        <v>0</v>
      </c>
      <c r="Q36" s="7">
        <f t="shared" si="25"/>
        <v>0</v>
      </c>
      <c r="R36" s="1316"/>
      <c r="S36" s="1418"/>
      <c r="T36" s="1418"/>
      <c r="U36" s="1419"/>
      <c r="W36" s="1419"/>
      <c r="X36" s="1419"/>
      <c r="Y36" s="1418"/>
      <c r="Z36" s="1418"/>
      <c r="AA36" s="1418"/>
      <c r="AB36" s="1418"/>
      <c r="AC36" s="1418"/>
      <c r="AD36" s="1418"/>
      <c r="AE36" s="1418"/>
      <c r="AF36" s="1418"/>
      <c r="AG36" s="1418"/>
      <c r="AH36" s="1418"/>
      <c r="AI36" s="1423"/>
      <c r="AJ36" s="1418"/>
      <c r="AK36" s="1418"/>
      <c r="AL36" s="1418"/>
    </row>
    <row r="37" spans="1:38">
      <c r="A37" s="24" t="s">
        <v>1278</v>
      </c>
      <c r="B37" s="507" t="s">
        <v>1279</v>
      </c>
      <c r="C37" s="7">
        <v>0</v>
      </c>
      <c r="D37" s="7">
        <v>17</v>
      </c>
      <c r="E37" s="7">
        <v>0</v>
      </c>
      <c r="F37" s="7">
        <f t="shared" si="14"/>
        <v>0</v>
      </c>
      <c r="G37" s="7">
        <f t="shared" si="15"/>
        <v>0</v>
      </c>
      <c r="H37" s="7">
        <f t="shared" si="16"/>
        <v>0</v>
      </c>
      <c r="I37" s="7">
        <f t="shared" si="17"/>
        <v>0</v>
      </c>
      <c r="J37" s="7">
        <f t="shared" si="18"/>
        <v>0</v>
      </c>
      <c r="K37" s="7">
        <f t="shared" si="19"/>
        <v>0</v>
      </c>
      <c r="L37" s="7">
        <f t="shared" si="20"/>
        <v>0</v>
      </c>
      <c r="M37" s="7">
        <f t="shared" si="21"/>
        <v>0</v>
      </c>
      <c r="N37" s="7">
        <f t="shared" si="22"/>
        <v>0</v>
      </c>
      <c r="O37" s="7">
        <f t="shared" si="23"/>
        <v>0</v>
      </c>
      <c r="P37" s="7">
        <f t="shared" si="24"/>
        <v>0</v>
      </c>
      <c r="Q37" s="7">
        <f t="shared" si="25"/>
        <v>0</v>
      </c>
      <c r="R37" s="1316"/>
      <c r="S37" s="1418"/>
      <c r="T37" s="1418"/>
      <c r="U37" s="1419"/>
      <c r="W37" s="1419"/>
      <c r="X37" s="1419"/>
      <c r="Y37" s="1418"/>
      <c r="Z37" s="1418"/>
      <c r="AA37" s="1418"/>
      <c r="AB37" s="1418"/>
      <c r="AC37" s="1418"/>
      <c r="AD37" s="1418"/>
      <c r="AE37" s="1418"/>
      <c r="AF37" s="1418"/>
      <c r="AG37" s="1418"/>
      <c r="AH37" s="1418"/>
      <c r="AI37" s="1423"/>
      <c r="AJ37" s="1418"/>
      <c r="AK37" s="1418"/>
      <c r="AL37" s="1418"/>
    </row>
    <row r="38" spans="1:38">
      <c r="A38" s="24" t="s">
        <v>1280</v>
      </c>
      <c r="B38" s="507" t="s">
        <v>1281</v>
      </c>
      <c r="C38" s="7">
        <v>0</v>
      </c>
      <c r="D38" s="7">
        <v>0</v>
      </c>
      <c r="E38" s="7">
        <f t="shared" ref="E38:F45" si="26">+D38*$E$8</f>
        <v>0</v>
      </c>
      <c r="F38" s="7">
        <f t="shared" si="14"/>
        <v>0</v>
      </c>
      <c r="G38" s="7">
        <f t="shared" si="15"/>
        <v>0</v>
      </c>
      <c r="H38" s="7">
        <f t="shared" si="16"/>
        <v>0</v>
      </c>
      <c r="I38" s="7">
        <f t="shared" si="17"/>
        <v>0</v>
      </c>
      <c r="J38" s="7">
        <f t="shared" si="18"/>
        <v>0</v>
      </c>
      <c r="K38" s="7">
        <f t="shared" si="19"/>
        <v>0</v>
      </c>
      <c r="L38" s="7">
        <f t="shared" si="20"/>
        <v>0</v>
      </c>
      <c r="M38" s="7">
        <f t="shared" si="21"/>
        <v>0</v>
      </c>
      <c r="N38" s="7">
        <f t="shared" si="22"/>
        <v>0</v>
      </c>
      <c r="O38" s="7">
        <f t="shared" si="23"/>
        <v>0</v>
      </c>
      <c r="P38" s="7">
        <f t="shared" si="24"/>
        <v>0</v>
      </c>
      <c r="Q38" s="7">
        <f t="shared" si="25"/>
        <v>0</v>
      </c>
      <c r="R38" s="1316"/>
      <c r="S38" s="1418"/>
      <c r="T38" s="1418"/>
      <c r="U38" s="1419"/>
      <c r="W38" s="1419"/>
      <c r="X38" s="1419"/>
      <c r="Y38" s="1418"/>
      <c r="Z38" s="1418"/>
      <c r="AA38" s="1418"/>
      <c r="AB38" s="1418"/>
      <c r="AC38" s="1418"/>
      <c r="AD38" s="1418"/>
      <c r="AE38" s="1418"/>
      <c r="AF38" s="1418"/>
      <c r="AG38" s="1418"/>
      <c r="AH38" s="1418"/>
      <c r="AI38" s="1423"/>
      <c r="AJ38" s="1418"/>
      <c r="AK38" s="1418"/>
      <c r="AL38" s="1418"/>
    </row>
    <row r="39" spans="1:38">
      <c r="A39" s="25" t="s">
        <v>1282</v>
      </c>
      <c r="B39" s="507" t="s">
        <v>1283</v>
      </c>
      <c r="C39" s="42">
        <f>SUM(C40:C44)</f>
        <v>21247</v>
      </c>
      <c r="D39" s="42">
        <f t="shared" ref="D39:Q39" si="27">SUM(D40:D44)</f>
        <v>22233</v>
      </c>
      <c r="E39" s="42">
        <f t="shared" si="27"/>
        <v>62089</v>
      </c>
      <c r="F39" s="42">
        <f t="shared" si="27"/>
        <v>64572.560000000005</v>
      </c>
      <c r="G39" s="42">
        <f t="shared" si="27"/>
        <v>67155.462400000004</v>
      </c>
      <c r="H39" s="42">
        <f t="shared" si="27"/>
        <v>69841.680896000005</v>
      </c>
      <c r="I39" s="42">
        <f t="shared" si="27"/>
        <v>72635.348131840001</v>
      </c>
      <c r="J39" s="42">
        <f t="shared" si="27"/>
        <v>75540.762057113607</v>
      </c>
      <c r="K39" s="42">
        <f t="shared" si="27"/>
        <v>78562.392539398148</v>
      </c>
      <c r="L39" s="42">
        <f t="shared" si="27"/>
        <v>81704.888240974076</v>
      </c>
      <c r="M39" s="42">
        <f t="shared" si="27"/>
        <v>84973.083770613041</v>
      </c>
      <c r="N39" s="42">
        <f t="shared" si="27"/>
        <v>88372.007121437564</v>
      </c>
      <c r="O39" s="42">
        <f t="shared" si="27"/>
        <v>91906.887406295064</v>
      </c>
      <c r="P39" s="42">
        <f t="shared" si="27"/>
        <v>95583.162902546872</v>
      </c>
      <c r="Q39" s="42">
        <f t="shared" si="27"/>
        <v>99406.489418648751</v>
      </c>
      <c r="R39" s="1316"/>
      <c r="S39" s="1418"/>
      <c r="T39" s="1418"/>
      <c r="U39" s="1419"/>
      <c r="W39" s="1419"/>
      <c r="X39" s="1419"/>
      <c r="Y39" s="1418"/>
      <c r="Z39" s="1418"/>
      <c r="AA39" s="1418"/>
      <c r="AB39" s="1418"/>
      <c r="AC39" s="1418"/>
      <c r="AD39" s="1418"/>
      <c r="AE39" s="1418"/>
      <c r="AF39" s="1418"/>
      <c r="AG39" s="1418"/>
      <c r="AH39" s="1418"/>
      <c r="AI39" s="1423"/>
      <c r="AJ39" s="1418"/>
      <c r="AK39" s="1418"/>
      <c r="AL39" s="1418"/>
    </row>
    <row r="40" spans="1:38">
      <c r="A40" s="25" t="s">
        <v>1284</v>
      </c>
      <c r="B40" s="505" t="s">
        <v>1285</v>
      </c>
      <c r="C40" s="7">
        <v>0</v>
      </c>
      <c r="D40" s="7">
        <v>0</v>
      </c>
      <c r="E40" s="7">
        <f t="shared" si="26"/>
        <v>0</v>
      </c>
      <c r="F40" s="7">
        <f t="shared" si="26"/>
        <v>0</v>
      </c>
      <c r="G40" s="7">
        <f t="shared" ref="G40:G46" si="28">+F40*$E$8</f>
        <v>0</v>
      </c>
      <c r="H40" s="7">
        <f t="shared" ref="H40:H46" si="29">+G40*$E$8</f>
        <v>0</v>
      </c>
      <c r="I40" s="7">
        <f t="shared" ref="I40:I46" si="30">+H40*$E$8</f>
        <v>0</v>
      </c>
      <c r="J40" s="7">
        <f t="shared" ref="J40:J46" si="31">+I40*$E$8</f>
        <v>0</v>
      </c>
      <c r="K40" s="7">
        <f t="shared" ref="K40:K46" si="32">+J40*$E$8</f>
        <v>0</v>
      </c>
      <c r="L40" s="7">
        <f t="shared" ref="L40:L46" si="33">+K40*$E$8</f>
        <v>0</v>
      </c>
      <c r="M40" s="7">
        <f t="shared" ref="M40:M46" si="34">+L40*$E$8</f>
        <v>0</v>
      </c>
      <c r="N40" s="7">
        <f t="shared" ref="N40:N46" si="35">+M40*$E$8</f>
        <v>0</v>
      </c>
      <c r="O40" s="7">
        <f t="shared" ref="O40:O46" si="36">+N40*$E$8</f>
        <v>0</v>
      </c>
      <c r="P40" s="7">
        <f t="shared" ref="P40:P46" si="37">+O40*$E$8</f>
        <v>0</v>
      </c>
      <c r="Q40" s="7">
        <f t="shared" ref="Q40:Q46" si="38">+P40*$E$8</f>
        <v>0</v>
      </c>
      <c r="R40" s="1316"/>
      <c r="S40" s="1418"/>
      <c r="T40" s="1418"/>
      <c r="U40" s="1419"/>
      <c r="W40" s="1419"/>
      <c r="X40" s="1419"/>
      <c r="Y40" s="1418"/>
      <c r="Z40" s="1418"/>
      <c r="AA40" s="1418"/>
      <c r="AB40" s="1418"/>
      <c r="AC40" s="1418"/>
      <c r="AD40" s="1418"/>
      <c r="AE40" s="1418"/>
      <c r="AF40" s="1418"/>
      <c r="AG40" s="1418"/>
      <c r="AH40" s="1418"/>
      <c r="AI40" s="1423"/>
      <c r="AJ40" s="1418"/>
      <c r="AK40" s="1418"/>
      <c r="AL40" s="1418"/>
    </row>
    <row r="41" spans="1:38">
      <c r="A41" s="25" t="s">
        <v>1286</v>
      </c>
      <c r="B41" s="505" t="s">
        <v>1287</v>
      </c>
      <c r="C41" s="7">
        <v>0</v>
      </c>
      <c r="D41" s="7">
        <v>0</v>
      </c>
      <c r="E41" s="7">
        <f t="shared" si="26"/>
        <v>0</v>
      </c>
      <c r="F41" s="7">
        <f t="shared" si="26"/>
        <v>0</v>
      </c>
      <c r="G41" s="7">
        <f t="shared" si="28"/>
        <v>0</v>
      </c>
      <c r="H41" s="7">
        <f t="shared" si="29"/>
        <v>0</v>
      </c>
      <c r="I41" s="7">
        <f t="shared" si="30"/>
        <v>0</v>
      </c>
      <c r="J41" s="7">
        <f t="shared" si="31"/>
        <v>0</v>
      </c>
      <c r="K41" s="7">
        <f t="shared" si="32"/>
        <v>0</v>
      </c>
      <c r="L41" s="7">
        <f t="shared" si="33"/>
        <v>0</v>
      </c>
      <c r="M41" s="7">
        <f t="shared" si="34"/>
        <v>0</v>
      </c>
      <c r="N41" s="7">
        <f t="shared" si="35"/>
        <v>0</v>
      </c>
      <c r="O41" s="7">
        <f t="shared" si="36"/>
        <v>0</v>
      </c>
      <c r="P41" s="7">
        <f t="shared" si="37"/>
        <v>0</v>
      </c>
      <c r="Q41" s="7">
        <f t="shared" si="38"/>
        <v>0</v>
      </c>
      <c r="R41" s="1316"/>
      <c r="S41" s="1418"/>
      <c r="T41" s="1418"/>
      <c r="U41" s="1419"/>
      <c r="W41" s="1419"/>
      <c r="X41" s="1419"/>
      <c r="Y41" s="1418"/>
      <c r="Z41" s="1418"/>
      <c r="AA41" s="1418"/>
      <c r="AB41" s="1418"/>
      <c r="AC41" s="1418"/>
      <c r="AD41" s="1418"/>
      <c r="AE41" s="1418"/>
      <c r="AF41" s="1418"/>
      <c r="AG41" s="1418"/>
      <c r="AH41" s="1418"/>
      <c r="AI41" s="1423"/>
      <c r="AJ41" s="1418"/>
      <c r="AK41" s="1418"/>
      <c r="AL41" s="1418"/>
    </row>
    <row r="42" spans="1:38">
      <c r="A42" s="25" t="s">
        <v>1288</v>
      </c>
      <c r="B42" s="505" t="s">
        <v>1289</v>
      </c>
      <c r="C42" s="7">
        <v>0</v>
      </c>
      <c r="D42" s="7">
        <v>0</v>
      </c>
      <c r="E42" s="7">
        <f t="shared" ref="E42" si="39">+D42*$E$8</f>
        <v>0</v>
      </c>
      <c r="F42" s="7">
        <f t="shared" si="26"/>
        <v>0</v>
      </c>
      <c r="G42" s="7">
        <f t="shared" si="28"/>
        <v>0</v>
      </c>
      <c r="H42" s="7">
        <f t="shared" si="29"/>
        <v>0</v>
      </c>
      <c r="I42" s="7">
        <f t="shared" si="30"/>
        <v>0</v>
      </c>
      <c r="J42" s="7">
        <f t="shared" si="31"/>
        <v>0</v>
      </c>
      <c r="K42" s="7">
        <f t="shared" si="32"/>
        <v>0</v>
      </c>
      <c r="L42" s="7">
        <f t="shared" si="33"/>
        <v>0</v>
      </c>
      <c r="M42" s="7">
        <f t="shared" si="34"/>
        <v>0</v>
      </c>
      <c r="N42" s="7">
        <f t="shared" si="35"/>
        <v>0</v>
      </c>
      <c r="O42" s="7">
        <f t="shared" si="36"/>
        <v>0</v>
      </c>
      <c r="P42" s="7">
        <f t="shared" si="37"/>
        <v>0</v>
      </c>
      <c r="Q42" s="7">
        <f t="shared" si="38"/>
        <v>0</v>
      </c>
      <c r="R42" s="1316"/>
      <c r="S42" s="1418"/>
      <c r="T42" s="1418"/>
      <c r="U42" s="1419"/>
      <c r="W42" s="1419"/>
      <c r="X42" s="1419"/>
      <c r="Y42" s="1418"/>
      <c r="Z42" s="1418"/>
      <c r="AA42" s="1418"/>
      <c r="AB42" s="1418"/>
      <c r="AC42" s="1418"/>
      <c r="AD42" s="1418"/>
      <c r="AE42" s="1418"/>
      <c r="AF42" s="1418"/>
      <c r="AG42" s="1418"/>
      <c r="AH42" s="1418"/>
      <c r="AI42" s="1423"/>
      <c r="AJ42" s="1418"/>
      <c r="AK42" s="1418"/>
      <c r="AL42" s="1418"/>
    </row>
    <row r="43" spans="1:38">
      <c r="A43" s="25" t="s">
        <v>1290</v>
      </c>
      <c r="B43" s="505" t="s">
        <v>1291</v>
      </c>
      <c r="C43" s="7">
        <v>0</v>
      </c>
      <c r="D43" s="7">
        <v>0</v>
      </c>
      <c r="E43" s="7">
        <f t="shared" ref="E43" si="40">+D43*$E$8</f>
        <v>0</v>
      </c>
      <c r="F43" s="7">
        <f t="shared" si="26"/>
        <v>0</v>
      </c>
      <c r="G43" s="7">
        <f t="shared" si="28"/>
        <v>0</v>
      </c>
      <c r="H43" s="7">
        <f t="shared" si="29"/>
        <v>0</v>
      </c>
      <c r="I43" s="7">
        <f t="shared" si="30"/>
        <v>0</v>
      </c>
      <c r="J43" s="7">
        <f t="shared" si="31"/>
        <v>0</v>
      </c>
      <c r="K43" s="7">
        <f t="shared" si="32"/>
        <v>0</v>
      </c>
      <c r="L43" s="7">
        <f t="shared" si="33"/>
        <v>0</v>
      </c>
      <c r="M43" s="7">
        <f t="shared" si="34"/>
        <v>0</v>
      </c>
      <c r="N43" s="7">
        <f t="shared" si="35"/>
        <v>0</v>
      </c>
      <c r="O43" s="7">
        <f t="shared" si="36"/>
        <v>0</v>
      </c>
      <c r="P43" s="7">
        <f t="shared" si="37"/>
        <v>0</v>
      </c>
      <c r="Q43" s="7">
        <f t="shared" si="38"/>
        <v>0</v>
      </c>
      <c r="R43" s="1316"/>
      <c r="S43" s="1418"/>
      <c r="T43" s="1418"/>
      <c r="U43" s="1419"/>
      <c r="W43" s="1419"/>
      <c r="X43" s="1419"/>
      <c r="Y43" s="1418"/>
      <c r="Z43" s="1418"/>
      <c r="AA43" s="1418"/>
      <c r="AB43" s="1418"/>
      <c r="AC43" s="1418"/>
      <c r="AD43" s="1418"/>
      <c r="AE43" s="1418"/>
      <c r="AF43" s="1418"/>
      <c r="AG43" s="1418"/>
      <c r="AH43" s="1418"/>
      <c r="AI43" s="1423"/>
      <c r="AJ43" s="1418"/>
      <c r="AK43" s="1418"/>
      <c r="AL43" s="1418"/>
    </row>
    <row r="44" spans="1:38">
      <c r="A44" s="25" t="s">
        <v>1292</v>
      </c>
      <c r="B44" s="505" t="s">
        <v>1293</v>
      </c>
      <c r="C44" s="7">
        <v>21247</v>
      </c>
      <c r="D44" s="7">
        <v>22233</v>
      </c>
      <c r="E44" s="7">
        <v>62089</v>
      </c>
      <c r="F44" s="7">
        <f t="shared" si="26"/>
        <v>64572.560000000005</v>
      </c>
      <c r="G44" s="7">
        <f t="shared" si="28"/>
        <v>67155.462400000004</v>
      </c>
      <c r="H44" s="7">
        <f t="shared" si="29"/>
        <v>69841.680896000005</v>
      </c>
      <c r="I44" s="7">
        <f t="shared" si="30"/>
        <v>72635.348131840001</v>
      </c>
      <c r="J44" s="7">
        <f t="shared" si="31"/>
        <v>75540.762057113607</v>
      </c>
      <c r="K44" s="7">
        <f t="shared" si="32"/>
        <v>78562.392539398148</v>
      </c>
      <c r="L44" s="7">
        <f t="shared" si="33"/>
        <v>81704.888240974076</v>
      </c>
      <c r="M44" s="7">
        <f t="shared" si="34"/>
        <v>84973.083770613041</v>
      </c>
      <c r="N44" s="7">
        <f t="shared" si="35"/>
        <v>88372.007121437564</v>
      </c>
      <c r="O44" s="7">
        <f t="shared" si="36"/>
        <v>91906.887406295064</v>
      </c>
      <c r="P44" s="7">
        <f t="shared" si="37"/>
        <v>95583.162902546872</v>
      </c>
      <c r="Q44" s="7">
        <f t="shared" si="38"/>
        <v>99406.489418648751</v>
      </c>
      <c r="R44" s="1316"/>
      <c r="S44" s="1418"/>
      <c r="T44" s="1418"/>
      <c r="U44" s="1419"/>
      <c r="W44" s="1419"/>
      <c r="X44" s="1419"/>
      <c r="Y44" s="1418"/>
      <c r="Z44" s="1418"/>
      <c r="AA44" s="1418"/>
      <c r="AB44" s="1418"/>
      <c r="AC44" s="1418"/>
      <c r="AD44" s="1418"/>
      <c r="AE44" s="1418"/>
      <c r="AF44" s="1418"/>
      <c r="AG44" s="1418"/>
      <c r="AH44" s="1418"/>
      <c r="AI44" s="1423"/>
      <c r="AJ44" s="1418"/>
      <c r="AK44" s="1418"/>
      <c r="AL44" s="1418"/>
    </row>
    <row r="45" spans="1:38">
      <c r="A45" s="25" t="s">
        <v>1294</v>
      </c>
      <c r="B45" s="505" t="s">
        <v>1295</v>
      </c>
      <c r="C45" s="7">
        <v>12563</v>
      </c>
      <c r="D45" s="7">
        <v>15465</v>
      </c>
      <c r="E45" s="7">
        <v>4191</v>
      </c>
      <c r="F45" s="7">
        <f t="shared" si="26"/>
        <v>4358.6400000000003</v>
      </c>
      <c r="G45" s="7">
        <f t="shared" si="28"/>
        <v>4532.9856000000009</v>
      </c>
      <c r="H45" s="7">
        <f t="shared" si="29"/>
        <v>4714.3050240000011</v>
      </c>
      <c r="I45" s="7">
        <f t="shared" si="30"/>
        <v>4902.8772249600015</v>
      </c>
      <c r="J45" s="7">
        <f t="shared" si="31"/>
        <v>5098.9923139584016</v>
      </c>
      <c r="K45" s="7">
        <f t="shared" si="32"/>
        <v>5302.952006516738</v>
      </c>
      <c r="L45" s="7">
        <f t="shared" si="33"/>
        <v>5515.0700867774076</v>
      </c>
      <c r="M45" s="7">
        <f t="shared" si="34"/>
        <v>5735.6728902485038</v>
      </c>
      <c r="N45" s="7">
        <f t="shared" si="35"/>
        <v>5965.0998058584446</v>
      </c>
      <c r="O45" s="7">
        <f t="shared" si="36"/>
        <v>6203.7037980927826</v>
      </c>
      <c r="P45" s="7">
        <f t="shared" si="37"/>
        <v>6451.8519500164939</v>
      </c>
      <c r="Q45" s="7">
        <f t="shared" si="38"/>
        <v>6709.9260280171538</v>
      </c>
      <c r="R45" s="1316"/>
      <c r="S45" s="1418"/>
      <c r="T45" s="1418"/>
      <c r="U45" s="1419"/>
      <c r="W45" s="1419"/>
      <c r="X45" s="1419"/>
      <c r="Y45" s="1418"/>
      <c r="Z45" s="1418"/>
      <c r="AA45" s="1418"/>
      <c r="AB45" s="1418"/>
      <c r="AC45" s="1418"/>
      <c r="AD45" s="1418"/>
      <c r="AE45" s="1418"/>
      <c r="AF45" s="1418"/>
      <c r="AG45" s="1418"/>
      <c r="AH45" s="1418"/>
      <c r="AI45" s="1423"/>
      <c r="AJ45" s="1418"/>
      <c r="AK45" s="1418"/>
      <c r="AL45" s="1418"/>
    </row>
    <row r="46" spans="1:38">
      <c r="A46" s="23" t="s">
        <v>1296</v>
      </c>
      <c r="B46" s="504" t="s">
        <v>1297</v>
      </c>
      <c r="C46" s="7">
        <v>15638</v>
      </c>
      <c r="D46" s="7">
        <v>21558</v>
      </c>
      <c r="E46" s="7">
        <v>9221</v>
      </c>
      <c r="F46" s="7">
        <v>9591</v>
      </c>
      <c r="G46" s="7">
        <f t="shared" si="28"/>
        <v>9974.6400000000012</v>
      </c>
      <c r="H46" s="7">
        <f t="shared" si="29"/>
        <v>10373.625600000001</v>
      </c>
      <c r="I46" s="7">
        <f t="shared" si="30"/>
        <v>10788.570624000002</v>
      </c>
      <c r="J46" s="7">
        <f t="shared" si="31"/>
        <v>11220.113448960003</v>
      </c>
      <c r="K46" s="7">
        <f t="shared" si="32"/>
        <v>11668.917986918403</v>
      </c>
      <c r="L46" s="7">
        <f t="shared" si="33"/>
        <v>12135.674706395139</v>
      </c>
      <c r="M46" s="7">
        <f t="shared" si="34"/>
        <v>12621.101694650944</v>
      </c>
      <c r="N46" s="7">
        <f t="shared" si="35"/>
        <v>13125.945762436982</v>
      </c>
      <c r="O46" s="7">
        <f t="shared" si="36"/>
        <v>13650.983592934463</v>
      </c>
      <c r="P46" s="7">
        <f t="shared" si="37"/>
        <v>14197.022936651842</v>
      </c>
      <c r="Q46" s="7">
        <f t="shared" si="38"/>
        <v>14764.903854117916</v>
      </c>
      <c r="R46" s="1316"/>
      <c r="S46" s="1418"/>
      <c r="T46" s="1418"/>
      <c r="U46" s="1419"/>
      <c r="W46" s="1419"/>
      <c r="X46" s="1419"/>
      <c r="Y46" s="1418"/>
      <c r="Z46" s="1418"/>
      <c r="AA46" s="1418"/>
      <c r="AB46" s="1418"/>
      <c r="AC46" s="1418"/>
      <c r="AD46" s="1418"/>
      <c r="AE46" s="1418"/>
      <c r="AF46" s="1418"/>
      <c r="AG46" s="1418"/>
      <c r="AH46" s="1418"/>
      <c r="AI46" s="1423"/>
      <c r="AJ46" s="1418"/>
      <c r="AK46" s="1418"/>
      <c r="AL46" s="1418"/>
    </row>
    <row r="47" spans="1:38">
      <c r="A47" s="23" t="s">
        <v>1298</v>
      </c>
      <c r="B47" s="504" t="s">
        <v>1299</v>
      </c>
      <c r="C47" s="42">
        <f>SUM(C48:C51)+C54+C83+C79</f>
        <v>6035622</v>
      </c>
      <c r="D47" s="42">
        <f t="shared" ref="D47:Q47" si="41">SUM(D48:D51)+D54+D83+D79</f>
        <v>5497834</v>
      </c>
      <c r="E47" s="42">
        <f t="shared" si="41"/>
        <v>4375922.12</v>
      </c>
      <c r="F47" s="42">
        <f t="shared" si="41"/>
        <v>4999975.7648000009</v>
      </c>
      <c r="G47" s="42">
        <f t="shared" si="41"/>
        <v>5105724.5153920008</v>
      </c>
      <c r="H47" s="42">
        <f t="shared" si="41"/>
        <v>5252223.0960076796</v>
      </c>
      <c r="I47" s="42">
        <f t="shared" si="41"/>
        <v>5462312.0198479882</v>
      </c>
      <c r="J47" s="42">
        <f t="shared" si="41"/>
        <v>5680804.5006419076</v>
      </c>
      <c r="K47" s="42">
        <f t="shared" si="41"/>
        <v>5908036.6806675838</v>
      </c>
      <c r="L47" s="42">
        <f t="shared" si="41"/>
        <v>6144358.1478942884</v>
      </c>
      <c r="M47" s="42">
        <f t="shared" si="41"/>
        <v>6390132.473810059</v>
      </c>
      <c r="N47" s="42">
        <f t="shared" si="41"/>
        <v>6645737.7727624625</v>
      </c>
      <c r="O47" s="42">
        <f t="shared" si="41"/>
        <v>6911567.2836729605</v>
      </c>
      <c r="P47" s="42">
        <f t="shared" si="41"/>
        <v>7188029.9750198806</v>
      </c>
      <c r="Q47" s="42">
        <f t="shared" si="41"/>
        <v>7475551.174020675</v>
      </c>
      <c r="R47" s="1316"/>
      <c r="S47" s="1418"/>
      <c r="T47" s="1418"/>
      <c r="U47" s="1419"/>
      <c r="W47" s="1419"/>
      <c r="X47" s="1419"/>
      <c r="Y47" s="1418"/>
      <c r="Z47" s="1418"/>
      <c r="AA47" s="1418"/>
      <c r="AB47" s="1418"/>
      <c r="AC47" s="1418"/>
      <c r="AD47" s="1418"/>
      <c r="AE47" s="1418"/>
      <c r="AF47" s="1418"/>
      <c r="AG47" s="1418"/>
      <c r="AH47" s="1418"/>
      <c r="AI47" s="1423"/>
      <c r="AJ47" s="1418"/>
      <c r="AK47" s="1418"/>
      <c r="AL47" s="1418"/>
    </row>
    <row r="48" spans="1:38">
      <c r="A48" s="24" t="s">
        <v>1300</v>
      </c>
      <c r="B48" s="505" t="s">
        <v>1301</v>
      </c>
      <c r="C48" s="7">
        <v>26581</v>
      </c>
      <c r="D48" s="7">
        <v>0</v>
      </c>
      <c r="E48" s="7">
        <v>6493</v>
      </c>
      <c r="F48" s="7">
        <f t="shared" ref="F48:F49" si="42">+E48*$E$8</f>
        <v>6752.72</v>
      </c>
      <c r="G48" s="7">
        <f t="shared" ref="G48:G50" si="43">+F48*$E$8</f>
        <v>7022.8288000000002</v>
      </c>
      <c r="H48" s="7">
        <f t="shared" ref="H48:H50" si="44">+G48*$E$8</f>
        <v>7303.7419520000003</v>
      </c>
      <c r="I48" s="7">
        <f t="shared" ref="I48:I50" si="45">+H48*$E$8</f>
        <v>7595.8916300800001</v>
      </c>
      <c r="J48" s="7">
        <f t="shared" ref="J48:J50" si="46">+I48*$E$8</f>
        <v>7899.7272952832</v>
      </c>
      <c r="K48" s="7">
        <f t="shared" ref="K48:K50" si="47">+J48*$E$8</f>
        <v>8215.7163870945278</v>
      </c>
      <c r="L48" s="7">
        <f t="shared" ref="L48:L50" si="48">+K48*$E$8</f>
        <v>8544.3450425783085</v>
      </c>
      <c r="M48" s="7">
        <f t="shared" ref="M48:M50" si="49">+L48*$E$8</f>
        <v>8886.1188442814419</v>
      </c>
      <c r="N48" s="7">
        <f t="shared" ref="N48:N50" si="50">+M48*$E$8</f>
        <v>9241.5635980527004</v>
      </c>
      <c r="O48" s="7">
        <f t="shared" ref="O48:O50" si="51">+N48*$E$8</f>
        <v>9611.2261419748083</v>
      </c>
      <c r="P48" s="7">
        <f t="shared" ref="P48:P50" si="52">+O48*$E$8</f>
        <v>9995.6751876538019</v>
      </c>
      <c r="Q48" s="7">
        <f t="shared" ref="Q48:Q50" si="53">+P48*$E$8</f>
        <v>10395.502195159954</v>
      </c>
      <c r="R48" s="1316"/>
      <c r="S48" s="1418"/>
      <c r="T48" s="1418"/>
      <c r="U48" s="1419"/>
      <c r="W48" s="1419"/>
      <c r="X48" s="1419"/>
      <c r="Y48" s="1418"/>
      <c r="Z48" s="1418"/>
      <c r="AA48" s="1418"/>
      <c r="AB48" s="1418"/>
      <c r="AC48" s="1418"/>
      <c r="AD48" s="1418"/>
      <c r="AE48" s="1418"/>
      <c r="AF48" s="1418"/>
      <c r="AG48" s="1418"/>
      <c r="AH48" s="1418"/>
      <c r="AI48" s="1423"/>
      <c r="AJ48" s="1418"/>
      <c r="AK48" s="1418"/>
      <c r="AL48" s="1418"/>
    </row>
    <row r="49" spans="1:38">
      <c r="A49" s="24" t="s">
        <v>1302</v>
      </c>
      <c r="B49" s="505" t="s">
        <v>1303</v>
      </c>
      <c r="C49" s="7">
        <v>15969</v>
      </c>
      <c r="D49" s="7">
        <v>26919</v>
      </c>
      <c r="E49" s="7">
        <v>26815</v>
      </c>
      <c r="F49" s="7">
        <f t="shared" si="42"/>
        <v>27887.600000000002</v>
      </c>
      <c r="G49" s="7">
        <f t="shared" si="43"/>
        <v>29003.104000000003</v>
      </c>
      <c r="H49" s="7">
        <f t="shared" si="44"/>
        <v>30163.228160000002</v>
      </c>
      <c r="I49" s="7">
        <f t="shared" si="45"/>
        <v>31369.757286400003</v>
      </c>
      <c r="J49" s="7">
        <f t="shared" si="46"/>
        <v>32624.547577856003</v>
      </c>
      <c r="K49" s="7">
        <f t="shared" si="47"/>
        <v>33929.529480970246</v>
      </c>
      <c r="L49" s="7">
        <f t="shared" si="48"/>
        <v>35286.710660209057</v>
      </c>
      <c r="M49" s="7">
        <f t="shared" si="49"/>
        <v>36698.17908661742</v>
      </c>
      <c r="N49" s="7">
        <f t="shared" si="50"/>
        <v>38166.106250082121</v>
      </c>
      <c r="O49" s="7">
        <f t="shared" si="51"/>
        <v>39692.750500085407</v>
      </c>
      <c r="P49" s="7">
        <f t="shared" si="52"/>
        <v>41280.460520088825</v>
      </c>
      <c r="Q49" s="7">
        <f t="shared" si="53"/>
        <v>42931.67894089238</v>
      </c>
      <c r="R49" s="1316"/>
      <c r="S49" s="1418"/>
      <c r="T49" s="1418"/>
      <c r="U49" s="1419"/>
      <c r="W49" s="1419"/>
      <c r="X49" s="1419"/>
      <c r="Y49" s="1418"/>
      <c r="Z49" s="1418"/>
      <c r="AA49" s="1418"/>
      <c r="AB49" s="1418"/>
      <c r="AC49" s="1418"/>
      <c r="AD49" s="1418"/>
      <c r="AE49" s="1418"/>
      <c r="AF49" s="1418"/>
      <c r="AG49" s="1418"/>
      <c r="AH49" s="1418"/>
      <c r="AI49" s="1423"/>
      <c r="AJ49" s="1418"/>
      <c r="AK49" s="1418"/>
      <c r="AL49" s="1418"/>
    </row>
    <row r="50" spans="1:38">
      <c r="A50" s="24" t="s">
        <v>1304</v>
      </c>
      <c r="B50" s="505" t="s">
        <v>1305</v>
      </c>
      <c r="C50" s="7">
        <v>0</v>
      </c>
      <c r="D50" s="7">
        <v>12380</v>
      </c>
      <c r="E50" s="7">
        <v>500</v>
      </c>
      <c r="F50" s="7">
        <v>520</v>
      </c>
      <c r="G50" s="7">
        <f t="shared" si="43"/>
        <v>540.80000000000007</v>
      </c>
      <c r="H50" s="7">
        <f t="shared" si="44"/>
        <v>562.43200000000013</v>
      </c>
      <c r="I50" s="7">
        <f t="shared" si="45"/>
        <v>584.92928000000018</v>
      </c>
      <c r="J50" s="7">
        <f t="shared" si="46"/>
        <v>608.32645120000018</v>
      </c>
      <c r="K50" s="7">
        <f t="shared" si="47"/>
        <v>632.65950924800018</v>
      </c>
      <c r="L50" s="7">
        <f t="shared" si="48"/>
        <v>657.9658896179202</v>
      </c>
      <c r="M50" s="7">
        <f t="shared" si="49"/>
        <v>684.28452520263704</v>
      </c>
      <c r="N50" s="7">
        <f t="shared" si="50"/>
        <v>711.6559062107425</v>
      </c>
      <c r="O50" s="7">
        <f t="shared" si="51"/>
        <v>740.12214245917221</v>
      </c>
      <c r="P50" s="7">
        <f t="shared" si="52"/>
        <v>769.72702815753917</v>
      </c>
      <c r="Q50" s="7">
        <f t="shared" si="53"/>
        <v>800.51610928384071</v>
      </c>
      <c r="R50" s="1316"/>
      <c r="S50" s="1418"/>
      <c r="T50" s="1418"/>
      <c r="U50" s="1419"/>
      <c r="W50" s="1419"/>
      <c r="X50" s="1419"/>
      <c r="Y50" s="1418"/>
      <c r="Z50" s="1418"/>
      <c r="AA50" s="1418"/>
      <c r="AB50" s="1418"/>
      <c r="AC50" s="1418"/>
      <c r="AD50" s="1418"/>
      <c r="AE50" s="1418"/>
      <c r="AF50" s="1418"/>
      <c r="AG50" s="1418"/>
      <c r="AH50" s="1418"/>
      <c r="AI50" s="1423"/>
      <c r="AJ50" s="1418"/>
      <c r="AK50" s="1418"/>
      <c r="AL50" s="1418"/>
    </row>
    <row r="51" spans="1:38">
      <c r="A51" s="24" t="s">
        <v>1306</v>
      </c>
      <c r="B51" s="505" t="s">
        <v>1307</v>
      </c>
      <c r="C51" s="42">
        <f>SUM(C52:C53)</f>
        <v>0</v>
      </c>
      <c r="D51" s="42">
        <f t="shared" ref="D51:Q51" si="54">SUM(D52:D53)</f>
        <v>0</v>
      </c>
      <c r="E51" s="42">
        <f t="shared" si="54"/>
        <v>0</v>
      </c>
      <c r="F51" s="42">
        <f t="shared" si="54"/>
        <v>144000</v>
      </c>
      <c r="G51" s="42">
        <f t="shared" si="54"/>
        <v>55510</v>
      </c>
      <c r="H51" s="42">
        <f t="shared" si="54"/>
        <v>0</v>
      </c>
      <c r="I51" s="42">
        <f t="shared" si="54"/>
        <v>0</v>
      </c>
      <c r="J51" s="42">
        <f t="shared" si="54"/>
        <v>0</v>
      </c>
      <c r="K51" s="42">
        <f t="shared" si="54"/>
        <v>0</v>
      </c>
      <c r="L51" s="42">
        <f t="shared" si="54"/>
        <v>0</v>
      </c>
      <c r="M51" s="42">
        <f t="shared" si="54"/>
        <v>0</v>
      </c>
      <c r="N51" s="42">
        <f t="shared" si="54"/>
        <v>0</v>
      </c>
      <c r="O51" s="42">
        <f t="shared" si="54"/>
        <v>0</v>
      </c>
      <c r="P51" s="42">
        <f t="shared" si="54"/>
        <v>0</v>
      </c>
      <c r="Q51" s="42">
        <f t="shared" si="54"/>
        <v>0</v>
      </c>
      <c r="R51" s="1316"/>
      <c r="S51" s="1418"/>
      <c r="T51" s="1418"/>
      <c r="U51" s="1419"/>
      <c r="W51" s="1419"/>
      <c r="X51" s="1419"/>
      <c r="Y51" s="1418"/>
      <c r="Z51" s="1418"/>
      <c r="AA51" s="1418"/>
      <c r="AB51" s="1418"/>
      <c r="AC51" s="1418"/>
      <c r="AD51" s="1418"/>
      <c r="AE51" s="1418"/>
      <c r="AF51" s="1418"/>
      <c r="AG51" s="1418"/>
      <c r="AH51" s="1418"/>
      <c r="AI51" s="1423"/>
      <c r="AJ51" s="1418"/>
      <c r="AK51" s="1418"/>
      <c r="AL51" s="1418"/>
    </row>
    <row r="52" spans="1:38">
      <c r="A52" s="24" t="s">
        <v>1308</v>
      </c>
      <c r="B52" s="505" t="s">
        <v>1309</v>
      </c>
      <c r="C52" s="7">
        <v>0</v>
      </c>
      <c r="D52" s="7">
        <v>0</v>
      </c>
      <c r="E52" s="7">
        <f t="shared" ref="E52:F52" si="55">+D52*$E$8</f>
        <v>0</v>
      </c>
      <c r="F52" s="7">
        <f t="shared" si="55"/>
        <v>0</v>
      </c>
      <c r="G52" s="7">
        <f t="shared" ref="G52" si="56">+F52*$E$8</f>
        <v>0</v>
      </c>
      <c r="H52" s="7">
        <f t="shared" ref="H52" si="57">+G52*$E$8</f>
        <v>0</v>
      </c>
      <c r="I52" s="7">
        <f t="shared" ref="I52:I53" si="58">+H52*$E$8</f>
        <v>0</v>
      </c>
      <c r="J52" s="7">
        <f t="shared" ref="J52:J53" si="59">+I52*$E$8</f>
        <v>0</v>
      </c>
      <c r="K52" s="7">
        <f t="shared" ref="K52:K53" si="60">+J52*$E$8</f>
        <v>0</v>
      </c>
      <c r="L52" s="7">
        <f t="shared" ref="L52:L53" si="61">+K52*$E$8</f>
        <v>0</v>
      </c>
      <c r="M52" s="7">
        <f t="shared" ref="M52:M53" si="62">+L52*$E$8</f>
        <v>0</v>
      </c>
      <c r="N52" s="7">
        <f t="shared" ref="N52:N53" si="63">+M52*$E$8</f>
        <v>0</v>
      </c>
      <c r="O52" s="7">
        <f t="shared" ref="O52:O53" si="64">+N52*$E$8</f>
        <v>0</v>
      </c>
      <c r="P52" s="7">
        <f t="shared" ref="P52:P53" si="65">+O52*$E$8</f>
        <v>0</v>
      </c>
      <c r="Q52" s="7">
        <f t="shared" ref="Q52:Q53" si="66">+P52*$E$8</f>
        <v>0</v>
      </c>
      <c r="R52" s="1316"/>
      <c r="S52" s="1418"/>
      <c r="T52" s="1418"/>
      <c r="U52" s="1419"/>
      <c r="W52" s="1419"/>
      <c r="X52" s="1419"/>
      <c r="Y52" s="1418"/>
      <c r="Z52" s="1418"/>
      <c r="AA52" s="1418"/>
      <c r="AB52" s="1418"/>
      <c r="AC52" s="1418"/>
      <c r="AD52" s="1418"/>
      <c r="AE52" s="1418"/>
      <c r="AF52" s="1418"/>
      <c r="AG52" s="1418"/>
      <c r="AH52" s="1418"/>
      <c r="AI52" s="1423"/>
      <c r="AJ52" s="1418"/>
      <c r="AK52" s="1418"/>
      <c r="AL52" s="1418"/>
    </row>
    <row r="53" spans="1:38">
      <c r="A53" s="24" t="s">
        <v>1310</v>
      </c>
      <c r="B53" s="505" t="s">
        <v>1311</v>
      </c>
      <c r="C53" s="7">
        <v>0</v>
      </c>
      <c r="D53" s="7">
        <v>0</v>
      </c>
      <c r="E53" s="7">
        <v>0</v>
      </c>
      <c r="F53" s="7">
        <v>144000</v>
      </c>
      <c r="G53" s="7">
        <v>55510</v>
      </c>
      <c r="H53" s="7">
        <v>0</v>
      </c>
      <c r="I53" s="7">
        <f t="shared" si="58"/>
        <v>0</v>
      </c>
      <c r="J53" s="7">
        <f t="shared" si="59"/>
        <v>0</v>
      </c>
      <c r="K53" s="7">
        <f t="shared" si="60"/>
        <v>0</v>
      </c>
      <c r="L53" s="7">
        <f t="shared" si="61"/>
        <v>0</v>
      </c>
      <c r="M53" s="7">
        <f t="shared" si="62"/>
        <v>0</v>
      </c>
      <c r="N53" s="7">
        <f t="shared" si="63"/>
        <v>0</v>
      </c>
      <c r="O53" s="7">
        <f t="shared" si="64"/>
        <v>0</v>
      </c>
      <c r="P53" s="7">
        <f t="shared" si="65"/>
        <v>0</v>
      </c>
      <c r="Q53" s="7">
        <f t="shared" si="66"/>
        <v>0</v>
      </c>
      <c r="R53" s="1316"/>
      <c r="S53" s="1418"/>
      <c r="T53" s="1418"/>
      <c r="U53" s="1419"/>
      <c r="W53" s="1419"/>
      <c r="X53" s="1419"/>
      <c r="Y53" s="1418"/>
      <c r="Z53" s="1418"/>
      <c r="AA53" s="1418"/>
      <c r="AB53" s="1418"/>
      <c r="AC53" s="1418"/>
      <c r="AD53" s="1418"/>
      <c r="AE53" s="1418"/>
      <c r="AF53" s="1418"/>
      <c r="AG53" s="1418"/>
      <c r="AH53" s="1418"/>
      <c r="AI53" s="1423"/>
      <c r="AJ53" s="1418"/>
      <c r="AK53" s="1418"/>
      <c r="AL53" s="1418"/>
    </row>
    <row r="54" spans="1:38">
      <c r="A54" s="23" t="s">
        <v>1312</v>
      </c>
      <c r="B54" s="504" t="s">
        <v>1313</v>
      </c>
      <c r="C54" s="42">
        <f>+C58+C55+C71+C75</f>
        <v>5695176</v>
      </c>
      <c r="D54" s="42">
        <f t="shared" ref="D54:Q54" si="67">+D58+D55+D71+D75</f>
        <v>4993677</v>
      </c>
      <c r="E54" s="42">
        <f t="shared" si="67"/>
        <v>4283105.12</v>
      </c>
      <c r="F54" s="42">
        <f t="shared" si="67"/>
        <v>4502742.3248000005</v>
      </c>
      <c r="G54" s="42">
        <f t="shared" si="67"/>
        <v>4682851.7377920002</v>
      </c>
      <c r="H54" s="42">
        <f t="shared" si="67"/>
        <v>4870165.8073036801</v>
      </c>
      <c r="I54" s="42">
        <f t="shared" si="67"/>
        <v>5064972.4395958278</v>
      </c>
      <c r="J54" s="42">
        <f t="shared" si="67"/>
        <v>5267571.3371796608</v>
      </c>
      <c r="K54" s="42">
        <f t="shared" si="67"/>
        <v>5478274.1906668479</v>
      </c>
      <c r="L54" s="42">
        <f t="shared" si="67"/>
        <v>5697405.158293522</v>
      </c>
      <c r="M54" s="42">
        <f t="shared" si="67"/>
        <v>5925301.3646252621</v>
      </c>
      <c r="N54" s="42">
        <f t="shared" si="67"/>
        <v>6162313.4192102747</v>
      </c>
      <c r="O54" s="42">
        <f t="shared" si="67"/>
        <v>6408805.9559786851</v>
      </c>
      <c r="P54" s="42">
        <f t="shared" si="67"/>
        <v>6665158.1942178337</v>
      </c>
      <c r="Q54" s="42">
        <f t="shared" si="67"/>
        <v>6931764.5219865469</v>
      </c>
      <c r="R54" s="1316"/>
      <c r="S54" s="1418"/>
      <c r="T54" s="1418"/>
      <c r="U54" s="1419"/>
      <c r="W54" s="1419"/>
      <c r="X54" s="1419"/>
      <c r="Y54" s="1418"/>
      <c r="Z54" s="1418"/>
      <c r="AA54" s="1418"/>
      <c r="AB54" s="1418"/>
      <c r="AC54" s="1418"/>
      <c r="AD54" s="1418"/>
      <c r="AE54" s="1418"/>
      <c r="AF54" s="1418"/>
      <c r="AG54" s="1418"/>
      <c r="AH54" s="1418"/>
      <c r="AI54" s="1423"/>
      <c r="AJ54" s="1418"/>
      <c r="AK54" s="1418"/>
      <c r="AL54" s="1418"/>
    </row>
    <row r="55" spans="1:38">
      <c r="A55" s="23" t="s">
        <v>1314</v>
      </c>
      <c r="B55" s="504" t="s">
        <v>1315</v>
      </c>
      <c r="C55" s="42">
        <f>+C56+C57</f>
        <v>613684</v>
      </c>
      <c r="D55" s="42">
        <f t="shared" ref="D55:Q55" si="68">+D56+D57</f>
        <v>676572</v>
      </c>
      <c r="E55" s="42">
        <f t="shared" si="68"/>
        <v>872012</v>
      </c>
      <c r="F55" s="42">
        <f t="shared" si="68"/>
        <v>728982</v>
      </c>
      <c r="G55" s="42">
        <f t="shared" si="68"/>
        <v>758141</v>
      </c>
      <c r="H55" s="42">
        <f t="shared" si="68"/>
        <v>788466.64</v>
      </c>
      <c r="I55" s="42">
        <f t="shared" si="68"/>
        <v>820005.30560000008</v>
      </c>
      <c r="J55" s="42">
        <f t="shared" si="68"/>
        <v>852805.5178240001</v>
      </c>
      <c r="K55" s="42">
        <f t="shared" si="68"/>
        <v>886917.7385369601</v>
      </c>
      <c r="L55" s="42">
        <f t="shared" si="68"/>
        <v>922394.44807843852</v>
      </c>
      <c r="M55" s="42">
        <f t="shared" si="68"/>
        <v>959290.22600157605</v>
      </c>
      <c r="N55" s="42">
        <f t="shared" si="68"/>
        <v>997661.83504163916</v>
      </c>
      <c r="O55" s="42">
        <f t="shared" si="68"/>
        <v>1037568.3084433047</v>
      </c>
      <c r="P55" s="42">
        <f t="shared" si="68"/>
        <v>1079071.040781037</v>
      </c>
      <c r="Q55" s="42">
        <f t="shared" si="68"/>
        <v>1122233.8824122786</v>
      </c>
      <c r="R55" s="1316"/>
      <c r="S55" s="1418"/>
      <c r="T55" s="1418"/>
      <c r="U55" s="1419"/>
      <c r="W55" s="1419"/>
      <c r="X55" s="1419"/>
      <c r="Y55" s="1418"/>
      <c r="Z55" s="1418"/>
      <c r="AA55" s="1418"/>
      <c r="AB55" s="1418"/>
      <c r="AC55" s="1418"/>
      <c r="AD55" s="1418"/>
      <c r="AE55" s="1418"/>
      <c r="AF55" s="1418"/>
      <c r="AG55" s="1418"/>
      <c r="AH55" s="1418"/>
      <c r="AI55" s="1423"/>
      <c r="AJ55" s="1418"/>
      <c r="AK55" s="1418"/>
      <c r="AL55" s="1418"/>
    </row>
    <row r="56" spans="1:38">
      <c r="A56" s="25" t="s">
        <v>1316</v>
      </c>
      <c r="B56" s="504" t="s">
        <v>1317</v>
      </c>
      <c r="C56" s="7">
        <v>613684</v>
      </c>
      <c r="D56" s="7">
        <v>676572</v>
      </c>
      <c r="E56" s="7">
        <v>872012</v>
      </c>
      <c r="F56" s="7">
        <v>728982</v>
      </c>
      <c r="G56" s="7">
        <v>758141</v>
      </c>
      <c r="H56" s="7">
        <f t="shared" ref="H56:H57" si="69">+G56*$E$8</f>
        <v>788466.64</v>
      </c>
      <c r="I56" s="7">
        <f t="shared" ref="I56:I57" si="70">+H56*$E$8</f>
        <v>820005.30560000008</v>
      </c>
      <c r="J56" s="7">
        <f t="shared" ref="J56:J57" si="71">+I56*$E$8</f>
        <v>852805.5178240001</v>
      </c>
      <c r="K56" s="7">
        <f t="shared" ref="K56:K57" si="72">+J56*$E$8</f>
        <v>886917.7385369601</v>
      </c>
      <c r="L56" s="7">
        <f t="shared" ref="L56:L57" si="73">+K56*$E$8</f>
        <v>922394.44807843852</v>
      </c>
      <c r="M56" s="7">
        <f t="shared" ref="M56:M57" si="74">+L56*$E$8</f>
        <v>959290.22600157605</v>
      </c>
      <c r="N56" s="7">
        <f t="shared" ref="N56:N57" si="75">+M56*$E$8</f>
        <v>997661.83504163916</v>
      </c>
      <c r="O56" s="7">
        <f t="shared" ref="O56:O57" si="76">+N56*$E$8</f>
        <v>1037568.3084433047</v>
      </c>
      <c r="P56" s="7">
        <f t="shared" ref="P56:P57" si="77">+O56*$E$8</f>
        <v>1079071.040781037</v>
      </c>
      <c r="Q56" s="7">
        <f t="shared" ref="Q56:Q57" si="78">+P56*$E$8</f>
        <v>1122233.8824122786</v>
      </c>
      <c r="R56" s="1316"/>
      <c r="S56" s="1418"/>
      <c r="T56" s="1418"/>
      <c r="U56" s="1419"/>
      <c r="W56" s="1419"/>
      <c r="X56" s="1419"/>
      <c r="Y56" s="1418"/>
      <c r="Z56" s="1418"/>
      <c r="AA56" s="1418"/>
      <c r="AB56" s="1418"/>
      <c r="AC56" s="1418"/>
      <c r="AD56" s="1418"/>
      <c r="AE56" s="1418"/>
      <c r="AF56" s="1418"/>
      <c r="AG56" s="1418"/>
      <c r="AH56" s="1418"/>
      <c r="AI56" s="1423"/>
      <c r="AJ56" s="1418"/>
      <c r="AK56" s="1418"/>
      <c r="AL56" s="1418"/>
    </row>
    <row r="57" spans="1:38">
      <c r="A57" s="25" t="s">
        <v>1318</v>
      </c>
      <c r="B57" s="504" t="s">
        <v>1319</v>
      </c>
      <c r="C57" s="7">
        <v>0</v>
      </c>
      <c r="D57" s="7">
        <v>0</v>
      </c>
      <c r="E57" s="7">
        <f t="shared" ref="E57:F57" si="79">+D57*$E$8</f>
        <v>0</v>
      </c>
      <c r="F57" s="7">
        <f t="shared" si="79"/>
        <v>0</v>
      </c>
      <c r="G57" s="7">
        <f t="shared" ref="G57" si="80">+F57*$E$8</f>
        <v>0</v>
      </c>
      <c r="H57" s="7">
        <f t="shared" si="69"/>
        <v>0</v>
      </c>
      <c r="I57" s="7">
        <f t="shared" si="70"/>
        <v>0</v>
      </c>
      <c r="J57" s="7">
        <f t="shared" si="71"/>
        <v>0</v>
      </c>
      <c r="K57" s="7">
        <f t="shared" si="72"/>
        <v>0</v>
      </c>
      <c r="L57" s="7">
        <f t="shared" si="73"/>
        <v>0</v>
      </c>
      <c r="M57" s="7">
        <f t="shared" si="74"/>
        <v>0</v>
      </c>
      <c r="N57" s="7">
        <f t="shared" si="75"/>
        <v>0</v>
      </c>
      <c r="O57" s="7">
        <f t="shared" si="76"/>
        <v>0</v>
      </c>
      <c r="P57" s="7">
        <f t="shared" si="77"/>
        <v>0</v>
      </c>
      <c r="Q57" s="7">
        <f t="shared" si="78"/>
        <v>0</v>
      </c>
      <c r="R57" s="1316"/>
      <c r="S57" s="1418"/>
      <c r="T57" s="1418"/>
      <c r="U57" s="1419"/>
      <c r="W57" s="1419"/>
      <c r="X57" s="1419"/>
      <c r="Y57" s="1418"/>
      <c r="Z57" s="1418"/>
      <c r="AA57" s="1418"/>
      <c r="AB57" s="1418"/>
      <c r="AC57" s="1418"/>
      <c r="AD57" s="1418"/>
      <c r="AE57" s="1418"/>
      <c r="AF57" s="1418"/>
      <c r="AG57" s="1418"/>
      <c r="AH57" s="1418"/>
      <c r="AI57" s="1423"/>
      <c r="AJ57" s="1418"/>
      <c r="AK57" s="1418"/>
      <c r="AL57" s="1418"/>
    </row>
    <row r="58" spans="1:38">
      <c r="A58" s="23" t="s">
        <v>1320</v>
      </c>
      <c r="B58" s="504" t="s">
        <v>1321</v>
      </c>
      <c r="C58" s="42">
        <f>+C59+C62+C68+C69+C70</f>
        <v>2470056</v>
      </c>
      <c r="D58" s="42">
        <f t="shared" ref="D58:Q58" si="81">+D59+D62+D68+D69+D70</f>
        <v>2532983</v>
      </c>
      <c r="E58" s="42">
        <f t="shared" si="81"/>
        <v>2871484.12</v>
      </c>
      <c r="F58" s="42">
        <f t="shared" si="81"/>
        <v>3036166.9648000002</v>
      </c>
      <c r="G58" s="42">
        <f t="shared" si="81"/>
        <v>3157613.6433920003</v>
      </c>
      <c r="H58" s="42">
        <f t="shared" si="81"/>
        <v>3283918.1891276799</v>
      </c>
      <c r="I58" s="42">
        <f t="shared" si="81"/>
        <v>3415274.9166927878</v>
      </c>
      <c r="J58" s="42">
        <f t="shared" si="81"/>
        <v>3551885.9133604993</v>
      </c>
      <c r="K58" s="42">
        <f t="shared" si="81"/>
        <v>3693961.3498949199</v>
      </c>
      <c r="L58" s="42">
        <f t="shared" si="81"/>
        <v>3841719.8038907163</v>
      </c>
      <c r="M58" s="42">
        <f t="shared" si="81"/>
        <v>3995388.5960463453</v>
      </c>
      <c r="N58" s="42">
        <f t="shared" si="81"/>
        <v>4155204.1398882</v>
      </c>
      <c r="O58" s="42">
        <f t="shared" si="81"/>
        <v>4321412.3054837268</v>
      </c>
      <c r="P58" s="42">
        <f t="shared" si="81"/>
        <v>4494268.797703078</v>
      </c>
      <c r="Q58" s="42">
        <f t="shared" si="81"/>
        <v>4674039.5496111996</v>
      </c>
      <c r="R58" s="1316"/>
      <c r="S58" s="1418"/>
      <c r="T58" s="1418"/>
      <c r="U58" s="1419"/>
      <c r="W58" s="1419"/>
      <c r="X58" s="1419"/>
      <c r="Y58" s="1418"/>
      <c r="Z58" s="1418"/>
      <c r="AA58" s="1418"/>
      <c r="AB58" s="1418"/>
      <c r="AC58" s="1418"/>
      <c r="AD58" s="1418"/>
      <c r="AE58" s="1418"/>
      <c r="AF58" s="1418"/>
      <c r="AG58" s="1418"/>
      <c r="AH58" s="1418"/>
      <c r="AI58" s="1423"/>
      <c r="AJ58" s="1418"/>
      <c r="AK58" s="1418"/>
      <c r="AL58" s="1418"/>
    </row>
    <row r="59" spans="1:38">
      <c r="A59" s="23" t="s">
        <v>1322</v>
      </c>
      <c r="B59" s="504" t="s">
        <v>1323</v>
      </c>
      <c r="C59" s="42">
        <f>SUM(C60:C61)</f>
        <v>233314</v>
      </c>
      <c r="D59" s="42">
        <f t="shared" ref="D59:Q59" si="82">SUM(D60:D61)</f>
        <v>242632</v>
      </c>
      <c r="E59" s="42">
        <f t="shared" si="82"/>
        <v>306838</v>
      </c>
      <c r="F59" s="42">
        <f t="shared" si="82"/>
        <v>319111.52</v>
      </c>
      <c r="G59" s="42">
        <f t="shared" si="82"/>
        <v>331875.98080000002</v>
      </c>
      <c r="H59" s="42">
        <f t="shared" si="82"/>
        <v>345151.02003200003</v>
      </c>
      <c r="I59" s="42">
        <f t="shared" si="82"/>
        <v>358957.06083328003</v>
      </c>
      <c r="J59" s="42">
        <f t="shared" si="82"/>
        <v>373315.34326661122</v>
      </c>
      <c r="K59" s="42">
        <f t="shared" si="82"/>
        <v>388247.95699727564</v>
      </c>
      <c r="L59" s="42">
        <f t="shared" si="82"/>
        <v>403777.87527716672</v>
      </c>
      <c r="M59" s="42">
        <f t="shared" si="82"/>
        <v>419928.99028825341</v>
      </c>
      <c r="N59" s="42">
        <f t="shared" si="82"/>
        <v>436726.1498997836</v>
      </c>
      <c r="O59" s="42">
        <f t="shared" si="82"/>
        <v>454195.19589577493</v>
      </c>
      <c r="P59" s="42">
        <f t="shared" si="82"/>
        <v>472363.00373160595</v>
      </c>
      <c r="Q59" s="42">
        <f t="shared" si="82"/>
        <v>491257.5238808702</v>
      </c>
      <c r="R59" s="1316"/>
      <c r="S59" s="1418"/>
      <c r="T59" s="1418"/>
      <c r="U59" s="1419"/>
      <c r="W59" s="1419"/>
      <c r="X59" s="1419"/>
      <c r="Y59" s="1418"/>
      <c r="Z59" s="1418"/>
      <c r="AA59" s="1418"/>
      <c r="AB59" s="1418"/>
      <c r="AC59" s="1418"/>
      <c r="AD59" s="1418"/>
      <c r="AE59" s="1418"/>
      <c r="AF59" s="1418"/>
      <c r="AG59" s="1418"/>
      <c r="AH59" s="1418"/>
      <c r="AI59" s="1423"/>
      <c r="AJ59" s="1418"/>
      <c r="AK59" s="1418"/>
      <c r="AL59" s="1418"/>
    </row>
    <row r="60" spans="1:38">
      <c r="A60" s="25" t="s">
        <v>1324</v>
      </c>
      <c r="B60" s="505" t="s">
        <v>1325</v>
      </c>
      <c r="C60" s="7">
        <v>73035</v>
      </c>
      <c r="D60" s="7">
        <v>68725</v>
      </c>
      <c r="E60" s="7">
        <v>75761</v>
      </c>
      <c r="F60" s="7">
        <f t="shared" ref="F60:F61" si="83">+E60*$E$8</f>
        <v>78791.44</v>
      </c>
      <c r="G60" s="7">
        <f t="shared" ref="G60:G61" si="84">+F60*$E$8</f>
        <v>81943.097600000008</v>
      </c>
      <c r="H60" s="7">
        <f t="shared" ref="H60:H61" si="85">+G60*$E$8</f>
        <v>85220.821504000007</v>
      </c>
      <c r="I60" s="7">
        <f t="shared" ref="I60:I61" si="86">+H60*$E$8</f>
        <v>88629.654364160015</v>
      </c>
      <c r="J60" s="7">
        <f t="shared" ref="J60:J61" si="87">+I60*$E$8</f>
        <v>92174.840538726421</v>
      </c>
      <c r="K60" s="7">
        <f t="shared" ref="K60:K61" si="88">+J60*$E$8</f>
        <v>95861.834160275481</v>
      </c>
      <c r="L60" s="7">
        <f t="shared" ref="L60:L61" si="89">+K60*$E$8</f>
        <v>99696.307526686505</v>
      </c>
      <c r="M60" s="7">
        <f t="shared" ref="M60:M61" si="90">+L60*$E$8</f>
        <v>103684.15982775397</v>
      </c>
      <c r="N60" s="7">
        <f t="shared" ref="N60:N61" si="91">+M60*$E$8</f>
        <v>107831.52622086414</v>
      </c>
      <c r="O60" s="7">
        <f t="shared" ref="O60:O61" si="92">+N60*$E$8</f>
        <v>112144.7872696987</v>
      </c>
      <c r="P60" s="7">
        <f t="shared" ref="P60:P61" si="93">+O60*$E$8</f>
        <v>116630.57876048665</v>
      </c>
      <c r="Q60" s="7">
        <f t="shared" ref="Q60:Q61" si="94">+P60*$E$8</f>
        <v>121295.80191090611</v>
      </c>
      <c r="R60" s="1316"/>
      <c r="S60" s="1418"/>
      <c r="T60" s="1418"/>
      <c r="U60" s="1419"/>
      <c r="W60" s="1419"/>
      <c r="X60" s="1419"/>
      <c r="Y60" s="1418"/>
      <c r="Z60" s="1418"/>
      <c r="AA60" s="1418"/>
      <c r="AB60" s="1418"/>
      <c r="AC60" s="1418"/>
      <c r="AD60" s="1418"/>
      <c r="AE60" s="1418"/>
      <c r="AF60" s="1418"/>
      <c r="AG60" s="1418"/>
      <c r="AH60" s="1418"/>
      <c r="AI60" s="1423"/>
      <c r="AJ60" s="1418"/>
      <c r="AK60" s="1418"/>
      <c r="AL60" s="1418"/>
    </row>
    <row r="61" spans="1:38">
      <c r="A61" s="25" t="s">
        <v>1326</v>
      </c>
      <c r="B61" s="505" t="s">
        <v>1327</v>
      </c>
      <c r="C61" s="7">
        <v>160279</v>
      </c>
      <c r="D61" s="7">
        <v>173907</v>
      </c>
      <c r="E61" s="7">
        <v>231077</v>
      </c>
      <c r="F61" s="7">
        <f t="shared" si="83"/>
        <v>240320.08000000002</v>
      </c>
      <c r="G61" s="7">
        <f t="shared" si="84"/>
        <v>249932.88320000001</v>
      </c>
      <c r="H61" s="7">
        <f t="shared" si="85"/>
        <v>259930.19852800001</v>
      </c>
      <c r="I61" s="7">
        <f t="shared" si="86"/>
        <v>270327.40646912</v>
      </c>
      <c r="J61" s="7">
        <f t="shared" si="87"/>
        <v>281140.5027278848</v>
      </c>
      <c r="K61" s="7">
        <f t="shared" si="88"/>
        <v>292386.12283700018</v>
      </c>
      <c r="L61" s="7">
        <f t="shared" si="89"/>
        <v>304081.5677504802</v>
      </c>
      <c r="M61" s="7">
        <f t="shared" si="90"/>
        <v>316244.83046049945</v>
      </c>
      <c r="N61" s="7">
        <f t="shared" si="91"/>
        <v>328894.62367891945</v>
      </c>
      <c r="O61" s="7">
        <f t="shared" si="92"/>
        <v>342050.40862607624</v>
      </c>
      <c r="P61" s="7">
        <f t="shared" si="93"/>
        <v>355732.42497111933</v>
      </c>
      <c r="Q61" s="7">
        <f t="shared" si="94"/>
        <v>369961.7219699641</v>
      </c>
      <c r="R61" s="1316"/>
      <c r="S61" s="1418"/>
      <c r="T61" s="1418"/>
      <c r="U61" s="1419"/>
      <c r="W61" s="1419"/>
      <c r="X61" s="1419"/>
      <c r="Y61" s="1418"/>
      <c r="Z61" s="1418"/>
      <c r="AA61" s="1418"/>
      <c r="AB61" s="1418"/>
      <c r="AC61" s="1418"/>
      <c r="AD61" s="1418"/>
      <c r="AE61" s="1418"/>
      <c r="AF61" s="1418"/>
      <c r="AG61" s="1418"/>
      <c r="AH61" s="1418"/>
      <c r="AI61" s="1423"/>
      <c r="AJ61" s="1418"/>
      <c r="AK61" s="1418"/>
      <c r="AL61" s="1418"/>
    </row>
    <row r="62" spans="1:38">
      <c r="A62" s="23" t="s">
        <v>1328</v>
      </c>
      <c r="B62" s="504" t="s">
        <v>1329</v>
      </c>
      <c r="C62" s="42">
        <f>SUM(C63:C67)</f>
        <v>1308197</v>
      </c>
      <c r="D62" s="42">
        <f t="shared" ref="D62:Q62" si="95">SUM(D63:D67)</f>
        <v>1405815</v>
      </c>
      <c r="E62" s="42">
        <f t="shared" si="95"/>
        <v>1771195.12</v>
      </c>
      <c r="F62" s="42">
        <f t="shared" si="95"/>
        <v>1891866.4048000001</v>
      </c>
      <c r="G62" s="42">
        <f t="shared" si="95"/>
        <v>1967541.0609920002</v>
      </c>
      <c r="H62" s="42">
        <f t="shared" si="95"/>
        <v>2046242.7034316801</v>
      </c>
      <c r="I62" s="42">
        <f t="shared" si="95"/>
        <v>2128092.4115689476</v>
      </c>
      <c r="J62" s="42">
        <f t="shared" si="95"/>
        <v>2213216.108031706</v>
      </c>
      <c r="K62" s="42">
        <f t="shared" si="95"/>
        <v>2301744.7523529739</v>
      </c>
      <c r="L62" s="42">
        <f t="shared" si="95"/>
        <v>2393814.5424470929</v>
      </c>
      <c r="M62" s="42">
        <f t="shared" si="95"/>
        <v>2489567.124144977</v>
      </c>
      <c r="N62" s="42">
        <f t="shared" si="95"/>
        <v>2589149.8091107765</v>
      </c>
      <c r="O62" s="42">
        <f t="shared" si="95"/>
        <v>2692715.8014752069</v>
      </c>
      <c r="P62" s="42">
        <f t="shared" si="95"/>
        <v>2800424.4335342161</v>
      </c>
      <c r="Q62" s="42">
        <f t="shared" si="95"/>
        <v>2912441.4108755845</v>
      </c>
      <c r="R62" s="1316"/>
      <c r="S62" s="1418"/>
      <c r="T62" s="1418"/>
      <c r="U62" s="1419"/>
      <c r="W62" s="1419"/>
      <c r="X62" s="1419"/>
      <c r="Y62" s="1418"/>
      <c r="Z62" s="1418"/>
      <c r="AA62" s="1418"/>
      <c r="AB62" s="1418"/>
      <c r="AC62" s="1418"/>
      <c r="AD62" s="1418"/>
      <c r="AE62" s="1418"/>
      <c r="AF62" s="1418"/>
      <c r="AG62" s="1418"/>
      <c r="AH62" s="1418"/>
      <c r="AI62" s="1423"/>
      <c r="AJ62" s="1418"/>
      <c r="AK62" s="1418"/>
      <c r="AL62" s="1418"/>
    </row>
    <row r="63" spans="1:38">
      <c r="A63" s="25" t="s">
        <v>1330</v>
      </c>
      <c r="B63" s="505" t="s">
        <v>1331</v>
      </c>
      <c r="C63" s="7">
        <v>986849</v>
      </c>
      <c r="D63" s="7">
        <v>1181726</v>
      </c>
      <c r="E63" s="7">
        <v>1493834</v>
      </c>
      <c r="F63" s="7">
        <f t="shared" ref="F63:F66" si="96">+E63*$E$8</f>
        <v>1553587.36</v>
      </c>
      <c r="G63" s="7">
        <f t="shared" ref="G63:G70" si="97">+F63*$E$8</f>
        <v>1615730.8544000001</v>
      </c>
      <c r="H63" s="7">
        <f t="shared" ref="H63:H70" si="98">+G63*$E$8</f>
        <v>1680360.0885760002</v>
      </c>
      <c r="I63" s="7">
        <f t="shared" ref="I63:I70" si="99">+H63*$E$8</f>
        <v>1747574.4921190403</v>
      </c>
      <c r="J63" s="7">
        <f t="shared" ref="J63:J70" si="100">+I63*$E$8</f>
        <v>1817477.4718038021</v>
      </c>
      <c r="K63" s="7">
        <f t="shared" ref="K63:K70" si="101">+J63*$E$8</f>
        <v>1890176.5706759542</v>
      </c>
      <c r="L63" s="7">
        <f t="shared" ref="L63:L70" si="102">+K63*$E$8</f>
        <v>1965783.6335029926</v>
      </c>
      <c r="M63" s="7">
        <f t="shared" ref="M63:M70" si="103">+L63*$E$8</f>
        <v>2044414.9788431122</v>
      </c>
      <c r="N63" s="7">
        <f t="shared" ref="N63:N70" si="104">+M63*$E$8</f>
        <v>2126191.577996837</v>
      </c>
      <c r="O63" s="7">
        <f t="shared" ref="O63:O70" si="105">+N63*$E$8</f>
        <v>2211239.2411167105</v>
      </c>
      <c r="P63" s="7">
        <f t="shared" ref="P63:P70" si="106">+O63*$E$8</f>
        <v>2299688.8107613791</v>
      </c>
      <c r="Q63" s="7">
        <f t="shared" ref="Q63:Q70" si="107">+P63*$E$8</f>
        <v>2391676.3631918342</v>
      </c>
      <c r="R63" s="1316"/>
      <c r="S63" s="1418"/>
      <c r="T63" s="1418"/>
      <c r="U63" s="1419"/>
      <c r="W63" s="1419"/>
      <c r="X63" s="1419"/>
      <c r="Y63" s="1418"/>
      <c r="Z63" s="1418"/>
      <c r="AA63" s="1418"/>
      <c r="AB63" s="1418"/>
      <c r="AC63" s="1418"/>
      <c r="AD63" s="1418"/>
      <c r="AE63" s="1418"/>
      <c r="AF63" s="1418"/>
      <c r="AG63" s="1418"/>
      <c r="AH63" s="1418"/>
      <c r="AI63" s="1423"/>
      <c r="AJ63" s="1418"/>
      <c r="AK63" s="1418"/>
      <c r="AL63" s="1418"/>
    </row>
    <row r="64" spans="1:38">
      <c r="A64" s="25" t="s">
        <v>1332</v>
      </c>
      <c r="B64" s="505" t="s">
        <v>1333</v>
      </c>
      <c r="C64" s="7">
        <v>49728</v>
      </c>
      <c r="D64" s="7">
        <v>0</v>
      </c>
      <c r="E64" s="7">
        <v>9413</v>
      </c>
      <c r="F64" s="7">
        <v>59613</v>
      </c>
      <c r="G64" s="7">
        <f t="shared" si="97"/>
        <v>61997.520000000004</v>
      </c>
      <c r="H64" s="7">
        <f t="shared" si="98"/>
        <v>64477.420800000007</v>
      </c>
      <c r="I64" s="7">
        <f t="shared" si="99"/>
        <v>67056.517632000003</v>
      </c>
      <c r="J64" s="7">
        <f t="shared" si="100"/>
        <v>69738.778337280004</v>
      </c>
      <c r="K64" s="7">
        <f t="shared" si="101"/>
        <v>72528.329470771205</v>
      </c>
      <c r="L64" s="7">
        <f t="shared" si="102"/>
        <v>75429.46264960205</v>
      </c>
      <c r="M64" s="7">
        <f t="shared" si="103"/>
        <v>78446.641155586141</v>
      </c>
      <c r="N64" s="7">
        <f t="shared" si="104"/>
        <v>81584.506801809592</v>
      </c>
      <c r="O64" s="7">
        <f t="shared" si="105"/>
        <v>84847.887073881982</v>
      </c>
      <c r="P64" s="7">
        <f t="shared" si="106"/>
        <v>88241.802556837269</v>
      </c>
      <c r="Q64" s="7">
        <f t="shared" si="107"/>
        <v>91771.474659110769</v>
      </c>
      <c r="R64" s="1316"/>
      <c r="S64" s="1418"/>
      <c r="T64" s="1418"/>
      <c r="U64" s="1419"/>
      <c r="W64" s="1419"/>
      <c r="X64" s="1419"/>
      <c r="Y64" s="1418"/>
      <c r="Z64" s="1418"/>
      <c r="AA64" s="1418"/>
      <c r="AB64" s="1418"/>
      <c r="AC64" s="1418"/>
      <c r="AD64" s="1418"/>
      <c r="AE64" s="1418"/>
      <c r="AF64" s="1418"/>
      <c r="AG64" s="1418"/>
      <c r="AH64" s="1418"/>
      <c r="AI64" s="1423"/>
      <c r="AJ64" s="1418"/>
      <c r="AK64" s="1418"/>
      <c r="AL64" s="1418"/>
    </row>
    <row r="65" spans="1:38">
      <c r="A65" s="25" t="s">
        <v>1334</v>
      </c>
      <c r="B65" s="505" t="s">
        <v>1335</v>
      </c>
      <c r="C65" s="7">
        <v>86960</v>
      </c>
      <c r="D65" s="7">
        <v>84286</v>
      </c>
      <c r="E65" s="7">
        <v>123147</v>
      </c>
      <c r="F65" s="7">
        <f t="shared" si="96"/>
        <v>128072.88</v>
      </c>
      <c r="G65" s="7">
        <f t="shared" si="97"/>
        <v>133195.79520000002</v>
      </c>
      <c r="H65" s="7">
        <f t="shared" si="98"/>
        <v>138523.62700800004</v>
      </c>
      <c r="I65" s="7">
        <f t="shared" si="99"/>
        <v>144064.57208832004</v>
      </c>
      <c r="J65" s="7">
        <f t="shared" si="100"/>
        <v>149827.15497185284</v>
      </c>
      <c r="K65" s="7">
        <f t="shared" si="101"/>
        <v>155820.24117072695</v>
      </c>
      <c r="L65" s="7">
        <f t="shared" si="102"/>
        <v>162053.05081755604</v>
      </c>
      <c r="M65" s="7">
        <f t="shared" si="103"/>
        <v>168535.1728502583</v>
      </c>
      <c r="N65" s="7">
        <f t="shared" si="104"/>
        <v>175276.57976426862</v>
      </c>
      <c r="O65" s="7">
        <f t="shared" si="105"/>
        <v>182287.64295483936</v>
      </c>
      <c r="P65" s="7">
        <f t="shared" si="106"/>
        <v>189579.14867303293</v>
      </c>
      <c r="Q65" s="7">
        <f t="shared" si="107"/>
        <v>197162.31461995427</v>
      </c>
      <c r="R65" s="1316"/>
      <c r="S65" s="1418"/>
      <c r="T65" s="1418"/>
      <c r="U65" s="1419"/>
      <c r="W65" s="1419"/>
      <c r="X65" s="1419"/>
      <c r="Y65" s="1418"/>
      <c r="Z65" s="1418"/>
      <c r="AA65" s="1418"/>
      <c r="AB65" s="1418"/>
      <c r="AC65" s="1418"/>
      <c r="AD65" s="1418"/>
      <c r="AE65" s="1418"/>
      <c r="AF65" s="1418"/>
      <c r="AG65" s="1418"/>
      <c r="AH65" s="1418"/>
      <c r="AI65" s="1423"/>
      <c r="AJ65" s="1418"/>
      <c r="AK65" s="1418"/>
      <c r="AL65" s="1418"/>
    </row>
    <row r="66" spans="1:38">
      <c r="A66" s="25" t="s">
        <v>1336</v>
      </c>
      <c r="B66" s="505" t="s">
        <v>1337</v>
      </c>
      <c r="C66" s="7">
        <v>89076</v>
      </c>
      <c r="D66" s="7">
        <v>71525</v>
      </c>
      <c r="E66" s="7">
        <v>73792</v>
      </c>
      <c r="F66" s="7">
        <f t="shared" si="96"/>
        <v>76743.680000000008</v>
      </c>
      <c r="G66" s="7">
        <f t="shared" si="97"/>
        <v>79813.427200000006</v>
      </c>
      <c r="H66" s="7">
        <f t="shared" si="98"/>
        <v>83005.964288000003</v>
      </c>
      <c r="I66" s="7">
        <f t="shared" si="99"/>
        <v>86326.20285952001</v>
      </c>
      <c r="J66" s="7">
        <f t="shared" si="100"/>
        <v>89779.250973900809</v>
      </c>
      <c r="K66" s="7">
        <f t="shared" si="101"/>
        <v>93370.421012856837</v>
      </c>
      <c r="L66" s="7">
        <f t="shared" si="102"/>
        <v>97105.237853371116</v>
      </c>
      <c r="M66" s="7">
        <f t="shared" si="103"/>
        <v>100989.44736750597</v>
      </c>
      <c r="N66" s="7">
        <f t="shared" si="104"/>
        <v>105029.02526220621</v>
      </c>
      <c r="O66" s="7">
        <f t="shared" si="105"/>
        <v>109230.18627269447</v>
      </c>
      <c r="P66" s="7">
        <f t="shared" si="106"/>
        <v>113599.39372360225</v>
      </c>
      <c r="Q66" s="7">
        <f t="shared" si="107"/>
        <v>118143.36947254634</v>
      </c>
      <c r="R66" s="1316"/>
      <c r="S66" s="1418"/>
      <c r="T66" s="1418"/>
      <c r="U66" s="1419"/>
      <c r="W66" s="1419"/>
      <c r="X66" s="1419"/>
      <c r="Y66" s="1418"/>
      <c r="Z66" s="1418"/>
      <c r="AA66" s="1418"/>
      <c r="AB66" s="1418"/>
      <c r="AC66" s="1418"/>
      <c r="AD66" s="1418"/>
      <c r="AE66" s="1418"/>
      <c r="AF66" s="1418"/>
      <c r="AG66" s="1418"/>
      <c r="AH66" s="1418"/>
      <c r="AI66" s="1423"/>
      <c r="AJ66" s="1418"/>
      <c r="AK66" s="1418"/>
      <c r="AL66" s="1418"/>
    </row>
    <row r="67" spans="1:38">
      <c r="A67" s="25" t="s">
        <v>1338</v>
      </c>
      <c r="B67" s="505" t="s">
        <v>1339</v>
      </c>
      <c r="C67" s="7">
        <v>95584</v>
      </c>
      <c r="D67" s="7">
        <v>68278</v>
      </c>
      <c r="E67" s="7">
        <f t="shared" ref="E67:F74" si="108">+D67*$E$8</f>
        <v>71009.119999999995</v>
      </c>
      <c r="F67" s="7">
        <f t="shared" si="108"/>
        <v>73849.484799999991</v>
      </c>
      <c r="G67" s="7">
        <f t="shared" si="97"/>
        <v>76803.464191999999</v>
      </c>
      <c r="H67" s="7">
        <f t="shared" si="98"/>
        <v>79875.602759679998</v>
      </c>
      <c r="I67" s="7">
        <f t="shared" si="99"/>
        <v>83070.626870067194</v>
      </c>
      <c r="J67" s="7">
        <f t="shared" si="100"/>
        <v>86393.451944869885</v>
      </c>
      <c r="K67" s="7">
        <f t="shared" si="101"/>
        <v>89849.190022664683</v>
      </c>
      <c r="L67" s="7">
        <f t="shared" si="102"/>
        <v>93443.157623571271</v>
      </c>
      <c r="M67" s="7">
        <f t="shared" si="103"/>
        <v>97180.883928514129</v>
      </c>
      <c r="N67" s="7">
        <f t="shared" si="104"/>
        <v>101068.1192856547</v>
      </c>
      <c r="O67" s="7">
        <f t="shared" si="105"/>
        <v>105110.84405708089</v>
      </c>
      <c r="P67" s="7">
        <f t="shared" si="106"/>
        <v>109315.27781936413</v>
      </c>
      <c r="Q67" s="7">
        <f t="shared" si="107"/>
        <v>113687.8889321387</v>
      </c>
      <c r="R67" s="1316"/>
      <c r="S67" s="1418"/>
      <c r="T67" s="1418"/>
      <c r="U67" s="1419"/>
      <c r="W67" s="1419"/>
      <c r="X67" s="1419"/>
      <c r="Y67" s="1418"/>
      <c r="Z67" s="1418"/>
      <c r="AA67" s="1418"/>
      <c r="AB67" s="1418"/>
      <c r="AC67" s="1418"/>
      <c r="AD67" s="1418"/>
      <c r="AE67" s="1418"/>
      <c r="AF67" s="1418"/>
      <c r="AG67" s="1418"/>
      <c r="AH67" s="1418"/>
      <c r="AI67" s="1423"/>
      <c r="AJ67" s="1418"/>
      <c r="AK67" s="1418"/>
      <c r="AL67" s="1418"/>
    </row>
    <row r="68" spans="1:38">
      <c r="A68" s="23" t="s">
        <v>1340</v>
      </c>
      <c r="B68" s="504" t="s">
        <v>1341</v>
      </c>
      <c r="C68" s="7">
        <v>897093</v>
      </c>
      <c r="D68" s="7">
        <v>847021</v>
      </c>
      <c r="E68" s="7">
        <v>752600</v>
      </c>
      <c r="F68" s="7">
        <f t="shared" si="108"/>
        <v>782704</v>
      </c>
      <c r="G68" s="7">
        <f t="shared" si="97"/>
        <v>814012.16</v>
      </c>
      <c r="H68" s="7">
        <f t="shared" si="98"/>
        <v>846572.64640000009</v>
      </c>
      <c r="I68" s="7">
        <f t="shared" si="99"/>
        <v>880435.55225600011</v>
      </c>
      <c r="J68" s="7">
        <f t="shared" si="100"/>
        <v>915652.97434624017</v>
      </c>
      <c r="K68" s="7">
        <f t="shared" si="101"/>
        <v>952279.09332008986</v>
      </c>
      <c r="L68" s="7">
        <f t="shared" si="102"/>
        <v>990370.25705289352</v>
      </c>
      <c r="M68" s="7">
        <f t="shared" si="103"/>
        <v>1029985.0673350093</v>
      </c>
      <c r="N68" s="7">
        <f t="shared" si="104"/>
        <v>1071184.4700284097</v>
      </c>
      <c r="O68" s="7">
        <f t="shared" si="105"/>
        <v>1114031.8488295462</v>
      </c>
      <c r="P68" s="7">
        <f t="shared" si="106"/>
        <v>1158593.1227827282</v>
      </c>
      <c r="Q68" s="7">
        <f t="shared" si="107"/>
        <v>1204936.8476940372</v>
      </c>
      <c r="R68" s="1316"/>
      <c r="S68" s="1418"/>
      <c r="T68" s="1418"/>
      <c r="U68" s="1419"/>
      <c r="W68" s="1419"/>
      <c r="X68" s="1419"/>
      <c r="Y68" s="1418"/>
      <c r="Z68" s="1418"/>
      <c r="AA68" s="1418"/>
      <c r="AB68" s="1418"/>
      <c r="AC68" s="1418"/>
      <c r="AD68" s="1418"/>
      <c r="AE68" s="1418"/>
      <c r="AF68" s="1418"/>
      <c r="AG68" s="1418"/>
      <c r="AH68" s="1418"/>
      <c r="AI68" s="1423"/>
      <c r="AJ68" s="1418"/>
      <c r="AK68" s="1418"/>
      <c r="AL68" s="1418"/>
    </row>
    <row r="69" spans="1:38">
      <c r="A69" s="27" t="s">
        <v>1342</v>
      </c>
      <c r="B69" s="506" t="s">
        <v>1343</v>
      </c>
      <c r="C69" s="7">
        <v>31452</v>
      </c>
      <c r="D69" s="7">
        <v>37515</v>
      </c>
      <c r="E69" s="7">
        <v>40851</v>
      </c>
      <c r="F69" s="7">
        <f t="shared" si="108"/>
        <v>42485.04</v>
      </c>
      <c r="G69" s="7">
        <f t="shared" si="97"/>
        <v>44184.441600000006</v>
      </c>
      <c r="H69" s="7">
        <f t="shared" si="98"/>
        <v>45951.819264000005</v>
      </c>
      <c r="I69" s="7">
        <f t="shared" si="99"/>
        <v>47789.892034560005</v>
      </c>
      <c r="J69" s="7">
        <f t="shared" si="100"/>
        <v>49701.487715942407</v>
      </c>
      <c r="K69" s="7">
        <f t="shared" si="101"/>
        <v>51689.547224580107</v>
      </c>
      <c r="L69" s="7">
        <f t="shared" si="102"/>
        <v>53757.129113563315</v>
      </c>
      <c r="M69" s="7">
        <f t="shared" si="103"/>
        <v>55907.414278105847</v>
      </c>
      <c r="N69" s="7">
        <f t="shared" si="104"/>
        <v>58143.710849230083</v>
      </c>
      <c r="O69" s="7">
        <f t="shared" si="105"/>
        <v>60469.459283199285</v>
      </c>
      <c r="P69" s="7">
        <f t="shared" si="106"/>
        <v>62888.237654527256</v>
      </c>
      <c r="Q69" s="7">
        <f t="shared" si="107"/>
        <v>65403.767160708347</v>
      </c>
      <c r="R69" s="1316"/>
      <c r="S69" s="1418"/>
      <c r="T69" s="1418"/>
      <c r="U69" s="1419"/>
      <c r="W69" s="1419"/>
      <c r="X69" s="1419"/>
      <c r="Y69" s="1418"/>
      <c r="Z69" s="1418"/>
      <c r="AA69" s="1418"/>
      <c r="AB69" s="1418"/>
      <c r="AC69" s="1418"/>
      <c r="AD69" s="1418"/>
      <c r="AE69" s="1418"/>
      <c r="AF69" s="1418"/>
      <c r="AG69" s="1418"/>
      <c r="AH69" s="1418"/>
      <c r="AI69" s="1423"/>
      <c r="AJ69" s="1418"/>
      <c r="AK69" s="1418"/>
      <c r="AL69" s="1418"/>
    </row>
    <row r="70" spans="1:38">
      <c r="A70" s="27" t="s">
        <v>1344</v>
      </c>
      <c r="B70" s="506" t="s">
        <v>1345</v>
      </c>
      <c r="C70" s="7">
        <v>0</v>
      </c>
      <c r="D70" s="7">
        <v>0</v>
      </c>
      <c r="E70" s="7">
        <f t="shared" ref="E70" si="109">+D70*$E$8</f>
        <v>0</v>
      </c>
      <c r="F70" s="7">
        <f t="shared" si="108"/>
        <v>0</v>
      </c>
      <c r="G70" s="7">
        <f t="shared" si="97"/>
        <v>0</v>
      </c>
      <c r="H70" s="7">
        <f t="shared" si="98"/>
        <v>0</v>
      </c>
      <c r="I70" s="7">
        <f t="shared" si="99"/>
        <v>0</v>
      </c>
      <c r="J70" s="7">
        <f t="shared" si="100"/>
        <v>0</v>
      </c>
      <c r="K70" s="7">
        <f t="shared" si="101"/>
        <v>0</v>
      </c>
      <c r="L70" s="7">
        <f t="shared" si="102"/>
        <v>0</v>
      </c>
      <c r="M70" s="7">
        <f t="shared" si="103"/>
        <v>0</v>
      </c>
      <c r="N70" s="7">
        <f t="shared" si="104"/>
        <v>0</v>
      </c>
      <c r="O70" s="7">
        <f t="shared" si="105"/>
        <v>0</v>
      </c>
      <c r="P70" s="7">
        <f t="shared" si="106"/>
        <v>0</v>
      </c>
      <c r="Q70" s="7">
        <f t="shared" si="107"/>
        <v>0</v>
      </c>
      <c r="R70" s="1316"/>
      <c r="S70" s="1418"/>
      <c r="T70" s="1418"/>
      <c r="U70" s="1419"/>
      <c r="W70" s="1419"/>
      <c r="X70" s="1419"/>
      <c r="Y70" s="1418"/>
      <c r="Z70" s="1418"/>
      <c r="AA70" s="1418"/>
      <c r="AB70" s="1418"/>
      <c r="AC70" s="1418"/>
      <c r="AD70" s="1418"/>
      <c r="AE70" s="1418"/>
      <c r="AF70" s="1418"/>
      <c r="AG70" s="1418"/>
      <c r="AH70" s="1418"/>
      <c r="AI70" s="1423"/>
      <c r="AJ70" s="1418"/>
      <c r="AK70" s="1418"/>
      <c r="AL70" s="1418"/>
    </row>
    <row r="71" spans="1:38">
      <c r="A71" s="23" t="s">
        <v>1346</v>
      </c>
      <c r="B71" s="504" t="s">
        <v>1347</v>
      </c>
      <c r="C71" s="42">
        <f>SUM(C72:C74)</f>
        <v>2288343</v>
      </c>
      <c r="D71" s="42">
        <f t="shared" ref="D71:Q71" si="110">SUM(D72:D74)</f>
        <v>1590828</v>
      </c>
      <c r="E71" s="42">
        <f t="shared" si="110"/>
        <v>517310</v>
      </c>
      <c r="F71" s="42">
        <f t="shared" si="110"/>
        <v>538002.4</v>
      </c>
      <c r="G71" s="42">
        <f t="shared" si="110"/>
        <v>559522.49600000004</v>
      </c>
      <c r="H71" s="42">
        <f t="shared" si="110"/>
        <v>581903.39584000001</v>
      </c>
      <c r="I71" s="42">
        <f t="shared" si="110"/>
        <v>605179.53167359997</v>
      </c>
      <c r="J71" s="42">
        <f t="shared" si="110"/>
        <v>629386.71294054401</v>
      </c>
      <c r="K71" s="42">
        <f t="shared" si="110"/>
        <v>654562.18145816587</v>
      </c>
      <c r="L71" s="42">
        <f t="shared" si="110"/>
        <v>680744.66871649248</v>
      </c>
      <c r="M71" s="42">
        <f t="shared" si="110"/>
        <v>707974.45546515216</v>
      </c>
      <c r="N71" s="42">
        <f t="shared" si="110"/>
        <v>736293.43368375825</v>
      </c>
      <c r="O71" s="42">
        <f t="shared" si="110"/>
        <v>765745.17103110859</v>
      </c>
      <c r="P71" s="42">
        <f t="shared" si="110"/>
        <v>796374.97787235305</v>
      </c>
      <c r="Q71" s="42">
        <f t="shared" si="110"/>
        <v>828229.97698724712</v>
      </c>
      <c r="R71" s="1316"/>
      <c r="S71" s="1418"/>
      <c r="T71" s="1418"/>
      <c r="U71" s="1419"/>
      <c r="W71" s="1419"/>
      <c r="X71" s="1419"/>
      <c r="Y71" s="1418"/>
      <c r="Z71" s="1418"/>
      <c r="AA71" s="1418"/>
      <c r="AB71" s="1418"/>
      <c r="AC71" s="1418"/>
      <c r="AD71" s="1418"/>
      <c r="AE71" s="1418"/>
      <c r="AF71" s="1418"/>
      <c r="AG71" s="1418"/>
      <c r="AH71" s="1418"/>
      <c r="AI71" s="1423"/>
      <c r="AJ71" s="1418"/>
      <c r="AK71" s="1418"/>
      <c r="AL71" s="1418"/>
    </row>
    <row r="72" spans="1:38">
      <c r="A72" s="25" t="s">
        <v>1348</v>
      </c>
      <c r="B72" s="505" t="s">
        <v>1349</v>
      </c>
      <c r="C72" s="7">
        <v>857161</v>
      </c>
      <c r="D72" s="7">
        <v>104778</v>
      </c>
      <c r="E72" s="7">
        <v>0</v>
      </c>
      <c r="F72" s="7">
        <f t="shared" si="108"/>
        <v>0</v>
      </c>
      <c r="G72" s="7">
        <f t="shared" ref="G72:G74" si="111">+F72*$E$8</f>
        <v>0</v>
      </c>
      <c r="H72" s="7">
        <f t="shared" ref="H72:H74" si="112">+G72*$E$8</f>
        <v>0</v>
      </c>
      <c r="I72" s="7">
        <f t="shared" ref="I72:I74" si="113">+H72*$E$8</f>
        <v>0</v>
      </c>
      <c r="J72" s="7">
        <f t="shared" ref="J72:J74" si="114">+I72*$E$8</f>
        <v>0</v>
      </c>
      <c r="K72" s="7">
        <f t="shared" ref="K72:K74" si="115">+J72*$E$8</f>
        <v>0</v>
      </c>
      <c r="L72" s="7">
        <f t="shared" ref="L72:L74" si="116">+K72*$E$8</f>
        <v>0</v>
      </c>
      <c r="M72" s="7">
        <f t="shared" ref="M72:M74" si="117">+L72*$E$8</f>
        <v>0</v>
      </c>
      <c r="N72" s="7">
        <f t="shared" ref="N72:N74" si="118">+M72*$E$8</f>
        <v>0</v>
      </c>
      <c r="O72" s="7">
        <f t="shared" ref="O72:O74" si="119">+N72*$E$8</f>
        <v>0</v>
      </c>
      <c r="P72" s="7">
        <f t="shared" ref="P72:P74" si="120">+O72*$E$8</f>
        <v>0</v>
      </c>
      <c r="Q72" s="7">
        <f t="shared" ref="Q72:Q74" si="121">+P72*$E$8</f>
        <v>0</v>
      </c>
      <c r="R72" s="1316"/>
      <c r="S72" s="1418"/>
      <c r="T72" s="1418"/>
      <c r="U72" s="1419"/>
      <c r="W72" s="1419"/>
      <c r="X72" s="1419"/>
      <c r="Y72" s="1418"/>
      <c r="Z72" s="1418"/>
      <c r="AA72" s="1418"/>
      <c r="AB72" s="1418"/>
      <c r="AC72" s="1418"/>
      <c r="AD72" s="1418"/>
      <c r="AE72" s="1418"/>
      <c r="AF72" s="1418"/>
      <c r="AG72" s="1418"/>
      <c r="AH72" s="1418"/>
      <c r="AI72" s="1423"/>
      <c r="AJ72" s="1418"/>
      <c r="AK72" s="1418"/>
      <c r="AL72" s="1418"/>
    </row>
    <row r="73" spans="1:38">
      <c r="A73" s="24" t="s">
        <v>1350</v>
      </c>
      <c r="B73" s="505" t="s">
        <v>1351</v>
      </c>
      <c r="C73" s="7">
        <v>170583</v>
      </c>
      <c r="D73" s="7">
        <v>921976</v>
      </c>
      <c r="E73" s="7">
        <v>107876</v>
      </c>
      <c r="F73" s="7">
        <f t="shared" si="108"/>
        <v>112191.04000000001</v>
      </c>
      <c r="G73" s="7">
        <f t="shared" si="111"/>
        <v>116678.68160000001</v>
      </c>
      <c r="H73" s="7">
        <f t="shared" si="112"/>
        <v>121345.82886400001</v>
      </c>
      <c r="I73" s="7">
        <f t="shared" si="113"/>
        <v>126199.66201856002</v>
      </c>
      <c r="J73" s="7">
        <f t="shared" si="114"/>
        <v>131247.64849930242</v>
      </c>
      <c r="K73" s="7">
        <f t="shared" si="115"/>
        <v>136497.55443927454</v>
      </c>
      <c r="L73" s="7">
        <f t="shared" si="116"/>
        <v>141957.45661684553</v>
      </c>
      <c r="M73" s="7">
        <f t="shared" si="117"/>
        <v>147635.75488151936</v>
      </c>
      <c r="N73" s="7">
        <f t="shared" si="118"/>
        <v>153541.18507678015</v>
      </c>
      <c r="O73" s="7">
        <f t="shared" si="119"/>
        <v>159682.83247985135</v>
      </c>
      <c r="P73" s="7">
        <f t="shared" si="120"/>
        <v>166070.14577904542</v>
      </c>
      <c r="Q73" s="7">
        <f t="shared" si="121"/>
        <v>172712.95161020724</v>
      </c>
      <c r="R73" s="1316"/>
      <c r="S73" s="1418"/>
      <c r="T73" s="1418"/>
      <c r="U73" s="1419"/>
      <c r="W73" s="1419"/>
      <c r="X73" s="1419"/>
      <c r="Y73" s="1418"/>
      <c r="Z73" s="1418"/>
      <c r="AA73" s="1418"/>
      <c r="AB73" s="1418"/>
      <c r="AC73" s="1418"/>
      <c r="AD73" s="1418"/>
      <c r="AE73" s="1418"/>
      <c r="AF73" s="1418"/>
      <c r="AG73" s="1418"/>
      <c r="AH73" s="1418"/>
      <c r="AI73" s="1423"/>
      <c r="AJ73" s="1418"/>
      <c r="AK73" s="1418"/>
      <c r="AL73" s="1418"/>
    </row>
    <row r="74" spans="1:38">
      <c r="A74" s="24" t="s">
        <v>1352</v>
      </c>
      <c r="B74" s="505" t="s">
        <v>1353</v>
      </c>
      <c r="C74" s="7">
        <v>1260599</v>
      </c>
      <c r="D74" s="7">
        <v>564074</v>
      </c>
      <c r="E74" s="7">
        <v>409434</v>
      </c>
      <c r="F74" s="7">
        <f t="shared" si="108"/>
        <v>425811.36</v>
      </c>
      <c r="G74" s="7">
        <f t="shared" si="111"/>
        <v>442843.81439999997</v>
      </c>
      <c r="H74" s="7">
        <f t="shared" si="112"/>
        <v>460557.56697599997</v>
      </c>
      <c r="I74" s="7">
        <f t="shared" si="113"/>
        <v>478979.86965503998</v>
      </c>
      <c r="J74" s="7">
        <f t="shared" si="114"/>
        <v>498139.06444124161</v>
      </c>
      <c r="K74" s="7">
        <f t="shared" si="115"/>
        <v>518064.62701889127</v>
      </c>
      <c r="L74" s="7">
        <f t="shared" si="116"/>
        <v>538787.21209964692</v>
      </c>
      <c r="M74" s="7">
        <f t="shared" si="117"/>
        <v>560338.7005836328</v>
      </c>
      <c r="N74" s="7">
        <f t="shared" si="118"/>
        <v>582752.2486069781</v>
      </c>
      <c r="O74" s="7">
        <f t="shared" si="119"/>
        <v>606062.33855125727</v>
      </c>
      <c r="P74" s="7">
        <f t="shared" si="120"/>
        <v>630304.83209330763</v>
      </c>
      <c r="Q74" s="7">
        <f t="shared" si="121"/>
        <v>655517.02537703991</v>
      </c>
      <c r="R74" s="1316"/>
      <c r="S74" s="1418"/>
      <c r="T74" s="1418"/>
      <c r="U74" s="1419"/>
      <c r="W74" s="1419"/>
      <c r="X74" s="1419"/>
      <c r="Y74" s="1418"/>
      <c r="Z74" s="1418"/>
      <c r="AA74" s="1418"/>
      <c r="AB74" s="1418"/>
      <c r="AC74" s="1418"/>
      <c r="AD74" s="1418"/>
      <c r="AE74" s="1418"/>
      <c r="AF74" s="1418"/>
      <c r="AG74" s="1418"/>
      <c r="AH74" s="1418"/>
      <c r="AI74" s="1423"/>
      <c r="AJ74" s="1418"/>
      <c r="AK74" s="1418"/>
      <c r="AL74" s="1418"/>
    </row>
    <row r="75" spans="1:38">
      <c r="A75" s="23" t="s">
        <v>1354</v>
      </c>
      <c r="B75" s="504" t="s">
        <v>1355</v>
      </c>
      <c r="C75" s="42">
        <f>SUM(C76:C78)</f>
        <v>323093</v>
      </c>
      <c r="D75" s="42">
        <f t="shared" ref="D75:Q75" si="122">SUM(D76:D78)</f>
        <v>193294</v>
      </c>
      <c r="E75" s="42">
        <f t="shared" si="122"/>
        <v>22299</v>
      </c>
      <c r="F75" s="42">
        <f t="shared" si="122"/>
        <v>199590.96</v>
      </c>
      <c r="G75" s="42">
        <f t="shared" si="122"/>
        <v>207574.59839999999</v>
      </c>
      <c r="H75" s="42">
        <f t="shared" si="122"/>
        <v>215877.58233600002</v>
      </c>
      <c r="I75" s="42">
        <f t="shared" si="122"/>
        <v>224512.68562944001</v>
      </c>
      <c r="J75" s="42">
        <f t="shared" si="122"/>
        <v>233493.19305461764</v>
      </c>
      <c r="K75" s="42">
        <f t="shared" si="122"/>
        <v>242832.92077680235</v>
      </c>
      <c r="L75" s="42">
        <f t="shared" si="122"/>
        <v>252546.23760787447</v>
      </c>
      <c r="M75" s="42">
        <f t="shared" si="122"/>
        <v>262648.08711218945</v>
      </c>
      <c r="N75" s="42">
        <f t="shared" si="122"/>
        <v>273154.01059667702</v>
      </c>
      <c r="O75" s="42">
        <f t="shared" si="122"/>
        <v>284080.17102054413</v>
      </c>
      <c r="P75" s="42">
        <f t="shared" si="122"/>
        <v>295443.37786136591</v>
      </c>
      <c r="Q75" s="42">
        <f t="shared" si="122"/>
        <v>307261.11297582055</v>
      </c>
      <c r="R75" s="1316"/>
      <c r="S75" s="1418"/>
      <c r="T75" s="1418"/>
      <c r="U75" s="1419"/>
      <c r="W75" s="1419"/>
      <c r="X75" s="1419"/>
      <c r="Y75" s="1418"/>
      <c r="Z75" s="1418"/>
      <c r="AA75" s="1418"/>
      <c r="AB75" s="1418"/>
      <c r="AC75" s="1418"/>
      <c r="AD75" s="1418"/>
      <c r="AE75" s="1418"/>
      <c r="AF75" s="1418"/>
      <c r="AG75" s="1418"/>
      <c r="AH75" s="1418"/>
      <c r="AI75" s="1423"/>
      <c r="AJ75" s="1418"/>
      <c r="AK75" s="1418"/>
      <c r="AL75" s="1418"/>
    </row>
    <row r="76" spans="1:38">
      <c r="A76" s="24" t="s">
        <v>1356</v>
      </c>
      <c r="B76" s="507" t="s">
        <v>1357</v>
      </c>
      <c r="C76" s="7">
        <v>0</v>
      </c>
      <c r="D76" s="7">
        <v>0</v>
      </c>
      <c r="E76" s="7">
        <v>3852</v>
      </c>
      <c r="F76" s="7">
        <f t="shared" ref="F76:F77" si="123">+E76*$E$8</f>
        <v>4006.08</v>
      </c>
      <c r="G76" s="7">
        <f t="shared" ref="G76:G78" si="124">+F76*$E$8</f>
        <v>4166.3231999999998</v>
      </c>
      <c r="H76" s="7">
        <f t="shared" ref="H76:H78" si="125">+G76*$E$8</f>
        <v>4332.9761280000002</v>
      </c>
      <c r="I76" s="7">
        <f t="shared" ref="I76:I78" si="126">+H76*$E$8</f>
        <v>4506.2951731200001</v>
      </c>
      <c r="J76" s="7">
        <f t="shared" ref="J76:J78" si="127">+I76*$E$8</f>
        <v>4686.5469800448</v>
      </c>
      <c r="K76" s="7">
        <f t="shared" ref="K76:K78" si="128">+J76*$E$8</f>
        <v>4874.0088592465918</v>
      </c>
      <c r="L76" s="7">
        <f t="shared" ref="L76:L78" si="129">+K76*$E$8</f>
        <v>5068.9692136164558</v>
      </c>
      <c r="M76" s="7">
        <f t="shared" ref="M76:M78" si="130">+L76*$E$8</f>
        <v>5271.7279821611146</v>
      </c>
      <c r="N76" s="7">
        <f t="shared" ref="N76:N78" si="131">+M76*$E$8</f>
        <v>5482.597101447559</v>
      </c>
      <c r="O76" s="7">
        <f t="shared" ref="O76:O78" si="132">+N76*$E$8</f>
        <v>5701.9009855054619</v>
      </c>
      <c r="P76" s="7">
        <f t="shared" ref="P76:P78" si="133">+O76*$E$8</f>
        <v>5929.9770249256808</v>
      </c>
      <c r="Q76" s="7">
        <f t="shared" ref="Q76:Q78" si="134">+P76*$E$8</f>
        <v>6167.1761059227083</v>
      </c>
      <c r="R76" s="1316"/>
      <c r="S76" s="1418"/>
      <c r="T76" s="1418"/>
      <c r="U76" s="1419"/>
      <c r="W76" s="1419"/>
      <c r="X76" s="1419"/>
      <c r="Y76" s="1418"/>
      <c r="Z76" s="1418"/>
      <c r="AA76" s="1418"/>
      <c r="AB76" s="1418"/>
      <c r="AC76" s="1418"/>
      <c r="AD76" s="1418"/>
      <c r="AE76" s="1418"/>
      <c r="AF76" s="1418"/>
      <c r="AG76" s="1418"/>
      <c r="AH76" s="1418"/>
      <c r="AI76" s="1423"/>
      <c r="AJ76" s="1418"/>
      <c r="AK76" s="1418"/>
      <c r="AL76" s="1418"/>
    </row>
    <row r="77" spans="1:38">
      <c r="A77" s="24" t="s">
        <v>1358</v>
      </c>
      <c r="B77" s="505" t="s">
        <v>1359</v>
      </c>
      <c r="C77" s="7">
        <v>16297</v>
      </c>
      <c r="D77" s="7">
        <v>16894</v>
      </c>
      <c r="E77" s="7">
        <v>18447</v>
      </c>
      <c r="F77" s="7">
        <f t="shared" si="123"/>
        <v>19184.88</v>
      </c>
      <c r="G77" s="7">
        <f t="shared" si="124"/>
        <v>19952.2752</v>
      </c>
      <c r="H77" s="7">
        <f t="shared" si="125"/>
        <v>20750.366207999999</v>
      </c>
      <c r="I77" s="7">
        <f t="shared" si="126"/>
        <v>21580.38085632</v>
      </c>
      <c r="J77" s="7">
        <f t="shared" si="127"/>
        <v>22443.596090572802</v>
      </c>
      <c r="K77" s="7">
        <f t="shared" si="128"/>
        <v>23341.339934195716</v>
      </c>
      <c r="L77" s="7">
        <f t="shared" si="129"/>
        <v>24274.993531563545</v>
      </c>
      <c r="M77" s="7">
        <f t="shared" si="130"/>
        <v>25245.993272826086</v>
      </c>
      <c r="N77" s="7">
        <f t="shared" si="131"/>
        <v>26255.833003739132</v>
      </c>
      <c r="O77" s="7">
        <f t="shared" si="132"/>
        <v>27306.066323888699</v>
      </c>
      <c r="P77" s="7">
        <f t="shared" si="133"/>
        <v>28398.308976844248</v>
      </c>
      <c r="Q77" s="7">
        <f t="shared" si="134"/>
        <v>29534.241335918017</v>
      </c>
      <c r="R77" s="1316"/>
      <c r="S77" s="1418"/>
      <c r="T77" s="1418"/>
      <c r="U77" s="1419"/>
      <c r="W77" s="1419"/>
      <c r="X77" s="1419"/>
      <c r="Y77" s="1418"/>
      <c r="Z77" s="1418"/>
      <c r="AA77" s="1418"/>
      <c r="AB77" s="1418"/>
      <c r="AC77" s="1418"/>
      <c r="AD77" s="1418"/>
      <c r="AE77" s="1418"/>
      <c r="AF77" s="1418"/>
      <c r="AG77" s="1418"/>
      <c r="AH77" s="1418"/>
      <c r="AI77" s="1423"/>
      <c r="AJ77" s="1418"/>
      <c r="AK77" s="1418"/>
      <c r="AL77" s="1418"/>
    </row>
    <row r="78" spans="1:38">
      <c r="A78" s="24" t="s">
        <v>1360</v>
      </c>
      <c r="B78" s="505" t="s">
        <v>1361</v>
      </c>
      <c r="C78" s="7">
        <v>306796</v>
      </c>
      <c r="D78" s="7">
        <v>176400</v>
      </c>
      <c r="E78" s="7">
        <v>0</v>
      </c>
      <c r="F78" s="7">
        <v>176400</v>
      </c>
      <c r="G78" s="7">
        <f t="shared" si="124"/>
        <v>183456</v>
      </c>
      <c r="H78" s="7">
        <f t="shared" si="125"/>
        <v>190794.24000000002</v>
      </c>
      <c r="I78" s="7">
        <f t="shared" si="126"/>
        <v>198426.00960000002</v>
      </c>
      <c r="J78" s="7">
        <f t="shared" si="127"/>
        <v>206363.04998400004</v>
      </c>
      <c r="K78" s="7">
        <f t="shared" si="128"/>
        <v>214617.57198336005</v>
      </c>
      <c r="L78" s="7">
        <f t="shared" si="129"/>
        <v>223202.27486269447</v>
      </c>
      <c r="M78" s="7">
        <f t="shared" si="130"/>
        <v>232130.36585720224</v>
      </c>
      <c r="N78" s="7">
        <f t="shared" si="131"/>
        <v>241415.58049149034</v>
      </c>
      <c r="O78" s="7">
        <f t="shared" si="132"/>
        <v>251072.20371114995</v>
      </c>
      <c r="P78" s="7">
        <f t="shared" si="133"/>
        <v>261115.09185959597</v>
      </c>
      <c r="Q78" s="7">
        <f t="shared" si="134"/>
        <v>271559.6955339798</v>
      </c>
      <c r="R78" s="1316"/>
      <c r="S78" s="1418"/>
      <c r="T78" s="1418"/>
      <c r="U78" s="1419"/>
      <c r="W78" s="1419"/>
      <c r="X78" s="1419"/>
      <c r="Y78" s="1418"/>
      <c r="Z78" s="1418"/>
      <c r="AA78" s="1418"/>
      <c r="AB78" s="1418"/>
      <c r="AC78" s="1418"/>
      <c r="AD78" s="1418"/>
      <c r="AE78" s="1418"/>
      <c r="AF78" s="1418"/>
      <c r="AG78" s="1418"/>
      <c r="AH78" s="1418"/>
      <c r="AI78" s="1423"/>
      <c r="AJ78" s="1418"/>
      <c r="AK78" s="1418"/>
      <c r="AL78" s="1418"/>
    </row>
    <row r="79" spans="1:38">
      <c r="A79" s="27" t="s">
        <v>1362</v>
      </c>
      <c r="B79" s="504" t="s">
        <v>1363</v>
      </c>
      <c r="C79" s="42">
        <f>SUM(C80:C82)</f>
        <v>152168</v>
      </c>
      <c r="D79" s="42">
        <f t="shared" ref="D79:Q79" si="135">SUM(D80:D82)</f>
        <v>4376</v>
      </c>
      <c r="E79" s="42">
        <f t="shared" si="135"/>
        <v>17378</v>
      </c>
      <c r="F79" s="42">
        <f t="shared" si="135"/>
        <v>18073.12</v>
      </c>
      <c r="G79" s="42">
        <f t="shared" si="135"/>
        <v>18796.0448</v>
      </c>
      <c r="H79" s="42">
        <f t="shared" si="135"/>
        <v>19547.886591999999</v>
      </c>
      <c r="I79" s="42">
        <f t="shared" si="135"/>
        <v>20329.80205568</v>
      </c>
      <c r="J79" s="42">
        <f t="shared" si="135"/>
        <v>21142.994137907201</v>
      </c>
      <c r="K79" s="42">
        <f t="shared" si="135"/>
        <v>21988.71390342349</v>
      </c>
      <c r="L79" s="42">
        <f t="shared" si="135"/>
        <v>22868.262459560428</v>
      </c>
      <c r="M79" s="42">
        <f t="shared" si="135"/>
        <v>23782.992957942846</v>
      </c>
      <c r="N79" s="42">
        <f t="shared" si="135"/>
        <v>24734.312676260561</v>
      </c>
      <c r="O79" s="42">
        <f t="shared" si="135"/>
        <v>25723.685183310983</v>
      </c>
      <c r="P79" s="42">
        <f t="shared" si="135"/>
        <v>26752.632590643425</v>
      </c>
      <c r="Q79" s="42">
        <f t="shared" si="135"/>
        <v>27822.737894269161</v>
      </c>
      <c r="R79" s="1316"/>
      <c r="S79" s="1418"/>
      <c r="T79" s="1418"/>
      <c r="U79" s="1419"/>
      <c r="W79" s="1419"/>
      <c r="X79" s="1419"/>
      <c r="Y79" s="1418"/>
      <c r="Z79" s="1418"/>
      <c r="AA79" s="1418"/>
      <c r="AB79" s="1418"/>
      <c r="AC79" s="1418"/>
      <c r="AD79" s="1418"/>
      <c r="AE79" s="1418"/>
      <c r="AF79" s="1418"/>
      <c r="AG79" s="1418"/>
      <c r="AH79" s="1418"/>
      <c r="AI79" s="1423"/>
      <c r="AJ79" s="1418"/>
      <c r="AK79" s="1418"/>
      <c r="AL79" s="1418"/>
    </row>
    <row r="80" spans="1:38">
      <c r="A80" s="24" t="s">
        <v>1364</v>
      </c>
      <c r="B80" s="505" t="s">
        <v>1365</v>
      </c>
      <c r="C80" s="7">
        <v>0</v>
      </c>
      <c r="D80" s="7">
        <v>0</v>
      </c>
      <c r="E80" s="7">
        <f t="shared" ref="E80:F80" si="136">+D80*$E$8</f>
        <v>0</v>
      </c>
      <c r="F80" s="7">
        <f t="shared" si="136"/>
        <v>0</v>
      </c>
      <c r="G80" s="7">
        <f t="shared" ref="G80:G82" si="137">+F80*$E$8</f>
        <v>0</v>
      </c>
      <c r="H80" s="7">
        <f t="shared" ref="H80:H83" si="138">+G80*$E$8</f>
        <v>0</v>
      </c>
      <c r="I80" s="7">
        <f t="shared" ref="I80:I83" si="139">+H80*$E$8</f>
        <v>0</v>
      </c>
      <c r="J80" s="7">
        <f t="shared" ref="J80:J83" si="140">+I80*$E$8</f>
        <v>0</v>
      </c>
      <c r="K80" s="7">
        <f t="shared" ref="K80:K83" si="141">+J80*$E$8</f>
        <v>0</v>
      </c>
      <c r="L80" s="7">
        <f t="shared" ref="L80:L83" si="142">+K80*$E$8</f>
        <v>0</v>
      </c>
      <c r="M80" s="7">
        <f t="shared" ref="M80:M83" si="143">+L80*$E$8</f>
        <v>0</v>
      </c>
      <c r="N80" s="7">
        <f t="shared" ref="N80:N83" si="144">+M80*$E$8</f>
        <v>0</v>
      </c>
      <c r="O80" s="7">
        <f t="shared" ref="O80:O83" si="145">+N80*$E$8</f>
        <v>0</v>
      </c>
      <c r="P80" s="7">
        <f t="shared" ref="P80:P83" si="146">+O80*$E$8</f>
        <v>0</v>
      </c>
      <c r="Q80" s="7">
        <f t="shared" ref="Q80:Q83" si="147">+P80*$E$8</f>
        <v>0</v>
      </c>
      <c r="R80" s="1316"/>
      <c r="S80" s="1418"/>
      <c r="T80" s="1418"/>
      <c r="U80" s="1419"/>
      <c r="W80" s="1419"/>
      <c r="X80" s="1419"/>
      <c r="Y80" s="1418"/>
      <c r="Z80" s="1418"/>
      <c r="AA80" s="1418"/>
      <c r="AB80" s="1418"/>
      <c r="AC80" s="1418"/>
      <c r="AD80" s="1418"/>
      <c r="AE80" s="1418"/>
      <c r="AF80" s="1418"/>
      <c r="AG80" s="1418"/>
      <c r="AH80" s="1418"/>
      <c r="AI80" s="1423"/>
      <c r="AJ80" s="1418"/>
      <c r="AK80" s="1418"/>
      <c r="AL80" s="1418"/>
    </row>
    <row r="81" spans="1:38">
      <c r="A81" s="24" t="s">
        <v>1366</v>
      </c>
      <c r="B81" s="505" t="s">
        <v>1367</v>
      </c>
      <c r="C81" s="7">
        <v>8330</v>
      </c>
      <c r="D81" s="7">
        <v>4376</v>
      </c>
      <c r="E81" s="7">
        <v>17378</v>
      </c>
      <c r="F81" s="7">
        <f t="shared" ref="F81" si="148">+E81*$E$8</f>
        <v>18073.12</v>
      </c>
      <c r="G81" s="7">
        <f t="shared" si="137"/>
        <v>18796.0448</v>
      </c>
      <c r="H81" s="7">
        <f t="shared" si="138"/>
        <v>19547.886591999999</v>
      </c>
      <c r="I81" s="7">
        <f t="shared" si="139"/>
        <v>20329.80205568</v>
      </c>
      <c r="J81" s="7">
        <f t="shared" si="140"/>
        <v>21142.994137907201</v>
      </c>
      <c r="K81" s="7">
        <f t="shared" si="141"/>
        <v>21988.71390342349</v>
      </c>
      <c r="L81" s="7">
        <f t="shared" si="142"/>
        <v>22868.262459560428</v>
      </c>
      <c r="M81" s="7">
        <f t="shared" si="143"/>
        <v>23782.992957942846</v>
      </c>
      <c r="N81" s="7">
        <f t="shared" si="144"/>
        <v>24734.312676260561</v>
      </c>
      <c r="O81" s="7">
        <f t="shared" si="145"/>
        <v>25723.685183310983</v>
      </c>
      <c r="P81" s="7">
        <f t="shared" si="146"/>
        <v>26752.632590643425</v>
      </c>
      <c r="Q81" s="7">
        <f t="shared" si="147"/>
        <v>27822.737894269161</v>
      </c>
      <c r="R81" s="1316"/>
      <c r="S81" s="1418"/>
      <c r="T81" s="1418"/>
      <c r="U81" s="1419"/>
      <c r="W81" s="1419"/>
      <c r="X81" s="1419"/>
      <c r="Y81" s="1418"/>
      <c r="Z81" s="1418"/>
      <c r="AA81" s="1418"/>
      <c r="AB81" s="1418"/>
      <c r="AC81" s="1418"/>
      <c r="AD81" s="1418"/>
      <c r="AE81" s="1418"/>
      <c r="AF81" s="1418"/>
      <c r="AG81" s="1418"/>
      <c r="AH81" s="1418"/>
      <c r="AI81" s="1423"/>
      <c r="AJ81" s="1418"/>
      <c r="AK81" s="1418"/>
      <c r="AL81" s="1418"/>
    </row>
    <row r="82" spans="1:38">
      <c r="A82" s="27" t="s">
        <v>1368</v>
      </c>
      <c r="B82" s="505" t="s">
        <v>1369</v>
      </c>
      <c r="C82" s="7">
        <v>143838</v>
      </c>
      <c r="D82" s="7">
        <v>0</v>
      </c>
      <c r="E82" s="7">
        <v>0</v>
      </c>
      <c r="F82" s="7">
        <v>0</v>
      </c>
      <c r="G82" s="7">
        <f t="shared" si="137"/>
        <v>0</v>
      </c>
      <c r="H82" s="7">
        <f t="shared" si="138"/>
        <v>0</v>
      </c>
      <c r="I82" s="7">
        <f t="shared" si="139"/>
        <v>0</v>
      </c>
      <c r="J82" s="7">
        <f t="shared" si="140"/>
        <v>0</v>
      </c>
      <c r="K82" s="7">
        <f t="shared" si="141"/>
        <v>0</v>
      </c>
      <c r="L82" s="7">
        <f t="shared" si="142"/>
        <v>0</v>
      </c>
      <c r="M82" s="7">
        <f t="shared" si="143"/>
        <v>0</v>
      </c>
      <c r="N82" s="7">
        <f t="shared" si="144"/>
        <v>0</v>
      </c>
      <c r="O82" s="7">
        <f t="shared" si="145"/>
        <v>0</v>
      </c>
      <c r="P82" s="7">
        <f t="shared" si="146"/>
        <v>0</v>
      </c>
      <c r="Q82" s="7">
        <f t="shared" si="147"/>
        <v>0</v>
      </c>
      <c r="R82" s="1316"/>
      <c r="S82" s="1418"/>
      <c r="T82" s="1418"/>
      <c r="U82" s="1419"/>
      <c r="W82" s="1419"/>
      <c r="X82" s="1419"/>
      <c r="Y82" s="1418"/>
      <c r="Z82" s="1418"/>
      <c r="AA82" s="1418"/>
      <c r="AB82" s="1418"/>
      <c r="AC82" s="1418"/>
      <c r="AD82" s="1418"/>
      <c r="AE82" s="1418"/>
      <c r="AF82" s="1418"/>
      <c r="AG82" s="1418"/>
      <c r="AH82" s="1418"/>
      <c r="AI82" s="1423"/>
      <c r="AJ82" s="1418"/>
      <c r="AK82" s="1418"/>
      <c r="AL82" s="1418"/>
    </row>
    <row r="83" spans="1:38">
      <c r="A83" s="23" t="s">
        <v>1370</v>
      </c>
      <c r="B83" s="504" t="s">
        <v>1371</v>
      </c>
      <c r="C83" s="7">
        <v>145728</v>
      </c>
      <c r="D83" s="7">
        <v>460482</v>
      </c>
      <c r="E83" s="7">
        <v>41631</v>
      </c>
      <c r="F83" s="7">
        <v>300000</v>
      </c>
      <c r="G83" s="7">
        <v>312000</v>
      </c>
      <c r="H83" s="7">
        <f t="shared" si="138"/>
        <v>324480</v>
      </c>
      <c r="I83" s="7">
        <f t="shared" si="139"/>
        <v>337459.20000000001</v>
      </c>
      <c r="J83" s="7">
        <f t="shared" si="140"/>
        <v>350957.56800000003</v>
      </c>
      <c r="K83" s="7">
        <f t="shared" si="141"/>
        <v>364995.87072000006</v>
      </c>
      <c r="L83" s="7">
        <f t="shared" si="142"/>
        <v>379595.70554880006</v>
      </c>
      <c r="M83" s="7">
        <f t="shared" si="143"/>
        <v>394779.53377075208</v>
      </c>
      <c r="N83" s="7">
        <f t="shared" si="144"/>
        <v>410570.71512158215</v>
      </c>
      <c r="O83" s="7">
        <f t="shared" si="145"/>
        <v>426993.54372644547</v>
      </c>
      <c r="P83" s="7">
        <f t="shared" si="146"/>
        <v>444073.2854755033</v>
      </c>
      <c r="Q83" s="7">
        <f t="shared" si="147"/>
        <v>461836.21689452347</v>
      </c>
      <c r="R83" s="1316"/>
      <c r="S83" s="1418"/>
      <c r="T83" s="1418"/>
      <c r="U83" s="1419"/>
      <c r="W83" s="1419"/>
      <c r="X83" s="1419"/>
      <c r="Y83" s="1418"/>
      <c r="Z83" s="1418"/>
      <c r="AA83" s="1418"/>
      <c r="AB83" s="1418"/>
      <c r="AC83" s="1418"/>
      <c r="AD83" s="1418"/>
      <c r="AE83" s="1418"/>
      <c r="AF83" s="1418"/>
      <c r="AG83" s="1418"/>
      <c r="AH83" s="1418"/>
      <c r="AI83" s="1423"/>
      <c r="AJ83" s="1418"/>
      <c r="AK83" s="1418"/>
      <c r="AL83" s="1418"/>
    </row>
    <row r="84" spans="1:38">
      <c r="A84" s="27" t="s">
        <v>1372</v>
      </c>
      <c r="B84" s="504" t="s">
        <v>0</v>
      </c>
      <c r="C84" s="42">
        <f>+C85+C86+C87+C96+C108+C120+C121+C122+C125+C126+C127</f>
        <v>213587</v>
      </c>
      <c r="D84" s="42">
        <f t="shared" ref="D84:Q84" si="149">+D85+D86+D87+D96+D108+D120+D121+D122+D125+D126+D127</f>
        <v>222130.48</v>
      </c>
      <c r="E84" s="42">
        <f t="shared" si="149"/>
        <v>1727263.9791999999</v>
      </c>
      <c r="F84" s="42">
        <f t="shared" si="149"/>
        <v>1040256.618368</v>
      </c>
      <c r="G84" s="42">
        <f t="shared" si="149"/>
        <v>249866.88310271999</v>
      </c>
      <c r="H84" s="42">
        <f t="shared" si="149"/>
        <v>259861.55842682882</v>
      </c>
      <c r="I84" s="42">
        <f t="shared" si="149"/>
        <v>270256.02076390194</v>
      </c>
      <c r="J84" s="42">
        <f t="shared" si="149"/>
        <v>281066.26159445802</v>
      </c>
      <c r="K84" s="42">
        <f t="shared" si="149"/>
        <v>1092308.9120582365</v>
      </c>
      <c r="L84" s="42">
        <f t="shared" si="149"/>
        <v>304001.2685405658</v>
      </c>
      <c r="M84" s="42">
        <f t="shared" si="149"/>
        <v>316161.31928218843</v>
      </c>
      <c r="N84" s="42">
        <f t="shared" si="149"/>
        <v>328807.77205347596</v>
      </c>
      <c r="O84" s="42">
        <f t="shared" si="149"/>
        <v>341960.08293561498</v>
      </c>
      <c r="P84" s="42">
        <f t="shared" si="149"/>
        <v>355638.48625303962</v>
      </c>
      <c r="Q84" s="42">
        <f t="shared" si="149"/>
        <v>369864.0257031612</v>
      </c>
      <c r="R84" s="1316"/>
      <c r="S84" s="1418"/>
      <c r="T84" s="1418"/>
      <c r="U84" s="1419"/>
      <c r="W84" s="1419"/>
      <c r="X84" s="1419"/>
      <c r="Y84" s="1418"/>
      <c r="Z84" s="1418"/>
      <c r="AA84" s="1418"/>
      <c r="AB84" s="1418"/>
      <c r="AC84" s="1418"/>
      <c r="AD84" s="1418"/>
      <c r="AE84" s="1418"/>
      <c r="AF84" s="1418"/>
      <c r="AG84" s="1418"/>
      <c r="AH84" s="1418"/>
      <c r="AI84" s="1423"/>
      <c r="AJ84" s="1418"/>
      <c r="AK84" s="1418"/>
      <c r="AL84" s="1418"/>
    </row>
    <row r="85" spans="1:38">
      <c r="A85" s="24" t="s">
        <v>1</v>
      </c>
      <c r="B85" s="504" t="s">
        <v>2</v>
      </c>
      <c r="C85" s="7">
        <v>0</v>
      </c>
      <c r="D85" s="7">
        <v>0</v>
      </c>
      <c r="E85" s="7">
        <f t="shared" ref="E85:F85" si="150">+D85*$E$8</f>
        <v>0</v>
      </c>
      <c r="F85" s="7">
        <f t="shared" si="150"/>
        <v>0</v>
      </c>
      <c r="G85" s="7">
        <f t="shared" ref="G85:G86" si="151">+F85*$E$8</f>
        <v>0</v>
      </c>
      <c r="H85" s="7">
        <f t="shared" ref="H85:H86" si="152">+G85*$E$8</f>
        <v>0</v>
      </c>
      <c r="I85" s="7">
        <f t="shared" ref="I85:I86" si="153">+H85*$E$8</f>
        <v>0</v>
      </c>
      <c r="J85" s="7">
        <f t="shared" ref="J85:J86" si="154">+I85*$E$8</f>
        <v>0</v>
      </c>
      <c r="K85" s="7">
        <f t="shared" ref="K85:K86" si="155">+J85*$E$8</f>
        <v>0</v>
      </c>
      <c r="L85" s="7">
        <f t="shared" ref="L85:L86" si="156">+K85*$E$8</f>
        <v>0</v>
      </c>
      <c r="M85" s="7">
        <f t="shared" ref="M85:M86" si="157">+L85*$E$8</f>
        <v>0</v>
      </c>
      <c r="N85" s="7">
        <f t="shared" ref="N85:N86" si="158">+M85*$E$8</f>
        <v>0</v>
      </c>
      <c r="O85" s="7">
        <f t="shared" ref="O85:O86" si="159">+N85*$E$8</f>
        <v>0</v>
      </c>
      <c r="P85" s="7">
        <f t="shared" ref="P85:P86" si="160">+O85*$E$8</f>
        <v>0</v>
      </c>
      <c r="Q85" s="7">
        <f t="shared" ref="Q85:Q86" si="161">+P85*$E$8</f>
        <v>0</v>
      </c>
      <c r="R85" s="1316"/>
      <c r="S85" s="1418"/>
      <c r="T85" s="1418"/>
      <c r="U85" s="1419"/>
      <c r="W85" s="1419"/>
      <c r="X85" s="1419"/>
      <c r="Y85" s="1418"/>
      <c r="Z85" s="1418"/>
      <c r="AA85" s="1418"/>
      <c r="AB85" s="1418"/>
      <c r="AC85" s="1418"/>
      <c r="AD85" s="1418"/>
      <c r="AE85" s="1418"/>
      <c r="AF85" s="1418"/>
      <c r="AG85" s="1418"/>
      <c r="AH85" s="1418"/>
      <c r="AI85" s="1423"/>
      <c r="AJ85" s="1418"/>
      <c r="AK85" s="1418"/>
      <c r="AL85" s="1418"/>
    </row>
    <row r="86" spans="1:38">
      <c r="A86" s="27" t="s">
        <v>3</v>
      </c>
      <c r="B86" s="504" t="s">
        <v>4</v>
      </c>
      <c r="C86" s="7">
        <v>0</v>
      </c>
      <c r="D86" s="7">
        <v>0</v>
      </c>
      <c r="E86" s="7">
        <v>0</v>
      </c>
      <c r="F86" s="7">
        <v>0</v>
      </c>
      <c r="G86" s="7">
        <f t="shared" si="151"/>
        <v>0</v>
      </c>
      <c r="H86" s="7">
        <f t="shared" si="152"/>
        <v>0</v>
      </c>
      <c r="I86" s="7">
        <f t="shared" si="153"/>
        <v>0</v>
      </c>
      <c r="J86" s="7">
        <f t="shared" si="154"/>
        <v>0</v>
      </c>
      <c r="K86" s="7">
        <f t="shared" si="155"/>
        <v>0</v>
      </c>
      <c r="L86" s="7">
        <f t="shared" si="156"/>
        <v>0</v>
      </c>
      <c r="M86" s="7">
        <f t="shared" si="157"/>
        <v>0</v>
      </c>
      <c r="N86" s="7">
        <f t="shared" si="158"/>
        <v>0</v>
      </c>
      <c r="O86" s="7">
        <f t="shared" si="159"/>
        <v>0</v>
      </c>
      <c r="P86" s="7">
        <f t="shared" si="160"/>
        <v>0</v>
      </c>
      <c r="Q86" s="7">
        <f t="shared" si="161"/>
        <v>0</v>
      </c>
      <c r="R86" s="1316"/>
      <c r="S86" s="1418"/>
      <c r="T86" s="1418"/>
      <c r="U86" s="1419"/>
      <c r="W86" s="1419"/>
      <c r="X86" s="1419"/>
      <c r="Y86" s="1418"/>
      <c r="Z86" s="1418"/>
      <c r="AA86" s="1418"/>
      <c r="AB86" s="1418"/>
      <c r="AC86" s="1418"/>
      <c r="AD86" s="1418"/>
      <c r="AE86" s="1418"/>
      <c r="AF86" s="1418"/>
      <c r="AG86" s="1418"/>
      <c r="AH86" s="1418"/>
      <c r="AI86" s="1423"/>
      <c r="AJ86" s="1418"/>
      <c r="AK86" s="1418"/>
      <c r="AL86" s="1418"/>
    </row>
    <row r="87" spans="1:38">
      <c r="A87" s="24" t="s">
        <v>5</v>
      </c>
      <c r="B87" s="504" t="s">
        <v>6</v>
      </c>
      <c r="C87" s="42">
        <f>SUM(C88:C95)</f>
        <v>0</v>
      </c>
      <c r="D87" s="42">
        <f t="shared" ref="D87:Q87" si="162">SUM(D88:D95)</f>
        <v>0</v>
      </c>
      <c r="E87" s="42">
        <f t="shared" si="162"/>
        <v>1496248</v>
      </c>
      <c r="F87" s="42">
        <f t="shared" si="162"/>
        <v>0</v>
      </c>
      <c r="G87" s="42">
        <f t="shared" si="162"/>
        <v>0</v>
      </c>
      <c r="H87" s="42">
        <f t="shared" si="162"/>
        <v>0</v>
      </c>
      <c r="I87" s="42">
        <f t="shared" si="162"/>
        <v>0</v>
      </c>
      <c r="J87" s="42">
        <f t="shared" si="162"/>
        <v>0</v>
      </c>
      <c r="K87" s="42">
        <f t="shared" si="162"/>
        <v>0</v>
      </c>
      <c r="L87" s="42">
        <f t="shared" si="162"/>
        <v>0</v>
      </c>
      <c r="M87" s="42">
        <f t="shared" si="162"/>
        <v>0</v>
      </c>
      <c r="N87" s="42">
        <f t="shared" si="162"/>
        <v>0</v>
      </c>
      <c r="O87" s="42">
        <f t="shared" si="162"/>
        <v>0</v>
      </c>
      <c r="P87" s="42">
        <f t="shared" si="162"/>
        <v>0</v>
      </c>
      <c r="Q87" s="42">
        <f t="shared" si="162"/>
        <v>0</v>
      </c>
      <c r="R87" s="1316"/>
      <c r="S87" s="1418"/>
      <c r="T87" s="1418"/>
      <c r="U87" s="1419"/>
      <c r="W87" s="1419"/>
      <c r="X87" s="1419"/>
      <c r="Y87" s="1418"/>
      <c r="Z87" s="1418"/>
      <c r="AA87" s="1418"/>
      <c r="AB87" s="1418"/>
      <c r="AC87" s="1418"/>
      <c r="AD87" s="1418"/>
      <c r="AE87" s="1418"/>
      <c r="AF87" s="1418"/>
      <c r="AG87" s="1418"/>
      <c r="AH87" s="1418"/>
      <c r="AI87" s="1423"/>
      <c r="AJ87" s="1418"/>
      <c r="AK87" s="1418"/>
      <c r="AL87" s="1418"/>
    </row>
    <row r="88" spans="1:38">
      <c r="A88" s="24" t="s">
        <v>7</v>
      </c>
      <c r="B88" s="505" t="s">
        <v>8</v>
      </c>
      <c r="C88" s="7">
        <v>0</v>
      </c>
      <c r="D88" s="7">
        <v>0</v>
      </c>
      <c r="E88" s="7">
        <v>0</v>
      </c>
      <c r="F88" s="7">
        <v>0</v>
      </c>
      <c r="G88" s="7">
        <f t="shared" ref="G88:G95" si="163">+F88*$E$8</f>
        <v>0</v>
      </c>
      <c r="H88" s="7">
        <f t="shared" ref="H88:H95" si="164">+G88*$E$8</f>
        <v>0</v>
      </c>
      <c r="I88" s="7">
        <f t="shared" ref="I88:I95" si="165">+H88*$E$8</f>
        <v>0</v>
      </c>
      <c r="J88" s="7">
        <f t="shared" ref="J88:J95" si="166">+I88*$E$8</f>
        <v>0</v>
      </c>
      <c r="K88" s="7">
        <f t="shared" ref="K88:K95" si="167">+J88*$E$8</f>
        <v>0</v>
      </c>
      <c r="L88" s="7">
        <f t="shared" ref="L88:L95" si="168">+K88*$E$8</f>
        <v>0</v>
      </c>
      <c r="M88" s="7">
        <f t="shared" ref="M88:M95" si="169">+L88*$E$8</f>
        <v>0</v>
      </c>
      <c r="N88" s="7">
        <f t="shared" ref="N88:N95" si="170">+M88*$E$8</f>
        <v>0</v>
      </c>
      <c r="O88" s="7">
        <f t="shared" ref="O88:O95" si="171">+N88*$E$8</f>
        <v>0</v>
      </c>
      <c r="P88" s="7">
        <f t="shared" ref="P88:P95" si="172">+O88*$E$8</f>
        <v>0</v>
      </c>
      <c r="Q88" s="7">
        <f t="shared" ref="Q88:Q95" si="173">+P88*$E$8</f>
        <v>0</v>
      </c>
      <c r="R88" s="1316"/>
      <c r="S88" s="1418"/>
      <c r="T88" s="1418"/>
      <c r="U88" s="1419"/>
      <c r="W88" s="1419"/>
      <c r="X88" s="1419"/>
      <c r="Y88" s="1418"/>
      <c r="Z88" s="1418"/>
      <c r="AA88" s="1418"/>
      <c r="AB88" s="1418"/>
      <c r="AC88" s="1418"/>
      <c r="AD88" s="1418"/>
      <c r="AE88" s="1418"/>
      <c r="AF88" s="1418"/>
      <c r="AG88" s="1418"/>
      <c r="AH88" s="1418"/>
      <c r="AI88" s="1423"/>
      <c r="AJ88" s="1418"/>
      <c r="AK88" s="1418"/>
      <c r="AL88" s="1418"/>
    </row>
    <row r="89" spans="1:38">
      <c r="A89" s="24" t="s">
        <v>9</v>
      </c>
      <c r="B89" s="505" t="s">
        <v>10</v>
      </c>
      <c r="C89" s="7">
        <v>0</v>
      </c>
      <c r="D89" s="7">
        <v>0</v>
      </c>
      <c r="E89" s="7">
        <f t="shared" ref="E89:F94" si="174">+D89*$E$8</f>
        <v>0</v>
      </c>
      <c r="F89" s="7">
        <f t="shared" si="174"/>
        <v>0</v>
      </c>
      <c r="G89" s="7">
        <f t="shared" si="163"/>
        <v>0</v>
      </c>
      <c r="H89" s="7">
        <f t="shared" si="164"/>
        <v>0</v>
      </c>
      <c r="I89" s="7">
        <f t="shared" si="165"/>
        <v>0</v>
      </c>
      <c r="J89" s="7">
        <f t="shared" si="166"/>
        <v>0</v>
      </c>
      <c r="K89" s="7">
        <f t="shared" si="167"/>
        <v>0</v>
      </c>
      <c r="L89" s="7">
        <f t="shared" si="168"/>
        <v>0</v>
      </c>
      <c r="M89" s="7">
        <f t="shared" si="169"/>
        <v>0</v>
      </c>
      <c r="N89" s="7">
        <f t="shared" si="170"/>
        <v>0</v>
      </c>
      <c r="O89" s="7">
        <f t="shared" si="171"/>
        <v>0</v>
      </c>
      <c r="P89" s="7">
        <f t="shared" si="172"/>
        <v>0</v>
      </c>
      <c r="Q89" s="7">
        <f t="shared" si="173"/>
        <v>0</v>
      </c>
      <c r="R89" s="1316"/>
      <c r="S89" s="1418"/>
      <c r="T89" s="1418"/>
      <c r="U89" s="1419"/>
      <c r="W89" s="1419"/>
      <c r="X89" s="1419"/>
      <c r="Y89" s="1418"/>
      <c r="Z89" s="1418"/>
      <c r="AA89" s="1418"/>
      <c r="AB89" s="1418"/>
      <c r="AC89" s="1418"/>
      <c r="AD89" s="1418"/>
      <c r="AE89" s="1418"/>
      <c r="AF89" s="1418"/>
      <c r="AG89" s="1418"/>
      <c r="AH89" s="1418"/>
      <c r="AI89" s="1423"/>
      <c r="AJ89" s="1418"/>
      <c r="AK89" s="1418"/>
      <c r="AL89" s="1418"/>
    </row>
    <row r="90" spans="1:38">
      <c r="A90" s="24" t="s">
        <v>11</v>
      </c>
      <c r="B90" s="505" t="s">
        <v>12</v>
      </c>
      <c r="C90" s="7">
        <v>0</v>
      </c>
      <c r="D90" s="7">
        <v>0</v>
      </c>
      <c r="E90" s="7">
        <f t="shared" ref="E90" si="175">+D90*$E$8</f>
        <v>0</v>
      </c>
      <c r="F90" s="7">
        <f t="shared" si="174"/>
        <v>0</v>
      </c>
      <c r="G90" s="7">
        <f t="shared" si="163"/>
        <v>0</v>
      </c>
      <c r="H90" s="7">
        <f t="shared" si="164"/>
        <v>0</v>
      </c>
      <c r="I90" s="7">
        <f t="shared" si="165"/>
        <v>0</v>
      </c>
      <c r="J90" s="7">
        <f t="shared" si="166"/>
        <v>0</v>
      </c>
      <c r="K90" s="7">
        <f t="shared" si="167"/>
        <v>0</v>
      </c>
      <c r="L90" s="7">
        <f t="shared" si="168"/>
        <v>0</v>
      </c>
      <c r="M90" s="7">
        <f t="shared" si="169"/>
        <v>0</v>
      </c>
      <c r="N90" s="7">
        <f t="shared" si="170"/>
        <v>0</v>
      </c>
      <c r="O90" s="7">
        <f t="shared" si="171"/>
        <v>0</v>
      </c>
      <c r="P90" s="7">
        <f t="shared" si="172"/>
        <v>0</v>
      </c>
      <c r="Q90" s="7">
        <f t="shared" si="173"/>
        <v>0</v>
      </c>
      <c r="R90" s="1316"/>
      <c r="S90" s="1418"/>
      <c r="T90" s="1418"/>
      <c r="U90" s="1419"/>
      <c r="W90" s="1419"/>
      <c r="X90" s="1419"/>
      <c r="Y90" s="1418"/>
      <c r="Z90" s="1418"/>
      <c r="AA90" s="1418"/>
      <c r="AB90" s="1418"/>
      <c r="AC90" s="1418"/>
      <c r="AD90" s="1418"/>
      <c r="AE90" s="1418"/>
      <c r="AF90" s="1418"/>
      <c r="AG90" s="1418"/>
      <c r="AH90" s="1418"/>
      <c r="AI90" s="1423"/>
      <c r="AJ90" s="1418"/>
      <c r="AK90" s="1418"/>
      <c r="AL90" s="1418"/>
    </row>
    <row r="91" spans="1:38">
      <c r="A91" s="24" t="s">
        <v>13</v>
      </c>
      <c r="B91" s="505" t="s">
        <v>14</v>
      </c>
      <c r="C91" s="7">
        <v>0</v>
      </c>
      <c r="D91" s="7">
        <v>0</v>
      </c>
      <c r="E91" s="7">
        <f t="shared" ref="E91" si="176">+D91*$E$8</f>
        <v>0</v>
      </c>
      <c r="F91" s="7">
        <f t="shared" si="174"/>
        <v>0</v>
      </c>
      <c r="G91" s="7">
        <f t="shared" si="163"/>
        <v>0</v>
      </c>
      <c r="H91" s="7">
        <f t="shared" si="164"/>
        <v>0</v>
      </c>
      <c r="I91" s="7">
        <f t="shared" si="165"/>
        <v>0</v>
      </c>
      <c r="J91" s="7">
        <f t="shared" si="166"/>
        <v>0</v>
      </c>
      <c r="K91" s="7">
        <f t="shared" si="167"/>
        <v>0</v>
      </c>
      <c r="L91" s="7">
        <f t="shared" si="168"/>
        <v>0</v>
      </c>
      <c r="M91" s="7">
        <f t="shared" si="169"/>
        <v>0</v>
      </c>
      <c r="N91" s="7">
        <f t="shared" si="170"/>
        <v>0</v>
      </c>
      <c r="O91" s="7">
        <f t="shared" si="171"/>
        <v>0</v>
      </c>
      <c r="P91" s="7">
        <f t="shared" si="172"/>
        <v>0</v>
      </c>
      <c r="Q91" s="7">
        <f t="shared" si="173"/>
        <v>0</v>
      </c>
      <c r="R91" s="1316"/>
      <c r="S91" s="1418"/>
      <c r="T91" s="1418"/>
      <c r="U91" s="1419"/>
      <c r="W91" s="1419"/>
      <c r="X91" s="1419"/>
      <c r="Y91" s="1418"/>
      <c r="Z91" s="1418"/>
      <c r="AA91" s="1418"/>
      <c r="AB91" s="1418"/>
      <c r="AC91" s="1418"/>
      <c r="AD91" s="1418"/>
      <c r="AE91" s="1418"/>
      <c r="AF91" s="1418"/>
      <c r="AG91" s="1418"/>
      <c r="AH91" s="1418"/>
      <c r="AI91" s="1423"/>
      <c r="AJ91" s="1418"/>
      <c r="AK91" s="1418"/>
      <c r="AL91" s="1418"/>
    </row>
    <row r="92" spans="1:38">
      <c r="A92" s="24" t="s">
        <v>15</v>
      </c>
      <c r="B92" s="505" t="s">
        <v>16</v>
      </c>
      <c r="C92" s="7">
        <v>0</v>
      </c>
      <c r="D92" s="7">
        <v>0</v>
      </c>
      <c r="E92" s="7">
        <f t="shared" ref="E92" si="177">+D92*$E$8</f>
        <v>0</v>
      </c>
      <c r="F92" s="7">
        <f t="shared" si="174"/>
        <v>0</v>
      </c>
      <c r="G92" s="7">
        <f t="shared" si="163"/>
        <v>0</v>
      </c>
      <c r="H92" s="7">
        <f t="shared" si="164"/>
        <v>0</v>
      </c>
      <c r="I92" s="7">
        <f t="shared" si="165"/>
        <v>0</v>
      </c>
      <c r="J92" s="7">
        <f t="shared" si="166"/>
        <v>0</v>
      </c>
      <c r="K92" s="7">
        <f t="shared" si="167"/>
        <v>0</v>
      </c>
      <c r="L92" s="7">
        <f t="shared" si="168"/>
        <v>0</v>
      </c>
      <c r="M92" s="7">
        <f t="shared" si="169"/>
        <v>0</v>
      </c>
      <c r="N92" s="7">
        <f t="shared" si="170"/>
        <v>0</v>
      </c>
      <c r="O92" s="7">
        <f t="shared" si="171"/>
        <v>0</v>
      </c>
      <c r="P92" s="7">
        <f t="shared" si="172"/>
        <v>0</v>
      </c>
      <c r="Q92" s="7">
        <f t="shared" si="173"/>
        <v>0</v>
      </c>
      <c r="R92" s="1316"/>
      <c r="S92" s="1418"/>
      <c r="T92" s="1418"/>
      <c r="U92" s="1419"/>
      <c r="W92" s="1419"/>
      <c r="X92" s="1419"/>
      <c r="Y92" s="1418"/>
      <c r="Z92" s="1418"/>
      <c r="AA92" s="1418"/>
      <c r="AB92" s="1418"/>
      <c r="AC92" s="1418"/>
      <c r="AD92" s="1418"/>
      <c r="AE92" s="1418"/>
      <c r="AF92" s="1418"/>
      <c r="AG92" s="1418"/>
      <c r="AH92" s="1418"/>
      <c r="AI92" s="1423"/>
      <c r="AJ92" s="1418"/>
      <c r="AK92" s="1418"/>
      <c r="AL92" s="1418"/>
    </row>
    <row r="93" spans="1:38">
      <c r="A93" s="24" t="s">
        <v>17</v>
      </c>
      <c r="B93" s="505" t="s">
        <v>18</v>
      </c>
      <c r="C93" s="7">
        <v>0</v>
      </c>
      <c r="D93" s="7">
        <v>0</v>
      </c>
      <c r="E93" s="7">
        <f t="shared" ref="E93" si="178">+D93*$E$8</f>
        <v>0</v>
      </c>
      <c r="F93" s="7">
        <f t="shared" si="174"/>
        <v>0</v>
      </c>
      <c r="G93" s="7">
        <f t="shared" si="163"/>
        <v>0</v>
      </c>
      <c r="H93" s="7">
        <f t="shared" si="164"/>
        <v>0</v>
      </c>
      <c r="I93" s="7">
        <f t="shared" si="165"/>
        <v>0</v>
      </c>
      <c r="J93" s="7">
        <f t="shared" si="166"/>
        <v>0</v>
      </c>
      <c r="K93" s="7">
        <f t="shared" si="167"/>
        <v>0</v>
      </c>
      <c r="L93" s="7">
        <f t="shared" si="168"/>
        <v>0</v>
      </c>
      <c r="M93" s="7">
        <f t="shared" si="169"/>
        <v>0</v>
      </c>
      <c r="N93" s="7">
        <f t="shared" si="170"/>
        <v>0</v>
      </c>
      <c r="O93" s="7">
        <f t="shared" si="171"/>
        <v>0</v>
      </c>
      <c r="P93" s="7">
        <f t="shared" si="172"/>
        <v>0</v>
      </c>
      <c r="Q93" s="7">
        <f t="shared" si="173"/>
        <v>0</v>
      </c>
      <c r="R93" s="1316"/>
      <c r="S93" s="1418"/>
      <c r="T93" s="1418"/>
      <c r="U93" s="1419"/>
      <c r="W93" s="1419"/>
      <c r="X93" s="1419"/>
      <c r="Y93" s="1418"/>
      <c r="Z93" s="1418"/>
      <c r="AA93" s="1418"/>
      <c r="AB93" s="1418"/>
      <c r="AC93" s="1418"/>
      <c r="AD93" s="1418"/>
      <c r="AE93" s="1418"/>
      <c r="AF93" s="1418"/>
      <c r="AG93" s="1418"/>
      <c r="AH93" s="1418"/>
      <c r="AI93" s="1423"/>
      <c r="AJ93" s="1418"/>
      <c r="AK93" s="1418"/>
      <c r="AL93" s="1418"/>
    </row>
    <row r="94" spans="1:38">
      <c r="A94" s="24" t="s">
        <v>19</v>
      </c>
      <c r="B94" s="505" t="s">
        <v>20</v>
      </c>
      <c r="C94" s="7">
        <v>0</v>
      </c>
      <c r="D94" s="7">
        <v>0</v>
      </c>
      <c r="E94" s="7">
        <f t="shared" ref="E94" si="179">+D94*$E$8</f>
        <v>0</v>
      </c>
      <c r="F94" s="7">
        <f t="shared" si="174"/>
        <v>0</v>
      </c>
      <c r="G94" s="7">
        <f t="shared" si="163"/>
        <v>0</v>
      </c>
      <c r="H94" s="7">
        <f t="shared" si="164"/>
        <v>0</v>
      </c>
      <c r="I94" s="7">
        <f t="shared" si="165"/>
        <v>0</v>
      </c>
      <c r="J94" s="7">
        <f t="shared" si="166"/>
        <v>0</v>
      </c>
      <c r="K94" s="7">
        <f t="shared" si="167"/>
        <v>0</v>
      </c>
      <c r="L94" s="7">
        <f t="shared" si="168"/>
        <v>0</v>
      </c>
      <c r="M94" s="7">
        <f t="shared" si="169"/>
        <v>0</v>
      </c>
      <c r="N94" s="7">
        <f t="shared" si="170"/>
        <v>0</v>
      </c>
      <c r="O94" s="7">
        <f t="shared" si="171"/>
        <v>0</v>
      </c>
      <c r="P94" s="7">
        <f t="shared" si="172"/>
        <v>0</v>
      </c>
      <c r="Q94" s="7">
        <f t="shared" si="173"/>
        <v>0</v>
      </c>
      <c r="R94" s="1316"/>
      <c r="S94" s="1418"/>
      <c r="T94" s="1418"/>
      <c r="U94" s="1419"/>
      <c r="W94" s="1419"/>
      <c r="X94" s="1419"/>
      <c r="Y94" s="1418"/>
      <c r="Z94" s="1418"/>
      <c r="AA94" s="1418"/>
      <c r="AB94" s="1418"/>
      <c r="AC94" s="1418"/>
      <c r="AD94" s="1418"/>
      <c r="AE94" s="1418"/>
      <c r="AF94" s="1418"/>
      <c r="AG94" s="1418"/>
      <c r="AH94" s="1418"/>
      <c r="AI94" s="1423"/>
      <c r="AJ94" s="1418"/>
      <c r="AK94" s="1418"/>
      <c r="AL94" s="1418"/>
    </row>
    <row r="95" spans="1:38">
      <c r="A95" s="27" t="s">
        <v>21</v>
      </c>
      <c r="B95" s="505" t="s">
        <v>22</v>
      </c>
      <c r="C95" s="7">
        <v>0</v>
      </c>
      <c r="D95" s="7">
        <v>0</v>
      </c>
      <c r="E95" s="7">
        <v>1496248</v>
      </c>
      <c r="F95" s="7">
        <v>0</v>
      </c>
      <c r="G95" s="7">
        <f t="shared" si="163"/>
        <v>0</v>
      </c>
      <c r="H95" s="7">
        <f t="shared" si="164"/>
        <v>0</v>
      </c>
      <c r="I95" s="7">
        <f t="shared" si="165"/>
        <v>0</v>
      </c>
      <c r="J95" s="7">
        <f t="shared" si="166"/>
        <v>0</v>
      </c>
      <c r="K95" s="7">
        <f t="shared" si="167"/>
        <v>0</v>
      </c>
      <c r="L95" s="7">
        <f t="shared" si="168"/>
        <v>0</v>
      </c>
      <c r="M95" s="7">
        <f t="shared" si="169"/>
        <v>0</v>
      </c>
      <c r="N95" s="7">
        <f t="shared" si="170"/>
        <v>0</v>
      </c>
      <c r="O95" s="7">
        <f t="shared" si="171"/>
        <v>0</v>
      </c>
      <c r="P95" s="7">
        <f t="shared" si="172"/>
        <v>0</v>
      </c>
      <c r="Q95" s="7">
        <f t="shared" si="173"/>
        <v>0</v>
      </c>
      <c r="R95" s="1316"/>
      <c r="S95" s="1418"/>
      <c r="T95" s="1418"/>
      <c r="U95" s="1419"/>
      <c r="W95" s="1419"/>
      <c r="X95" s="1419"/>
      <c r="Y95" s="1418"/>
      <c r="Z95" s="1418"/>
      <c r="AA95" s="1418"/>
      <c r="AB95" s="1418"/>
      <c r="AC95" s="1418"/>
      <c r="AD95" s="1418"/>
      <c r="AE95" s="1418"/>
      <c r="AF95" s="1418"/>
      <c r="AG95" s="1418"/>
      <c r="AH95" s="1418"/>
      <c r="AI95" s="1423"/>
      <c r="AJ95" s="1418"/>
      <c r="AK95" s="1418"/>
      <c r="AL95" s="1418"/>
    </row>
    <row r="96" spans="1:38">
      <c r="A96" s="23" t="s">
        <v>23</v>
      </c>
      <c r="B96" s="504" t="s">
        <v>24</v>
      </c>
      <c r="C96" s="42">
        <f>+C97+C107</f>
        <v>0</v>
      </c>
      <c r="D96" s="42">
        <f t="shared" ref="D96:Q96" si="180">+D97+D107</f>
        <v>0</v>
      </c>
      <c r="E96" s="42">
        <f t="shared" si="180"/>
        <v>0</v>
      </c>
      <c r="F96" s="42">
        <f t="shared" si="180"/>
        <v>800000</v>
      </c>
      <c r="G96" s="42">
        <f t="shared" si="180"/>
        <v>0</v>
      </c>
      <c r="H96" s="42">
        <f t="shared" si="180"/>
        <v>0</v>
      </c>
      <c r="I96" s="42">
        <f t="shared" si="180"/>
        <v>0</v>
      </c>
      <c r="J96" s="42">
        <f t="shared" si="180"/>
        <v>0</v>
      </c>
      <c r="K96" s="42">
        <f t="shared" si="180"/>
        <v>800000</v>
      </c>
      <c r="L96" s="42">
        <f t="shared" si="180"/>
        <v>0</v>
      </c>
      <c r="M96" s="42">
        <f t="shared" si="180"/>
        <v>0</v>
      </c>
      <c r="N96" s="42">
        <f t="shared" si="180"/>
        <v>0</v>
      </c>
      <c r="O96" s="42">
        <f t="shared" si="180"/>
        <v>0</v>
      </c>
      <c r="P96" s="42">
        <f t="shared" si="180"/>
        <v>0</v>
      </c>
      <c r="Q96" s="42">
        <f t="shared" si="180"/>
        <v>0</v>
      </c>
      <c r="R96" s="1316"/>
      <c r="S96" s="1418"/>
      <c r="T96" s="1418"/>
      <c r="U96" s="1419"/>
      <c r="W96" s="1419"/>
      <c r="X96" s="1419"/>
      <c r="Y96" s="1418"/>
      <c r="Z96" s="1418"/>
      <c r="AA96" s="1418"/>
      <c r="AB96" s="1418"/>
      <c r="AC96" s="1418"/>
      <c r="AD96" s="1418"/>
      <c r="AE96" s="1418"/>
      <c r="AF96" s="1418"/>
      <c r="AG96" s="1418"/>
      <c r="AH96" s="1418"/>
      <c r="AI96" s="1423"/>
      <c r="AJ96" s="1418"/>
      <c r="AK96" s="1418"/>
      <c r="AL96" s="1418"/>
    </row>
    <row r="97" spans="1:38">
      <c r="A97" s="23" t="s">
        <v>25</v>
      </c>
      <c r="B97" s="504" t="s">
        <v>26</v>
      </c>
      <c r="C97" s="42">
        <f>+C98+C106</f>
        <v>0</v>
      </c>
      <c r="D97" s="42">
        <f t="shared" ref="D97:Q97" si="181">+D98+D106</f>
        <v>0</v>
      </c>
      <c r="E97" s="42">
        <f t="shared" si="181"/>
        <v>0</v>
      </c>
      <c r="F97" s="42">
        <f t="shared" si="181"/>
        <v>800000</v>
      </c>
      <c r="G97" s="42">
        <f t="shared" si="181"/>
        <v>0</v>
      </c>
      <c r="H97" s="42">
        <f t="shared" si="181"/>
        <v>0</v>
      </c>
      <c r="I97" s="42">
        <f t="shared" si="181"/>
        <v>0</v>
      </c>
      <c r="J97" s="42">
        <f t="shared" si="181"/>
        <v>0</v>
      </c>
      <c r="K97" s="42">
        <f t="shared" si="181"/>
        <v>800000</v>
      </c>
      <c r="L97" s="42">
        <f t="shared" si="181"/>
        <v>0</v>
      </c>
      <c r="M97" s="42">
        <f t="shared" si="181"/>
        <v>0</v>
      </c>
      <c r="N97" s="42">
        <f t="shared" si="181"/>
        <v>0</v>
      </c>
      <c r="O97" s="42">
        <f t="shared" si="181"/>
        <v>0</v>
      </c>
      <c r="P97" s="42">
        <f t="shared" si="181"/>
        <v>0</v>
      </c>
      <c r="Q97" s="42">
        <f t="shared" si="181"/>
        <v>0</v>
      </c>
      <c r="R97" s="1316"/>
      <c r="S97" s="1418"/>
      <c r="T97" s="1418"/>
      <c r="U97" s="1419"/>
      <c r="W97" s="1419"/>
      <c r="X97" s="1419"/>
      <c r="Y97" s="1418"/>
      <c r="Z97" s="1418"/>
      <c r="AA97" s="1418"/>
      <c r="AB97" s="1418"/>
      <c r="AC97" s="1418"/>
      <c r="AD97" s="1418"/>
      <c r="AE97" s="1418"/>
      <c r="AF97" s="1418"/>
      <c r="AG97" s="1418"/>
      <c r="AH97" s="1418"/>
      <c r="AI97" s="1423"/>
      <c r="AJ97" s="1418"/>
      <c r="AK97" s="1418"/>
      <c r="AL97" s="1418"/>
    </row>
    <row r="98" spans="1:38">
      <c r="A98" s="23" t="s">
        <v>27</v>
      </c>
      <c r="B98" s="504" t="s">
        <v>28</v>
      </c>
      <c r="C98" s="42">
        <f>SUM(C99:C105)</f>
        <v>0</v>
      </c>
      <c r="D98" s="42">
        <f t="shared" ref="D98:Q98" si="182">SUM(D99:D105)</f>
        <v>0</v>
      </c>
      <c r="E98" s="42">
        <f t="shared" si="182"/>
        <v>0</v>
      </c>
      <c r="F98" s="42">
        <f t="shared" si="182"/>
        <v>800000</v>
      </c>
      <c r="G98" s="42">
        <f t="shared" si="182"/>
        <v>0</v>
      </c>
      <c r="H98" s="42">
        <f t="shared" si="182"/>
        <v>0</v>
      </c>
      <c r="I98" s="42">
        <f t="shared" si="182"/>
        <v>0</v>
      </c>
      <c r="J98" s="42">
        <f t="shared" si="182"/>
        <v>0</v>
      </c>
      <c r="K98" s="42">
        <f t="shared" si="182"/>
        <v>800000</v>
      </c>
      <c r="L98" s="42">
        <f t="shared" si="182"/>
        <v>0</v>
      </c>
      <c r="M98" s="42">
        <f t="shared" si="182"/>
        <v>0</v>
      </c>
      <c r="N98" s="42">
        <f t="shared" si="182"/>
        <v>0</v>
      </c>
      <c r="O98" s="42">
        <f t="shared" si="182"/>
        <v>0</v>
      </c>
      <c r="P98" s="42">
        <f t="shared" si="182"/>
        <v>0</v>
      </c>
      <c r="Q98" s="42">
        <f t="shared" si="182"/>
        <v>0</v>
      </c>
      <c r="R98" s="1316"/>
      <c r="S98" s="1418"/>
      <c r="T98" s="1418"/>
      <c r="U98" s="1419"/>
      <c r="W98" s="1419"/>
      <c r="X98" s="1419"/>
      <c r="Y98" s="1418"/>
      <c r="Z98" s="1418"/>
      <c r="AA98" s="1418"/>
      <c r="AB98" s="1418"/>
      <c r="AC98" s="1418"/>
      <c r="AD98" s="1418"/>
      <c r="AE98" s="1418"/>
      <c r="AF98" s="1418"/>
      <c r="AG98" s="1418"/>
      <c r="AH98" s="1418"/>
      <c r="AI98" s="1423"/>
      <c r="AJ98" s="1418"/>
      <c r="AK98" s="1418"/>
      <c r="AL98" s="1418"/>
    </row>
    <row r="99" spans="1:38">
      <c r="A99" s="25" t="s">
        <v>29</v>
      </c>
      <c r="B99" s="505" t="s">
        <v>30</v>
      </c>
      <c r="C99" s="7">
        <v>0</v>
      </c>
      <c r="D99" s="7">
        <v>0</v>
      </c>
      <c r="E99" s="7">
        <f t="shared" ref="E99:F99" si="183">+D99*$E$8</f>
        <v>0</v>
      </c>
      <c r="F99" s="7">
        <f t="shared" si="183"/>
        <v>0</v>
      </c>
      <c r="G99" s="7">
        <f t="shared" ref="G99:G100" si="184">+F99*$E$8</f>
        <v>0</v>
      </c>
      <c r="H99" s="7">
        <f t="shared" ref="H99:H100" si="185">+G99*$E$8</f>
        <v>0</v>
      </c>
      <c r="I99" s="7">
        <f t="shared" ref="I99:I100" si="186">+H99*$E$8</f>
        <v>0</v>
      </c>
      <c r="J99" s="7">
        <f t="shared" ref="J99:J100" si="187">+I99*$E$8</f>
        <v>0</v>
      </c>
      <c r="K99" s="7">
        <f t="shared" ref="K99:K100" si="188">+J99*$E$8</f>
        <v>0</v>
      </c>
      <c r="L99" s="7">
        <f t="shared" ref="L99:L100" si="189">+K99*$E$8</f>
        <v>0</v>
      </c>
      <c r="M99" s="7">
        <f t="shared" ref="M99:M100" si="190">+L99*$E$8</f>
        <v>0</v>
      </c>
      <c r="N99" s="7">
        <f t="shared" ref="N99:N100" si="191">+M99*$E$8</f>
        <v>0</v>
      </c>
      <c r="O99" s="7">
        <f t="shared" ref="O99:O100" si="192">+N99*$E$8</f>
        <v>0</v>
      </c>
      <c r="P99" s="7">
        <f t="shared" ref="P99:P100" si="193">+O99*$E$8</f>
        <v>0</v>
      </c>
      <c r="Q99" s="7">
        <f t="shared" ref="Q99:Q100" si="194">+P99*$E$8</f>
        <v>0</v>
      </c>
      <c r="R99" s="1316"/>
      <c r="S99" s="1418"/>
      <c r="T99" s="1418"/>
      <c r="U99" s="1419"/>
      <c r="W99" s="1419"/>
      <c r="X99" s="1419"/>
      <c r="Y99" s="1418"/>
      <c r="Z99" s="1418"/>
      <c r="AA99" s="1418"/>
      <c r="AB99" s="1418"/>
      <c r="AC99" s="1418"/>
      <c r="AD99" s="1418"/>
      <c r="AE99" s="1418"/>
      <c r="AF99" s="1418"/>
      <c r="AG99" s="1418"/>
      <c r="AH99" s="1418"/>
      <c r="AI99" s="1423"/>
      <c r="AJ99" s="1418"/>
      <c r="AK99" s="1418"/>
      <c r="AL99" s="1418"/>
    </row>
    <row r="100" spans="1:38">
      <c r="A100" s="25" t="s">
        <v>31</v>
      </c>
      <c r="B100" s="505" t="s">
        <v>32</v>
      </c>
      <c r="C100" s="7">
        <v>0</v>
      </c>
      <c r="D100" s="7">
        <v>0</v>
      </c>
      <c r="E100" s="7">
        <f t="shared" ref="E100:F100" si="195">+D100*$E$8</f>
        <v>0</v>
      </c>
      <c r="F100" s="7">
        <f t="shared" si="195"/>
        <v>0</v>
      </c>
      <c r="G100" s="7">
        <f t="shared" si="184"/>
        <v>0</v>
      </c>
      <c r="H100" s="7">
        <f t="shared" si="185"/>
        <v>0</v>
      </c>
      <c r="I100" s="7">
        <f t="shared" si="186"/>
        <v>0</v>
      </c>
      <c r="J100" s="7">
        <f t="shared" si="187"/>
        <v>0</v>
      </c>
      <c r="K100" s="7">
        <f t="shared" si="188"/>
        <v>0</v>
      </c>
      <c r="L100" s="7">
        <f t="shared" si="189"/>
        <v>0</v>
      </c>
      <c r="M100" s="7">
        <f t="shared" si="190"/>
        <v>0</v>
      </c>
      <c r="N100" s="7">
        <f t="shared" si="191"/>
        <v>0</v>
      </c>
      <c r="O100" s="7">
        <f t="shared" si="192"/>
        <v>0</v>
      </c>
      <c r="P100" s="7">
        <f t="shared" si="193"/>
        <v>0</v>
      </c>
      <c r="Q100" s="7">
        <f t="shared" si="194"/>
        <v>0</v>
      </c>
      <c r="R100" s="1316"/>
      <c r="S100" s="1418"/>
      <c r="T100" s="1418"/>
      <c r="U100" s="1419"/>
      <c r="W100" s="1419"/>
      <c r="X100" s="1419"/>
      <c r="Y100" s="1418"/>
      <c r="Z100" s="1418"/>
      <c r="AA100" s="1418"/>
      <c r="AB100" s="1418"/>
      <c r="AC100" s="1418"/>
      <c r="AD100" s="1418"/>
      <c r="AE100" s="1418"/>
      <c r="AF100" s="1418"/>
      <c r="AG100" s="1418"/>
      <c r="AH100" s="1418"/>
      <c r="AI100" s="1423"/>
      <c r="AJ100" s="1418"/>
      <c r="AK100" s="1418"/>
      <c r="AL100" s="1418"/>
    </row>
    <row r="101" spans="1:38">
      <c r="A101" s="25" t="s">
        <v>33</v>
      </c>
      <c r="B101" s="505" t="s">
        <v>34</v>
      </c>
      <c r="C101" s="7">
        <v>0</v>
      </c>
      <c r="D101" s="7">
        <v>0</v>
      </c>
      <c r="E101" s="7">
        <f t="shared" ref="E101" si="196">+D101*$E$8</f>
        <v>0</v>
      </c>
      <c r="F101" s="7">
        <v>800000</v>
      </c>
      <c r="G101" s="7">
        <v>0</v>
      </c>
      <c r="H101" s="7">
        <v>0</v>
      </c>
      <c r="I101" s="7">
        <v>0</v>
      </c>
      <c r="J101" s="7">
        <v>0</v>
      </c>
      <c r="K101" s="7">
        <v>800000</v>
      </c>
      <c r="L101" s="7">
        <v>0</v>
      </c>
      <c r="M101" s="7">
        <v>0</v>
      </c>
      <c r="N101" s="7">
        <v>0</v>
      </c>
      <c r="O101" s="7">
        <v>0</v>
      </c>
      <c r="P101" s="7">
        <v>0</v>
      </c>
      <c r="Q101" s="7">
        <v>0</v>
      </c>
      <c r="R101" s="1316"/>
      <c r="S101" s="1418"/>
      <c r="T101" s="1418"/>
      <c r="U101" s="1419"/>
      <c r="W101" s="1419"/>
      <c r="X101" s="1419"/>
      <c r="Y101" s="1418"/>
      <c r="Z101" s="1418"/>
      <c r="AA101" s="1418"/>
      <c r="AB101" s="1418"/>
      <c r="AC101" s="1418"/>
      <c r="AD101" s="1418"/>
      <c r="AE101" s="1418"/>
      <c r="AF101" s="1418"/>
      <c r="AG101" s="1418"/>
      <c r="AH101" s="1418"/>
      <c r="AI101" s="1423"/>
      <c r="AJ101" s="1418"/>
      <c r="AK101" s="1418"/>
      <c r="AL101" s="1418"/>
    </row>
    <row r="102" spans="1:38">
      <c r="A102" s="25" t="s">
        <v>35</v>
      </c>
      <c r="B102" s="505" t="s">
        <v>36</v>
      </c>
      <c r="C102" s="7">
        <v>0</v>
      </c>
      <c r="D102" s="7">
        <v>0</v>
      </c>
      <c r="E102" s="7">
        <f t="shared" ref="E102:F102" si="197">+D102*$E$8</f>
        <v>0</v>
      </c>
      <c r="F102" s="7">
        <f t="shared" si="197"/>
        <v>0</v>
      </c>
      <c r="G102" s="7">
        <f t="shared" ref="G102:G107" si="198">+F102*$E$8</f>
        <v>0</v>
      </c>
      <c r="H102" s="7">
        <f t="shared" ref="H102:H107" si="199">+G102*$E$8</f>
        <v>0</v>
      </c>
      <c r="I102" s="7">
        <f t="shared" ref="I102:I107" si="200">+H102*$E$8</f>
        <v>0</v>
      </c>
      <c r="J102" s="7">
        <f t="shared" ref="J102:J107" si="201">+I102*$E$8</f>
        <v>0</v>
      </c>
      <c r="K102" s="7">
        <f t="shared" ref="K102:K107" si="202">+J102*$E$8</f>
        <v>0</v>
      </c>
      <c r="L102" s="7">
        <f t="shared" ref="L102:L107" si="203">+K102*$E$8</f>
        <v>0</v>
      </c>
      <c r="M102" s="7">
        <f t="shared" ref="M102:M107" si="204">+L102*$E$8</f>
        <v>0</v>
      </c>
      <c r="N102" s="7">
        <f t="shared" ref="N102:N107" si="205">+M102*$E$8</f>
        <v>0</v>
      </c>
      <c r="O102" s="7">
        <f t="shared" ref="O102:O107" si="206">+N102*$E$8</f>
        <v>0</v>
      </c>
      <c r="P102" s="7">
        <f t="shared" ref="P102:P107" si="207">+O102*$E$8</f>
        <v>0</v>
      </c>
      <c r="Q102" s="7">
        <f t="shared" ref="Q102:Q107" si="208">+P102*$E$8</f>
        <v>0</v>
      </c>
      <c r="R102" s="1316"/>
      <c r="S102" s="1418"/>
      <c r="T102" s="1418"/>
      <c r="U102" s="1419"/>
      <c r="W102" s="1419"/>
      <c r="X102" s="1419"/>
      <c r="Y102" s="1418"/>
      <c r="Z102" s="1418"/>
      <c r="AA102" s="1418"/>
      <c r="AB102" s="1418"/>
      <c r="AC102" s="1418"/>
      <c r="AD102" s="1418"/>
      <c r="AE102" s="1418"/>
      <c r="AF102" s="1418"/>
      <c r="AG102" s="1418"/>
      <c r="AH102" s="1418"/>
      <c r="AI102" s="1423"/>
      <c r="AJ102" s="1418"/>
      <c r="AK102" s="1418"/>
      <c r="AL102" s="1418"/>
    </row>
    <row r="103" spans="1:38">
      <c r="A103" s="25" t="s">
        <v>37</v>
      </c>
      <c r="B103" s="505" t="s">
        <v>38</v>
      </c>
      <c r="C103" s="7">
        <v>0</v>
      </c>
      <c r="D103" s="7">
        <v>0</v>
      </c>
      <c r="E103" s="7">
        <f t="shared" ref="E103:F103" si="209">+D103*$E$8</f>
        <v>0</v>
      </c>
      <c r="F103" s="7">
        <f t="shared" si="209"/>
        <v>0</v>
      </c>
      <c r="G103" s="7">
        <f t="shared" si="198"/>
        <v>0</v>
      </c>
      <c r="H103" s="7">
        <f t="shared" si="199"/>
        <v>0</v>
      </c>
      <c r="I103" s="7">
        <f t="shared" si="200"/>
        <v>0</v>
      </c>
      <c r="J103" s="7">
        <f t="shared" si="201"/>
        <v>0</v>
      </c>
      <c r="K103" s="7">
        <f t="shared" si="202"/>
        <v>0</v>
      </c>
      <c r="L103" s="7">
        <f t="shared" si="203"/>
        <v>0</v>
      </c>
      <c r="M103" s="7">
        <f t="shared" si="204"/>
        <v>0</v>
      </c>
      <c r="N103" s="7">
        <f t="shared" si="205"/>
        <v>0</v>
      </c>
      <c r="O103" s="7">
        <f t="shared" si="206"/>
        <v>0</v>
      </c>
      <c r="P103" s="7">
        <f t="shared" si="207"/>
        <v>0</v>
      </c>
      <c r="Q103" s="7">
        <f t="shared" si="208"/>
        <v>0</v>
      </c>
      <c r="R103" s="1316"/>
      <c r="S103" s="1418"/>
      <c r="T103" s="1418"/>
      <c r="U103" s="1419"/>
      <c r="W103" s="1419"/>
      <c r="X103" s="1419"/>
      <c r="Y103" s="1418"/>
      <c r="Z103" s="1418"/>
      <c r="AA103" s="1418"/>
      <c r="AB103" s="1418"/>
      <c r="AC103" s="1418"/>
      <c r="AD103" s="1418"/>
      <c r="AE103" s="1418"/>
      <c r="AF103" s="1418"/>
      <c r="AG103" s="1418"/>
      <c r="AH103" s="1418"/>
      <c r="AI103" s="1423"/>
      <c r="AJ103" s="1418"/>
      <c r="AK103" s="1418"/>
      <c r="AL103" s="1418"/>
    </row>
    <row r="104" spans="1:38">
      <c r="A104" s="23" t="s">
        <v>39</v>
      </c>
      <c r="B104" s="505" t="s">
        <v>40</v>
      </c>
      <c r="C104" s="7">
        <v>0</v>
      </c>
      <c r="D104" s="7">
        <v>0</v>
      </c>
      <c r="E104" s="7">
        <f t="shared" ref="E104:F104" si="210">+D104*$E$8</f>
        <v>0</v>
      </c>
      <c r="F104" s="7">
        <f t="shared" si="210"/>
        <v>0</v>
      </c>
      <c r="G104" s="7">
        <f t="shared" si="198"/>
        <v>0</v>
      </c>
      <c r="H104" s="7">
        <f t="shared" si="199"/>
        <v>0</v>
      </c>
      <c r="I104" s="7">
        <f t="shared" si="200"/>
        <v>0</v>
      </c>
      <c r="J104" s="7">
        <f t="shared" si="201"/>
        <v>0</v>
      </c>
      <c r="K104" s="7">
        <f t="shared" si="202"/>
        <v>0</v>
      </c>
      <c r="L104" s="7">
        <f t="shared" si="203"/>
        <v>0</v>
      </c>
      <c r="M104" s="7">
        <f t="shared" si="204"/>
        <v>0</v>
      </c>
      <c r="N104" s="7">
        <f t="shared" si="205"/>
        <v>0</v>
      </c>
      <c r="O104" s="7">
        <f t="shared" si="206"/>
        <v>0</v>
      </c>
      <c r="P104" s="7">
        <f t="shared" si="207"/>
        <v>0</v>
      </c>
      <c r="Q104" s="7">
        <f t="shared" si="208"/>
        <v>0</v>
      </c>
      <c r="R104" s="1316"/>
      <c r="S104" s="1418"/>
      <c r="T104" s="1418"/>
      <c r="U104" s="1419"/>
      <c r="W104" s="1419"/>
      <c r="X104" s="1419"/>
      <c r="Y104" s="1418"/>
      <c r="Z104" s="1418"/>
      <c r="AA104" s="1418"/>
      <c r="AB104" s="1418"/>
      <c r="AC104" s="1418"/>
      <c r="AD104" s="1418"/>
      <c r="AE104" s="1418"/>
      <c r="AF104" s="1418"/>
      <c r="AG104" s="1418"/>
      <c r="AH104" s="1418"/>
      <c r="AI104" s="1423"/>
      <c r="AJ104" s="1418"/>
      <c r="AK104" s="1418"/>
      <c r="AL104" s="1418"/>
    </row>
    <row r="105" spans="1:38">
      <c r="A105" s="25" t="s">
        <v>41</v>
      </c>
      <c r="B105" s="505" t="s">
        <v>42</v>
      </c>
      <c r="C105" s="7">
        <v>0</v>
      </c>
      <c r="D105" s="7">
        <v>0</v>
      </c>
      <c r="E105" s="7">
        <f t="shared" ref="E105:F105" si="211">+D105*$E$8</f>
        <v>0</v>
      </c>
      <c r="F105" s="7">
        <f t="shared" si="211"/>
        <v>0</v>
      </c>
      <c r="G105" s="7">
        <f t="shared" si="198"/>
        <v>0</v>
      </c>
      <c r="H105" s="7">
        <f t="shared" si="199"/>
        <v>0</v>
      </c>
      <c r="I105" s="7">
        <f t="shared" si="200"/>
        <v>0</v>
      </c>
      <c r="J105" s="7">
        <f t="shared" si="201"/>
        <v>0</v>
      </c>
      <c r="K105" s="7">
        <f t="shared" si="202"/>
        <v>0</v>
      </c>
      <c r="L105" s="7">
        <f t="shared" si="203"/>
        <v>0</v>
      </c>
      <c r="M105" s="7">
        <f t="shared" si="204"/>
        <v>0</v>
      </c>
      <c r="N105" s="7">
        <f t="shared" si="205"/>
        <v>0</v>
      </c>
      <c r="O105" s="7">
        <f t="shared" si="206"/>
        <v>0</v>
      </c>
      <c r="P105" s="7">
        <f t="shared" si="207"/>
        <v>0</v>
      </c>
      <c r="Q105" s="7">
        <f t="shared" si="208"/>
        <v>0</v>
      </c>
      <c r="R105" s="1316"/>
      <c r="S105" s="1418"/>
      <c r="T105" s="1418"/>
      <c r="U105" s="1419"/>
      <c r="W105" s="1419"/>
      <c r="X105" s="1419"/>
      <c r="Y105" s="1418"/>
      <c r="Z105" s="1418"/>
      <c r="AA105" s="1418"/>
      <c r="AB105" s="1418"/>
      <c r="AC105" s="1418"/>
      <c r="AD105" s="1418"/>
      <c r="AE105" s="1418"/>
      <c r="AF105" s="1418"/>
      <c r="AG105" s="1418"/>
      <c r="AH105" s="1418"/>
      <c r="AI105" s="1423"/>
      <c r="AJ105" s="1418"/>
      <c r="AK105" s="1418"/>
      <c r="AL105" s="1418"/>
    </row>
    <row r="106" spans="1:38">
      <c r="A106" s="23" t="s">
        <v>43</v>
      </c>
      <c r="B106" s="504" t="s">
        <v>44</v>
      </c>
      <c r="C106" s="7">
        <v>0</v>
      </c>
      <c r="D106" s="7">
        <v>0</v>
      </c>
      <c r="E106" s="7">
        <f t="shared" ref="E106:F106" si="212">+D106*$E$8</f>
        <v>0</v>
      </c>
      <c r="F106" s="7">
        <f t="shared" si="212"/>
        <v>0</v>
      </c>
      <c r="G106" s="7">
        <f t="shared" si="198"/>
        <v>0</v>
      </c>
      <c r="H106" s="7">
        <f t="shared" si="199"/>
        <v>0</v>
      </c>
      <c r="I106" s="7">
        <f t="shared" si="200"/>
        <v>0</v>
      </c>
      <c r="J106" s="7">
        <f t="shared" si="201"/>
        <v>0</v>
      </c>
      <c r="K106" s="7">
        <f t="shared" si="202"/>
        <v>0</v>
      </c>
      <c r="L106" s="7">
        <f t="shared" si="203"/>
        <v>0</v>
      </c>
      <c r="M106" s="7">
        <f t="shared" si="204"/>
        <v>0</v>
      </c>
      <c r="N106" s="7">
        <f t="shared" si="205"/>
        <v>0</v>
      </c>
      <c r="O106" s="7">
        <f t="shared" si="206"/>
        <v>0</v>
      </c>
      <c r="P106" s="7">
        <f t="shared" si="207"/>
        <v>0</v>
      </c>
      <c r="Q106" s="7">
        <f t="shared" si="208"/>
        <v>0</v>
      </c>
      <c r="R106" s="1316"/>
      <c r="S106" s="1418"/>
      <c r="T106" s="1418"/>
      <c r="U106" s="1419"/>
      <c r="W106" s="1419"/>
      <c r="X106" s="1419"/>
      <c r="Y106" s="1418"/>
      <c r="Z106" s="1418"/>
      <c r="AA106" s="1418"/>
      <c r="AB106" s="1418"/>
      <c r="AC106" s="1418"/>
      <c r="AD106" s="1418"/>
      <c r="AE106" s="1418"/>
      <c r="AF106" s="1418"/>
      <c r="AG106" s="1418"/>
      <c r="AH106" s="1418"/>
      <c r="AI106" s="1423"/>
      <c r="AJ106" s="1418"/>
      <c r="AK106" s="1418"/>
      <c r="AL106" s="1418"/>
    </row>
    <row r="107" spans="1:38">
      <c r="A107" s="23" t="s">
        <v>45</v>
      </c>
      <c r="B107" s="504" t="s">
        <v>46</v>
      </c>
      <c r="C107" s="7">
        <v>0</v>
      </c>
      <c r="D107" s="7">
        <v>0</v>
      </c>
      <c r="E107" s="7">
        <f t="shared" ref="E107:F109" si="213">+D107*$E$8</f>
        <v>0</v>
      </c>
      <c r="F107" s="7">
        <f t="shared" si="213"/>
        <v>0</v>
      </c>
      <c r="G107" s="7">
        <f t="shared" si="198"/>
        <v>0</v>
      </c>
      <c r="H107" s="7">
        <f t="shared" si="199"/>
        <v>0</v>
      </c>
      <c r="I107" s="7">
        <f t="shared" si="200"/>
        <v>0</v>
      </c>
      <c r="J107" s="7">
        <f t="shared" si="201"/>
        <v>0</v>
      </c>
      <c r="K107" s="7">
        <f t="shared" si="202"/>
        <v>0</v>
      </c>
      <c r="L107" s="7">
        <f t="shared" si="203"/>
        <v>0</v>
      </c>
      <c r="M107" s="7">
        <f t="shared" si="204"/>
        <v>0</v>
      </c>
      <c r="N107" s="7">
        <f t="shared" si="205"/>
        <v>0</v>
      </c>
      <c r="O107" s="7">
        <f t="shared" si="206"/>
        <v>0</v>
      </c>
      <c r="P107" s="7">
        <f t="shared" si="207"/>
        <v>0</v>
      </c>
      <c r="Q107" s="7">
        <f t="shared" si="208"/>
        <v>0</v>
      </c>
      <c r="R107" s="1316"/>
      <c r="S107" s="1418"/>
      <c r="T107" s="1418"/>
      <c r="U107" s="1419"/>
      <c r="W107" s="1419"/>
      <c r="X107" s="1419"/>
      <c r="Y107" s="1418"/>
      <c r="Z107" s="1418"/>
      <c r="AA107" s="1418"/>
      <c r="AB107" s="1418"/>
      <c r="AC107" s="1418"/>
      <c r="AD107" s="1418"/>
      <c r="AE107" s="1418"/>
      <c r="AF107" s="1418"/>
      <c r="AG107" s="1418"/>
      <c r="AH107" s="1418"/>
      <c r="AI107" s="1423"/>
      <c r="AJ107" s="1418"/>
      <c r="AK107" s="1418"/>
      <c r="AL107" s="1418"/>
    </row>
    <row r="108" spans="1:38">
      <c r="A108" s="23" t="s">
        <v>47</v>
      </c>
      <c r="B108" s="504" t="s">
        <v>48</v>
      </c>
      <c r="C108" s="42">
        <f>+C109+C110+C115+C116+C117+C118+C119</f>
        <v>213575</v>
      </c>
      <c r="D108" s="42">
        <f t="shared" ref="D108:Q108" si="214">+D109+D110+D115+D116+D117+D118+D119</f>
        <v>222118</v>
      </c>
      <c r="E108" s="42">
        <f t="shared" si="214"/>
        <v>231003</v>
      </c>
      <c r="F108" s="42">
        <f t="shared" si="214"/>
        <v>240243.12</v>
      </c>
      <c r="G108" s="42">
        <f t="shared" si="214"/>
        <v>249852.84479999999</v>
      </c>
      <c r="H108" s="42">
        <f t="shared" si="214"/>
        <v>259846.95859200001</v>
      </c>
      <c r="I108" s="42">
        <f t="shared" si="214"/>
        <v>270240.83693568001</v>
      </c>
      <c r="J108" s="42">
        <f t="shared" si="214"/>
        <v>281050.47041310719</v>
      </c>
      <c r="K108" s="42">
        <f t="shared" si="214"/>
        <v>292292.48922963149</v>
      </c>
      <c r="L108" s="42">
        <f t="shared" si="214"/>
        <v>303984.18879881676</v>
      </c>
      <c r="M108" s="42">
        <f t="shared" si="214"/>
        <v>316143.55635076942</v>
      </c>
      <c r="N108" s="42">
        <f t="shared" si="214"/>
        <v>328789.29860480019</v>
      </c>
      <c r="O108" s="42">
        <f t="shared" si="214"/>
        <v>341940.87054899218</v>
      </c>
      <c r="P108" s="42">
        <f t="shared" si="214"/>
        <v>355618.5053709519</v>
      </c>
      <c r="Q108" s="42">
        <f t="shared" si="214"/>
        <v>369843.24558578996</v>
      </c>
      <c r="R108" s="1316"/>
      <c r="S108" s="1418"/>
      <c r="T108" s="1418"/>
      <c r="U108" s="1419"/>
      <c r="W108" s="1419"/>
      <c r="X108" s="1419"/>
      <c r="Y108" s="1418"/>
      <c r="Z108" s="1418"/>
      <c r="AA108" s="1418"/>
      <c r="AB108" s="1418"/>
      <c r="AC108" s="1418"/>
      <c r="AD108" s="1418"/>
      <c r="AE108" s="1418"/>
      <c r="AF108" s="1418"/>
      <c r="AG108" s="1418"/>
      <c r="AH108" s="1418"/>
      <c r="AI108" s="1423"/>
      <c r="AJ108" s="1418"/>
      <c r="AK108" s="1418"/>
      <c r="AL108" s="1418"/>
    </row>
    <row r="109" spans="1:38">
      <c r="A109" s="23" t="s">
        <v>49</v>
      </c>
      <c r="B109" s="504" t="s">
        <v>50</v>
      </c>
      <c r="C109" s="7">
        <v>0</v>
      </c>
      <c r="D109" s="7">
        <v>0</v>
      </c>
      <c r="E109" s="7">
        <v>0</v>
      </c>
      <c r="F109" s="7">
        <f t="shared" si="213"/>
        <v>0</v>
      </c>
      <c r="G109" s="7">
        <f t="shared" ref="G109" si="215">+F109*$E$8</f>
        <v>0</v>
      </c>
      <c r="H109" s="7">
        <f t="shared" ref="H109" si="216">+G109*$E$8</f>
        <v>0</v>
      </c>
      <c r="I109" s="7">
        <f t="shared" ref="I109" si="217">+H109*$E$8</f>
        <v>0</v>
      </c>
      <c r="J109" s="7">
        <f t="shared" ref="J109" si="218">+I109*$E$8</f>
        <v>0</v>
      </c>
      <c r="K109" s="7">
        <f t="shared" ref="K109" si="219">+J109*$E$8</f>
        <v>0</v>
      </c>
      <c r="L109" s="7">
        <f t="shared" ref="L109" si="220">+K109*$E$8</f>
        <v>0</v>
      </c>
      <c r="M109" s="7">
        <f t="shared" ref="M109" si="221">+L109*$E$8</f>
        <v>0</v>
      </c>
      <c r="N109" s="7">
        <f t="shared" ref="N109" si="222">+M109*$E$8</f>
        <v>0</v>
      </c>
      <c r="O109" s="7">
        <f t="shared" ref="O109" si="223">+N109*$E$8</f>
        <v>0</v>
      </c>
      <c r="P109" s="7">
        <f t="shared" ref="P109" si="224">+O109*$E$8</f>
        <v>0</v>
      </c>
      <c r="Q109" s="7">
        <f t="shared" ref="Q109" si="225">+P109*$E$8</f>
        <v>0</v>
      </c>
      <c r="R109" s="1316"/>
      <c r="S109" s="1418"/>
      <c r="T109" s="1418"/>
      <c r="U109" s="1419"/>
      <c r="W109" s="1419"/>
      <c r="X109" s="1419"/>
      <c r="Y109" s="1418"/>
      <c r="Z109" s="1418"/>
      <c r="AA109" s="1418"/>
      <c r="AB109" s="1418"/>
      <c r="AC109" s="1418"/>
      <c r="AD109" s="1418"/>
      <c r="AE109" s="1418"/>
      <c r="AF109" s="1418"/>
      <c r="AG109" s="1418"/>
      <c r="AH109" s="1418"/>
      <c r="AI109" s="1423"/>
      <c r="AJ109" s="1418"/>
      <c r="AK109" s="1418"/>
      <c r="AL109" s="1418"/>
    </row>
    <row r="110" spans="1:38">
      <c r="A110" s="23" t="s">
        <v>51</v>
      </c>
      <c r="B110" s="504" t="s">
        <v>52</v>
      </c>
      <c r="C110" s="42">
        <f>SUM(C111:C114)</f>
        <v>213575</v>
      </c>
      <c r="D110" s="42">
        <f t="shared" ref="D110:Q110" si="226">SUM(D111:D114)</f>
        <v>222118</v>
      </c>
      <c r="E110" s="42">
        <f t="shared" si="226"/>
        <v>231003</v>
      </c>
      <c r="F110" s="42">
        <f t="shared" si="226"/>
        <v>240243.12</v>
      </c>
      <c r="G110" s="42">
        <f t="shared" si="226"/>
        <v>249852.84479999999</v>
      </c>
      <c r="H110" s="42">
        <f t="shared" si="226"/>
        <v>259846.95859200001</v>
      </c>
      <c r="I110" s="42">
        <f t="shared" si="226"/>
        <v>270240.83693568001</v>
      </c>
      <c r="J110" s="42">
        <f t="shared" si="226"/>
        <v>281050.47041310719</v>
      </c>
      <c r="K110" s="42">
        <f t="shared" si="226"/>
        <v>292292.48922963149</v>
      </c>
      <c r="L110" s="42">
        <f t="shared" si="226"/>
        <v>303984.18879881676</v>
      </c>
      <c r="M110" s="42">
        <f t="shared" si="226"/>
        <v>316143.55635076942</v>
      </c>
      <c r="N110" s="42">
        <f t="shared" si="226"/>
        <v>328789.29860480019</v>
      </c>
      <c r="O110" s="42">
        <f t="shared" si="226"/>
        <v>341940.87054899218</v>
      </c>
      <c r="P110" s="42">
        <f t="shared" si="226"/>
        <v>355618.5053709519</v>
      </c>
      <c r="Q110" s="42">
        <f t="shared" si="226"/>
        <v>369843.24558578996</v>
      </c>
      <c r="R110" s="1316"/>
      <c r="S110" s="1418"/>
      <c r="T110" s="1418"/>
      <c r="U110" s="1419"/>
      <c r="W110" s="1419"/>
      <c r="X110" s="1419"/>
      <c r="Y110" s="1418"/>
      <c r="Z110" s="1418"/>
      <c r="AA110" s="1418"/>
      <c r="AB110" s="1418"/>
      <c r="AC110" s="1418"/>
      <c r="AD110" s="1418"/>
      <c r="AE110" s="1418"/>
      <c r="AF110" s="1418"/>
      <c r="AG110" s="1418"/>
      <c r="AH110" s="1418"/>
      <c r="AI110" s="1423"/>
      <c r="AJ110" s="1418"/>
      <c r="AK110" s="1418"/>
      <c r="AL110" s="1418"/>
    </row>
    <row r="111" spans="1:38">
      <c r="A111" s="25" t="s">
        <v>53</v>
      </c>
      <c r="B111" s="505" t="s">
        <v>54</v>
      </c>
      <c r="C111" s="7">
        <v>213575</v>
      </c>
      <c r="D111" s="7">
        <f t="shared" ref="D111:F113" si="227">+C111*$E$8</f>
        <v>222118</v>
      </c>
      <c r="E111" s="7">
        <v>231003</v>
      </c>
      <c r="F111" s="7">
        <f t="shared" si="227"/>
        <v>240243.12</v>
      </c>
      <c r="G111" s="7">
        <f t="shared" ref="G111:G113" si="228">+F111*$E$8</f>
        <v>249852.84479999999</v>
      </c>
      <c r="H111" s="7">
        <f t="shared" ref="H111:H114" si="229">+G111*$E$8</f>
        <v>259846.95859200001</v>
      </c>
      <c r="I111" s="7">
        <f t="shared" ref="I111:I114" si="230">+H111*$E$8</f>
        <v>270240.83693568001</v>
      </c>
      <c r="J111" s="7">
        <f t="shared" ref="J111:J114" si="231">+I111*$E$8</f>
        <v>281050.47041310719</v>
      </c>
      <c r="K111" s="7">
        <f t="shared" ref="K111:K114" si="232">+J111*$E$8</f>
        <v>292292.48922963149</v>
      </c>
      <c r="L111" s="7">
        <f t="shared" ref="L111:L114" si="233">+K111*$E$8</f>
        <v>303984.18879881676</v>
      </c>
      <c r="M111" s="7">
        <f t="shared" ref="M111:M114" si="234">+L111*$E$8</f>
        <v>316143.55635076942</v>
      </c>
      <c r="N111" s="7">
        <f t="shared" ref="N111:N114" si="235">+M111*$E$8</f>
        <v>328789.29860480019</v>
      </c>
      <c r="O111" s="7">
        <f t="shared" ref="O111:O114" si="236">+N111*$E$8</f>
        <v>341940.87054899218</v>
      </c>
      <c r="P111" s="7">
        <f t="shared" ref="P111:P114" si="237">+O111*$E$8</f>
        <v>355618.5053709519</v>
      </c>
      <c r="Q111" s="7">
        <f t="shared" ref="Q111:Q114" si="238">+P111*$E$8</f>
        <v>369843.24558578996</v>
      </c>
      <c r="R111" s="1316"/>
      <c r="S111" s="1418"/>
      <c r="T111" s="1418"/>
      <c r="U111" s="1419"/>
      <c r="W111" s="1419"/>
      <c r="X111" s="1419"/>
      <c r="Y111" s="1418"/>
      <c r="Z111" s="1418"/>
      <c r="AA111" s="1418"/>
      <c r="AB111" s="1418"/>
      <c r="AC111" s="1418"/>
      <c r="AD111" s="1418"/>
      <c r="AE111" s="1418"/>
      <c r="AF111" s="1418"/>
      <c r="AG111" s="1418"/>
      <c r="AH111" s="1418"/>
      <c r="AI111" s="1423"/>
      <c r="AJ111" s="1418"/>
      <c r="AK111" s="1418"/>
      <c r="AL111" s="1418"/>
    </row>
    <row r="112" spans="1:38">
      <c r="A112" s="25" t="s">
        <v>55</v>
      </c>
      <c r="B112" s="505" t="s">
        <v>56</v>
      </c>
      <c r="C112" s="7">
        <v>0</v>
      </c>
      <c r="D112" s="7">
        <v>0</v>
      </c>
      <c r="E112" s="7">
        <f t="shared" ref="E112" si="239">+D112*$E$8</f>
        <v>0</v>
      </c>
      <c r="F112" s="7">
        <f t="shared" si="227"/>
        <v>0</v>
      </c>
      <c r="G112" s="7">
        <f t="shared" si="228"/>
        <v>0</v>
      </c>
      <c r="H112" s="7">
        <f t="shared" si="229"/>
        <v>0</v>
      </c>
      <c r="I112" s="7">
        <f t="shared" si="230"/>
        <v>0</v>
      </c>
      <c r="J112" s="7">
        <f t="shared" si="231"/>
        <v>0</v>
      </c>
      <c r="K112" s="7">
        <f t="shared" si="232"/>
        <v>0</v>
      </c>
      <c r="L112" s="7">
        <f t="shared" si="233"/>
        <v>0</v>
      </c>
      <c r="M112" s="7">
        <f t="shared" si="234"/>
        <v>0</v>
      </c>
      <c r="N112" s="7">
        <f t="shared" si="235"/>
        <v>0</v>
      </c>
      <c r="O112" s="7">
        <f t="shared" si="236"/>
        <v>0</v>
      </c>
      <c r="P112" s="7">
        <f t="shared" si="237"/>
        <v>0</v>
      </c>
      <c r="Q112" s="7">
        <f t="shared" si="238"/>
        <v>0</v>
      </c>
      <c r="R112" s="1316"/>
      <c r="S112" s="1418"/>
      <c r="T112" s="1418"/>
      <c r="U112" s="1419"/>
      <c r="W112" s="1419"/>
      <c r="X112" s="1419"/>
      <c r="Y112" s="1418"/>
      <c r="Z112" s="1418"/>
      <c r="AA112" s="1418"/>
      <c r="AB112" s="1418"/>
      <c r="AC112" s="1418"/>
      <c r="AD112" s="1418"/>
      <c r="AE112" s="1418"/>
      <c r="AF112" s="1418"/>
      <c r="AG112" s="1418"/>
      <c r="AH112" s="1418"/>
      <c r="AI112" s="1423"/>
      <c r="AJ112" s="1418"/>
      <c r="AK112" s="1418"/>
      <c r="AL112" s="1418"/>
    </row>
    <row r="113" spans="1:38">
      <c r="A113" s="25" t="s">
        <v>57</v>
      </c>
      <c r="B113" s="505" t="s">
        <v>58</v>
      </c>
      <c r="C113" s="7">
        <v>0</v>
      </c>
      <c r="D113" s="7">
        <v>0</v>
      </c>
      <c r="E113" s="7">
        <f t="shared" ref="E113" si="240">+D113*$E$8</f>
        <v>0</v>
      </c>
      <c r="F113" s="7">
        <f t="shared" si="227"/>
        <v>0</v>
      </c>
      <c r="G113" s="7">
        <f t="shared" si="228"/>
        <v>0</v>
      </c>
      <c r="H113" s="7">
        <f t="shared" si="229"/>
        <v>0</v>
      </c>
      <c r="I113" s="7">
        <f t="shared" si="230"/>
        <v>0</v>
      </c>
      <c r="J113" s="7">
        <f t="shared" si="231"/>
        <v>0</v>
      </c>
      <c r="K113" s="7">
        <f t="shared" si="232"/>
        <v>0</v>
      </c>
      <c r="L113" s="7">
        <f t="shared" si="233"/>
        <v>0</v>
      </c>
      <c r="M113" s="7">
        <f t="shared" si="234"/>
        <v>0</v>
      </c>
      <c r="N113" s="7">
        <f t="shared" si="235"/>
        <v>0</v>
      </c>
      <c r="O113" s="7">
        <f t="shared" si="236"/>
        <v>0</v>
      </c>
      <c r="P113" s="7">
        <f t="shared" si="237"/>
        <v>0</v>
      </c>
      <c r="Q113" s="7">
        <f t="shared" si="238"/>
        <v>0</v>
      </c>
      <c r="R113" s="1316"/>
      <c r="S113" s="1418"/>
      <c r="T113" s="1418"/>
      <c r="U113" s="1419"/>
      <c r="W113" s="1419"/>
      <c r="X113" s="1419"/>
      <c r="Y113" s="1418"/>
      <c r="Z113" s="1418"/>
      <c r="AA113" s="1418"/>
      <c r="AB113" s="1418"/>
      <c r="AC113" s="1418"/>
      <c r="AD113" s="1418"/>
      <c r="AE113" s="1418"/>
      <c r="AF113" s="1418"/>
      <c r="AG113" s="1418"/>
      <c r="AH113" s="1418"/>
      <c r="AI113" s="1423"/>
      <c r="AJ113" s="1418"/>
      <c r="AK113" s="1418"/>
      <c r="AL113" s="1418"/>
    </row>
    <row r="114" spans="1:38">
      <c r="A114" s="25" t="s">
        <v>59</v>
      </c>
      <c r="B114" s="505" t="s">
        <v>60</v>
      </c>
      <c r="C114" s="7">
        <v>0</v>
      </c>
      <c r="D114" s="7">
        <v>0</v>
      </c>
      <c r="E114" s="7">
        <f t="shared" ref="E114" si="241">+D114*$E$8</f>
        <v>0</v>
      </c>
      <c r="F114" s="7">
        <v>0</v>
      </c>
      <c r="G114" s="7">
        <v>0</v>
      </c>
      <c r="H114" s="7">
        <f t="shared" si="229"/>
        <v>0</v>
      </c>
      <c r="I114" s="7">
        <f t="shared" si="230"/>
        <v>0</v>
      </c>
      <c r="J114" s="7">
        <f t="shared" si="231"/>
        <v>0</v>
      </c>
      <c r="K114" s="7">
        <f t="shared" si="232"/>
        <v>0</v>
      </c>
      <c r="L114" s="7">
        <f t="shared" si="233"/>
        <v>0</v>
      </c>
      <c r="M114" s="7">
        <f t="shared" si="234"/>
        <v>0</v>
      </c>
      <c r="N114" s="7">
        <f t="shared" si="235"/>
        <v>0</v>
      </c>
      <c r="O114" s="7">
        <f t="shared" si="236"/>
        <v>0</v>
      </c>
      <c r="P114" s="7">
        <f t="shared" si="237"/>
        <v>0</v>
      </c>
      <c r="Q114" s="7">
        <f t="shared" si="238"/>
        <v>0</v>
      </c>
      <c r="R114" s="1316"/>
      <c r="S114" s="1418"/>
      <c r="T114" s="1418"/>
      <c r="U114" s="1419"/>
      <c r="W114" s="1419"/>
      <c r="X114" s="1419"/>
      <c r="Y114" s="1418"/>
      <c r="Z114" s="1418"/>
      <c r="AA114" s="1418"/>
      <c r="AB114" s="1418"/>
      <c r="AC114" s="1418"/>
      <c r="AD114" s="1418"/>
      <c r="AE114" s="1418"/>
      <c r="AF114" s="1418"/>
      <c r="AG114" s="1418"/>
      <c r="AH114" s="1418"/>
      <c r="AI114" s="1423"/>
      <c r="AJ114" s="1418"/>
      <c r="AK114" s="1418"/>
      <c r="AL114" s="1418"/>
    </row>
    <row r="115" spans="1:38">
      <c r="A115" s="23" t="s">
        <v>61</v>
      </c>
      <c r="B115" s="504" t="s">
        <v>62</v>
      </c>
      <c r="C115" s="7">
        <v>0</v>
      </c>
      <c r="D115" s="7">
        <v>0</v>
      </c>
      <c r="E115" s="7">
        <f t="shared" ref="E115:Q116" si="242">+D115*$E$8</f>
        <v>0</v>
      </c>
      <c r="F115" s="7">
        <f t="shared" si="242"/>
        <v>0</v>
      </c>
      <c r="G115" s="7">
        <f t="shared" si="242"/>
        <v>0</v>
      </c>
      <c r="H115" s="7">
        <f t="shared" si="242"/>
        <v>0</v>
      </c>
      <c r="I115" s="7">
        <f t="shared" si="242"/>
        <v>0</v>
      </c>
      <c r="J115" s="7">
        <f t="shared" si="242"/>
        <v>0</v>
      </c>
      <c r="K115" s="7">
        <f t="shared" si="242"/>
        <v>0</v>
      </c>
      <c r="L115" s="7">
        <f t="shared" si="242"/>
        <v>0</v>
      </c>
      <c r="M115" s="7">
        <f t="shared" si="242"/>
        <v>0</v>
      </c>
      <c r="N115" s="7">
        <f t="shared" si="242"/>
        <v>0</v>
      </c>
      <c r="O115" s="7">
        <f t="shared" si="242"/>
        <v>0</v>
      </c>
      <c r="P115" s="7">
        <f t="shared" si="242"/>
        <v>0</v>
      </c>
      <c r="Q115" s="7">
        <f t="shared" si="242"/>
        <v>0</v>
      </c>
      <c r="R115" s="1316"/>
      <c r="S115" s="1418"/>
      <c r="T115" s="1418"/>
      <c r="U115" s="1419"/>
      <c r="W115" s="1419"/>
      <c r="X115" s="1419"/>
      <c r="Y115" s="1418"/>
      <c r="Z115" s="1418"/>
      <c r="AA115" s="1418"/>
      <c r="AB115" s="1418"/>
      <c r="AC115" s="1418"/>
      <c r="AD115" s="1418"/>
      <c r="AE115" s="1418"/>
      <c r="AF115" s="1418"/>
      <c r="AG115" s="1418"/>
      <c r="AH115" s="1418"/>
      <c r="AI115" s="1423"/>
      <c r="AJ115" s="1418"/>
      <c r="AK115" s="1418"/>
      <c r="AL115" s="1418"/>
    </row>
    <row r="116" spans="1:38">
      <c r="A116" s="23" t="s">
        <v>63</v>
      </c>
      <c r="B116" s="504" t="s">
        <v>64</v>
      </c>
      <c r="C116" s="7">
        <v>0</v>
      </c>
      <c r="D116" s="7">
        <v>0</v>
      </c>
      <c r="E116" s="7">
        <v>0</v>
      </c>
      <c r="F116" s="7">
        <f t="shared" si="242"/>
        <v>0</v>
      </c>
      <c r="G116" s="7">
        <f t="shared" ref="G116:Q116" si="243">+F116*$E$8</f>
        <v>0</v>
      </c>
      <c r="H116" s="7">
        <f t="shared" si="243"/>
        <v>0</v>
      </c>
      <c r="I116" s="7">
        <f t="shared" si="243"/>
        <v>0</v>
      </c>
      <c r="J116" s="7">
        <f t="shared" si="243"/>
        <v>0</v>
      </c>
      <c r="K116" s="7">
        <f t="shared" si="243"/>
        <v>0</v>
      </c>
      <c r="L116" s="7">
        <f t="shared" si="243"/>
        <v>0</v>
      </c>
      <c r="M116" s="7">
        <f t="shared" si="243"/>
        <v>0</v>
      </c>
      <c r="N116" s="7">
        <f t="shared" si="243"/>
        <v>0</v>
      </c>
      <c r="O116" s="7">
        <f t="shared" si="243"/>
        <v>0</v>
      </c>
      <c r="P116" s="7">
        <f t="shared" si="243"/>
        <v>0</v>
      </c>
      <c r="Q116" s="7">
        <f t="shared" si="243"/>
        <v>0</v>
      </c>
      <c r="R116" s="1316"/>
      <c r="S116" s="1418"/>
      <c r="T116" s="1418"/>
      <c r="U116" s="1419"/>
      <c r="W116" s="1419"/>
      <c r="X116" s="1419"/>
      <c r="Y116" s="1418"/>
      <c r="Z116" s="1418"/>
      <c r="AA116" s="1418"/>
      <c r="AB116" s="1418"/>
      <c r="AC116" s="1418"/>
      <c r="AD116" s="1418"/>
      <c r="AE116" s="1418"/>
      <c r="AF116" s="1418"/>
      <c r="AG116" s="1418"/>
      <c r="AH116" s="1418"/>
      <c r="AI116" s="1423"/>
      <c r="AJ116" s="1418"/>
      <c r="AK116" s="1418"/>
      <c r="AL116" s="1418"/>
    </row>
    <row r="117" spans="1:38">
      <c r="A117" s="23" t="s">
        <v>65</v>
      </c>
      <c r="B117" s="504" t="s">
        <v>66</v>
      </c>
      <c r="C117" s="7">
        <v>0</v>
      </c>
      <c r="D117" s="7">
        <v>0</v>
      </c>
      <c r="E117" s="7">
        <f t="shared" ref="E117:Q117" si="244">+D117*$E$8</f>
        <v>0</v>
      </c>
      <c r="F117" s="7">
        <f t="shared" si="244"/>
        <v>0</v>
      </c>
      <c r="G117" s="7">
        <f t="shared" si="244"/>
        <v>0</v>
      </c>
      <c r="H117" s="7">
        <f t="shared" si="244"/>
        <v>0</v>
      </c>
      <c r="I117" s="7">
        <f t="shared" si="244"/>
        <v>0</v>
      </c>
      <c r="J117" s="7">
        <f t="shared" si="244"/>
        <v>0</v>
      </c>
      <c r="K117" s="7">
        <f t="shared" si="244"/>
        <v>0</v>
      </c>
      <c r="L117" s="7">
        <f t="shared" si="244"/>
        <v>0</v>
      </c>
      <c r="M117" s="7">
        <f t="shared" si="244"/>
        <v>0</v>
      </c>
      <c r="N117" s="7">
        <f t="shared" si="244"/>
        <v>0</v>
      </c>
      <c r="O117" s="7">
        <f t="shared" si="244"/>
        <v>0</v>
      </c>
      <c r="P117" s="7">
        <f t="shared" si="244"/>
        <v>0</v>
      </c>
      <c r="Q117" s="7">
        <f t="shared" si="244"/>
        <v>0</v>
      </c>
      <c r="R117" s="1316"/>
      <c r="S117" s="1418"/>
      <c r="T117" s="1418"/>
      <c r="U117" s="1419"/>
      <c r="W117" s="1419"/>
      <c r="X117" s="1419"/>
      <c r="Y117" s="1418"/>
      <c r="Z117" s="1418"/>
      <c r="AA117" s="1418"/>
      <c r="AB117" s="1418"/>
      <c r="AC117" s="1418"/>
      <c r="AD117" s="1418"/>
      <c r="AE117" s="1418"/>
      <c r="AF117" s="1418"/>
      <c r="AG117" s="1418"/>
      <c r="AH117" s="1418"/>
      <c r="AI117" s="1423"/>
      <c r="AJ117" s="1418"/>
      <c r="AK117" s="1418"/>
      <c r="AL117" s="1418"/>
    </row>
    <row r="118" spans="1:38">
      <c r="A118" s="23" t="s">
        <v>67</v>
      </c>
      <c r="B118" s="504" t="s">
        <v>68</v>
      </c>
      <c r="C118" s="7">
        <v>0</v>
      </c>
      <c r="D118" s="7">
        <v>0</v>
      </c>
      <c r="E118" s="7">
        <f t="shared" ref="E118:Q119" si="245">+D118*$E$8</f>
        <v>0</v>
      </c>
      <c r="F118" s="7">
        <f t="shared" si="245"/>
        <v>0</v>
      </c>
      <c r="G118" s="7">
        <f t="shared" si="245"/>
        <v>0</v>
      </c>
      <c r="H118" s="7">
        <f t="shared" si="245"/>
        <v>0</v>
      </c>
      <c r="I118" s="7">
        <f t="shared" si="245"/>
        <v>0</v>
      </c>
      <c r="J118" s="7">
        <f t="shared" si="245"/>
        <v>0</v>
      </c>
      <c r="K118" s="7">
        <f t="shared" si="245"/>
        <v>0</v>
      </c>
      <c r="L118" s="7">
        <f t="shared" si="245"/>
        <v>0</v>
      </c>
      <c r="M118" s="7">
        <f t="shared" si="245"/>
        <v>0</v>
      </c>
      <c r="N118" s="7">
        <f t="shared" si="245"/>
        <v>0</v>
      </c>
      <c r="O118" s="7">
        <f t="shared" si="245"/>
        <v>0</v>
      </c>
      <c r="P118" s="7">
        <f t="shared" si="245"/>
        <v>0</v>
      </c>
      <c r="Q118" s="7">
        <f t="shared" si="245"/>
        <v>0</v>
      </c>
      <c r="R118" s="1316"/>
      <c r="S118" s="1418"/>
      <c r="T118" s="1418"/>
      <c r="U118" s="1419"/>
      <c r="W118" s="1419"/>
      <c r="X118" s="1419"/>
      <c r="Y118" s="1418"/>
      <c r="Z118" s="1418"/>
      <c r="AA118" s="1418"/>
      <c r="AB118" s="1418"/>
      <c r="AC118" s="1418"/>
      <c r="AD118" s="1418"/>
      <c r="AE118" s="1418"/>
      <c r="AF118" s="1418"/>
      <c r="AG118" s="1418"/>
      <c r="AH118" s="1418"/>
      <c r="AI118" s="1423"/>
      <c r="AJ118" s="1418"/>
      <c r="AK118" s="1418"/>
      <c r="AL118" s="1418"/>
    </row>
    <row r="119" spans="1:38">
      <c r="A119" s="23" t="s">
        <v>69</v>
      </c>
      <c r="B119" s="504" t="s">
        <v>70</v>
      </c>
      <c r="C119" s="7">
        <v>0</v>
      </c>
      <c r="D119" s="7">
        <f t="shared" ref="D119" si="246">+C119*$E$8</f>
        <v>0</v>
      </c>
      <c r="E119" s="7">
        <v>0</v>
      </c>
      <c r="F119" s="7">
        <f t="shared" si="245"/>
        <v>0</v>
      </c>
      <c r="G119" s="7">
        <f t="shared" ref="G119" si="247">+F119*$E$8</f>
        <v>0</v>
      </c>
      <c r="H119" s="7">
        <f t="shared" ref="H119" si="248">+G119*$E$8</f>
        <v>0</v>
      </c>
      <c r="I119" s="7">
        <f t="shared" ref="I119" si="249">+H119*$E$8</f>
        <v>0</v>
      </c>
      <c r="J119" s="7">
        <f t="shared" ref="J119" si="250">+I119*$E$8</f>
        <v>0</v>
      </c>
      <c r="K119" s="7">
        <f t="shared" ref="K119" si="251">+J119*$E$8</f>
        <v>0</v>
      </c>
      <c r="L119" s="7">
        <f t="shared" ref="L119" si="252">+K119*$E$8</f>
        <v>0</v>
      </c>
      <c r="M119" s="7">
        <f t="shared" ref="M119" si="253">+L119*$E$8</f>
        <v>0</v>
      </c>
      <c r="N119" s="7">
        <f t="shared" ref="N119" si="254">+M119*$E$8</f>
        <v>0</v>
      </c>
      <c r="O119" s="7">
        <f t="shared" ref="O119" si="255">+N119*$E$8</f>
        <v>0</v>
      </c>
      <c r="P119" s="7">
        <f t="shared" ref="P119" si="256">+O119*$E$8</f>
        <v>0</v>
      </c>
      <c r="Q119" s="7">
        <f t="shared" ref="Q119" si="257">+P119*$E$8</f>
        <v>0</v>
      </c>
      <c r="R119" s="1316"/>
      <c r="S119" s="1418"/>
      <c r="T119" s="1418"/>
      <c r="U119" s="1419"/>
      <c r="W119" s="1419"/>
      <c r="X119" s="1419"/>
      <c r="Y119" s="1418"/>
      <c r="Z119" s="1418"/>
      <c r="AA119" s="1418"/>
      <c r="AB119" s="1418"/>
      <c r="AC119" s="1418"/>
      <c r="AD119" s="1418"/>
      <c r="AE119" s="1418"/>
      <c r="AF119" s="1418"/>
      <c r="AG119" s="1418"/>
      <c r="AH119" s="1418"/>
      <c r="AI119" s="1423"/>
      <c r="AJ119" s="1418"/>
      <c r="AK119" s="1418"/>
      <c r="AL119" s="1418"/>
    </row>
    <row r="120" spans="1:38">
      <c r="A120" s="23" t="s">
        <v>71</v>
      </c>
      <c r="B120" s="504" t="s">
        <v>72</v>
      </c>
      <c r="C120" s="7">
        <v>0</v>
      </c>
      <c r="D120" s="7"/>
      <c r="E120" s="7">
        <f t="shared" ref="E120:Q120" si="258">+D120*$E$8</f>
        <v>0</v>
      </c>
      <c r="F120" s="7">
        <f t="shared" si="258"/>
        <v>0</v>
      </c>
      <c r="G120" s="7">
        <f t="shared" si="258"/>
        <v>0</v>
      </c>
      <c r="H120" s="7">
        <f t="shared" si="258"/>
        <v>0</v>
      </c>
      <c r="I120" s="7">
        <f t="shared" si="258"/>
        <v>0</v>
      </c>
      <c r="J120" s="7">
        <f t="shared" si="258"/>
        <v>0</v>
      </c>
      <c r="K120" s="7">
        <f t="shared" si="258"/>
        <v>0</v>
      </c>
      <c r="L120" s="7">
        <f t="shared" si="258"/>
        <v>0</v>
      </c>
      <c r="M120" s="7">
        <f t="shared" si="258"/>
        <v>0</v>
      </c>
      <c r="N120" s="7">
        <f t="shared" si="258"/>
        <v>0</v>
      </c>
      <c r="O120" s="7">
        <f t="shared" si="258"/>
        <v>0</v>
      </c>
      <c r="P120" s="7">
        <f t="shared" si="258"/>
        <v>0</v>
      </c>
      <c r="Q120" s="7">
        <f t="shared" si="258"/>
        <v>0</v>
      </c>
      <c r="R120" s="1316"/>
      <c r="S120" s="1418"/>
      <c r="T120" s="1418"/>
      <c r="U120" s="1419"/>
      <c r="W120" s="1419"/>
      <c r="X120" s="1419"/>
      <c r="Y120" s="1418"/>
      <c r="Z120" s="1418"/>
      <c r="AA120" s="1418"/>
      <c r="AB120" s="1418"/>
      <c r="AC120" s="1418"/>
      <c r="AD120" s="1418"/>
      <c r="AE120" s="1418"/>
      <c r="AF120" s="1418"/>
      <c r="AG120" s="1418"/>
      <c r="AH120" s="1418"/>
      <c r="AI120" s="1423"/>
      <c r="AJ120" s="1418"/>
      <c r="AK120" s="1418"/>
      <c r="AL120" s="1418"/>
    </row>
    <row r="121" spans="1:38">
      <c r="A121" s="23" t="s">
        <v>73</v>
      </c>
      <c r="B121" s="504" t="s">
        <v>74</v>
      </c>
      <c r="C121" s="7">
        <v>0</v>
      </c>
      <c r="D121" s="7">
        <v>0</v>
      </c>
      <c r="E121" s="7">
        <f t="shared" ref="E121:Q121" si="259">+D121*$E$8</f>
        <v>0</v>
      </c>
      <c r="F121" s="7">
        <f t="shared" si="259"/>
        <v>0</v>
      </c>
      <c r="G121" s="7">
        <f t="shared" si="259"/>
        <v>0</v>
      </c>
      <c r="H121" s="7">
        <f t="shared" si="259"/>
        <v>0</v>
      </c>
      <c r="I121" s="7">
        <f t="shared" si="259"/>
        <v>0</v>
      </c>
      <c r="J121" s="7">
        <f t="shared" si="259"/>
        <v>0</v>
      </c>
      <c r="K121" s="7">
        <f t="shared" si="259"/>
        <v>0</v>
      </c>
      <c r="L121" s="7">
        <f t="shared" si="259"/>
        <v>0</v>
      </c>
      <c r="M121" s="7">
        <f t="shared" si="259"/>
        <v>0</v>
      </c>
      <c r="N121" s="7">
        <f t="shared" si="259"/>
        <v>0</v>
      </c>
      <c r="O121" s="7">
        <f t="shared" si="259"/>
        <v>0</v>
      </c>
      <c r="P121" s="7">
        <f t="shared" si="259"/>
        <v>0</v>
      </c>
      <c r="Q121" s="7">
        <f t="shared" si="259"/>
        <v>0</v>
      </c>
      <c r="R121" s="1316"/>
      <c r="S121" s="1418"/>
      <c r="T121" s="1418"/>
      <c r="U121" s="1419"/>
      <c r="W121" s="1419"/>
      <c r="X121" s="1419"/>
      <c r="Y121" s="1418"/>
      <c r="Z121" s="1418"/>
      <c r="AA121" s="1418"/>
      <c r="AB121" s="1418"/>
      <c r="AC121" s="1418"/>
      <c r="AD121" s="1418"/>
      <c r="AE121" s="1418"/>
      <c r="AF121" s="1418"/>
      <c r="AG121" s="1418"/>
      <c r="AH121" s="1418"/>
      <c r="AI121" s="1423"/>
      <c r="AJ121" s="1418"/>
      <c r="AK121" s="1418"/>
      <c r="AL121" s="1418"/>
    </row>
    <row r="122" spans="1:38">
      <c r="A122" s="23" t="s">
        <v>75</v>
      </c>
      <c r="B122" s="504" t="s">
        <v>76</v>
      </c>
      <c r="C122" s="42">
        <f>SUM(C123:C124)</f>
        <v>12</v>
      </c>
      <c r="D122" s="42">
        <f t="shared" ref="D122:Q122" si="260">SUM(D123:D124)</f>
        <v>12.48</v>
      </c>
      <c r="E122" s="42">
        <f t="shared" si="260"/>
        <v>12.979200000000001</v>
      </c>
      <c r="F122" s="42">
        <f t="shared" si="260"/>
        <v>13.498368000000001</v>
      </c>
      <c r="G122" s="42">
        <f t="shared" si="260"/>
        <v>14.038302720000001</v>
      </c>
      <c r="H122" s="42">
        <f t="shared" si="260"/>
        <v>14.599834828800001</v>
      </c>
      <c r="I122" s="42">
        <f t="shared" si="260"/>
        <v>15.183828221952002</v>
      </c>
      <c r="J122" s="42">
        <f t="shared" si="260"/>
        <v>15.791181350830083</v>
      </c>
      <c r="K122" s="42">
        <f t="shared" si="260"/>
        <v>16.422828604863287</v>
      </c>
      <c r="L122" s="42">
        <f t="shared" si="260"/>
        <v>17.07974174905782</v>
      </c>
      <c r="M122" s="42">
        <f t="shared" si="260"/>
        <v>17.762931419020134</v>
      </c>
      <c r="N122" s="42">
        <f t="shared" si="260"/>
        <v>18.47344867578094</v>
      </c>
      <c r="O122" s="42">
        <f t="shared" si="260"/>
        <v>19.212386622812179</v>
      </c>
      <c r="P122" s="42">
        <f t="shared" si="260"/>
        <v>19.980882087724666</v>
      </c>
      <c r="Q122" s="42">
        <f t="shared" si="260"/>
        <v>20.780117371233654</v>
      </c>
      <c r="R122" s="1316"/>
      <c r="S122" s="1418"/>
      <c r="T122" s="1418"/>
      <c r="U122" s="1419"/>
      <c r="W122" s="1419"/>
      <c r="X122" s="1419"/>
      <c r="Y122" s="1418"/>
      <c r="Z122" s="1418"/>
      <c r="AA122" s="1418"/>
      <c r="AB122" s="1418"/>
      <c r="AC122" s="1418"/>
      <c r="AD122" s="1418"/>
      <c r="AE122" s="1418"/>
      <c r="AF122" s="1418"/>
      <c r="AG122" s="1418"/>
      <c r="AH122" s="1418"/>
      <c r="AI122" s="1423"/>
      <c r="AJ122" s="1418"/>
      <c r="AK122" s="1418"/>
      <c r="AL122" s="1418"/>
    </row>
    <row r="123" spans="1:38">
      <c r="A123" s="25" t="s">
        <v>77</v>
      </c>
      <c r="B123" s="505" t="s">
        <v>78</v>
      </c>
      <c r="C123" s="7">
        <v>12</v>
      </c>
      <c r="D123" s="7">
        <f t="shared" ref="D123" si="261">+C123*$E$8</f>
        <v>12.48</v>
      </c>
      <c r="E123" s="7">
        <f t="shared" ref="E123" si="262">+D123*$E$8</f>
        <v>12.979200000000001</v>
      </c>
      <c r="F123" s="7">
        <f t="shared" ref="F123" si="263">+E123*$E$8</f>
        <v>13.498368000000001</v>
      </c>
      <c r="G123" s="7">
        <f t="shared" ref="G123:G127" si="264">+F123*$E$8</f>
        <v>14.038302720000001</v>
      </c>
      <c r="H123" s="7">
        <f t="shared" ref="H123:H127" si="265">+G123*$E$8</f>
        <v>14.599834828800001</v>
      </c>
      <c r="I123" s="7">
        <f t="shared" ref="I123:I127" si="266">+H123*$E$8</f>
        <v>15.183828221952002</v>
      </c>
      <c r="J123" s="7">
        <f t="shared" ref="J123:J127" si="267">+I123*$E$8</f>
        <v>15.791181350830083</v>
      </c>
      <c r="K123" s="7">
        <f t="shared" ref="K123:K127" si="268">+J123*$E$8</f>
        <v>16.422828604863287</v>
      </c>
      <c r="L123" s="7">
        <f t="shared" ref="L123:L127" si="269">+K123*$E$8</f>
        <v>17.07974174905782</v>
      </c>
      <c r="M123" s="7">
        <f t="shared" ref="M123:M127" si="270">+L123*$E$8</f>
        <v>17.762931419020134</v>
      </c>
      <c r="N123" s="7">
        <f t="shared" ref="N123:N127" si="271">+M123*$E$8</f>
        <v>18.47344867578094</v>
      </c>
      <c r="O123" s="7">
        <f t="shared" ref="O123:O127" si="272">+N123*$E$8</f>
        <v>19.212386622812179</v>
      </c>
      <c r="P123" s="7">
        <f t="shared" ref="P123:P127" si="273">+O123*$E$8</f>
        <v>19.980882087724666</v>
      </c>
      <c r="Q123" s="7">
        <f t="shared" ref="Q123:Q127" si="274">+P123*$E$8</f>
        <v>20.780117371233654</v>
      </c>
      <c r="R123" s="1316"/>
      <c r="S123" s="1418"/>
      <c r="T123" s="1418"/>
      <c r="U123" s="1419"/>
      <c r="W123" s="1419"/>
      <c r="X123" s="1419"/>
      <c r="Y123" s="1418"/>
      <c r="Z123" s="1418"/>
      <c r="AA123" s="1418"/>
      <c r="AB123" s="1418"/>
      <c r="AC123" s="1418"/>
      <c r="AD123" s="1418"/>
      <c r="AE123" s="1418"/>
      <c r="AF123" s="1418"/>
      <c r="AG123" s="1418"/>
      <c r="AH123" s="1418"/>
      <c r="AI123" s="1423"/>
      <c r="AJ123" s="1418"/>
      <c r="AK123" s="1418"/>
      <c r="AL123" s="1418"/>
    </row>
    <row r="124" spans="1:38">
      <c r="A124" s="25" t="s">
        <v>79</v>
      </c>
      <c r="B124" s="505" t="s">
        <v>80</v>
      </c>
      <c r="C124" s="7">
        <v>0</v>
      </c>
      <c r="D124" s="7">
        <v>0</v>
      </c>
      <c r="E124" s="7">
        <f t="shared" ref="E124:F124" si="275">+D124*$E$8</f>
        <v>0</v>
      </c>
      <c r="F124" s="7">
        <f t="shared" si="275"/>
        <v>0</v>
      </c>
      <c r="G124" s="7">
        <f t="shared" si="264"/>
        <v>0</v>
      </c>
      <c r="H124" s="7">
        <f t="shared" si="265"/>
        <v>0</v>
      </c>
      <c r="I124" s="7">
        <f t="shared" si="266"/>
        <v>0</v>
      </c>
      <c r="J124" s="7">
        <f t="shared" si="267"/>
        <v>0</v>
      </c>
      <c r="K124" s="7">
        <f t="shared" si="268"/>
        <v>0</v>
      </c>
      <c r="L124" s="7">
        <f t="shared" si="269"/>
        <v>0</v>
      </c>
      <c r="M124" s="7">
        <f t="shared" si="270"/>
        <v>0</v>
      </c>
      <c r="N124" s="7">
        <f t="shared" si="271"/>
        <v>0</v>
      </c>
      <c r="O124" s="7">
        <f t="shared" si="272"/>
        <v>0</v>
      </c>
      <c r="P124" s="7">
        <f t="shared" si="273"/>
        <v>0</v>
      </c>
      <c r="Q124" s="7">
        <f t="shared" si="274"/>
        <v>0</v>
      </c>
      <c r="R124" s="1316"/>
      <c r="S124" s="1418"/>
      <c r="T124" s="1418"/>
      <c r="U124" s="1419"/>
      <c r="W124" s="1419"/>
      <c r="X124" s="1419"/>
      <c r="Y124" s="1418"/>
      <c r="Z124" s="1418"/>
      <c r="AA124" s="1418"/>
      <c r="AB124" s="1418"/>
      <c r="AC124" s="1418"/>
      <c r="AD124" s="1418"/>
      <c r="AE124" s="1418"/>
      <c r="AF124" s="1418"/>
      <c r="AG124" s="1418"/>
      <c r="AH124" s="1418"/>
      <c r="AI124" s="1423"/>
      <c r="AJ124" s="1418"/>
      <c r="AK124" s="1418"/>
      <c r="AL124" s="1418"/>
    </row>
    <row r="125" spans="1:38">
      <c r="A125" s="23" t="s">
        <v>81</v>
      </c>
      <c r="B125" s="504" t="s">
        <v>82</v>
      </c>
      <c r="C125" s="7">
        <v>0</v>
      </c>
      <c r="D125" s="7">
        <v>0</v>
      </c>
      <c r="E125" s="7">
        <f t="shared" ref="E125:F125" si="276">+D125*$E$8</f>
        <v>0</v>
      </c>
      <c r="F125" s="7">
        <f t="shared" si="276"/>
        <v>0</v>
      </c>
      <c r="G125" s="7">
        <f t="shared" si="264"/>
        <v>0</v>
      </c>
      <c r="H125" s="7">
        <f t="shared" si="265"/>
        <v>0</v>
      </c>
      <c r="I125" s="7">
        <f t="shared" si="266"/>
        <v>0</v>
      </c>
      <c r="J125" s="7">
        <f t="shared" si="267"/>
        <v>0</v>
      </c>
      <c r="K125" s="7">
        <f t="shared" si="268"/>
        <v>0</v>
      </c>
      <c r="L125" s="7">
        <f t="shared" si="269"/>
        <v>0</v>
      </c>
      <c r="M125" s="7">
        <f t="shared" si="270"/>
        <v>0</v>
      </c>
      <c r="N125" s="7">
        <f t="shared" si="271"/>
        <v>0</v>
      </c>
      <c r="O125" s="7">
        <f t="shared" si="272"/>
        <v>0</v>
      </c>
      <c r="P125" s="7">
        <f t="shared" si="273"/>
        <v>0</v>
      </c>
      <c r="Q125" s="7">
        <f t="shared" si="274"/>
        <v>0</v>
      </c>
      <c r="R125" s="1316"/>
      <c r="S125" s="1418"/>
      <c r="T125" s="1418"/>
      <c r="U125" s="1419"/>
      <c r="W125" s="1419"/>
      <c r="X125" s="1419"/>
      <c r="Y125" s="1418"/>
      <c r="Z125" s="1418"/>
      <c r="AA125" s="1418"/>
      <c r="AB125" s="1418"/>
      <c r="AC125" s="1418"/>
      <c r="AD125" s="1418"/>
      <c r="AE125" s="1418"/>
      <c r="AF125" s="1418"/>
      <c r="AG125" s="1418"/>
      <c r="AH125" s="1418"/>
      <c r="AI125" s="1423"/>
      <c r="AJ125" s="1418"/>
      <c r="AK125" s="1418"/>
      <c r="AL125" s="1418"/>
    </row>
    <row r="126" spans="1:38">
      <c r="A126" s="24" t="s">
        <v>83</v>
      </c>
      <c r="B126" s="504" t="s">
        <v>84</v>
      </c>
      <c r="C126" s="7">
        <v>0</v>
      </c>
      <c r="D126" s="7">
        <v>0</v>
      </c>
      <c r="E126" s="7">
        <f t="shared" ref="E126:F126" si="277">+D126*$E$8</f>
        <v>0</v>
      </c>
      <c r="F126" s="7">
        <f t="shared" si="277"/>
        <v>0</v>
      </c>
      <c r="G126" s="7">
        <f t="shared" si="264"/>
        <v>0</v>
      </c>
      <c r="H126" s="7">
        <f t="shared" si="265"/>
        <v>0</v>
      </c>
      <c r="I126" s="7">
        <f t="shared" si="266"/>
        <v>0</v>
      </c>
      <c r="J126" s="7">
        <f t="shared" si="267"/>
        <v>0</v>
      </c>
      <c r="K126" s="7">
        <f t="shared" si="268"/>
        <v>0</v>
      </c>
      <c r="L126" s="7">
        <f t="shared" si="269"/>
        <v>0</v>
      </c>
      <c r="M126" s="7">
        <f t="shared" si="270"/>
        <v>0</v>
      </c>
      <c r="N126" s="7">
        <f t="shared" si="271"/>
        <v>0</v>
      </c>
      <c r="O126" s="7">
        <f t="shared" si="272"/>
        <v>0</v>
      </c>
      <c r="P126" s="7">
        <f t="shared" si="273"/>
        <v>0</v>
      </c>
      <c r="Q126" s="7">
        <f t="shared" si="274"/>
        <v>0</v>
      </c>
      <c r="R126" s="1316"/>
      <c r="S126" s="1418"/>
      <c r="T126" s="1418"/>
      <c r="U126" s="1419"/>
      <c r="W126" s="1419"/>
      <c r="X126" s="1419"/>
      <c r="Y126" s="1418"/>
      <c r="Z126" s="1418"/>
      <c r="AA126" s="1418"/>
      <c r="AB126" s="1418"/>
      <c r="AC126" s="1418"/>
      <c r="AD126" s="1418"/>
      <c r="AE126" s="1418"/>
      <c r="AF126" s="1418"/>
      <c r="AG126" s="1418"/>
      <c r="AH126" s="1418"/>
      <c r="AI126" s="1423"/>
      <c r="AJ126" s="1418"/>
      <c r="AK126" s="1418"/>
      <c r="AL126" s="1418"/>
    </row>
    <row r="127" spans="1:38" ht="13.5" thickBot="1">
      <c r="A127" s="26" t="s">
        <v>85</v>
      </c>
      <c r="B127" s="1152" t="s">
        <v>86</v>
      </c>
      <c r="C127" s="87">
        <v>0</v>
      </c>
      <c r="D127" s="87">
        <v>0</v>
      </c>
      <c r="E127" s="7">
        <f t="shared" ref="E127:F127" si="278">+D127*$E$8</f>
        <v>0</v>
      </c>
      <c r="F127" s="7">
        <f t="shared" si="278"/>
        <v>0</v>
      </c>
      <c r="G127" s="7">
        <f t="shared" si="264"/>
        <v>0</v>
      </c>
      <c r="H127" s="7">
        <f t="shared" si="265"/>
        <v>0</v>
      </c>
      <c r="I127" s="7">
        <f t="shared" si="266"/>
        <v>0</v>
      </c>
      <c r="J127" s="7">
        <f t="shared" si="267"/>
        <v>0</v>
      </c>
      <c r="K127" s="7">
        <f t="shared" si="268"/>
        <v>0</v>
      </c>
      <c r="L127" s="7">
        <f t="shared" si="269"/>
        <v>0</v>
      </c>
      <c r="M127" s="7">
        <f t="shared" si="270"/>
        <v>0</v>
      </c>
      <c r="N127" s="7">
        <f t="shared" si="271"/>
        <v>0</v>
      </c>
      <c r="O127" s="7">
        <f t="shared" si="272"/>
        <v>0</v>
      </c>
      <c r="P127" s="7">
        <f t="shared" si="273"/>
        <v>0</v>
      </c>
      <c r="Q127" s="7">
        <f t="shared" si="274"/>
        <v>0</v>
      </c>
      <c r="R127" s="1317"/>
      <c r="S127" s="1418"/>
      <c r="T127" s="1418"/>
      <c r="U127" s="1419"/>
      <c r="W127" s="1419"/>
      <c r="X127" s="1419"/>
      <c r="Y127" s="1418"/>
      <c r="Z127" s="1418"/>
      <c r="AA127" s="1418"/>
      <c r="AB127" s="1418"/>
      <c r="AC127" s="1418"/>
      <c r="AD127" s="1418"/>
      <c r="AE127" s="1418"/>
      <c r="AF127" s="1418"/>
      <c r="AG127" s="1418"/>
      <c r="AH127" s="1418"/>
      <c r="AI127" s="1423"/>
      <c r="AJ127" s="1418"/>
      <c r="AK127" s="1418"/>
      <c r="AL127" s="1418"/>
    </row>
    <row r="128" spans="1:38" hidden="1">
      <c r="A128" s="468" t="str">
        <f t="shared" ref="A128:A146" si="279">A154</f>
        <v>1110216</v>
      </c>
      <c r="B128" s="468" t="str">
        <f t="shared" ref="B128:R128" si="280">B154</f>
        <v>Sobretasa a la Gasolina</v>
      </c>
      <c r="C128" s="468">
        <f t="shared" si="280"/>
        <v>0</v>
      </c>
      <c r="D128" s="468">
        <f t="shared" si="280"/>
        <v>0</v>
      </c>
      <c r="E128" s="468">
        <f t="shared" si="280"/>
        <v>0</v>
      </c>
      <c r="F128" s="468">
        <f t="shared" si="280"/>
        <v>0</v>
      </c>
      <c r="G128" s="468">
        <f t="shared" si="280"/>
        <v>0</v>
      </c>
      <c r="H128" s="468">
        <f t="shared" si="280"/>
        <v>0</v>
      </c>
      <c r="I128" s="468">
        <f t="shared" si="280"/>
        <v>0</v>
      </c>
      <c r="J128" s="468">
        <f t="shared" ref="J128:J146" si="281">J154</f>
        <v>0</v>
      </c>
      <c r="K128" s="468">
        <f t="shared" si="280"/>
        <v>0</v>
      </c>
      <c r="L128" s="468">
        <f t="shared" si="280"/>
        <v>0</v>
      </c>
      <c r="M128" s="468">
        <f t="shared" si="280"/>
        <v>0</v>
      </c>
      <c r="N128" s="468">
        <f t="shared" si="280"/>
        <v>0</v>
      </c>
      <c r="O128" s="468">
        <f t="shared" si="280"/>
        <v>0</v>
      </c>
      <c r="P128" s="468">
        <f t="shared" si="280"/>
        <v>0</v>
      </c>
      <c r="Q128" s="468">
        <f t="shared" si="280"/>
        <v>0</v>
      </c>
      <c r="R128" s="468">
        <f t="shared" si="280"/>
        <v>0</v>
      </c>
      <c r="S128" s="1418"/>
      <c r="T128" s="1418"/>
      <c r="U128" s="1419"/>
      <c r="V128" s="1419"/>
      <c r="W128" s="1419"/>
      <c r="X128" s="1419"/>
      <c r="Y128" s="1418"/>
      <c r="Z128" s="1418"/>
      <c r="AA128" s="1418"/>
      <c r="AB128" s="1418"/>
      <c r="AC128" s="1418"/>
      <c r="AD128" s="1418"/>
      <c r="AE128" s="1418"/>
      <c r="AF128" s="1418"/>
      <c r="AG128" s="1418"/>
      <c r="AH128" s="1418"/>
      <c r="AI128" s="1423"/>
      <c r="AJ128" s="1418"/>
      <c r="AK128" s="1418"/>
      <c r="AL128" s="1418"/>
    </row>
    <row r="129" spans="1:38" hidden="1">
      <c r="A129" s="468" t="str">
        <f t="shared" si="279"/>
        <v>11205020810</v>
      </c>
      <c r="B129" s="468" t="str">
        <f t="shared" ref="B129:R129" si="282">B155</f>
        <v>Impuesto al Transporte de Hidrocarburos</v>
      </c>
      <c r="C129" s="468">
        <f t="shared" si="282"/>
        <v>0</v>
      </c>
      <c r="D129" s="468">
        <f t="shared" si="282"/>
        <v>0</v>
      </c>
      <c r="E129" s="468">
        <f t="shared" si="282"/>
        <v>0</v>
      </c>
      <c r="F129" s="468">
        <f t="shared" si="282"/>
        <v>0</v>
      </c>
      <c r="G129" s="468">
        <f t="shared" si="282"/>
        <v>0</v>
      </c>
      <c r="H129" s="468">
        <f t="shared" si="282"/>
        <v>0</v>
      </c>
      <c r="I129" s="468">
        <f t="shared" si="282"/>
        <v>0</v>
      </c>
      <c r="J129" s="468">
        <f t="shared" si="281"/>
        <v>0</v>
      </c>
      <c r="K129" s="468">
        <f t="shared" si="282"/>
        <v>0</v>
      </c>
      <c r="L129" s="468">
        <f t="shared" si="282"/>
        <v>0</v>
      </c>
      <c r="M129" s="468">
        <f t="shared" si="282"/>
        <v>0</v>
      </c>
      <c r="N129" s="468">
        <f t="shared" si="282"/>
        <v>0</v>
      </c>
      <c r="O129" s="468">
        <f t="shared" si="282"/>
        <v>0</v>
      </c>
      <c r="P129" s="468">
        <f t="shared" si="282"/>
        <v>0</v>
      </c>
      <c r="Q129" s="468">
        <f t="shared" si="282"/>
        <v>0</v>
      </c>
      <c r="R129" s="468">
        <f t="shared" si="282"/>
        <v>0</v>
      </c>
      <c r="S129" s="1418"/>
      <c r="T129" s="1418"/>
      <c r="U129" s="1419"/>
      <c r="V129" s="1419"/>
      <c r="W129" s="1419"/>
      <c r="X129" s="1419"/>
      <c r="Y129" s="1418"/>
      <c r="Z129" s="1418"/>
      <c r="AA129" s="1418"/>
      <c r="AB129" s="1418"/>
      <c r="AC129" s="1418"/>
      <c r="AD129" s="1418"/>
      <c r="AE129" s="1418"/>
      <c r="AF129" s="1418"/>
      <c r="AG129" s="1418"/>
      <c r="AH129" s="1418"/>
      <c r="AI129" s="1423"/>
      <c r="AJ129" s="1418"/>
      <c r="AK129" s="1418"/>
      <c r="AL129" s="1418"/>
    </row>
    <row r="130" spans="1:38" hidden="1">
      <c r="A130" s="468" t="str">
        <f t="shared" si="279"/>
        <v>112050207</v>
      </c>
      <c r="B130" s="468" t="str">
        <f t="shared" ref="B130:R130" si="283">B156</f>
        <v>Regalías</v>
      </c>
      <c r="C130" s="468">
        <f t="shared" si="283"/>
        <v>0</v>
      </c>
      <c r="D130" s="468">
        <f t="shared" si="283"/>
        <v>0</v>
      </c>
      <c r="E130" s="468">
        <f t="shared" si="283"/>
        <v>0</v>
      </c>
      <c r="F130" s="468">
        <f t="shared" si="283"/>
        <v>0</v>
      </c>
      <c r="G130" s="468">
        <f t="shared" si="283"/>
        <v>0</v>
      </c>
      <c r="H130" s="468">
        <f t="shared" si="283"/>
        <v>0</v>
      </c>
      <c r="I130" s="468">
        <f t="shared" si="283"/>
        <v>0</v>
      </c>
      <c r="J130" s="468">
        <f t="shared" si="281"/>
        <v>0</v>
      </c>
      <c r="K130" s="468">
        <f t="shared" si="283"/>
        <v>0</v>
      </c>
      <c r="L130" s="468">
        <f t="shared" si="283"/>
        <v>0</v>
      </c>
      <c r="M130" s="468">
        <f t="shared" si="283"/>
        <v>0</v>
      </c>
      <c r="N130" s="468">
        <f t="shared" si="283"/>
        <v>0</v>
      </c>
      <c r="O130" s="468">
        <f t="shared" si="283"/>
        <v>0</v>
      </c>
      <c r="P130" s="468">
        <f t="shared" si="283"/>
        <v>0</v>
      </c>
      <c r="Q130" s="468">
        <f t="shared" si="283"/>
        <v>0</v>
      </c>
      <c r="R130" s="468">
        <f t="shared" si="283"/>
        <v>0</v>
      </c>
      <c r="S130" s="1418"/>
      <c r="T130" s="1418"/>
      <c r="U130" s="1419"/>
      <c r="V130" s="1419"/>
      <c r="W130" s="1419"/>
      <c r="X130" s="1419"/>
      <c r="Y130" s="1418"/>
      <c r="Z130" s="1418"/>
      <c r="AA130" s="1418"/>
      <c r="AB130" s="1418"/>
      <c r="AC130" s="1418"/>
      <c r="AD130" s="1418"/>
      <c r="AE130" s="1418"/>
      <c r="AF130" s="1418"/>
      <c r="AG130" s="1418"/>
      <c r="AH130" s="1418"/>
      <c r="AI130" s="1423"/>
      <c r="AJ130" s="1418"/>
      <c r="AK130" s="1418"/>
      <c r="AL130" s="1418"/>
    </row>
    <row r="131" spans="1:38" hidden="1">
      <c r="A131" s="468" t="str">
        <f t="shared" si="279"/>
        <v>12202</v>
      </c>
      <c r="B131" s="468" t="str">
        <f t="shared" ref="B131:R131" si="284">B157</f>
        <v>Recuperación de Cartera</v>
      </c>
      <c r="C131" s="468">
        <f t="shared" si="284"/>
        <v>0</v>
      </c>
      <c r="D131" s="468">
        <f t="shared" si="284"/>
        <v>0</v>
      </c>
      <c r="E131" s="468">
        <f t="shared" si="284"/>
        <v>0</v>
      </c>
      <c r="F131" s="468">
        <f t="shared" si="284"/>
        <v>0</v>
      </c>
      <c r="G131" s="468">
        <f t="shared" si="284"/>
        <v>0</v>
      </c>
      <c r="H131" s="468">
        <f t="shared" si="284"/>
        <v>0</v>
      </c>
      <c r="I131" s="468">
        <f t="shared" si="284"/>
        <v>0</v>
      </c>
      <c r="J131" s="468">
        <f t="shared" si="281"/>
        <v>0</v>
      </c>
      <c r="K131" s="468">
        <f t="shared" si="284"/>
        <v>0</v>
      </c>
      <c r="L131" s="468">
        <f t="shared" si="284"/>
        <v>0</v>
      </c>
      <c r="M131" s="468">
        <f t="shared" si="284"/>
        <v>0</v>
      </c>
      <c r="N131" s="468">
        <f t="shared" si="284"/>
        <v>0</v>
      </c>
      <c r="O131" s="468">
        <f t="shared" si="284"/>
        <v>0</v>
      </c>
      <c r="P131" s="468">
        <f t="shared" si="284"/>
        <v>0</v>
      </c>
      <c r="Q131" s="468">
        <f t="shared" si="284"/>
        <v>0</v>
      </c>
      <c r="R131" s="468">
        <f t="shared" si="284"/>
        <v>0</v>
      </c>
      <c r="S131" s="1418"/>
      <c r="T131" s="1418"/>
      <c r="U131" s="1419"/>
      <c r="V131" s="1419"/>
      <c r="W131" s="1419"/>
      <c r="X131" s="1419"/>
      <c r="Y131" s="1418"/>
      <c r="Z131" s="1418"/>
      <c r="AA131" s="1418"/>
      <c r="AB131" s="1418"/>
      <c r="AC131" s="1418"/>
      <c r="AD131" s="1418"/>
      <c r="AE131" s="1418"/>
      <c r="AF131" s="1418"/>
      <c r="AG131" s="1418"/>
      <c r="AH131" s="1418"/>
      <c r="AI131" s="1423"/>
      <c r="AJ131" s="1418"/>
      <c r="AK131" s="1418"/>
      <c r="AL131" s="1418"/>
    </row>
    <row r="132" spans="1:38" hidden="1">
      <c r="A132" s="468" t="str">
        <f t="shared" si="279"/>
        <v>1120502010103</v>
      </c>
      <c r="B132" s="468" t="str">
        <f t="shared" ref="B132:R132" si="285">B158</f>
        <v>S.G.P Propósito General (Otros Sectores 49%)</v>
      </c>
      <c r="C132" s="468">
        <f t="shared" si="285"/>
        <v>0</v>
      </c>
      <c r="D132" s="468">
        <f t="shared" si="285"/>
        <v>0</v>
      </c>
      <c r="E132" s="468">
        <f t="shared" si="285"/>
        <v>0</v>
      </c>
      <c r="F132" s="468">
        <f t="shared" si="285"/>
        <v>0</v>
      </c>
      <c r="G132" s="468">
        <f t="shared" si="285"/>
        <v>0</v>
      </c>
      <c r="H132" s="468">
        <f t="shared" si="285"/>
        <v>0</v>
      </c>
      <c r="I132" s="468">
        <f t="shared" si="285"/>
        <v>0</v>
      </c>
      <c r="J132" s="468">
        <f t="shared" si="281"/>
        <v>0</v>
      </c>
      <c r="K132" s="468">
        <f t="shared" si="285"/>
        <v>0</v>
      </c>
      <c r="L132" s="468">
        <f t="shared" si="285"/>
        <v>0</v>
      </c>
      <c r="M132" s="468">
        <f t="shared" si="285"/>
        <v>0</v>
      </c>
      <c r="N132" s="468">
        <f t="shared" si="285"/>
        <v>0</v>
      </c>
      <c r="O132" s="468">
        <f t="shared" si="285"/>
        <v>0</v>
      </c>
      <c r="P132" s="468">
        <f t="shared" si="285"/>
        <v>0</v>
      </c>
      <c r="Q132" s="468">
        <f t="shared" si="285"/>
        <v>0</v>
      </c>
      <c r="R132" s="468">
        <f t="shared" si="285"/>
        <v>0</v>
      </c>
      <c r="S132" s="1418"/>
      <c r="T132" s="1418"/>
      <c r="U132" s="1419"/>
      <c r="V132" s="1419"/>
      <c r="W132" s="1419"/>
      <c r="X132" s="1419"/>
      <c r="Y132" s="1418"/>
      <c r="Z132" s="1418"/>
      <c r="AA132" s="1418"/>
      <c r="AB132" s="1418"/>
      <c r="AC132" s="1418"/>
      <c r="AD132" s="1418"/>
      <c r="AE132" s="1418"/>
      <c r="AF132" s="1418"/>
      <c r="AG132" s="1418"/>
      <c r="AH132" s="1418"/>
      <c r="AI132" s="1423"/>
      <c r="AJ132" s="1418"/>
      <c r="AK132" s="1418"/>
      <c r="AL132" s="1418"/>
    </row>
    <row r="133" spans="1:38" hidden="1">
      <c r="A133" s="468" t="str">
        <f t="shared" si="279"/>
        <v>7A</v>
      </c>
      <c r="B133" s="468" t="str">
        <f t="shared" ref="B133:R133" si="286">B159</f>
        <v>S.G.P Municipios Ribereños</v>
      </c>
      <c r="C133" s="468">
        <f t="shared" si="286"/>
        <v>0</v>
      </c>
      <c r="D133" s="468">
        <f t="shared" si="286"/>
        <v>0</v>
      </c>
      <c r="E133" s="468">
        <f t="shared" si="286"/>
        <v>0</v>
      </c>
      <c r="F133" s="468">
        <f t="shared" si="286"/>
        <v>0</v>
      </c>
      <c r="G133" s="468">
        <f t="shared" si="286"/>
        <v>0</v>
      </c>
      <c r="H133" s="468">
        <f t="shared" si="286"/>
        <v>0</v>
      </c>
      <c r="I133" s="468">
        <f t="shared" si="286"/>
        <v>0</v>
      </c>
      <c r="J133" s="468">
        <f t="shared" si="281"/>
        <v>0</v>
      </c>
      <c r="K133" s="468">
        <f t="shared" si="286"/>
        <v>0</v>
      </c>
      <c r="L133" s="468">
        <f t="shared" si="286"/>
        <v>0</v>
      </c>
      <c r="M133" s="468">
        <f t="shared" si="286"/>
        <v>0</v>
      </c>
      <c r="N133" s="468">
        <f t="shared" si="286"/>
        <v>0</v>
      </c>
      <c r="O133" s="468">
        <f t="shared" si="286"/>
        <v>0</v>
      </c>
      <c r="P133" s="468">
        <f t="shared" si="286"/>
        <v>0</v>
      </c>
      <c r="Q133" s="468">
        <f t="shared" si="286"/>
        <v>0</v>
      </c>
      <c r="R133" s="468">
        <f t="shared" si="286"/>
        <v>0</v>
      </c>
      <c r="S133" s="1418"/>
      <c r="T133" s="1418"/>
      <c r="U133" s="1419"/>
      <c r="V133" s="1419"/>
      <c r="W133" s="1419"/>
      <c r="X133" s="1419"/>
      <c r="Y133" s="1418"/>
      <c r="Z133" s="1418"/>
      <c r="AA133" s="1418"/>
      <c r="AB133" s="1418"/>
      <c r="AC133" s="1418"/>
      <c r="AD133" s="1418"/>
      <c r="AE133" s="1418"/>
      <c r="AF133" s="1418"/>
      <c r="AG133" s="1418"/>
      <c r="AH133" s="1418"/>
      <c r="AI133" s="1423"/>
      <c r="AJ133" s="1418"/>
      <c r="AK133" s="1418"/>
      <c r="AL133" s="1418"/>
    </row>
    <row r="134" spans="1:38" hidden="1">
      <c r="A134" s="468" t="str">
        <f t="shared" si="279"/>
        <v>305A</v>
      </c>
      <c r="B134" s="468" t="str">
        <f t="shared" ref="B134:R134" si="287">B160</f>
        <v>Rendimientos de Operaciones Financieras</v>
      </c>
      <c r="C134" s="468">
        <f t="shared" si="287"/>
        <v>0</v>
      </c>
      <c r="D134" s="468">
        <f t="shared" si="287"/>
        <v>0</v>
      </c>
      <c r="E134" s="468">
        <f t="shared" si="287"/>
        <v>0</v>
      </c>
      <c r="F134" s="468">
        <f t="shared" si="287"/>
        <v>0</v>
      </c>
      <c r="G134" s="468">
        <f t="shared" si="287"/>
        <v>0</v>
      </c>
      <c r="H134" s="468">
        <f t="shared" si="287"/>
        <v>0</v>
      </c>
      <c r="I134" s="468">
        <f t="shared" si="287"/>
        <v>0</v>
      </c>
      <c r="J134" s="468">
        <f t="shared" si="281"/>
        <v>0</v>
      </c>
      <c r="K134" s="468">
        <f t="shared" si="287"/>
        <v>0</v>
      </c>
      <c r="L134" s="468">
        <f t="shared" si="287"/>
        <v>0</v>
      </c>
      <c r="M134" s="468">
        <f t="shared" si="287"/>
        <v>0</v>
      </c>
      <c r="N134" s="468">
        <f t="shared" si="287"/>
        <v>0</v>
      </c>
      <c r="O134" s="468">
        <f t="shared" si="287"/>
        <v>0</v>
      </c>
      <c r="P134" s="468">
        <f t="shared" si="287"/>
        <v>0</v>
      </c>
      <c r="Q134" s="468">
        <f t="shared" si="287"/>
        <v>0</v>
      </c>
      <c r="R134" s="468">
        <f t="shared" si="287"/>
        <v>0</v>
      </c>
      <c r="S134" s="1418"/>
      <c r="T134" s="1418"/>
      <c r="U134" s="1419"/>
      <c r="V134" s="1419"/>
      <c r="W134" s="1419"/>
      <c r="X134" s="1419"/>
      <c r="Y134" s="1418"/>
      <c r="Z134" s="1418"/>
      <c r="AA134" s="1418"/>
      <c r="AB134" s="1418"/>
      <c r="AC134" s="1418"/>
      <c r="AD134" s="1418"/>
      <c r="AE134" s="1418"/>
      <c r="AF134" s="1418"/>
      <c r="AG134" s="1418"/>
      <c r="AH134" s="1418"/>
      <c r="AI134" s="1423"/>
      <c r="AJ134" s="1418"/>
      <c r="AK134" s="1418"/>
      <c r="AL134" s="1418"/>
    </row>
    <row r="135" spans="1:38" hidden="1">
      <c r="A135" s="468" t="str">
        <f t="shared" si="279"/>
        <v>306A</v>
      </c>
      <c r="B135" s="468" t="str">
        <f t="shared" ref="B135:R135" si="288">B161</f>
        <v>Fondo de Ahorro y Estabilización Petrolera -FAEP-</v>
      </c>
      <c r="C135" s="468">
        <f t="shared" si="288"/>
        <v>0</v>
      </c>
      <c r="D135" s="468">
        <f t="shared" si="288"/>
        <v>0</v>
      </c>
      <c r="E135" s="468">
        <f t="shared" si="288"/>
        <v>0</v>
      </c>
      <c r="F135" s="468">
        <f t="shared" si="288"/>
        <v>0</v>
      </c>
      <c r="G135" s="468">
        <f t="shared" si="288"/>
        <v>0</v>
      </c>
      <c r="H135" s="468">
        <f t="shared" si="288"/>
        <v>0</v>
      </c>
      <c r="I135" s="468">
        <f t="shared" si="288"/>
        <v>0</v>
      </c>
      <c r="J135" s="468">
        <f t="shared" si="281"/>
        <v>0</v>
      </c>
      <c r="K135" s="468">
        <f t="shared" si="288"/>
        <v>0</v>
      </c>
      <c r="L135" s="468">
        <f t="shared" si="288"/>
        <v>0</v>
      </c>
      <c r="M135" s="468">
        <f t="shared" si="288"/>
        <v>0</v>
      </c>
      <c r="N135" s="468">
        <f t="shared" si="288"/>
        <v>0</v>
      </c>
      <c r="O135" s="468">
        <f t="shared" si="288"/>
        <v>0</v>
      </c>
      <c r="P135" s="468">
        <f t="shared" si="288"/>
        <v>0</v>
      </c>
      <c r="Q135" s="468">
        <f t="shared" si="288"/>
        <v>0</v>
      </c>
      <c r="R135" s="468">
        <f t="shared" si="288"/>
        <v>0</v>
      </c>
      <c r="S135" s="1418"/>
      <c r="T135" s="1418"/>
      <c r="U135" s="1419"/>
      <c r="V135" s="1419"/>
      <c r="W135" s="1419"/>
      <c r="X135" s="1419"/>
      <c r="Y135" s="1418"/>
      <c r="Z135" s="1418"/>
      <c r="AA135" s="1418"/>
      <c r="AB135" s="1418"/>
      <c r="AC135" s="1418"/>
      <c r="AD135" s="1418"/>
      <c r="AE135" s="1418"/>
      <c r="AF135" s="1418"/>
      <c r="AG135" s="1418"/>
      <c r="AH135" s="1418"/>
      <c r="AI135" s="1423"/>
      <c r="AJ135" s="1418"/>
      <c r="AK135" s="1418"/>
      <c r="AL135" s="1418"/>
    </row>
    <row r="136" spans="1:38" hidden="1">
      <c r="A136" s="468" t="str">
        <f t="shared" si="279"/>
        <v>122A</v>
      </c>
      <c r="B136" s="468" t="str">
        <f t="shared" ref="B136:R136" si="289">B162</f>
        <v>FONDO DE CONTINGENCIAS</v>
      </c>
      <c r="C136" s="468">
        <f t="shared" si="289"/>
        <v>0</v>
      </c>
      <c r="D136" s="468">
        <f t="shared" si="289"/>
        <v>0</v>
      </c>
      <c r="E136" s="468">
        <f t="shared" si="289"/>
        <v>0</v>
      </c>
      <c r="F136" s="468">
        <f t="shared" si="289"/>
        <v>0</v>
      </c>
      <c r="G136" s="468">
        <f t="shared" si="289"/>
        <v>0</v>
      </c>
      <c r="H136" s="468">
        <f t="shared" si="289"/>
        <v>0</v>
      </c>
      <c r="I136" s="468">
        <f t="shared" si="289"/>
        <v>0</v>
      </c>
      <c r="J136" s="468">
        <f t="shared" si="281"/>
        <v>0</v>
      </c>
      <c r="K136" s="468">
        <f t="shared" si="289"/>
        <v>0</v>
      </c>
      <c r="L136" s="468">
        <f t="shared" si="289"/>
        <v>0</v>
      </c>
      <c r="M136" s="468">
        <f t="shared" si="289"/>
        <v>0</v>
      </c>
      <c r="N136" s="468">
        <f t="shared" si="289"/>
        <v>0</v>
      </c>
      <c r="O136" s="468">
        <f t="shared" si="289"/>
        <v>0</v>
      </c>
      <c r="P136" s="468">
        <f t="shared" si="289"/>
        <v>0</v>
      </c>
      <c r="Q136" s="468">
        <f t="shared" si="289"/>
        <v>0</v>
      </c>
      <c r="R136" s="468">
        <f t="shared" si="289"/>
        <v>0</v>
      </c>
      <c r="S136" s="1418"/>
      <c r="T136" s="1418"/>
      <c r="U136" s="1419"/>
      <c r="V136" s="1419"/>
      <c r="W136" s="1419"/>
      <c r="X136" s="1419"/>
      <c r="Y136" s="1418"/>
      <c r="Z136" s="1418"/>
      <c r="AA136" s="1418"/>
      <c r="AB136" s="1418"/>
      <c r="AC136" s="1418"/>
      <c r="AD136" s="1418"/>
      <c r="AE136" s="1418"/>
      <c r="AF136" s="1418"/>
      <c r="AG136" s="1418"/>
      <c r="AH136" s="1418"/>
      <c r="AI136" s="1423"/>
      <c r="AJ136" s="1418"/>
      <c r="AK136" s="1418"/>
      <c r="AL136" s="1418"/>
    </row>
    <row r="137" spans="1:38" hidden="1">
      <c r="A137" s="468" t="str">
        <f t="shared" si="279"/>
        <v>209A</v>
      </c>
      <c r="B137" s="468" t="str">
        <f t="shared" ref="B137:R137" si="290">B163</f>
        <v>Ingresos Corrientes de Libre Destinación</v>
      </c>
      <c r="C137" s="468">
        <f t="shared" si="290"/>
        <v>0</v>
      </c>
      <c r="D137" s="468">
        <f t="shared" si="290"/>
        <v>0</v>
      </c>
      <c r="E137" s="468">
        <f t="shared" si="290"/>
        <v>0</v>
      </c>
      <c r="F137" s="468">
        <f t="shared" si="290"/>
        <v>0</v>
      </c>
      <c r="G137" s="468">
        <f t="shared" si="290"/>
        <v>0</v>
      </c>
      <c r="H137" s="468">
        <f t="shared" si="290"/>
        <v>0</v>
      </c>
      <c r="I137" s="468">
        <f t="shared" si="290"/>
        <v>0</v>
      </c>
      <c r="J137" s="468">
        <f t="shared" si="281"/>
        <v>0</v>
      </c>
      <c r="K137" s="468">
        <f t="shared" si="290"/>
        <v>0</v>
      </c>
      <c r="L137" s="468">
        <f t="shared" si="290"/>
        <v>0</v>
      </c>
      <c r="M137" s="468">
        <f t="shared" si="290"/>
        <v>0</v>
      </c>
      <c r="N137" s="468">
        <f t="shared" si="290"/>
        <v>0</v>
      </c>
      <c r="O137" s="468">
        <f t="shared" si="290"/>
        <v>0</v>
      </c>
      <c r="P137" s="468">
        <f t="shared" si="290"/>
        <v>0</v>
      </c>
      <c r="Q137" s="468">
        <f t="shared" si="290"/>
        <v>0</v>
      </c>
      <c r="R137" s="468">
        <f t="shared" si="290"/>
        <v>0</v>
      </c>
      <c r="S137" s="1418"/>
      <c r="T137" s="1418"/>
      <c r="U137" s="1419"/>
      <c r="V137" s="1419"/>
      <c r="W137" s="1419"/>
      <c r="X137" s="1419"/>
      <c r="Y137" s="1418"/>
      <c r="Z137" s="1418"/>
      <c r="AA137" s="1418"/>
      <c r="AB137" s="1418"/>
      <c r="AC137" s="1418"/>
      <c r="AD137" s="1418"/>
      <c r="AE137" s="1418"/>
      <c r="AF137" s="1418"/>
      <c r="AG137" s="1418"/>
      <c r="AH137" s="1418"/>
      <c r="AI137" s="1423"/>
      <c r="AJ137" s="1418"/>
      <c r="AK137" s="1418"/>
      <c r="AL137" s="1418"/>
    </row>
    <row r="138" spans="1:38" hidden="1">
      <c r="A138" s="468" t="str">
        <f t="shared" si="279"/>
        <v>111</v>
      </c>
      <c r="B138" s="468" t="str">
        <f t="shared" ref="B138:R138" si="291">B164</f>
        <v xml:space="preserve">  Ingresos Tributarios</v>
      </c>
      <c r="C138" s="468">
        <f t="shared" si="291"/>
        <v>0</v>
      </c>
      <c r="D138" s="468">
        <f t="shared" si="291"/>
        <v>0</v>
      </c>
      <c r="E138" s="468">
        <f t="shared" si="291"/>
        <v>0</v>
      </c>
      <c r="F138" s="468">
        <f t="shared" si="291"/>
        <v>0</v>
      </c>
      <c r="G138" s="468">
        <f t="shared" si="291"/>
        <v>0</v>
      </c>
      <c r="H138" s="468">
        <f t="shared" si="291"/>
        <v>0</v>
      </c>
      <c r="I138" s="468">
        <f t="shared" si="291"/>
        <v>0</v>
      </c>
      <c r="J138" s="468">
        <f t="shared" si="281"/>
        <v>0</v>
      </c>
      <c r="K138" s="468">
        <f t="shared" si="291"/>
        <v>0</v>
      </c>
      <c r="L138" s="468">
        <f t="shared" si="291"/>
        <v>0</v>
      </c>
      <c r="M138" s="468">
        <f t="shared" si="291"/>
        <v>0</v>
      </c>
      <c r="N138" s="468">
        <f t="shared" si="291"/>
        <v>0</v>
      </c>
      <c r="O138" s="468">
        <f t="shared" si="291"/>
        <v>0</v>
      </c>
      <c r="P138" s="468">
        <f t="shared" si="291"/>
        <v>0</v>
      </c>
      <c r="Q138" s="468">
        <f t="shared" si="291"/>
        <v>0</v>
      </c>
      <c r="R138" s="468">
        <f t="shared" si="291"/>
        <v>0</v>
      </c>
      <c r="S138" s="1418"/>
      <c r="T138" s="1418"/>
      <c r="U138" s="1419"/>
      <c r="V138" s="1419"/>
      <c r="W138" s="1419"/>
      <c r="X138" s="1419"/>
      <c r="Y138" s="1418"/>
      <c r="Z138" s="1418"/>
      <c r="AA138" s="1418"/>
      <c r="AB138" s="1418"/>
      <c r="AC138" s="1418"/>
      <c r="AD138" s="1418"/>
      <c r="AE138" s="1418"/>
      <c r="AF138" s="1418"/>
      <c r="AG138" s="1418"/>
      <c r="AH138" s="1418"/>
      <c r="AI138" s="1423"/>
      <c r="AJ138" s="1418"/>
      <c r="AK138" s="1418"/>
      <c r="AL138" s="1418"/>
    </row>
    <row r="139" spans="1:38" hidden="1">
      <c r="A139" s="468" t="str">
        <f t="shared" si="279"/>
        <v>1110103</v>
      </c>
      <c r="B139" s="468" t="str">
        <f t="shared" ref="B139:R139" si="292">B165</f>
        <v xml:space="preserve">    Impuesto Predial Unificado (Incluye Compensación por predial Resguardos Indigenas)</v>
      </c>
      <c r="C139" s="468">
        <f t="shared" si="292"/>
        <v>0</v>
      </c>
      <c r="D139" s="468">
        <f t="shared" si="292"/>
        <v>0</v>
      </c>
      <c r="E139" s="468">
        <f t="shared" si="292"/>
        <v>0</v>
      </c>
      <c r="F139" s="468">
        <f t="shared" si="292"/>
        <v>0</v>
      </c>
      <c r="G139" s="468">
        <f t="shared" si="292"/>
        <v>0</v>
      </c>
      <c r="H139" s="468">
        <f t="shared" si="292"/>
        <v>0</v>
      </c>
      <c r="I139" s="468">
        <f t="shared" si="292"/>
        <v>0</v>
      </c>
      <c r="J139" s="468">
        <f t="shared" si="281"/>
        <v>0</v>
      </c>
      <c r="K139" s="468">
        <f t="shared" si="292"/>
        <v>0</v>
      </c>
      <c r="L139" s="468">
        <f t="shared" si="292"/>
        <v>0</v>
      </c>
      <c r="M139" s="468">
        <f t="shared" si="292"/>
        <v>0</v>
      </c>
      <c r="N139" s="468">
        <f t="shared" si="292"/>
        <v>0</v>
      </c>
      <c r="O139" s="468">
        <f t="shared" si="292"/>
        <v>0</v>
      </c>
      <c r="P139" s="468">
        <f t="shared" si="292"/>
        <v>0</v>
      </c>
      <c r="Q139" s="468">
        <f t="shared" si="292"/>
        <v>0</v>
      </c>
      <c r="R139" s="468">
        <f t="shared" si="292"/>
        <v>0</v>
      </c>
      <c r="S139" s="1418"/>
      <c r="T139" s="1418"/>
      <c r="U139" s="1419"/>
      <c r="V139" s="1419"/>
      <c r="W139" s="1419"/>
      <c r="X139" s="1419"/>
      <c r="Y139" s="1418"/>
      <c r="Z139" s="1418"/>
      <c r="AA139" s="1418"/>
      <c r="AB139" s="1418"/>
      <c r="AC139" s="1418"/>
      <c r="AD139" s="1418"/>
      <c r="AE139" s="1418"/>
      <c r="AF139" s="1418"/>
      <c r="AG139" s="1418"/>
      <c r="AH139" s="1418"/>
      <c r="AI139" s="1423"/>
      <c r="AJ139" s="1418"/>
      <c r="AK139" s="1418"/>
      <c r="AL139" s="1418"/>
    </row>
    <row r="140" spans="1:38" hidden="1">
      <c r="A140" s="468" t="str">
        <f t="shared" si="279"/>
        <v>1110101</v>
      </c>
      <c r="B140" s="468" t="str">
        <f t="shared" ref="B140:R140" si="293">B166</f>
        <v xml:space="preserve">    Impuesto de Circulación y Tránsito Servicio Público</v>
      </c>
      <c r="C140" s="468">
        <f t="shared" si="293"/>
        <v>0</v>
      </c>
      <c r="D140" s="468">
        <f t="shared" si="293"/>
        <v>0</v>
      </c>
      <c r="E140" s="468">
        <f t="shared" si="293"/>
        <v>0</v>
      </c>
      <c r="F140" s="468">
        <f t="shared" si="293"/>
        <v>0</v>
      </c>
      <c r="G140" s="468">
        <f t="shared" si="293"/>
        <v>0</v>
      </c>
      <c r="H140" s="468">
        <f t="shared" si="293"/>
        <v>0</v>
      </c>
      <c r="I140" s="468">
        <f t="shared" si="293"/>
        <v>0</v>
      </c>
      <c r="J140" s="468">
        <f t="shared" si="281"/>
        <v>0</v>
      </c>
      <c r="K140" s="468">
        <f t="shared" si="293"/>
        <v>0</v>
      </c>
      <c r="L140" s="468">
        <f t="shared" si="293"/>
        <v>0</v>
      </c>
      <c r="M140" s="468">
        <f t="shared" si="293"/>
        <v>0</v>
      </c>
      <c r="N140" s="468">
        <f t="shared" si="293"/>
        <v>0</v>
      </c>
      <c r="O140" s="468">
        <f t="shared" si="293"/>
        <v>0</v>
      </c>
      <c r="P140" s="468">
        <f t="shared" si="293"/>
        <v>0</v>
      </c>
      <c r="Q140" s="468">
        <f t="shared" si="293"/>
        <v>0</v>
      </c>
      <c r="R140" s="468">
        <f t="shared" si="293"/>
        <v>0</v>
      </c>
      <c r="S140" s="1418"/>
      <c r="T140" s="1418"/>
      <c r="U140" s="1419"/>
      <c r="V140" s="1419"/>
      <c r="W140" s="1419"/>
      <c r="X140" s="1419"/>
      <c r="Y140" s="1418"/>
      <c r="Z140" s="1418"/>
      <c r="AA140" s="1418"/>
      <c r="AB140" s="1418"/>
      <c r="AC140" s="1418"/>
      <c r="AD140" s="1418"/>
      <c r="AE140" s="1418"/>
      <c r="AF140" s="1418"/>
      <c r="AG140" s="1418"/>
      <c r="AH140" s="1418"/>
      <c r="AI140" s="1423"/>
      <c r="AJ140" s="1418"/>
      <c r="AK140" s="1418"/>
      <c r="AL140" s="1418"/>
    </row>
    <row r="141" spans="1:38" hidden="1">
      <c r="A141" s="468" t="str">
        <f t="shared" si="279"/>
        <v>1110205</v>
      </c>
      <c r="B141" s="468" t="str">
        <f t="shared" ref="B141:R141" si="294">B167</f>
        <v xml:space="preserve">    Impuesto de Industria y Comercio</v>
      </c>
      <c r="C141" s="468">
        <f t="shared" si="294"/>
        <v>0</v>
      </c>
      <c r="D141" s="468">
        <f t="shared" si="294"/>
        <v>0</v>
      </c>
      <c r="E141" s="468">
        <f t="shared" si="294"/>
        <v>0</v>
      </c>
      <c r="F141" s="468">
        <f t="shared" si="294"/>
        <v>0</v>
      </c>
      <c r="G141" s="468">
        <f t="shared" si="294"/>
        <v>0</v>
      </c>
      <c r="H141" s="468">
        <f t="shared" si="294"/>
        <v>0</v>
      </c>
      <c r="I141" s="468">
        <f t="shared" si="294"/>
        <v>0</v>
      </c>
      <c r="J141" s="468">
        <f t="shared" si="281"/>
        <v>0</v>
      </c>
      <c r="K141" s="468">
        <f t="shared" si="294"/>
        <v>0</v>
      </c>
      <c r="L141" s="468">
        <f t="shared" si="294"/>
        <v>0</v>
      </c>
      <c r="M141" s="468">
        <f t="shared" si="294"/>
        <v>0</v>
      </c>
      <c r="N141" s="468">
        <f t="shared" si="294"/>
        <v>0</v>
      </c>
      <c r="O141" s="468">
        <f t="shared" si="294"/>
        <v>0</v>
      </c>
      <c r="P141" s="468">
        <f t="shared" si="294"/>
        <v>0</v>
      </c>
      <c r="Q141" s="468">
        <f t="shared" si="294"/>
        <v>0</v>
      </c>
      <c r="R141" s="468">
        <f t="shared" si="294"/>
        <v>0</v>
      </c>
      <c r="S141" s="1418"/>
      <c r="T141" s="1418"/>
      <c r="U141" s="1419"/>
      <c r="V141" s="1419"/>
      <c r="W141" s="1419"/>
      <c r="X141" s="1419"/>
      <c r="Y141" s="1418"/>
      <c r="Z141" s="1418"/>
      <c r="AA141" s="1418"/>
      <c r="AB141" s="1418"/>
      <c r="AC141" s="1418"/>
      <c r="AD141" s="1418"/>
      <c r="AE141" s="1418"/>
      <c r="AF141" s="1418"/>
      <c r="AG141" s="1418"/>
      <c r="AH141" s="1418"/>
      <c r="AI141" s="1423"/>
      <c r="AJ141" s="1418"/>
      <c r="AK141" s="1418"/>
      <c r="AL141" s="1418"/>
    </row>
    <row r="142" spans="1:38" hidden="1">
      <c r="A142" s="468" t="str">
        <f t="shared" si="279"/>
        <v>1110216</v>
      </c>
      <c r="B142" s="468" t="str">
        <f t="shared" ref="B142:R142" si="295">B168</f>
        <v xml:space="preserve">    Sobretasa a la Gasolina</v>
      </c>
      <c r="C142" s="468">
        <f t="shared" si="295"/>
        <v>0</v>
      </c>
      <c r="D142" s="468">
        <f t="shared" si="295"/>
        <v>0</v>
      </c>
      <c r="E142" s="468">
        <f t="shared" si="295"/>
        <v>0</v>
      </c>
      <c r="F142" s="468">
        <f t="shared" si="295"/>
        <v>0</v>
      </c>
      <c r="G142" s="468">
        <f t="shared" si="295"/>
        <v>0</v>
      </c>
      <c r="H142" s="468">
        <f t="shared" si="295"/>
        <v>0</v>
      </c>
      <c r="I142" s="468">
        <f t="shared" si="295"/>
        <v>0</v>
      </c>
      <c r="J142" s="468">
        <f t="shared" si="281"/>
        <v>0</v>
      </c>
      <c r="K142" s="468">
        <f t="shared" si="295"/>
        <v>0</v>
      </c>
      <c r="L142" s="468">
        <f t="shared" si="295"/>
        <v>0</v>
      </c>
      <c r="M142" s="468">
        <f t="shared" si="295"/>
        <v>0</v>
      </c>
      <c r="N142" s="468">
        <f t="shared" si="295"/>
        <v>0</v>
      </c>
      <c r="O142" s="468">
        <f t="shared" si="295"/>
        <v>0</v>
      </c>
      <c r="P142" s="468">
        <f t="shared" si="295"/>
        <v>0</v>
      </c>
      <c r="Q142" s="468">
        <f t="shared" si="295"/>
        <v>0</v>
      </c>
      <c r="R142" s="468">
        <f t="shared" si="295"/>
        <v>0</v>
      </c>
      <c r="S142" s="1418"/>
      <c r="T142" s="1418"/>
      <c r="U142" s="1419"/>
      <c r="V142" s="1419"/>
      <c r="W142" s="1419"/>
      <c r="X142" s="1419"/>
      <c r="Y142" s="1418"/>
      <c r="Z142" s="1418"/>
      <c r="AA142" s="1418"/>
      <c r="AB142" s="1418"/>
      <c r="AC142" s="1418"/>
      <c r="AD142" s="1418"/>
      <c r="AE142" s="1418"/>
      <c r="AF142" s="1418"/>
      <c r="AG142" s="1418"/>
      <c r="AH142" s="1418"/>
      <c r="AI142" s="1423"/>
      <c r="AJ142" s="1418"/>
      <c r="AK142" s="1418"/>
      <c r="AL142" s="1418"/>
    </row>
    <row r="143" spans="1:38" hidden="1">
      <c r="A143" s="468" t="str">
        <f t="shared" si="279"/>
        <v>11205020810</v>
      </c>
      <c r="B143" s="468" t="str">
        <f t="shared" ref="B143:R143" si="296">B169</f>
        <v xml:space="preserve">    Impuesto al Transporte de Hidrocarburos</v>
      </c>
      <c r="C143" s="468">
        <f t="shared" si="296"/>
        <v>0</v>
      </c>
      <c r="D143" s="468">
        <f t="shared" si="296"/>
        <v>0</v>
      </c>
      <c r="E143" s="468">
        <f t="shared" si="296"/>
        <v>0</v>
      </c>
      <c r="F143" s="468">
        <f t="shared" si="296"/>
        <v>0</v>
      </c>
      <c r="G143" s="468">
        <f t="shared" si="296"/>
        <v>0</v>
      </c>
      <c r="H143" s="468">
        <f t="shared" si="296"/>
        <v>0</v>
      </c>
      <c r="I143" s="468">
        <f t="shared" si="296"/>
        <v>0</v>
      </c>
      <c r="J143" s="468">
        <f t="shared" si="281"/>
        <v>0</v>
      </c>
      <c r="K143" s="468">
        <f t="shared" si="296"/>
        <v>0</v>
      </c>
      <c r="L143" s="468">
        <f t="shared" si="296"/>
        <v>0</v>
      </c>
      <c r="M143" s="468">
        <f t="shared" si="296"/>
        <v>0</v>
      </c>
      <c r="N143" s="468">
        <f t="shared" si="296"/>
        <v>0</v>
      </c>
      <c r="O143" s="468">
        <f t="shared" si="296"/>
        <v>0</v>
      </c>
      <c r="P143" s="468">
        <f t="shared" si="296"/>
        <v>0</v>
      </c>
      <c r="Q143" s="468">
        <f t="shared" si="296"/>
        <v>0</v>
      </c>
      <c r="R143" s="468">
        <f t="shared" si="296"/>
        <v>0</v>
      </c>
      <c r="S143" s="1418"/>
      <c r="T143" s="1418"/>
      <c r="U143" s="1419"/>
      <c r="V143" s="1419"/>
      <c r="W143" s="1419"/>
      <c r="X143" s="1419"/>
      <c r="Y143" s="1418"/>
      <c r="Z143" s="1418"/>
      <c r="AA143" s="1418"/>
      <c r="AB143" s="1418"/>
      <c r="AC143" s="1418"/>
      <c r="AD143" s="1418"/>
      <c r="AE143" s="1418"/>
      <c r="AF143" s="1418"/>
      <c r="AG143" s="1418"/>
      <c r="AH143" s="1418"/>
      <c r="AI143" s="1423"/>
      <c r="AJ143" s="1418"/>
      <c r="AK143" s="1418"/>
      <c r="AL143" s="1418"/>
    </row>
    <row r="144" spans="1:38" hidden="1">
      <c r="A144" s="468" t="str">
        <f t="shared" si="279"/>
        <v>308A</v>
      </c>
      <c r="B144" s="468" t="str">
        <f t="shared" ref="B144:R144" si="297">B170</f>
        <v xml:space="preserve">    Otros Ingresos Tributarios</v>
      </c>
      <c r="C144" s="468">
        <f t="shared" si="297"/>
        <v>0</v>
      </c>
      <c r="D144" s="468">
        <f t="shared" si="297"/>
        <v>0</v>
      </c>
      <c r="E144" s="468">
        <f t="shared" si="297"/>
        <v>0</v>
      </c>
      <c r="F144" s="468">
        <f t="shared" si="297"/>
        <v>0</v>
      </c>
      <c r="G144" s="468">
        <f t="shared" si="297"/>
        <v>0</v>
      </c>
      <c r="H144" s="468">
        <f t="shared" si="297"/>
        <v>0</v>
      </c>
      <c r="I144" s="468">
        <f t="shared" si="297"/>
        <v>0</v>
      </c>
      <c r="J144" s="468">
        <f t="shared" si="281"/>
        <v>0</v>
      </c>
      <c r="K144" s="468">
        <f t="shared" si="297"/>
        <v>0</v>
      </c>
      <c r="L144" s="468">
        <f t="shared" si="297"/>
        <v>0</v>
      </c>
      <c r="M144" s="468">
        <f t="shared" si="297"/>
        <v>0</v>
      </c>
      <c r="N144" s="468">
        <f t="shared" si="297"/>
        <v>0</v>
      </c>
      <c r="O144" s="468">
        <f t="shared" si="297"/>
        <v>0</v>
      </c>
      <c r="P144" s="468">
        <f t="shared" si="297"/>
        <v>0</v>
      </c>
      <c r="Q144" s="468">
        <f t="shared" si="297"/>
        <v>0</v>
      </c>
      <c r="R144" s="468">
        <f t="shared" si="297"/>
        <v>0</v>
      </c>
      <c r="S144" s="1418"/>
      <c r="T144" s="1418"/>
      <c r="U144" s="1419"/>
      <c r="V144" s="1419"/>
      <c r="W144" s="1419"/>
      <c r="X144" s="1419"/>
      <c r="Y144" s="1418"/>
      <c r="Z144" s="1418"/>
      <c r="AA144" s="1418"/>
      <c r="AB144" s="1418"/>
      <c r="AC144" s="1418"/>
      <c r="AD144" s="1418"/>
      <c r="AE144" s="1418"/>
      <c r="AF144" s="1418"/>
      <c r="AG144" s="1418"/>
      <c r="AH144" s="1418"/>
      <c r="AI144" s="1423"/>
      <c r="AJ144" s="1418"/>
      <c r="AK144" s="1418"/>
      <c r="AL144" s="1418"/>
    </row>
    <row r="145" spans="1:38" hidden="1">
      <c r="A145" s="468" t="str">
        <f t="shared" si="279"/>
        <v>123A</v>
      </c>
      <c r="B145" s="468" t="str">
        <f t="shared" ref="B145:R145" si="298">B171</f>
        <v xml:space="preserve">    Ahorro  de ICLD disponible para otros gastos (D)</v>
      </c>
      <c r="C145" s="468">
        <f t="shared" si="298"/>
        <v>0</v>
      </c>
      <c r="D145" s="468">
        <f t="shared" si="298"/>
        <v>0</v>
      </c>
      <c r="E145" s="468">
        <f t="shared" si="298"/>
        <v>0</v>
      </c>
      <c r="F145" s="468">
        <f t="shared" si="298"/>
        <v>0</v>
      </c>
      <c r="G145" s="468">
        <f t="shared" si="298"/>
        <v>0</v>
      </c>
      <c r="H145" s="468">
        <f t="shared" si="298"/>
        <v>0</v>
      </c>
      <c r="I145" s="468">
        <f t="shared" si="298"/>
        <v>0</v>
      </c>
      <c r="J145" s="468">
        <f t="shared" si="281"/>
        <v>0</v>
      </c>
      <c r="K145" s="468">
        <f t="shared" si="298"/>
        <v>0</v>
      </c>
      <c r="L145" s="468">
        <f t="shared" si="298"/>
        <v>0</v>
      </c>
      <c r="M145" s="468">
        <f t="shared" si="298"/>
        <v>0</v>
      </c>
      <c r="N145" s="468">
        <f t="shared" si="298"/>
        <v>0</v>
      </c>
      <c r="O145" s="468">
        <f t="shared" si="298"/>
        <v>0</v>
      </c>
      <c r="P145" s="468">
        <f t="shared" si="298"/>
        <v>0</v>
      </c>
      <c r="Q145" s="468">
        <f t="shared" si="298"/>
        <v>0</v>
      </c>
      <c r="R145" s="468">
        <f t="shared" si="298"/>
        <v>0</v>
      </c>
      <c r="S145" s="1418"/>
      <c r="T145" s="1418"/>
      <c r="U145" s="1419"/>
      <c r="V145" s="1419"/>
      <c r="W145" s="1419"/>
      <c r="X145" s="1419"/>
      <c r="Y145" s="1418"/>
      <c r="Z145" s="1418"/>
      <c r="AA145" s="1418"/>
      <c r="AB145" s="1418"/>
      <c r="AC145" s="1418"/>
      <c r="AD145" s="1418"/>
      <c r="AE145" s="1418"/>
      <c r="AF145" s="1418"/>
      <c r="AG145" s="1418"/>
      <c r="AH145" s="1418"/>
      <c r="AI145" s="1423"/>
      <c r="AJ145" s="1418"/>
      <c r="AK145" s="1418"/>
      <c r="AL145" s="1418"/>
    </row>
    <row r="146" spans="1:38" hidden="1">
      <c r="A146" s="468" t="str">
        <f t="shared" si="279"/>
        <v>124A</v>
      </c>
      <c r="B146" s="468" t="str">
        <f t="shared" ref="B146:R146" si="299">B172</f>
        <v xml:space="preserve">    Rentas  Reorientadas </v>
      </c>
      <c r="C146" s="468">
        <f t="shared" si="299"/>
        <v>0</v>
      </c>
      <c r="D146" s="468">
        <f t="shared" si="299"/>
        <v>0</v>
      </c>
      <c r="E146" s="468">
        <f t="shared" si="299"/>
        <v>0</v>
      </c>
      <c r="F146" s="468">
        <f t="shared" si="299"/>
        <v>0</v>
      </c>
      <c r="G146" s="468">
        <f t="shared" si="299"/>
        <v>0</v>
      </c>
      <c r="H146" s="468">
        <f t="shared" si="299"/>
        <v>0</v>
      </c>
      <c r="I146" s="468">
        <f t="shared" si="299"/>
        <v>0</v>
      </c>
      <c r="J146" s="468">
        <f t="shared" si="281"/>
        <v>0</v>
      </c>
      <c r="K146" s="468">
        <f t="shared" si="299"/>
        <v>0</v>
      </c>
      <c r="L146" s="468">
        <f t="shared" si="299"/>
        <v>0</v>
      </c>
      <c r="M146" s="468">
        <f t="shared" si="299"/>
        <v>0</v>
      </c>
      <c r="N146" s="468">
        <f t="shared" si="299"/>
        <v>0</v>
      </c>
      <c r="O146" s="468">
        <f t="shared" si="299"/>
        <v>0</v>
      </c>
      <c r="P146" s="468">
        <f t="shared" si="299"/>
        <v>0</v>
      </c>
      <c r="Q146" s="468">
        <f t="shared" si="299"/>
        <v>0</v>
      </c>
      <c r="R146" s="468">
        <f t="shared" si="299"/>
        <v>0</v>
      </c>
      <c r="S146" s="1418"/>
      <c r="T146" s="1418"/>
      <c r="U146" s="1419"/>
      <c r="V146" s="1419"/>
      <c r="W146" s="1419"/>
      <c r="X146" s="1419"/>
      <c r="Y146" s="1418"/>
      <c r="Z146" s="1418"/>
      <c r="AA146" s="1418"/>
      <c r="AB146" s="1418"/>
      <c r="AC146" s="1418"/>
      <c r="AD146" s="1418"/>
      <c r="AE146" s="1418"/>
      <c r="AF146" s="1418"/>
      <c r="AG146" s="1418"/>
      <c r="AH146" s="1418"/>
      <c r="AI146" s="1423"/>
      <c r="AJ146" s="1418"/>
      <c r="AK146" s="1418"/>
      <c r="AL146" s="1418"/>
    </row>
    <row r="147" spans="1:38" ht="7.5" customHeight="1">
      <c r="A147" s="10"/>
      <c r="B147" s="1"/>
      <c r="C147" s="1"/>
      <c r="D147" s="1"/>
      <c r="E147" s="1"/>
      <c r="F147" s="1"/>
      <c r="G147" s="1"/>
      <c r="H147" s="10"/>
      <c r="I147" s="1"/>
      <c r="J147" s="1"/>
      <c r="K147" s="1"/>
      <c r="L147" s="1"/>
      <c r="M147" s="1"/>
      <c r="N147" s="1"/>
      <c r="O147" s="1"/>
      <c r="P147" s="1"/>
      <c r="Q147" s="1"/>
      <c r="R147" s="1"/>
    </row>
    <row r="148" spans="1:38" ht="7.5" customHeight="1" thickBot="1">
      <c r="A148" s="10"/>
      <c r="B148" s="1"/>
      <c r="C148" s="1"/>
      <c r="D148" s="1"/>
      <c r="E148" s="1"/>
      <c r="F148" s="1"/>
      <c r="G148" s="1"/>
      <c r="H148" s="10"/>
      <c r="I148" s="1"/>
      <c r="J148" s="1"/>
      <c r="K148" s="1"/>
      <c r="L148" s="1"/>
      <c r="M148" s="1"/>
      <c r="N148" s="1"/>
      <c r="O148" s="1"/>
      <c r="P148" s="1"/>
      <c r="Q148" s="1"/>
      <c r="R148" s="1"/>
    </row>
    <row r="149" spans="1:38" ht="13.5" thickBot="1">
      <c r="A149" s="346" t="s">
        <v>1020</v>
      </c>
      <c r="B149" s="347"/>
      <c r="C149" s="348"/>
      <c r="D149" s="1"/>
      <c r="E149" s="1"/>
      <c r="F149" s="1"/>
      <c r="G149" s="15"/>
      <c r="H149" s="10"/>
      <c r="I149" s="1"/>
      <c r="J149" s="1"/>
      <c r="K149" s="1"/>
      <c r="L149" s="1"/>
      <c r="M149" s="1"/>
      <c r="N149" s="1"/>
      <c r="O149" s="1"/>
      <c r="P149" s="1"/>
      <c r="Q149" s="1"/>
      <c r="R149" s="1"/>
    </row>
    <row r="150" spans="1:38" ht="9" customHeight="1" thickBot="1">
      <c r="A150" s="11"/>
      <c r="B150" s="1"/>
      <c r="C150" s="1"/>
      <c r="D150" s="1"/>
      <c r="E150" s="1"/>
      <c r="F150" s="1"/>
      <c r="G150" s="1"/>
      <c r="H150" s="10"/>
      <c r="I150" s="1"/>
      <c r="J150" s="1"/>
      <c r="K150" s="1"/>
      <c r="L150" s="1"/>
      <c r="M150" s="1"/>
      <c r="N150" s="1"/>
      <c r="O150" s="1"/>
      <c r="P150" s="1"/>
      <c r="Q150" s="1"/>
      <c r="R150" s="1"/>
    </row>
    <row r="151" spans="1:38" ht="38.25">
      <c r="A151" s="326" t="s">
        <v>1240</v>
      </c>
      <c r="B151" s="328" t="s">
        <v>1241</v>
      </c>
      <c r="C151" s="313" t="str">
        <f>+C22</f>
        <v>Escenario Financiero Año 2009</v>
      </c>
      <c r="D151" s="313" t="str">
        <f t="shared" ref="D151:Q151" si="300">+D22</f>
        <v>Escenario Financiero Año 2010</v>
      </c>
      <c r="E151" s="313" t="str">
        <f t="shared" si="300"/>
        <v>Escenario Financiero Año 2011</v>
      </c>
      <c r="F151" s="313" t="str">
        <f t="shared" si="300"/>
        <v>Escenario Financiero Año 2012</v>
      </c>
      <c r="G151" s="313" t="str">
        <f t="shared" si="300"/>
        <v>Escenario Financiero Año 2013</v>
      </c>
      <c r="H151" s="313" t="str">
        <f t="shared" si="300"/>
        <v>Escenario Financiero Año 2014</v>
      </c>
      <c r="I151" s="313" t="str">
        <f t="shared" si="300"/>
        <v>Escenario Financiero Año 2015</v>
      </c>
      <c r="J151" s="313" t="str">
        <f>+J22</f>
        <v>Escenario Financiero Año 2016</v>
      </c>
      <c r="K151" s="313" t="str">
        <f t="shared" si="300"/>
        <v>Escenario Financiero Año 2017</v>
      </c>
      <c r="L151" s="313" t="str">
        <f t="shared" si="300"/>
        <v>Escenario Financiero Año 2018</v>
      </c>
      <c r="M151" s="313" t="str">
        <f t="shared" si="300"/>
        <v>Escenario Financiero Año 2019</v>
      </c>
      <c r="N151" s="313" t="str">
        <f t="shared" si="300"/>
        <v>Escenario Financiero Año 2020</v>
      </c>
      <c r="O151" s="313" t="str">
        <f t="shared" si="300"/>
        <v>Escenario Financiero Año 2021</v>
      </c>
      <c r="P151" s="313" t="str">
        <f t="shared" si="300"/>
        <v>Escenario Financiero Año 2022</v>
      </c>
      <c r="Q151" s="311" t="str">
        <f t="shared" si="300"/>
        <v>Escenario Financiero Año 2023</v>
      </c>
    </row>
    <row r="152" spans="1:38" ht="1.5" customHeight="1" thickBot="1">
      <c r="A152" s="327"/>
      <c r="B152" s="329"/>
      <c r="C152" s="314"/>
      <c r="D152" s="314"/>
      <c r="E152" s="314"/>
      <c r="F152" s="314"/>
      <c r="G152" s="314"/>
      <c r="H152" s="314"/>
      <c r="I152" s="314"/>
      <c r="J152" s="314"/>
      <c r="K152" s="314"/>
      <c r="L152" s="314"/>
      <c r="M152" s="314"/>
      <c r="N152" s="314"/>
      <c r="O152" s="314"/>
      <c r="P152" s="314"/>
      <c r="Q152" s="312"/>
    </row>
    <row r="153" spans="1:38" ht="16.5" customHeight="1" thickBot="1">
      <c r="A153" s="410"/>
      <c r="B153" s="318" t="s">
        <v>1021</v>
      </c>
      <c r="C153" s="332"/>
      <c r="D153" s="417"/>
      <c r="E153" s="332"/>
      <c r="F153" s="417"/>
      <c r="G153" s="332"/>
      <c r="H153" s="417"/>
      <c r="I153" s="332"/>
      <c r="J153" s="332"/>
      <c r="K153" s="332"/>
      <c r="L153" s="417"/>
      <c r="M153" s="332"/>
      <c r="N153" s="417"/>
      <c r="O153" s="332"/>
      <c r="P153" s="417"/>
      <c r="Q153" s="331"/>
    </row>
    <row r="154" spans="1:38">
      <c r="A154" s="119" t="str">
        <f>+A31</f>
        <v>1110216</v>
      </c>
      <c r="B154" s="345" t="s">
        <v>1022</v>
      </c>
      <c r="C154" s="1153"/>
      <c r="D154" s="255">
        <v>0</v>
      </c>
      <c r="E154" s="254">
        <v>0</v>
      </c>
      <c r="F154" s="254">
        <v>0</v>
      </c>
      <c r="G154" s="254">
        <v>0</v>
      </c>
      <c r="H154" s="254">
        <v>0</v>
      </c>
      <c r="I154" s="254">
        <v>0</v>
      </c>
      <c r="J154" s="254">
        <v>0</v>
      </c>
      <c r="K154" s="254">
        <v>0</v>
      </c>
      <c r="L154" s="254">
        <v>0</v>
      </c>
      <c r="M154" s="254">
        <v>0</v>
      </c>
      <c r="N154" s="254">
        <v>0</v>
      </c>
      <c r="O154" s="254">
        <v>0</v>
      </c>
      <c r="P154" s="254">
        <v>0</v>
      </c>
      <c r="Q154" s="254">
        <v>0</v>
      </c>
    </row>
    <row r="155" spans="1:38">
      <c r="A155" s="93" t="str">
        <f>+A38</f>
        <v>11205020810</v>
      </c>
      <c r="B155" s="315" t="s">
        <v>1023</v>
      </c>
      <c r="C155" s="994">
        <v>0</v>
      </c>
      <c r="D155" s="994">
        <v>0</v>
      </c>
      <c r="E155" s="994">
        <v>0</v>
      </c>
      <c r="F155" s="994">
        <v>0</v>
      </c>
      <c r="G155" s="994">
        <v>0</v>
      </c>
      <c r="H155" s="994">
        <v>0</v>
      </c>
      <c r="I155" s="994">
        <v>0</v>
      </c>
      <c r="J155" s="994">
        <v>0</v>
      </c>
      <c r="K155" s="994">
        <v>0</v>
      </c>
      <c r="L155" s="994">
        <v>0</v>
      </c>
      <c r="M155" s="994">
        <v>0</v>
      </c>
      <c r="N155" s="994">
        <v>0</v>
      </c>
      <c r="O155" s="994">
        <v>0</v>
      </c>
      <c r="P155" s="994">
        <v>0</v>
      </c>
      <c r="Q155" s="994">
        <v>0</v>
      </c>
    </row>
    <row r="156" spans="1:38">
      <c r="A156" s="93" t="str">
        <f>+A87</f>
        <v>112050207</v>
      </c>
      <c r="B156" s="315" t="s">
        <v>1024</v>
      </c>
      <c r="C156" s="994">
        <v>0</v>
      </c>
      <c r="D156" s="994">
        <v>0</v>
      </c>
      <c r="E156" s="994">
        <v>0</v>
      </c>
      <c r="F156" s="994">
        <v>0</v>
      </c>
      <c r="G156" s="994">
        <v>0</v>
      </c>
      <c r="H156" s="994">
        <v>0</v>
      </c>
      <c r="I156" s="994">
        <v>0</v>
      </c>
      <c r="J156" s="994">
        <v>0</v>
      </c>
      <c r="K156" s="994">
        <v>0</v>
      </c>
      <c r="L156" s="994">
        <v>0</v>
      </c>
      <c r="M156" s="994">
        <v>0</v>
      </c>
      <c r="N156" s="994">
        <v>0</v>
      </c>
      <c r="O156" s="994">
        <v>0</v>
      </c>
      <c r="P156" s="994">
        <v>0</v>
      </c>
      <c r="Q156" s="994">
        <v>0</v>
      </c>
    </row>
    <row r="157" spans="1:38">
      <c r="A157" s="93" t="str">
        <f>+A110</f>
        <v>12202</v>
      </c>
      <c r="B157" s="315" t="s">
        <v>1025</v>
      </c>
      <c r="C157" s="994">
        <v>0</v>
      </c>
      <c r="D157" s="994">
        <v>0</v>
      </c>
      <c r="E157" s="994">
        <v>0</v>
      </c>
      <c r="F157" s="994">
        <v>0</v>
      </c>
      <c r="G157" s="994">
        <v>0</v>
      </c>
      <c r="H157" s="994">
        <v>0</v>
      </c>
      <c r="I157" s="994">
        <v>0</v>
      </c>
      <c r="J157" s="994">
        <v>0</v>
      </c>
      <c r="K157" s="994">
        <v>0</v>
      </c>
      <c r="L157" s="994">
        <v>0</v>
      </c>
      <c r="M157" s="994">
        <v>0</v>
      </c>
      <c r="N157" s="994">
        <v>0</v>
      </c>
      <c r="O157" s="994">
        <v>0</v>
      </c>
      <c r="P157" s="994">
        <v>0</v>
      </c>
      <c r="Q157" s="994">
        <v>0</v>
      </c>
    </row>
    <row r="158" spans="1:38">
      <c r="A158" s="93" t="str">
        <f>+'Ingresos Proyecciones'!A68</f>
        <v>1120502010103</v>
      </c>
      <c r="B158" s="315" t="s">
        <v>1026</v>
      </c>
      <c r="C158" s="994">
        <v>0</v>
      </c>
      <c r="D158" s="994">
        <v>0</v>
      </c>
      <c r="E158" s="994">
        <v>0</v>
      </c>
      <c r="F158" s="994">
        <v>0</v>
      </c>
      <c r="G158" s="994">
        <v>0</v>
      </c>
      <c r="H158" s="994">
        <v>0</v>
      </c>
      <c r="I158" s="994">
        <v>0</v>
      </c>
      <c r="J158" s="994">
        <v>0</v>
      </c>
      <c r="K158" s="994">
        <v>0</v>
      </c>
      <c r="L158" s="994">
        <v>0</v>
      </c>
      <c r="M158" s="994">
        <v>0</v>
      </c>
      <c r="N158" s="994">
        <v>0</v>
      </c>
      <c r="O158" s="994">
        <v>0</v>
      </c>
      <c r="P158" s="994">
        <v>0</v>
      </c>
      <c r="Q158" s="994">
        <v>0</v>
      </c>
    </row>
    <row r="159" spans="1:38">
      <c r="A159" s="427" t="s">
        <v>1344</v>
      </c>
      <c r="B159" s="315" t="s">
        <v>1027</v>
      </c>
      <c r="C159" s="994">
        <v>0</v>
      </c>
      <c r="D159" s="994">
        <v>0</v>
      </c>
      <c r="E159" s="994">
        <v>0</v>
      </c>
      <c r="F159" s="994">
        <v>0</v>
      </c>
      <c r="G159" s="994">
        <v>0</v>
      </c>
      <c r="H159" s="994">
        <v>0</v>
      </c>
      <c r="I159" s="994">
        <v>0</v>
      </c>
      <c r="J159" s="994">
        <v>0</v>
      </c>
      <c r="K159" s="994">
        <v>0</v>
      </c>
      <c r="L159" s="994">
        <v>0</v>
      </c>
      <c r="M159" s="994">
        <v>0</v>
      </c>
      <c r="N159" s="994">
        <v>0</v>
      </c>
      <c r="O159" s="994">
        <v>0</v>
      </c>
      <c r="P159" s="994">
        <v>0</v>
      </c>
      <c r="Q159" s="994">
        <v>0</v>
      </c>
    </row>
    <row r="160" spans="1:38">
      <c r="A160" s="428" t="s">
        <v>942</v>
      </c>
      <c r="B160" s="315" t="s">
        <v>1028</v>
      </c>
      <c r="C160" s="994">
        <v>0</v>
      </c>
      <c r="D160" s="994">
        <v>0</v>
      </c>
      <c r="E160" s="994">
        <v>0</v>
      </c>
      <c r="F160" s="994">
        <v>0</v>
      </c>
      <c r="G160" s="994">
        <v>0</v>
      </c>
      <c r="H160" s="994">
        <v>0</v>
      </c>
      <c r="I160" s="994">
        <v>0</v>
      </c>
      <c r="J160" s="994">
        <v>0</v>
      </c>
      <c r="K160" s="994">
        <v>0</v>
      </c>
      <c r="L160" s="994">
        <v>0</v>
      </c>
      <c r="M160" s="994">
        <v>0</v>
      </c>
      <c r="N160" s="994">
        <v>0</v>
      </c>
      <c r="O160" s="994">
        <v>0</v>
      </c>
      <c r="P160" s="994">
        <v>0</v>
      </c>
      <c r="Q160" s="994">
        <v>0</v>
      </c>
    </row>
    <row r="161" spans="1:35" ht="13.5" thickBot="1">
      <c r="A161" s="428" t="s">
        <v>935</v>
      </c>
      <c r="B161" s="315" t="s">
        <v>1029</v>
      </c>
      <c r="C161" s="994">
        <v>0</v>
      </c>
      <c r="D161" s="994">
        <v>0</v>
      </c>
      <c r="E161" s="994">
        <v>0</v>
      </c>
      <c r="F161" s="994">
        <v>0</v>
      </c>
      <c r="G161" s="994">
        <v>0</v>
      </c>
      <c r="H161" s="994">
        <v>0</v>
      </c>
      <c r="I161" s="994">
        <v>0</v>
      </c>
      <c r="J161" s="994">
        <v>0</v>
      </c>
      <c r="K161" s="994">
        <v>0</v>
      </c>
      <c r="L161" s="994">
        <v>0</v>
      </c>
      <c r="M161" s="994">
        <v>0</v>
      </c>
      <c r="N161" s="994">
        <v>0</v>
      </c>
      <c r="O161" s="994">
        <v>0</v>
      </c>
      <c r="P161" s="994">
        <v>0</v>
      </c>
      <c r="Q161" s="994">
        <v>0</v>
      </c>
    </row>
    <row r="162" spans="1:35" s="1420" customFormat="1">
      <c r="A162" s="411" t="s">
        <v>1002</v>
      </c>
      <c r="B162" s="330" t="s">
        <v>1003</v>
      </c>
      <c r="C162" s="964">
        <f>+SUM(C163:C172)</f>
        <v>0</v>
      </c>
      <c r="D162" s="964">
        <f>+SUM(D163:D172)</f>
        <v>0</v>
      </c>
      <c r="E162" s="964">
        <f>+SUM(E163:E172)</f>
        <v>0</v>
      </c>
      <c r="F162" s="964">
        <f>+SUM(F163:F172)</f>
        <v>0</v>
      </c>
      <c r="G162" s="412">
        <f t="shared" ref="G162:Q162" si="301">+SUM(G163:G170)</f>
        <v>0</v>
      </c>
      <c r="H162" s="413">
        <f t="shared" si="301"/>
        <v>0</v>
      </c>
      <c r="I162" s="412">
        <f t="shared" si="301"/>
        <v>0</v>
      </c>
      <c r="J162" s="412">
        <f t="shared" si="301"/>
        <v>0</v>
      </c>
      <c r="K162" s="412">
        <f t="shared" si="301"/>
        <v>0</v>
      </c>
      <c r="L162" s="413">
        <f t="shared" si="301"/>
        <v>0</v>
      </c>
      <c r="M162" s="412">
        <f t="shared" si="301"/>
        <v>0</v>
      </c>
      <c r="N162" s="413">
        <f t="shared" si="301"/>
        <v>0</v>
      </c>
      <c r="O162" s="412">
        <f t="shared" si="301"/>
        <v>0</v>
      </c>
      <c r="P162" s="413">
        <f t="shared" si="301"/>
        <v>0</v>
      </c>
      <c r="Q162" s="412">
        <f t="shared" si="301"/>
        <v>0</v>
      </c>
      <c r="U162" s="1421"/>
      <c r="V162" s="1421"/>
      <c r="W162" s="1421"/>
      <c r="X162" s="1421"/>
      <c r="AI162" s="1424"/>
    </row>
    <row r="163" spans="1:35">
      <c r="A163" s="428" t="s">
        <v>1004</v>
      </c>
      <c r="B163" s="416" t="s">
        <v>1005</v>
      </c>
      <c r="C163" s="423">
        <v>0</v>
      </c>
      <c r="D163" s="423">
        <v>0</v>
      </c>
      <c r="E163" s="423">
        <v>0</v>
      </c>
      <c r="F163" s="423">
        <v>0</v>
      </c>
      <c r="G163" s="423">
        <v>0</v>
      </c>
      <c r="H163" s="423">
        <v>0</v>
      </c>
      <c r="I163" s="423">
        <v>0</v>
      </c>
      <c r="J163" s="423">
        <v>0</v>
      </c>
      <c r="K163" s="423">
        <v>0</v>
      </c>
      <c r="L163" s="423">
        <v>0</v>
      </c>
      <c r="M163" s="423">
        <v>0</v>
      </c>
      <c r="N163" s="423">
        <v>0</v>
      </c>
      <c r="O163" s="423">
        <v>0</v>
      </c>
      <c r="P163" s="423">
        <v>0</v>
      </c>
      <c r="Q163" s="423">
        <v>0</v>
      </c>
    </row>
    <row r="164" spans="1:35">
      <c r="A164" s="469" t="s">
        <v>1256</v>
      </c>
      <c r="B164" s="416" t="s">
        <v>850</v>
      </c>
      <c r="C164" s="423">
        <v>0</v>
      </c>
      <c r="D164" s="423">
        <v>0</v>
      </c>
      <c r="E164" s="423">
        <v>0</v>
      </c>
      <c r="F164" s="423">
        <v>0</v>
      </c>
      <c r="G164" s="423">
        <v>0</v>
      </c>
      <c r="H164" s="423">
        <v>0</v>
      </c>
      <c r="I164" s="423">
        <v>0</v>
      </c>
      <c r="J164" s="423">
        <v>0</v>
      </c>
      <c r="K164" s="423">
        <v>0</v>
      </c>
      <c r="L164" s="423">
        <v>0</v>
      </c>
      <c r="M164" s="423">
        <v>0</v>
      </c>
      <c r="N164" s="423">
        <v>0</v>
      </c>
      <c r="O164" s="423">
        <v>0</v>
      </c>
      <c r="P164" s="423">
        <v>0</v>
      </c>
      <c r="Q164" s="423">
        <v>0</v>
      </c>
    </row>
    <row r="165" spans="1:35">
      <c r="A165" s="470" t="s">
        <v>1258</v>
      </c>
      <c r="B165" s="416" t="s">
        <v>852</v>
      </c>
      <c r="C165" s="423">
        <v>0</v>
      </c>
      <c r="D165" s="423">
        <v>0</v>
      </c>
      <c r="E165" s="423">
        <v>0</v>
      </c>
      <c r="F165" s="423">
        <v>0</v>
      </c>
      <c r="G165" s="423">
        <v>0</v>
      </c>
      <c r="H165" s="423">
        <v>0</v>
      </c>
      <c r="I165" s="423">
        <v>0</v>
      </c>
      <c r="J165" s="423">
        <v>0</v>
      </c>
      <c r="K165" s="423">
        <v>0</v>
      </c>
      <c r="L165" s="423">
        <v>0</v>
      </c>
      <c r="M165" s="423">
        <v>0</v>
      </c>
      <c r="N165" s="423">
        <v>0</v>
      </c>
      <c r="O165" s="423">
        <v>0</v>
      </c>
      <c r="P165" s="423">
        <v>0</v>
      </c>
      <c r="Q165" s="423">
        <v>0</v>
      </c>
    </row>
    <row r="166" spans="1:35">
      <c r="A166" s="470" t="s">
        <v>853</v>
      </c>
      <c r="B166" s="416" t="s">
        <v>1263</v>
      </c>
      <c r="C166" s="423">
        <v>0</v>
      </c>
      <c r="D166" s="423">
        <v>0</v>
      </c>
      <c r="E166" s="423">
        <v>0</v>
      </c>
      <c r="F166" s="423">
        <v>0</v>
      </c>
      <c r="G166" s="423">
        <v>0</v>
      </c>
      <c r="H166" s="423">
        <v>0</v>
      </c>
      <c r="I166" s="423">
        <v>0</v>
      </c>
      <c r="J166" s="423">
        <v>0</v>
      </c>
      <c r="K166" s="423">
        <v>0</v>
      </c>
      <c r="L166" s="423">
        <v>0</v>
      </c>
      <c r="M166" s="423">
        <v>0</v>
      </c>
      <c r="N166" s="423">
        <v>0</v>
      </c>
      <c r="O166" s="423">
        <v>0</v>
      </c>
      <c r="P166" s="423">
        <v>0</v>
      </c>
      <c r="Q166" s="423">
        <v>0</v>
      </c>
    </row>
    <row r="167" spans="1:35">
      <c r="A167" s="470" t="s">
        <v>1264</v>
      </c>
      <c r="B167" s="416" t="s">
        <v>1265</v>
      </c>
      <c r="C167" s="423">
        <v>0</v>
      </c>
      <c r="D167" s="423">
        <v>0</v>
      </c>
      <c r="E167" s="423">
        <v>0</v>
      </c>
      <c r="F167" s="423">
        <v>0</v>
      </c>
      <c r="G167" s="423">
        <v>0</v>
      </c>
      <c r="H167" s="423">
        <v>0</v>
      </c>
      <c r="I167" s="423">
        <v>0</v>
      </c>
      <c r="J167" s="423">
        <v>0</v>
      </c>
      <c r="K167" s="423">
        <v>0</v>
      </c>
      <c r="L167" s="423">
        <v>0</v>
      </c>
      <c r="M167" s="423">
        <v>0</v>
      </c>
      <c r="N167" s="423">
        <v>0</v>
      </c>
      <c r="O167" s="423">
        <v>0</v>
      </c>
      <c r="P167" s="423">
        <v>0</v>
      </c>
      <c r="Q167" s="423">
        <v>0</v>
      </c>
    </row>
    <row r="168" spans="1:35">
      <c r="A168" s="471" t="s">
        <v>1266</v>
      </c>
      <c r="B168" s="416" t="s">
        <v>1267</v>
      </c>
      <c r="C168" s="423">
        <v>0</v>
      </c>
      <c r="D168" s="423">
        <v>0</v>
      </c>
      <c r="E168" s="423">
        <v>0</v>
      </c>
      <c r="F168" s="423">
        <v>0</v>
      </c>
      <c r="G168" s="423">
        <v>0</v>
      </c>
      <c r="H168" s="423">
        <v>0</v>
      </c>
      <c r="I168" s="423">
        <v>0</v>
      </c>
      <c r="J168" s="423">
        <v>0</v>
      </c>
      <c r="K168" s="423">
        <v>0</v>
      </c>
      <c r="L168" s="423">
        <v>0</v>
      </c>
      <c r="M168" s="423">
        <v>0</v>
      </c>
      <c r="N168" s="423">
        <v>0</v>
      </c>
      <c r="O168" s="423">
        <v>0</v>
      </c>
      <c r="P168" s="423">
        <v>0</v>
      </c>
      <c r="Q168" s="423">
        <v>0</v>
      </c>
    </row>
    <row r="169" spans="1:35">
      <c r="A169" s="472" t="s">
        <v>1280</v>
      </c>
      <c r="B169" s="416" t="s">
        <v>1006</v>
      </c>
      <c r="C169" s="423">
        <v>0</v>
      </c>
      <c r="D169" s="423">
        <v>0</v>
      </c>
      <c r="E169" s="423">
        <v>0</v>
      </c>
      <c r="F169" s="423">
        <v>0</v>
      </c>
      <c r="G169" s="423">
        <v>0</v>
      </c>
      <c r="H169" s="423">
        <v>0</v>
      </c>
      <c r="I169" s="423">
        <v>0</v>
      </c>
      <c r="J169" s="423">
        <v>0</v>
      </c>
      <c r="K169" s="423">
        <v>0</v>
      </c>
      <c r="L169" s="423">
        <v>0</v>
      </c>
      <c r="M169" s="423">
        <v>0</v>
      </c>
      <c r="N169" s="423">
        <v>0</v>
      </c>
      <c r="O169" s="423">
        <v>0</v>
      </c>
      <c r="P169" s="423">
        <v>0</v>
      </c>
      <c r="Q169" s="423">
        <v>0</v>
      </c>
    </row>
    <row r="170" spans="1:35">
      <c r="A170" s="428" t="s">
        <v>1296</v>
      </c>
      <c r="B170" s="416" t="s">
        <v>1007</v>
      </c>
      <c r="C170" s="423">
        <v>0</v>
      </c>
      <c r="D170" s="423">
        <v>0</v>
      </c>
      <c r="E170" s="423">
        <v>0</v>
      </c>
      <c r="F170" s="423">
        <v>0</v>
      </c>
      <c r="G170" s="423">
        <v>0</v>
      </c>
      <c r="H170" s="423">
        <v>0</v>
      </c>
      <c r="I170" s="423">
        <v>0</v>
      </c>
      <c r="J170" s="423">
        <v>0</v>
      </c>
      <c r="K170" s="423">
        <v>0</v>
      </c>
      <c r="L170" s="423">
        <v>0</v>
      </c>
      <c r="M170" s="423">
        <v>0</v>
      </c>
      <c r="N170" s="423">
        <v>0</v>
      </c>
      <c r="O170" s="423">
        <v>0</v>
      </c>
      <c r="P170" s="423">
        <v>0</v>
      </c>
      <c r="Q170" s="423">
        <v>0</v>
      </c>
    </row>
    <row r="171" spans="1:35">
      <c r="A171" s="429" t="s">
        <v>1008</v>
      </c>
      <c r="B171" s="415" t="s">
        <v>1009</v>
      </c>
      <c r="C171" s="1355">
        <v>0</v>
      </c>
      <c r="D171" s="1355">
        <v>0</v>
      </c>
      <c r="E171" s="1355">
        <v>0</v>
      </c>
      <c r="F171" s="1355">
        <v>0</v>
      </c>
      <c r="G171" s="1355">
        <v>0</v>
      </c>
      <c r="H171" s="1355">
        <v>0</v>
      </c>
      <c r="I171" s="1355">
        <v>0</v>
      </c>
      <c r="J171" s="1355">
        <v>0</v>
      </c>
      <c r="K171" s="1355">
        <v>0</v>
      </c>
      <c r="L171" s="1355">
        <v>0</v>
      </c>
      <c r="M171" s="1355">
        <v>0</v>
      </c>
      <c r="N171" s="1355">
        <v>0</v>
      </c>
      <c r="O171" s="1355">
        <v>0</v>
      </c>
      <c r="P171" s="1355">
        <v>0</v>
      </c>
      <c r="Q171" s="1355">
        <v>0</v>
      </c>
    </row>
    <row r="172" spans="1:35" ht="13.5" thickBot="1">
      <c r="A172" s="430" t="s">
        <v>1010</v>
      </c>
      <c r="B172" s="414" t="s">
        <v>1011</v>
      </c>
      <c r="C172" s="1356">
        <v>0</v>
      </c>
      <c r="D172" s="1356">
        <v>0</v>
      </c>
      <c r="E172" s="1356">
        <v>0</v>
      </c>
      <c r="F172" s="1356">
        <v>0</v>
      </c>
      <c r="G172" s="1356">
        <v>0</v>
      </c>
      <c r="H172" s="1356">
        <v>0</v>
      </c>
      <c r="I172" s="1356">
        <v>0</v>
      </c>
      <c r="J172" s="1356">
        <v>0</v>
      </c>
      <c r="K172" s="1356">
        <v>0</v>
      </c>
      <c r="L172" s="1356">
        <v>0</v>
      </c>
      <c r="M172" s="1356">
        <v>0</v>
      </c>
      <c r="N172" s="1356">
        <v>0</v>
      </c>
      <c r="O172" s="1356">
        <v>0</v>
      </c>
      <c r="P172" s="1356">
        <v>0</v>
      </c>
      <c r="Q172" s="1356">
        <v>0</v>
      </c>
    </row>
    <row r="173" spans="1:35" hidden="1">
      <c r="A173" s="1"/>
      <c r="B173" s="1"/>
      <c r="C173" s="1"/>
      <c r="D173" s="1"/>
      <c r="E173" s="1"/>
      <c r="F173" s="1"/>
      <c r="G173" s="1"/>
      <c r="H173" s="1"/>
      <c r="I173" s="1"/>
      <c r="J173" s="1"/>
      <c r="K173" s="1"/>
      <c r="L173" s="1"/>
      <c r="M173" s="1"/>
      <c r="N173" s="1"/>
      <c r="O173" s="1"/>
      <c r="P173" s="1"/>
      <c r="Q173" s="1"/>
      <c r="R173" s="1"/>
    </row>
    <row r="174" spans="1:35" hidden="1">
      <c r="A174" s="1"/>
      <c r="B174" s="1"/>
      <c r="C174" s="1"/>
      <c r="D174" s="1"/>
      <c r="E174" s="1"/>
      <c r="F174" s="1"/>
      <c r="G174" s="1"/>
      <c r="H174" s="1"/>
      <c r="I174" s="1"/>
      <c r="J174" s="1"/>
      <c r="K174" s="1"/>
      <c r="L174" s="1"/>
      <c r="M174" s="1"/>
      <c r="N174" s="1"/>
      <c r="O174" s="1"/>
      <c r="P174" s="1"/>
      <c r="Q174" s="1"/>
      <c r="R174" s="1"/>
    </row>
    <row r="175" spans="1:35" hidden="1">
      <c r="A175" s="1"/>
      <c r="B175" s="1"/>
      <c r="C175" s="1329"/>
      <c r="D175" s="1"/>
      <c r="E175" s="1"/>
      <c r="F175" s="1"/>
      <c r="G175" s="1"/>
      <c r="H175" s="1"/>
      <c r="I175" s="1"/>
      <c r="J175" s="1"/>
      <c r="K175" s="1"/>
      <c r="L175" s="1"/>
      <c r="M175" s="1"/>
      <c r="N175" s="1"/>
      <c r="O175" s="1"/>
      <c r="P175" s="1"/>
      <c r="Q175" s="1"/>
      <c r="R175" s="1"/>
    </row>
    <row r="176" spans="1:35" hidden="1">
      <c r="A176" s="1"/>
      <c r="B176" s="1"/>
      <c r="C176" s="1329"/>
      <c r="D176" s="1"/>
      <c r="E176" s="1"/>
      <c r="F176" s="1"/>
      <c r="G176" s="1"/>
      <c r="H176" s="1"/>
      <c r="I176" s="1"/>
      <c r="J176" s="1"/>
      <c r="K176" s="1"/>
      <c r="L176" s="1"/>
      <c r="M176" s="1"/>
      <c r="N176" s="1"/>
      <c r="O176" s="1"/>
      <c r="P176" s="1"/>
      <c r="Q176" s="1"/>
      <c r="R176" s="1"/>
    </row>
    <row r="177" spans="1:35" hidden="1">
      <c r="A177" s="1"/>
      <c r="B177" s="1"/>
      <c r="C177" s="1"/>
      <c r="D177" s="1"/>
      <c r="E177" s="1"/>
      <c r="F177" s="1"/>
      <c r="G177" s="1"/>
      <c r="H177" s="1"/>
      <c r="I177" s="1"/>
      <c r="J177" s="1"/>
      <c r="K177" s="1"/>
      <c r="L177" s="1"/>
      <c r="M177" s="1"/>
      <c r="N177" s="1"/>
      <c r="O177" s="1"/>
      <c r="P177" s="1"/>
      <c r="Q177" s="1"/>
      <c r="R177" s="1"/>
    </row>
    <row r="178" spans="1:35" hidden="1">
      <c r="A178" s="1"/>
      <c r="B178" s="1"/>
      <c r="C178" s="1"/>
      <c r="D178" s="1"/>
      <c r="E178" s="1"/>
      <c r="F178" s="1"/>
      <c r="G178" s="1"/>
      <c r="H178" s="1"/>
      <c r="I178" s="1"/>
      <c r="J178" s="1"/>
      <c r="K178" s="1"/>
      <c r="L178" s="1"/>
      <c r="M178" s="1"/>
      <c r="N178" s="1"/>
      <c r="O178" s="1"/>
      <c r="P178" s="1"/>
      <c r="Q178" s="1"/>
      <c r="R178" s="1"/>
    </row>
    <row r="179" spans="1:35" hidden="1">
      <c r="A179" s="1"/>
      <c r="B179" s="1"/>
      <c r="C179" s="1"/>
      <c r="D179" s="1"/>
      <c r="E179" s="1"/>
      <c r="F179" s="1"/>
      <c r="G179" s="1"/>
      <c r="H179" s="1"/>
      <c r="I179" s="1"/>
      <c r="J179" s="1"/>
      <c r="K179" s="1"/>
      <c r="L179" s="1"/>
      <c r="M179" s="1"/>
      <c r="N179" s="1"/>
      <c r="O179" s="1"/>
      <c r="P179" s="1"/>
      <c r="Q179" s="1"/>
      <c r="R179" s="1"/>
    </row>
    <row r="180" spans="1:35" hidden="1">
      <c r="A180" s="1"/>
      <c r="B180" s="1"/>
      <c r="C180" s="1"/>
      <c r="D180" s="1"/>
      <c r="E180" s="1"/>
      <c r="F180" s="1"/>
      <c r="G180" s="1"/>
      <c r="H180" s="1"/>
      <c r="I180" s="1"/>
      <c r="J180" s="1"/>
      <c r="K180" s="1"/>
      <c r="L180" s="1"/>
      <c r="M180" s="1"/>
      <c r="N180" s="1"/>
      <c r="O180" s="1"/>
      <c r="P180" s="1"/>
      <c r="Q180" s="1"/>
      <c r="R180" s="1"/>
    </row>
    <row r="181" spans="1:35" hidden="1">
      <c r="A181" s="1"/>
      <c r="B181" s="1"/>
      <c r="C181" s="1"/>
      <c r="D181" s="1"/>
      <c r="E181" s="1"/>
      <c r="F181" s="1"/>
      <c r="G181" s="1"/>
      <c r="H181" s="1"/>
      <c r="I181" s="1"/>
      <c r="J181" s="1"/>
      <c r="K181" s="1"/>
      <c r="L181" s="1"/>
      <c r="M181" s="1"/>
      <c r="N181" s="1"/>
      <c r="O181" s="1"/>
      <c r="P181" s="1"/>
      <c r="Q181" s="1"/>
      <c r="R181" s="1"/>
    </row>
    <row r="182" spans="1:35" hidden="1">
      <c r="A182" s="1"/>
      <c r="B182" s="1"/>
      <c r="C182" s="1"/>
      <c r="D182" s="1"/>
      <c r="E182" s="1"/>
      <c r="F182" s="1"/>
      <c r="G182" s="1"/>
      <c r="H182" s="1"/>
      <c r="I182" s="1"/>
      <c r="J182" s="1"/>
      <c r="K182" s="1"/>
      <c r="L182" s="1"/>
      <c r="M182" s="1"/>
      <c r="N182" s="1"/>
      <c r="O182" s="1"/>
      <c r="P182" s="1"/>
      <c r="Q182" s="1"/>
      <c r="R182" s="1"/>
    </row>
    <row r="183" spans="1:35" s="1172" customFormat="1" hidden="1">
      <c r="A183" s="996"/>
      <c r="B183" s="996"/>
      <c r="C183" s="996"/>
      <c r="D183" s="996"/>
      <c r="E183" s="996"/>
      <c r="F183" s="996"/>
      <c r="G183" s="996"/>
      <c r="H183" s="996"/>
      <c r="I183" s="996"/>
      <c r="J183" s="996"/>
      <c r="K183" s="996"/>
      <c r="L183" s="996"/>
      <c r="M183" s="996"/>
      <c r="N183" s="996"/>
      <c r="O183" s="996"/>
      <c r="P183" s="996"/>
      <c r="Q183" s="996"/>
      <c r="R183" s="996"/>
      <c r="U183" s="1416"/>
      <c r="V183" s="1416"/>
      <c r="W183" s="1416"/>
      <c r="X183" s="1416"/>
      <c r="AI183" s="1415"/>
    </row>
    <row r="184" spans="1:35" s="1172" customFormat="1" hidden="1">
      <c r="A184" s="996"/>
      <c r="B184" s="996" t="s">
        <v>1030</v>
      </c>
      <c r="C184" s="996">
        <v>3</v>
      </c>
      <c r="D184" s="996">
        <v>4</v>
      </c>
      <c r="E184" s="996">
        <v>5</v>
      </c>
      <c r="F184" s="996">
        <v>6</v>
      </c>
      <c r="G184" s="996">
        <v>7</v>
      </c>
      <c r="H184" s="996">
        <v>8</v>
      </c>
      <c r="I184" s="996">
        <v>9</v>
      </c>
      <c r="J184" s="996">
        <v>10</v>
      </c>
      <c r="K184" s="996">
        <v>11</v>
      </c>
      <c r="L184" s="996">
        <v>12</v>
      </c>
      <c r="M184" s="996">
        <v>13</v>
      </c>
      <c r="N184" s="996">
        <v>14</v>
      </c>
      <c r="O184" s="996">
        <v>15</v>
      </c>
      <c r="P184" s="996">
        <v>16</v>
      </c>
      <c r="Q184" s="996">
        <v>17</v>
      </c>
      <c r="R184" s="996">
        <v>18</v>
      </c>
      <c r="S184" s="1172">
        <v>19</v>
      </c>
      <c r="T184" s="1172">
        <v>20</v>
      </c>
      <c r="U184" s="1416"/>
      <c r="V184" s="1416"/>
      <c r="W184" s="1416"/>
      <c r="X184" s="1416"/>
      <c r="AI184" s="1415"/>
    </row>
    <row r="185" spans="1:35" s="1172" customFormat="1" hidden="1">
      <c r="A185" s="996"/>
      <c r="B185" s="996"/>
      <c r="C185" s="996"/>
      <c r="D185" s="996"/>
      <c r="E185" s="996"/>
      <c r="F185" s="996"/>
      <c r="G185" s="996"/>
      <c r="H185" s="996"/>
      <c r="I185" s="996"/>
      <c r="J185" s="996"/>
      <c r="K185" s="996"/>
      <c r="L185" s="996"/>
      <c r="M185" s="996"/>
      <c r="N185" s="996"/>
      <c r="O185" s="996"/>
      <c r="P185" s="996"/>
      <c r="Q185" s="996"/>
      <c r="R185" s="996"/>
      <c r="U185" s="1416"/>
      <c r="V185" s="1416"/>
      <c r="W185" s="1416"/>
      <c r="X185" s="1416"/>
      <c r="AI185" s="1415"/>
    </row>
    <row r="186" spans="1:35" s="1172" customFormat="1" hidden="1">
      <c r="A186" s="996"/>
      <c r="B186" s="996"/>
      <c r="C186" s="996"/>
      <c r="D186" s="996"/>
      <c r="E186" s="996"/>
      <c r="F186" s="996"/>
      <c r="G186" s="996"/>
      <c r="H186" s="996"/>
      <c r="I186" s="996"/>
      <c r="J186" s="996"/>
      <c r="K186" s="996"/>
      <c r="L186" s="996"/>
      <c r="M186" s="996"/>
      <c r="N186" s="996"/>
      <c r="O186" s="996"/>
      <c r="P186" s="996"/>
      <c r="Q186" s="996"/>
      <c r="R186" s="996"/>
      <c r="U186" s="1416"/>
      <c r="V186" s="1416"/>
      <c r="W186" s="1416"/>
      <c r="X186" s="1416"/>
      <c r="AI186" s="1415"/>
    </row>
    <row r="187" spans="1:35" s="1172" customFormat="1" hidden="1">
      <c r="A187" s="996"/>
      <c r="B187" s="996"/>
      <c r="C187" s="996"/>
      <c r="D187" s="996"/>
      <c r="E187" s="996"/>
      <c r="F187" s="996"/>
      <c r="G187" s="996"/>
      <c r="H187" s="996"/>
      <c r="I187" s="996"/>
      <c r="J187" s="996"/>
      <c r="K187" s="996"/>
      <c r="L187" s="996"/>
      <c r="M187" s="996"/>
      <c r="N187" s="996"/>
      <c r="O187" s="996"/>
      <c r="P187" s="996"/>
      <c r="Q187" s="996"/>
      <c r="R187" s="996"/>
      <c r="U187" s="1416"/>
      <c r="V187" s="1416"/>
      <c r="W187" s="1416"/>
      <c r="X187" s="1416"/>
      <c r="AI187" s="1415"/>
    </row>
    <row r="188" spans="1:35" s="1172" customFormat="1" hidden="1">
      <c r="A188" s="996"/>
      <c r="B188" s="996"/>
      <c r="C188" s="996"/>
      <c r="D188" s="996"/>
      <c r="E188" s="996"/>
      <c r="F188" s="996"/>
      <c r="G188" s="996"/>
      <c r="H188" s="996"/>
      <c r="I188" s="996"/>
      <c r="J188" s="996"/>
      <c r="K188" s="996"/>
      <c r="L188" s="996"/>
      <c r="M188" s="996"/>
      <c r="N188" s="996"/>
      <c r="O188" s="996"/>
      <c r="P188" s="996"/>
      <c r="Q188" s="996"/>
      <c r="R188" s="996"/>
      <c r="U188" s="1416"/>
      <c r="V188" s="1416"/>
      <c r="W188" s="1416"/>
      <c r="X188" s="1416"/>
      <c r="AI188" s="1415"/>
    </row>
    <row r="189" spans="1:35" s="1172" customFormat="1" hidden="1">
      <c r="A189" s="996"/>
      <c r="B189" s="996"/>
      <c r="C189" s="996"/>
      <c r="D189" s="996"/>
      <c r="E189" s="996"/>
      <c r="F189" s="996"/>
      <c r="G189" s="996"/>
      <c r="H189" s="996"/>
      <c r="I189" s="996"/>
      <c r="J189" s="996"/>
      <c r="K189" s="996"/>
      <c r="L189" s="996"/>
      <c r="M189" s="996"/>
      <c r="N189" s="996"/>
      <c r="O189" s="996"/>
      <c r="P189" s="996"/>
      <c r="Q189" s="996"/>
      <c r="R189" s="996"/>
      <c r="U189" s="1416"/>
      <c r="V189" s="1416"/>
      <c r="W189" s="1416"/>
      <c r="X189" s="1416"/>
      <c r="AI189" s="1415"/>
    </row>
  </sheetData>
  <sheetProtection password="95B1" sheet="1" objects="1" scenarios="1"/>
  <phoneticPr fontId="34" type="noConversion"/>
  <printOptions horizontalCentered="1" verticalCentered="1" gridLines="1"/>
  <pageMargins left="0" right="0.19685039370078741" top="0.39370078740157483" bottom="0.39370078740157483" header="0.19685039370078741" footer="0.19685039370078741"/>
  <pageSetup scale="45" orientation="landscape" horizontalDpi="4294967293" r:id="rId1"/>
  <headerFooter alignWithMargins="0">
    <oddHeader>&amp;C&amp;"Arial,Negrita"&amp;12&amp;F</oddHeader>
    <oddFooter>&amp;L&amp;"Arial,Negrita"&amp;F &amp;A&amp;R&amp;"Arial,Negrita"Página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14</vt:i4>
      </vt:variant>
      <vt:variant>
        <vt:lpstr>Gráficos</vt:lpstr>
      </vt:variant>
      <vt:variant>
        <vt:i4>8</vt:i4>
      </vt:variant>
      <vt:variant>
        <vt:lpstr>Rangos con nombre</vt:lpstr>
      </vt:variant>
      <vt:variant>
        <vt:i4>40</vt:i4>
      </vt:variant>
    </vt:vector>
  </HeadingPairs>
  <TitlesOfParts>
    <vt:vector size="62" baseType="lpstr">
      <vt:lpstr>Ingresos</vt:lpstr>
      <vt:lpstr>Gastos</vt:lpstr>
      <vt:lpstr>Balance Financiero</vt:lpstr>
      <vt:lpstr>Ley 617</vt:lpstr>
      <vt:lpstr>Capacidad de Pago</vt:lpstr>
      <vt:lpstr>Pasivo a Cancelar y Deuda</vt:lpstr>
      <vt:lpstr>Fuentes y Usos Seguimiento</vt:lpstr>
      <vt:lpstr>Fuentes y Usos Proyecciones</vt:lpstr>
      <vt:lpstr>Ingresos Proyecciones</vt:lpstr>
      <vt:lpstr>Gastos Proyecciones</vt:lpstr>
      <vt:lpstr>Cuadros para Informe Municipios</vt:lpstr>
      <vt:lpstr>Variación Cuentas por Pagar</vt:lpstr>
      <vt:lpstr>Resumen Indicadores</vt:lpstr>
      <vt:lpstr>Hoja1</vt:lpstr>
      <vt:lpstr>Gráf  Déf-Sup Primario</vt:lpstr>
      <vt:lpstr>Gráf Déf-Aho Corriente</vt:lpstr>
      <vt:lpstr>Gráf Déf-Sup Total</vt:lpstr>
      <vt:lpstr> Gráf Comp Ing Tributarios</vt:lpstr>
      <vt:lpstr>Gráf Comp Gastos Funcionamien</vt:lpstr>
      <vt:lpstr> Gráf Comp Ingresos</vt:lpstr>
      <vt:lpstr> Gráf Comp Gastos</vt:lpstr>
      <vt:lpstr>Gráf Comp Transf</vt:lpstr>
      <vt:lpstr>_CumplimientoLey617</vt:lpstr>
      <vt:lpstr>_Ley617</vt:lpstr>
      <vt:lpstr>_Ley617Gastos</vt:lpstr>
      <vt:lpstr>AcreenciasIncorporadas</vt:lpstr>
      <vt:lpstr>AcreenciasNoIncorporadas</vt:lpstr>
      <vt:lpstr>'Balance Financiero'!Área_de_impresión</vt:lpstr>
      <vt:lpstr>'Capacidad de Pago'!Área_de_impresión</vt:lpstr>
      <vt:lpstr>'Cuadros para Informe Municipios'!Área_de_impresión</vt:lpstr>
      <vt:lpstr>'Fuentes y Usos Proyecciones'!Área_de_impresión</vt:lpstr>
      <vt:lpstr>'Fuentes y Usos Seguimiento'!Área_de_impresión</vt:lpstr>
      <vt:lpstr>Gastos!Área_de_impresión</vt:lpstr>
      <vt:lpstr>'Gastos Proyecciones'!Área_de_impresión</vt:lpstr>
      <vt:lpstr>Ingresos!Área_de_impresión</vt:lpstr>
      <vt:lpstr>'Ingresos Proyecciones'!Área_de_impresión</vt:lpstr>
      <vt:lpstr>'Ley 617'!Área_de_impresión</vt:lpstr>
      <vt:lpstr>'Pasivo a Cancelar y Deuda'!Área_de_impresión</vt:lpstr>
      <vt:lpstr>'Resumen Indicadores'!Área_de_impresión</vt:lpstr>
      <vt:lpstr>'Variación Cuentas por Pagar'!Área_de_impresión</vt:lpstr>
      <vt:lpstr>BalanceFinanciero</vt:lpstr>
      <vt:lpstr>CapacidadDeEndeudamiento</vt:lpstr>
      <vt:lpstr>CapacidadDePago</vt:lpstr>
      <vt:lpstr>Encabezado</vt:lpstr>
      <vt:lpstr>Gastos</vt:lpstr>
      <vt:lpstr>GastosDeFuncionamiento</vt:lpstr>
      <vt:lpstr>GastosProyecciones</vt:lpstr>
      <vt:lpstr>Ingresos</vt:lpstr>
      <vt:lpstr>IngresosProyecciones</vt:lpstr>
      <vt:lpstr>PasivoACancelarYDeuda</vt:lpstr>
      <vt:lpstr>ProyeccionesFuentesYUsos</vt:lpstr>
      <vt:lpstr>SegumientoFuentesYUsos</vt:lpstr>
      <vt:lpstr>'Fuentes y Usos Proyecciones'!Títulos_a_imprimir</vt:lpstr>
      <vt:lpstr>'Fuentes y Usos Seguimiento'!Títulos_a_imprimir</vt:lpstr>
      <vt:lpstr>Gastos!Títulos_a_imprimir</vt:lpstr>
      <vt:lpstr>'Gastos Proyecciones'!Títulos_a_imprimir</vt:lpstr>
      <vt:lpstr>Ingresos!Títulos_a_imprimir</vt:lpstr>
      <vt:lpstr>'Ingresos Proyecciones'!Títulos_a_imprimir</vt:lpstr>
      <vt:lpstr>'Ley 617'!Títulos_a_imprimir</vt:lpstr>
      <vt:lpstr>TransferenciasAlConcejo</vt:lpstr>
      <vt:lpstr>TransferenciasAPersoneria</vt:lpstr>
      <vt:lpstr>TransferenciasContraloria</vt:lpstr>
    </vt:vector>
  </TitlesOfParts>
  <Company>Contraloría General de la República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LENIN</dc:creator>
  <cp:lastModifiedBy>rubiurre</cp:lastModifiedBy>
  <cp:lastPrinted>2012-05-27T12:40:00Z</cp:lastPrinted>
  <dcterms:created xsi:type="dcterms:W3CDTF">2002-11-12T19:10:34Z</dcterms:created>
  <dcterms:modified xsi:type="dcterms:W3CDTF">2012-08-22T16:39:34Z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479602859</vt:i4>
  </property>
  <property fmtid="{D5CDD505-2E9C-101B-9397-08002B2CF9AE}" pid="3" name="_EmailSubject">
    <vt:lpwstr>Template</vt:lpwstr>
  </property>
  <property fmtid="{D5CDD505-2E9C-101B-9397-08002B2CF9AE}" pid="4" name="_AuthorEmail">
    <vt:lpwstr>jepena@minhacienda.gov.co</vt:lpwstr>
  </property>
  <property fmtid="{D5CDD505-2E9C-101B-9397-08002B2CF9AE}" pid="5" name="_AuthorEmailDisplayName">
    <vt:lpwstr>Jesus Ernesto Pena Samudio</vt:lpwstr>
  </property>
  <property fmtid="{D5CDD505-2E9C-101B-9397-08002B2CF9AE}" pid="6" name="_PreviousAdHocReviewCycleID">
    <vt:i4>965187029</vt:i4>
  </property>
  <property fmtid="{D5CDD505-2E9C-101B-9397-08002B2CF9AE}" pid="7" name="_ReviewingToolsShownOnce">
    <vt:lpwstr/>
  </property>
</Properties>
</file>