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5480" windowHeight="9435" tabRatio="905" activeTab="2"/>
  </bookViews>
  <sheets>
    <sheet name="Datos Generales" sheetId="2" r:id="rId1"/>
    <sheet name="Análisis Histórico" sheetId="1" r:id="rId2"/>
    <sheet name="Plan Financiero Minhacienda" sheetId="3" r:id="rId3"/>
    <sheet name="Plan Financiero DNP" sheetId="4" r:id="rId4"/>
    <sheet name="Capacidad de Endeudamiento" sheetId="5" r:id="rId5"/>
    <sheet name="Superávit Primario" sheetId="6" r:id="rId6"/>
    <sheet name="Indicadores" sheetId="7" r:id="rId7"/>
    <sheet name="Graficos" sheetId="8" r:id="rId8"/>
  </sheets>
  <calcPr calcId="125725"/>
</workbook>
</file>

<file path=xl/calcChain.xml><?xml version="1.0" encoding="utf-8"?>
<calcChain xmlns="http://schemas.openxmlformats.org/spreadsheetml/2006/main">
  <c r="C43" i="3"/>
  <c r="D43"/>
  <c r="E45"/>
  <c r="F45" s="1"/>
  <c r="G45" s="1"/>
  <c r="H45" s="1"/>
  <c r="I45" s="1"/>
  <c r="J45" s="1"/>
  <c r="K45" s="1"/>
  <c r="L45" s="1"/>
  <c r="M45" s="1"/>
  <c r="C15"/>
  <c r="C20"/>
  <c r="D29" i="5"/>
  <c r="E29"/>
  <c r="F29"/>
  <c r="G29"/>
  <c r="H29"/>
  <c r="I29"/>
  <c r="J29"/>
  <c r="K29"/>
  <c r="L29"/>
  <c r="M29"/>
  <c r="C29"/>
  <c r="D68" i="3"/>
  <c r="E43"/>
  <c r="F43"/>
  <c r="G43" s="1"/>
  <c r="D31"/>
  <c r="D14"/>
  <c r="C31"/>
  <c r="C24"/>
  <c r="C22"/>
  <c r="C17"/>
  <c r="E49"/>
  <c r="E24" i="4" s="1"/>
  <c r="E51" i="3"/>
  <c r="F51" s="1"/>
  <c r="E53"/>
  <c r="E41" i="4" s="1"/>
  <c r="E54" i="3"/>
  <c r="E27" i="4"/>
  <c r="E8" i="3"/>
  <c r="E6" i="4"/>
  <c r="E9" i="3"/>
  <c r="F9"/>
  <c r="E10"/>
  <c r="F10"/>
  <c r="G10" s="1"/>
  <c r="E11"/>
  <c r="E12"/>
  <c r="F12"/>
  <c r="G12" s="1"/>
  <c r="E14"/>
  <c r="E15"/>
  <c r="F15"/>
  <c r="G15" s="1"/>
  <c r="E17"/>
  <c r="F17" s="1"/>
  <c r="E19"/>
  <c r="F19"/>
  <c r="E20"/>
  <c r="F20"/>
  <c r="G20" s="1"/>
  <c r="E21"/>
  <c r="F21" s="1"/>
  <c r="E22"/>
  <c r="E23"/>
  <c r="F23" s="1"/>
  <c r="G23" s="1"/>
  <c r="H23" s="1"/>
  <c r="I23" s="1"/>
  <c r="J23" s="1"/>
  <c r="K23" s="1"/>
  <c r="L23" s="1"/>
  <c r="M23" s="1"/>
  <c r="E24"/>
  <c r="F24"/>
  <c r="G24" s="1"/>
  <c r="H24" s="1"/>
  <c r="I24" s="1"/>
  <c r="J24" s="1"/>
  <c r="K24" s="1"/>
  <c r="L24" s="1"/>
  <c r="M24" s="1"/>
  <c r="E28"/>
  <c r="E17" i="4" s="1"/>
  <c r="E29" i="3"/>
  <c r="E17" i="5" s="1"/>
  <c r="E31" i="3"/>
  <c r="E32"/>
  <c r="F32"/>
  <c r="G32" s="1"/>
  <c r="D37" i="5"/>
  <c r="E37"/>
  <c r="F37"/>
  <c r="G37"/>
  <c r="H37"/>
  <c r="I37"/>
  <c r="J37"/>
  <c r="K37"/>
  <c r="L37"/>
  <c r="M37"/>
  <c r="C37"/>
  <c r="D27"/>
  <c r="E27"/>
  <c r="E26" s="1"/>
  <c r="E36" s="1"/>
  <c r="F27"/>
  <c r="F26" s="1"/>
  <c r="F36" s="1"/>
  <c r="G27"/>
  <c r="H27"/>
  <c r="I27"/>
  <c r="I26" s="1"/>
  <c r="I36" s="1"/>
  <c r="J27"/>
  <c r="J26"/>
  <c r="J36" s="1"/>
  <c r="K27"/>
  <c r="L27"/>
  <c r="M27"/>
  <c r="M26" s="1"/>
  <c r="M36" s="1"/>
  <c r="C27"/>
  <c r="C26" s="1"/>
  <c r="C36" s="1"/>
  <c r="D30" i="4"/>
  <c r="C30"/>
  <c r="D29"/>
  <c r="E29"/>
  <c r="F29"/>
  <c r="C29"/>
  <c r="D17"/>
  <c r="D18"/>
  <c r="E18"/>
  <c r="C18"/>
  <c r="C17"/>
  <c r="D27"/>
  <c r="C27"/>
  <c r="D24"/>
  <c r="D23" s="1"/>
  <c r="C24"/>
  <c r="C23" s="1"/>
  <c r="D13"/>
  <c r="C13"/>
  <c r="D9"/>
  <c r="C9"/>
  <c r="C8"/>
  <c r="D8"/>
  <c r="D7"/>
  <c r="E7"/>
  <c r="C7"/>
  <c r="D6"/>
  <c r="C6"/>
  <c r="C37"/>
  <c r="D37"/>
  <c r="E37"/>
  <c r="F37"/>
  <c r="G37"/>
  <c r="H37"/>
  <c r="I37"/>
  <c r="J37"/>
  <c r="K37"/>
  <c r="L37"/>
  <c r="M37"/>
  <c r="C40"/>
  <c r="D40"/>
  <c r="E40"/>
  <c r="F40"/>
  <c r="G40"/>
  <c r="H40"/>
  <c r="I40"/>
  <c r="J40"/>
  <c r="K40"/>
  <c r="L40"/>
  <c r="M40"/>
  <c r="C41"/>
  <c r="D41"/>
  <c r="E56" i="3"/>
  <c r="F56" s="1"/>
  <c r="D33"/>
  <c r="E33" s="1"/>
  <c r="M13" i="6"/>
  <c r="M7"/>
  <c r="M6"/>
  <c r="M5"/>
  <c r="M4"/>
  <c r="D21" i="5"/>
  <c r="E21"/>
  <c r="F21"/>
  <c r="G21"/>
  <c r="H21"/>
  <c r="I21"/>
  <c r="J21"/>
  <c r="K21"/>
  <c r="L21"/>
  <c r="M21"/>
  <c r="C21"/>
  <c r="D17"/>
  <c r="C17"/>
  <c r="D16"/>
  <c r="C16"/>
  <c r="D11"/>
  <c r="E11"/>
  <c r="D10"/>
  <c r="C11"/>
  <c r="C10"/>
  <c r="D9"/>
  <c r="C9"/>
  <c r="D8"/>
  <c r="C8"/>
  <c r="M12" i="6"/>
  <c r="L12"/>
  <c r="K12"/>
  <c r="J12"/>
  <c r="I12"/>
  <c r="H12"/>
  <c r="G12"/>
  <c r="F12"/>
  <c r="E12"/>
  <c r="D12"/>
  <c r="C12"/>
  <c r="B12"/>
  <c r="C34" i="5"/>
  <c r="L26"/>
  <c r="L36" s="1"/>
  <c r="K26"/>
  <c r="K36" s="1"/>
  <c r="H26"/>
  <c r="H36" s="1"/>
  <c r="G26"/>
  <c r="G36" s="1"/>
  <c r="D26"/>
  <c r="D36" s="1"/>
  <c r="M70" i="3"/>
  <c r="L70"/>
  <c r="K70"/>
  <c r="J70"/>
  <c r="I70"/>
  <c r="H70"/>
  <c r="G70"/>
  <c r="F70"/>
  <c r="E70"/>
  <c r="D70"/>
  <c r="C70"/>
  <c r="M65"/>
  <c r="L65"/>
  <c r="K65"/>
  <c r="J65"/>
  <c r="I65"/>
  <c r="H65"/>
  <c r="G65"/>
  <c r="F65"/>
  <c r="E65"/>
  <c r="D65"/>
  <c r="C65"/>
  <c r="M62"/>
  <c r="L62"/>
  <c r="L61" s="1"/>
  <c r="L60" s="1"/>
  <c r="K62"/>
  <c r="K61"/>
  <c r="K60" s="1"/>
  <c r="J62"/>
  <c r="I62"/>
  <c r="H62"/>
  <c r="G62"/>
  <c r="G61"/>
  <c r="G60" s="1"/>
  <c r="F62"/>
  <c r="F61" s="1"/>
  <c r="F60" s="1"/>
  <c r="E62"/>
  <c r="D62"/>
  <c r="C62"/>
  <c r="C61"/>
  <c r="C60" s="1"/>
  <c r="M61"/>
  <c r="J61"/>
  <c r="J60"/>
  <c r="I61"/>
  <c r="E61"/>
  <c r="E60" s="1"/>
  <c r="M60"/>
  <c r="I60"/>
  <c r="D55"/>
  <c r="C7" i="6" s="1"/>
  <c r="C55" i="3"/>
  <c r="B7" i="6" s="1"/>
  <c r="D47" i="3"/>
  <c r="C5" i="6" s="1"/>
  <c r="C47" i="3"/>
  <c r="M40"/>
  <c r="L13" i="6"/>
  <c r="L40" i="3"/>
  <c r="K13" i="6" s="1"/>
  <c r="L20" i="4"/>
  <c r="K40" i="3"/>
  <c r="K20" i="4"/>
  <c r="J40" i="3"/>
  <c r="I40"/>
  <c r="I20" i="4" s="1"/>
  <c r="H40" i="3"/>
  <c r="H20" i="4" s="1"/>
  <c r="G40" i="3"/>
  <c r="F40"/>
  <c r="F20" i="4"/>
  <c r="E40" i="3"/>
  <c r="D40"/>
  <c r="D20" i="4" s="1"/>
  <c r="C40" i="3"/>
  <c r="C30"/>
  <c r="C27"/>
  <c r="C26" s="1"/>
  <c r="C25" s="1"/>
  <c r="C72" s="1"/>
  <c r="D18"/>
  <c r="C18"/>
  <c r="C16"/>
  <c r="D13"/>
  <c r="D10" i="4"/>
  <c r="C13" i="3"/>
  <c r="C7" i="5"/>
  <c r="D7" i="3"/>
  <c r="C7"/>
  <c r="Y40" i="1"/>
  <c r="X40"/>
  <c r="W40"/>
  <c r="V40"/>
  <c r="U40"/>
  <c r="T40"/>
  <c r="M40"/>
  <c r="R40" s="1"/>
  <c r="L40"/>
  <c r="Q40" s="1"/>
  <c r="K40"/>
  <c r="P40" s="1"/>
  <c r="J40"/>
  <c r="I40"/>
  <c r="N40"/>
  <c r="H40"/>
  <c r="Y39"/>
  <c r="X39"/>
  <c r="W39"/>
  <c r="V39"/>
  <c r="U39"/>
  <c r="T39"/>
  <c r="M39"/>
  <c r="L39"/>
  <c r="K39"/>
  <c r="J39"/>
  <c r="I39"/>
  <c r="N39" s="1"/>
  <c r="S39" s="1"/>
  <c r="H39"/>
  <c r="Y38"/>
  <c r="X38"/>
  <c r="W38"/>
  <c r="V38"/>
  <c r="U38"/>
  <c r="T38"/>
  <c r="M38"/>
  <c r="R38"/>
  <c r="L38"/>
  <c r="K38"/>
  <c r="J38"/>
  <c r="I38"/>
  <c r="H38"/>
  <c r="Y37"/>
  <c r="X37"/>
  <c r="W37"/>
  <c r="V37"/>
  <c r="U37"/>
  <c r="T37"/>
  <c r="M37"/>
  <c r="L37"/>
  <c r="K37"/>
  <c r="J37"/>
  <c r="I37"/>
  <c r="N37" s="1"/>
  <c r="S37" s="1"/>
  <c r="H37"/>
  <c r="Y36"/>
  <c r="X36"/>
  <c r="W36"/>
  <c r="V36"/>
  <c r="U36"/>
  <c r="T36"/>
  <c r="M36"/>
  <c r="L36"/>
  <c r="K36"/>
  <c r="P36"/>
  <c r="J36"/>
  <c r="O36"/>
  <c r="I36"/>
  <c r="H36"/>
  <c r="Y35"/>
  <c r="X35"/>
  <c r="W35"/>
  <c r="V35"/>
  <c r="U35"/>
  <c r="T35"/>
  <c r="M35"/>
  <c r="L35"/>
  <c r="K35"/>
  <c r="J35"/>
  <c r="I35"/>
  <c r="H35"/>
  <c r="N35" s="1"/>
  <c r="S35" s="1"/>
  <c r="U34"/>
  <c r="T34"/>
  <c r="I34"/>
  <c r="N34" s="1"/>
  <c r="S34" s="1"/>
  <c r="H34"/>
  <c r="Y34"/>
  <c r="X34"/>
  <c r="W34"/>
  <c r="V34"/>
  <c r="Y33"/>
  <c r="X33"/>
  <c r="W33"/>
  <c r="V33"/>
  <c r="U33"/>
  <c r="T33"/>
  <c r="M33"/>
  <c r="R33"/>
  <c r="L33"/>
  <c r="K33"/>
  <c r="P33" s="1"/>
  <c r="J33"/>
  <c r="I33"/>
  <c r="H33"/>
  <c r="Y32"/>
  <c r="X32"/>
  <c r="W32"/>
  <c r="V32"/>
  <c r="M32"/>
  <c r="L32"/>
  <c r="K32"/>
  <c r="P32"/>
  <c r="J32"/>
  <c r="U32"/>
  <c r="T32"/>
  <c r="Y31"/>
  <c r="X31"/>
  <c r="W31"/>
  <c r="V31"/>
  <c r="U31"/>
  <c r="T31"/>
  <c r="M31"/>
  <c r="L31"/>
  <c r="Q31"/>
  <c r="K31"/>
  <c r="J31"/>
  <c r="I31"/>
  <c r="H31"/>
  <c r="Y30"/>
  <c r="X30"/>
  <c r="W30"/>
  <c r="V30"/>
  <c r="U30"/>
  <c r="M30"/>
  <c r="L30"/>
  <c r="K30"/>
  <c r="P30" s="1"/>
  <c r="S30" s="1"/>
  <c r="J30"/>
  <c r="I30"/>
  <c r="T30"/>
  <c r="Z30" s="1"/>
  <c r="Y29"/>
  <c r="X29"/>
  <c r="W29"/>
  <c r="V29"/>
  <c r="U29"/>
  <c r="T29"/>
  <c r="M29"/>
  <c r="L29"/>
  <c r="K29"/>
  <c r="J29"/>
  <c r="I29"/>
  <c r="H29"/>
  <c r="N29"/>
  <c r="Y28"/>
  <c r="X28"/>
  <c r="W28"/>
  <c r="V28"/>
  <c r="U28"/>
  <c r="T28"/>
  <c r="Y27"/>
  <c r="X27"/>
  <c r="W27"/>
  <c r="V27"/>
  <c r="U27"/>
  <c r="T27"/>
  <c r="M27"/>
  <c r="L27"/>
  <c r="K27"/>
  <c r="J27"/>
  <c r="P27" s="1"/>
  <c r="S27" s="1"/>
  <c r="I27"/>
  <c r="H27"/>
  <c r="Y26"/>
  <c r="X26"/>
  <c r="W26"/>
  <c r="V26"/>
  <c r="U26"/>
  <c r="T26"/>
  <c r="M26"/>
  <c r="L26"/>
  <c r="K26"/>
  <c r="J26"/>
  <c r="I26"/>
  <c r="N26" s="1"/>
  <c r="S26" s="1"/>
  <c r="H26"/>
  <c r="Y25"/>
  <c r="X25"/>
  <c r="W25"/>
  <c r="V25"/>
  <c r="U25"/>
  <c r="T25"/>
  <c r="Y24"/>
  <c r="X24"/>
  <c r="W24"/>
  <c r="V24"/>
  <c r="U24"/>
  <c r="T24"/>
  <c r="Y23"/>
  <c r="X23"/>
  <c r="W23"/>
  <c r="V23"/>
  <c r="U23"/>
  <c r="T23"/>
  <c r="M23"/>
  <c r="L23"/>
  <c r="K23"/>
  <c r="J23"/>
  <c r="I23"/>
  <c r="N23"/>
  <c r="H23"/>
  <c r="Y22"/>
  <c r="X22"/>
  <c r="W22"/>
  <c r="V22"/>
  <c r="U22"/>
  <c r="T22"/>
  <c r="M22"/>
  <c r="R22" s="1"/>
  <c r="S22" s="1"/>
  <c r="L22"/>
  <c r="K22"/>
  <c r="J22"/>
  <c r="I22"/>
  <c r="H22"/>
  <c r="Y21"/>
  <c r="X21"/>
  <c r="W21"/>
  <c r="V21"/>
  <c r="U21"/>
  <c r="T21"/>
  <c r="M21"/>
  <c r="L21"/>
  <c r="K21"/>
  <c r="J21"/>
  <c r="I21"/>
  <c r="H21"/>
  <c r="Y20"/>
  <c r="X20"/>
  <c r="W20"/>
  <c r="V20"/>
  <c r="U20"/>
  <c r="T20"/>
  <c r="M20"/>
  <c r="L20"/>
  <c r="K20"/>
  <c r="J20"/>
  <c r="I20"/>
  <c r="H20"/>
  <c r="Y19"/>
  <c r="X19"/>
  <c r="W19"/>
  <c r="V19"/>
  <c r="U19"/>
  <c r="T19"/>
  <c r="M19"/>
  <c r="L19"/>
  <c r="K19"/>
  <c r="J19"/>
  <c r="O19" s="1"/>
  <c r="I19"/>
  <c r="N19" s="1"/>
  <c r="S19" s="1"/>
  <c r="H19"/>
  <c r="Y18"/>
  <c r="X18"/>
  <c r="W18"/>
  <c r="V18"/>
  <c r="U18"/>
  <c r="T18"/>
  <c r="M18"/>
  <c r="R18"/>
  <c r="L18"/>
  <c r="K18"/>
  <c r="J18"/>
  <c r="I18"/>
  <c r="N18" s="1"/>
  <c r="S18" s="1"/>
  <c r="H18"/>
  <c r="Y17"/>
  <c r="X17"/>
  <c r="W17"/>
  <c r="V17"/>
  <c r="U17"/>
  <c r="T17"/>
  <c r="M17"/>
  <c r="L17"/>
  <c r="K17"/>
  <c r="J17"/>
  <c r="I17"/>
  <c r="N17"/>
  <c r="H17"/>
  <c r="Y16"/>
  <c r="X16"/>
  <c r="W16"/>
  <c r="V16"/>
  <c r="U16"/>
  <c r="T16"/>
  <c r="M16"/>
  <c r="L16"/>
  <c r="K16"/>
  <c r="J16"/>
  <c r="I16"/>
  <c r="H16"/>
  <c r="Y15"/>
  <c r="X15"/>
  <c r="W15"/>
  <c r="V15"/>
  <c r="M15"/>
  <c r="L15"/>
  <c r="K15"/>
  <c r="J15"/>
  <c r="U15"/>
  <c r="T15"/>
  <c r="Y14"/>
  <c r="X14"/>
  <c r="W14"/>
  <c r="V14"/>
  <c r="U14"/>
  <c r="T14"/>
  <c r="M14"/>
  <c r="L14"/>
  <c r="K14"/>
  <c r="J14"/>
  <c r="I14"/>
  <c r="H14"/>
  <c r="Y13"/>
  <c r="X13"/>
  <c r="W13"/>
  <c r="V13"/>
  <c r="U13"/>
  <c r="T13"/>
  <c r="M13"/>
  <c r="L13"/>
  <c r="Q13"/>
  <c r="K13"/>
  <c r="P13"/>
  <c r="J13"/>
  <c r="I13"/>
  <c r="N13" s="1"/>
  <c r="S13" s="1"/>
  <c r="H13"/>
  <c r="Y12"/>
  <c r="X12"/>
  <c r="W12"/>
  <c r="V12"/>
  <c r="M12"/>
  <c r="L12"/>
  <c r="K12"/>
  <c r="J12"/>
  <c r="U12"/>
  <c r="T12"/>
  <c r="Y11"/>
  <c r="X11"/>
  <c r="W11"/>
  <c r="V11"/>
  <c r="U11"/>
  <c r="T11"/>
  <c r="M11"/>
  <c r="L11"/>
  <c r="K11"/>
  <c r="J11"/>
  <c r="O11" s="1"/>
  <c r="I11"/>
  <c r="N11" s="1"/>
  <c r="S11" s="1"/>
  <c r="H11"/>
  <c r="Y10"/>
  <c r="X10"/>
  <c r="W10"/>
  <c r="V10"/>
  <c r="U10"/>
  <c r="T10"/>
  <c r="M10"/>
  <c r="L10"/>
  <c r="Q10" s="1"/>
  <c r="S10" s="1"/>
  <c r="K10"/>
  <c r="J10"/>
  <c r="O10"/>
  <c r="I10"/>
  <c r="H10"/>
  <c r="Y9"/>
  <c r="X9"/>
  <c r="W9"/>
  <c r="V9"/>
  <c r="U9"/>
  <c r="T9"/>
  <c r="M9"/>
  <c r="L9"/>
  <c r="Q9" s="1"/>
  <c r="K9"/>
  <c r="P9" s="1"/>
  <c r="J9"/>
  <c r="I9"/>
  <c r="N9"/>
  <c r="H9"/>
  <c r="Y8"/>
  <c r="X8"/>
  <c r="W8"/>
  <c r="V8"/>
  <c r="U8"/>
  <c r="T8"/>
  <c r="M8"/>
  <c r="L8"/>
  <c r="Q8"/>
  <c r="K8"/>
  <c r="J8"/>
  <c r="O8" s="1"/>
  <c r="S8" s="1"/>
  <c r="I8"/>
  <c r="H8"/>
  <c r="Y7"/>
  <c r="X7"/>
  <c r="W7"/>
  <c r="V7"/>
  <c r="U7"/>
  <c r="T7"/>
  <c r="M7"/>
  <c r="L7"/>
  <c r="Q7"/>
  <c r="K7"/>
  <c r="J7"/>
  <c r="O7" s="1"/>
  <c r="S7" s="1"/>
  <c r="I7"/>
  <c r="H7"/>
  <c r="N7"/>
  <c r="Y6"/>
  <c r="X6"/>
  <c r="W6"/>
  <c r="V6"/>
  <c r="U6"/>
  <c r="T6"/>
  <c r="M6"/>
  <c r="L6"/>
  <c r="Q6" s="1"/>
  <c r="K6"/>
  <c r="P6" s="1"/>
  <c r="J6"/>
  <c r="I6"/>
  <c r="N6"/>
  <c r="H6"/>
  <c r="I12"/>
  <c r="N12" s="1"/>
  <c r="S12" s="1"/>
  <c r="H15"/>
  <c r="Q18"/>
  <c r="I24"/>
  <c r="K24"/>
  <c r="M24"/>
  <c r="H25"/>
  <c r="J25"/>
  <c r="O25" s="1"/>
  <c r="S25" s="1"/>
  <c r="L25"/>
  <c r="I28"/>
  <c r="K28"/>
  <c r="M28"/>
  <c r="H30"/>
  <c r="J34"/>
  <c r="O34"/>
  <c r="L34"/>
  <c r="H12"/>
  <c r="I15"/>
  <c r="O15"/>
  <c r="H24"/>
  <c r="J24"/>
  <c r="P24" s="1"/>
  <c r="S24" s="1"/>
  <c r="L24"/>
  <c r="I25"/>
  <c r="K25"/>
  <c r="M25"/>
  <c r="H28"/>
  <c r="J28"/>
  <c r="L28"/>
  <c r="Q28" s="1"/>
  <c r="K34"/>
  <c r="M34"/>
  <c r="D6" i="5"/>
  <c r="C6"/>
  <c r="I32" i="1"/>
  <c r="H32"/>
  <c r="N32"/>
  <c r="D34" i="5"/>
  <c r="E34"/>
  <c r="F34" s="1"/>
  <c r="G34" s="1"/>
  <c r="H34" s="1"/>
  <c r="I34" s="1"/>
  <c r="J34" s="1"/>
  <c r="K34" s="1"/>
  <c r="L34" s="1"/>
  <c r="M34" s="1"/>
  <c r="G13" i="6"/>
  <c r="D7" i="5"/>
  <c r="F31" i="3"/>
  <c r="G31"/>
  <c r="D28" i="4"/>
  <c r="C28"/>
  <c r="C58" i="3"/>
  <c r="H61"/>
  <c r="H60"/>
  <c r="E13" i="6"/>
  <c r="D61" i="3"/>
  <c r="D60" s="1"/>
  <c r="C13" i="6"/>
  <c r="F29" i="3"/>
  <c r="G29"/>
  <c r="D58"/>
  <c r="F54"/>
  <c r="G54" s="1"/>
  <c r="H54" s="1"/>
  <c r="I54" s="1"/>
  <c r="J54" s="1"/>
  <c r="K54" s="1"/>
  <c r="L54" s="1"/>
  <c r="M54" s="1"/>
  <c r="E10" i="5"/>
  <c r="E13" i="4"/>
  <c r="E9"/>
  <c r="D5" i="5"/>
  <c r="D39" s="1"/>
  <c r="D41" s="1"/>
  <c r="D30" i="3"/>
  <c r="B6" i="6"/>
  <c r="E13" i="3"/>
  <c r="F14"/>
  <c r="F9" i="4"/>
  <c r="G9" i="3"/>
  <c r="C19" i="4"/>
  <c r="C16"/>
  <c r="C20"/>
  <c r="C15"/>
  <c r="C14" s="1"/>
  <c r="C18" i="5"/>
  <c r="C15"/>
  <c r="D13" i="6"/>
  <c r="E20" i="4"/>
  <c r="G19" i="3"/>
  <c r="D12" i="4"/>
  <c r="D11" s="1"/>
  <c r="D16" i="3"/>
  <c r="D6" s="1"/>
  <c r="F22"/>
  <c r="E9" i="5"/>
  <c r="E8" i="4"/>
  <c r="E5" s="1"/>
  <c r="F11" i="3"/>
  <c r="E8" i="5"/>
  <c r="E7" i="3"/>
  <c r="J20" i="4"/>
  <c r="I13" i="6"/>
  <c r="F49" i="3"/>
  <c r="E47"/>
  <c r="H31"/>
  <c r="B13" i="6"/>
  <c r="F13"/>
  <c r="G20" i="4"/>
  <c r="E55" i="3"/>
  <c r="D7" i="6" s="1"/>
  <c r="E30" i="4"/>
  <c r="E28" s="1"/>
  <c r="F7"/>
  <c r="H13" i="6"/>
  <c r="M20" i="4"/>
  <c r="P35" i="1"/>
  <c r="C10" i="4"/>
  <c r="C6" i="3"/>
  <c r="C46" s="1"/>
  <c r="C59" s="1"/>
  <c r="E18"/>
  <c r="M8" i="6"/>
  <c r="D5" i="4"/>
  <c r="F28" i="3"/>
  <c r="F8"/>
  <c r="F53"/>
  <c r="Q34" i="1"/>
  <c r="N24"/>
  <c r="O22"/>
  <c r="N25"/>
  <c r="R24"/>
  <c r="R11"/>
  <c r="Q16"/>
  <c r="P17"/>
  <c r="Q22"/>
  <c r="P31"/>
  <c r="R31"/>
  <c r="Q39"/>
  <c r="E16" i="5"/>
  <c r="J13" i="6"/>
  <c r="B5"/>
  <c r="C12" i="4"/>
  <c r="C11" s="1"/>
  <c r="C5" i="5"/>
  <c r="C39" s="1"/>
  <c r="C41" s="1"/>
  <c r="C5" i="4"/>
  <c r="Z10" i="1"/>
  <c r="Q30"/>
  <c r="N8"/>
  <c r="R12"/>
  <c r="R14"/>
  <c r="P16"/>
  <c r="O20"/>
  <c r="N21"/>
  <c r="R21"/>
  <c r="N22"/>
  <c r="Q26"/>
  <c r="Q27"/>
  <c r="O29"/>
  <c r="O30"/>
  <c r="N31"/>
  <c r="N33"/>
  <c r="Q33"/>
  <c r="O38"/>
  <c r="Z9"/>
  <c r="Z14"/>
  <c r="Z15"/>
  <c r="Z31"/>
  <c r="Z39"/>
  <c r="R34"/>
  <c r="P28"/>
  <c r="N28"/>
  <c r="Z8"/>
  <c r="R9"/>
  <c r="N10"/>
  <c r="P11"/>
  <c r="Z11"/>
  <c r="P12"/>
  <c r="P15"/>
  <c r="N16"/>
  <c r="P20"/>
  <c r="Q21"/>
  <c r="Z21"/>
  <c r="O26"/>
  <c r="Z26"/>
  <c r="Z27"/>
  <c r="Z28"/>
  <c r="Q29"/>
  <c r="Z29"/>
  <c r="Z33"/>
  <c r="Q36"/>
  <c r="Q38"/>
  <c r="O39"/>
  <c r="P25"/>
  <c r="P34"/>
  <c r="N15"/>
  <c r="R25"/>
  <c r="Q24"/>
  <c r="Q20"/>
  <c r="O6"/>
  <c r="R6"/>
  <c r="R7"/>
  <c r="P8"/>
  <c r="R10"/>
  <c r="O13"/>
  <c r="R13"/>
  <c r="O14"/>
  <c r="Z16"/>
  <c r="O17"/>
  <c r="P18"/>
  <c r="P22"/>
  <c r="O23"/>
  <c r="O27"/>
  <c r="R30"/>
  <c r="O31"/>
  <c r="Z34"/>
  <c r="N36"/>
  <c r="Z36"/>
  <c r="P37"/>
  <c r="P39"/>
  <c r="O28"/>
  <c r="S28" s="1"/>
  <c r="Z38"/>
  <c r="R28"/>
  <c r="O24"/>
  <c r="N30"/>
  <c r="R27"/>
  <c r="O16"/>
  <c r="S16"/>
  <c r="P7"/>
  <c r="R8"/>
  <c r="O9"/>
  <c r="P10"/>
  <c r="Q11"/>
  <c r="Z12"/>
  <c r="Q14"/>
  <c r="Q15"/>
  <c r="Q17"/>
  <c r="P19"/>
  <c r="O21"/>
  <c r="P26"/>
  <c r="O32"/>
  <c r="O33"/>
  <c r="S33" s="1"/>
  <c r="Z35"/>
  <c r="R39"/>
  <c r="O40"/>
  <c r="S40" s="1"/>
  <c r="Z7"/>
  <c r="Z13"/>
  <c r="R16"/>
  <c r="R19"/>
  <c r="R20"/>
  <c r="Z22"/>
  <c r="R23"/>
  <c r="Z25"/>
  <c r="R32"/>
  <c r="R36"/>
  <c r="Z37"/>
  <c r="Z40"/>
  <c r="Z32"/>
  <c r="Z6"/>
  <c r="Z17"/>
  <c r="Z18"/>
  <c r="Z19"/>
  <c r="Z20"/>
  <c r="Z23"/>
  <c r="Z24"/>
  <c r="R35"/>
  <c r="R37"/>
  <c r="P29"/>
  <c r="P23"/>
  <c r="S23"/>
  <c r="P21"/>
  <c r="S21"/>
  <c r="Q12"/>
  <c r="N14"/>
  <c r="P14"/>
  <c r="Q19"/>
  <c r="Q23"/>
  <c r="R26"/>
  <c r="Q32"/>
  <c r="O35"/>
  <c r="Q35"/>
  <c r="O37"/>
  <c r="Q37"/>
  <c r="P38"/>
  <c r="R15"/>
  <c r="S15"/>
  <c r="R29"/>
  <c r="R17"/>
  <c r="S17" s="1"/>
  <c r="O12"/>
  <c r="N20"/>
  <c r="N27"/>
  <c r="N38"/>
  <c r="S38"/>
  <c r="Q25"/>
  <c r="O18"/>
  <c r="M9" i="6"/>
  <c r="M10" s="1"/>
  <c r="C23" i="5"/>
  <c r="F17"/>
  <c r="F18" i="4"/>
  <c r="D19"/>
  <c r="D16"/>
  <c r="D15" s="1"/>
  <c r="D14" s="1"/>
  <c r="D18" i="5"/>
  <c r="D15" s="1"/>
  <c r="D23" s="1"/>
  <c r="D27" i="3"/>
  <c r="F17" i="4"/>
  <c r="F16" i="5"/>
  <c r="G28" i="3"/>
  <c r="F24" i="4"/>
  <c r="F8" i="5"/>
  <c r="G49" i="3"/>
  <c r="E6" i="5"/>
  <c r="H9" i="3"/>
  <c r="G17" i="5"/>
  <c r="G18" i="4"/>
  <c r="H29" i="3"/>
  <c r="G22"/>
  <c r="B4" i="6"/>
  <c r="F7" i="3"/>
  <c r="F6" i="4"/>
  <c r="G8" i="3"/>
  <c r="E12" i="4"/>
  <c r="E11" s="1"/>
  <c r="E16" i="3"/>
  <c r="E6" s="1"/>
  <c r="E58"/>
  <c r="D5" i="6"/>
  <c r="E10" i="4"/>
  <c r="E7" i="5"/>
  <c r="G53" i="3"/>
  <c r="F41" i="4"/>
  <c r="F10" i="5"/>
  <c r="I31" i="3"/>
  <c r="G11"/>
  <c r="G8" i="4" s="1"/>
  <c r="F8"/>
  <c r="H19" i="3"/>
  <c r="G14"/>
  <c r="F13"/>
  <c r="F7" i="5" s="1"/>
  <c r="S31" i="1"/>
  <c r="C5" i="3"/>
  <c r="C71"/>
  <c r="C73" s="1"/>
  <c r="S36" i="1"/>
  <c r="S14"/>
  <c r="S32"/>
  <c r="S20"/>
  <c r="S29"/>
  <c r="D26" i="3"/>
  <c r="C6" i="6"/>
  <c r="F10" i="4"/>
  <c r="H18"/>
  <c r="I29" i="3"/>
  <c r="H17" i="5"/>
  <c r="G8"/>
  <c r="G24" i="4"/>
  <c r="H49" i="3"/>
  <c r="I19"/>
  <c r="J31"/>
  <c r="F6" i="5"/>
  <c r="I9" i="3"/>
  <c r="H14"/>
  <c r="I14" s="1"/>
  <c r="H11"/>
  <c r="H53"/>
  <c r="G41" i="4"/>
  <c r="G10" i="5"/>
  <c r="G6" i="4"/>
  <c r="H8" i="3"/>
  <c r="H22"/>
  <c r="H28"/>
  <c r="G16" i="5"/>
  <c r="G17" i="4"/>
  <c r="F5"/>
  <c r="D25" i="3"/>
  <c r="D72" s="1"/>
  <c r="J19"/>
  <c r="K19" s="1"/>
  <c r="I49"/>
  <c r="H8" i="5"/>
  <c r="H24" i="4"/>
  <c r="I22" i="3"/>
  <c r="K31"/>
  <c r="H6" i="4"/>
  <c r="I8" i="3"/>
  <c r="I53"/>
  <c r="H41" i="4"/>
  <c r="H10" i="5"/>
  <c r="J9" i="3"/>
  <c r="K9" s="1"/>
  <c r="J29"/>
  <c r="K29" s="1"/>
  <c r="I18" i="4"/>
  <c r="I17" i="5"/>
  <c r="H17" i="4"/>
  <c r="I28" i="3"/>
  <c r="H16" i="5"/>
  <c r="H8" i="4"/>
  <c r="I11" i="3"/>
  <c r="I24" i="4"/>
  <c r="I8" i="5"/>
  <c r="J49" i="3"/>
  <c r="L31"/>
  <c r="J22"/>
  <c r="I8" i="4"/>
  <c r="J11" i="3"/>
  <c r="I17" i="4"/>
  <c r="J18"/>
  <c r="J17" i="5"/>
  <c r="I6" i="4"/>
  <c r="I41"/>
  <c r="J53" i="3"/>
  <c r="I10" i="5"/>
  <c r="J14" i="3"/>
  <c r="K18" i="4"/>
  <c r="L29" i="3"/>
  <c r="K17" i="5"/>
  <c r="K22" i="3"/>
  <c r="K14"/>
  <c r="J10" i="5"/>
  <c r="K53" i="3"/>
  <c r="J41" i="4"/>
  <c r="L19" i="3"/>
  <c r="L9"/>
  <c r="K11"/>
  <c r="J8" i="4"/>
  <c r="M31" i="3"/>
  <c r="J24" i="4"/>
  <c r="K49" i="3"/>
  <c r="J8" i="5"/>
  <c r="K24" i="4"/>
  <c r="L49" i="3"/>
  <c r="K8" i="5"/>
  <c r="L11" i="3"/>
  <c r="K8" i="4"/>
  <c r="L22" i="3"/>
  <c r="M29"/>
  <c r="L17" i="5"/>
  <c r="L18" i="4"/>
  <c r="L53" i="3"/>
  <c r="K10" i="5"/>
  <c r="K41" i="4"/>
  <c r="M9" i="3"/>
  <c r="M19"/>
  <c r="L14"/>
  <c r="L41" i="4"/>
  <c r="M53" i="3"/>
  <c r="L10" i="5"/>
  <c r="M22" i="3"/>
  <c r="M14"/>
  <c r="M17" i="5"/>
  <c r="M18" i="4"/>
  <c r="M11" i="3"/>
  <c r="M8" i="4"/>
  <c r="L8"/>
  <c r="L8" i="5"/>
  <c r="L24" i="4"/>
  <c r="M49" i="3"/>
  <c r="M41" i="4"/>
  <c r="M10" i="5"/>
  <c r="M24" i="4"/>
  <c r="M8" i="5"/>
  <c r="E5" l="1"/>
  <c r="D38"/>
  <c r="D40" s="1"/>
  <c r="B8" i="6"/>
  <c r="B9" s="1"/>
  <c r="B10" s="1"/>
  <c r="C38" i="5"/>
  <c r="C40" s="1"/>
  <c r="E23" i="4"/>
  <c r="I16" i="5"/>
  <c r="J28" i="3"/>
  <c r="E4" i="4"/>
  <c r="E39" i="5"/>
  <c r="E41" s="1"/>
  <c r="C4" i="6"/>
  <c r="C8" s="1"/>
  <c r="C9" s="1"/>
  <c r="C10" s="1"/>
  <c r="D5" i="3"/>
  <c r="D71" s="1"/>
  <c r="D73" s="1"/>
  <c r="D46"/>
  <c r="D59" s="1"/>
  <c r="G56"/>
  <c r="F30" i="4"/>
  <c r="F28" s="1"/>
  <c r="F55" i="3"/>
  <c r="E7" i="6" s="1"/>
  <c r="H32" i="3"/>
  <c r="H20"/>
  <c r="G17"/>
  <c r="F13" i="4"/>
  <c r="F9" i="5"/>
  <c r="H12" i="3"/>
  <c r="G9" i="4"/>
  <c r="F11" i="5"/>
  <c r="F27" i="4"/>
  <c r="F23" s="1"/>
  <c r="G51" i="3"/>
  <c r="F47"/>
  <c r="H43"/>
  <c r="G29" i="4"/>
  <c r="F5" i="5"/>
  <c r="D42"/>
  <c r="S6" i="1"/>
  <c r="S9"/>
  <c r="J8" i="3"/>
  <c r="D4" i="6"/>
  <c r="E5" i="3"/>
  <c r="E71" s="1"/>
  <c r="D45" i="4"/>
  <c r="C9" i="7"/>
  <c r="C4" i="4"/>
  <c r="D4"/>
  <c r="B9" i="7"/>
  <c r="C45" i="4"/>
  <c r="F33" i="3"/>
  <c r="E30"/>
  <c r="G21"/>
  <c r="H21" s="1"/>
  <c r="I21" s="1"/>
  <c r="J21" s="1"/>
  <c r="K21" s="1"/>
  <c r="L21" s="1"/>
  <c r="M21" s="1"/>
  <c r="F18"/>
  <c r="F12" i="4" s="1"/>
  <c r="F11" s="1"/>
  <c r="F4" s="1"/>
  <c r="H15" i="3"/>
  <c r="G13"/>
  <c r="H10"/>
  <c r="G7"/>
  <c r="G7" i="4"/>
  <c r="G5" s="1"/>
  <c r="C42" i="5"/>
  <c r="F3" i="4" l="1"/>
  <c r="I10" i="3"/>
  <c r="H7" i="4"/>
  <c r="H7" i="3"/>
  <c r="I15"/>
  <c r="H13"/>
  <c r="F30"/>
  <c r="G33"/>
  <c r="C3" i="4"/>
  <c r="C22"/>
  <c r="J6"/>
  <c r="K8" i="3"/>
  <c r="F58"/>
  <c r="E5" i="6"/>
  <c r="H56" i="3"/>
  <c r="G30" i="4"/>
  <c r="G55" i="3"/>
  <c r="F7" i="6" s="1"/>
  <c r="K28" i="3"/>
  <c r="J17" i="4"/>
  <c r="J16" i="5"/>
  <c r="G28" i="4"/>
  <c r="F16" i="3"/>
  <c r="F6" s="1"/>
  <c r="G18"/>
  <c r="G12" i="4" s="1"/>
  <c r="G6" i="5"/>
  <c r="G7"/>
  <c r="G10" i="4"/>
  <c r="E27" i="3"/>
  <c r="E19" i="4"/>
  <c r="E16" s="1"/>
  <c r="E15" s="1"/>
  <c r="E14" s="1"/>
  <c r="E18" i="5"/>
  <c r="E15" s="1"/>
  <c r="E23" s="1"/>
  <c r="E38" s="1"/>
  <c r="E40" s="1"/>
  <c r="D3" i="4"/>
  <c r="D22"/>
  <c r="F39" i="5"/>
  <c r="F41" s="1"/>
  <c r="I43" i="3"/>
  <c r="H29" i="4"/>
  <c r="G11" i="5"/>
  <c r="H51" i="3"/>
  <c r="G47"/>
  <c r="G27" i="4"/>
  <c r="G23" s="1"/>
  <c r="H9"/>
  <c r="I12" i="3"/>
  <c r="G13" i="4"/>
  <c r="H17" i="3"/>
  <c r="G9" i="5"/>
  <c r="G16" i="3"/>
  <c r="G6" s="1"/>
  <c r="H18"/>
  <c r="H12" i="4" s="1"/>
  <c r="I20" i="3"/>
  <c r="I32"/>
  <c r="E22" i="4"/>
  <c r="E3"/>
  <c r="E7" i="7"/>
  <c r="F4" i="6" l="1"/>
  <c r="G5" i="3"/>
  <c r="G71" s="1"/>
  <c r="E44" i="4"/>
  <c r="D8" i="7"/>
  <c r="D6"/>
  <c r="D7"/>
  <c r="E31" i="4"/>
  <c r="D10" i="7"/>
  <c r="J32" i="3"/>
  <c r="G58"/>
  <c r="F5" i="6"/>
  <c r="J43" i="3"/>
  <c r="I29" i="4"/>
  <c r="D44"/>
  <c r="D46" s="1"/>
  <c r="C6" i="7"/>
  <c r="C8"/>
  <c r="C7"/>
  <c r="E45" i="4"/>
  <c r="D9" i="7"/>
  <c r="H55" i="3"/>
  <c r="G7" i="6" s="1"/>
  <c r="H30" i="4"/>
  <c r="I56" i="3"/>
  <c r="L8"/>
  <c r="K6" i="4"/>
  <c r="C31"/>
  <c r="B10" i="7"/>
  <c r="H33" i="3"/>
  <c r="G30"/>
  <c r="H7" i="5"/>
  <c r="H10" i="4"/>
  <c r="H6" i="5"/>
  <c r="I7" i="4"/>
  <c r="J10" i="3"/>
  <c r="I7"/>
  <c r="H28" i="4"/>
  <c r="G11"/>
  <c r="G4" s="1"/>
  <c r="J20" i="3"/>
  <c r="I18"/>
  <c r="I12" i="4" s="1"/>
  <c r="I17" i="3"/>
  <c r="H13" i="4"/>
  <c r="H11" s="1"/>
  <c r="H9" i="5"/>
  <c r="H16" i="3"/>
  <c r="H6" s="1"/>
  <c r="J12"/>
  <c r="I9" i="4"/>
  <c r="H27"/>
  <c r="H23" s="1"/>
  <c r="H11" i="5"/>
  <c r="I51" i="3"/>
  <c r="H47"/>
  <c r="D31" i="4"/>
  <c r="C10" i="7"/>
  <c r="E26" i="3"/>
  <c r="D6" i="6"/>
  <c r="D8" s="1"/>
  <c r="D9" s="1"/>
  <c r="D10" s="1"/>
  <c r="E4"/>
  <c r="F5" i="3"/>
  <c r="F71" s="1"/>
  <c r="L28"/>
  <c r="K16" i="5"/>
  <c r="K17" i="4"/>
  <c r="C44"/>
  <c r="C46" s="1"/>
  <c r="B6" i="7"/>
  <c r="B8"/>
  <c r="B7"/>
  <c r="F27" i="3"/>
  <c r="F19" i="4"/>
  <c r="F16" s="1"/>
  <c r="F15" s="1"/>
  <c r="F18" i="5"/>
  <c r="F15" s="1"/>
  <c r="F23" s="1"/>
  <c r="F38" s="1"/>
  <c r="F40" s="1"/>
  <c r="J15" i="3"/>
  <c r="I13"/>
  <c r="F44" i="4"/>
  <c r="E8" i="7"/>
  <c r="E6"/>
  <c r="E42" i="5"/>
  <c r="G5"/>
  <c r="H5" i="4"/>
  <c r="G4" i="6" l="1"/>
  <c r="H5" i="3"/>
  <c r="H71" s="1"/>
  <c r="G3" i="4"/>
  <c r="I7" i="5"/>
  <c r="I10" i="4"/>
  <c r="F26" i="3"/>
  <c r="E6" i="6"/>
  <c r="L17" i="4"/>
  <c r="L16" i="5"/>
  <c r="M28" i="3"/>
  <c r="G5" i="6"/>
  <c r="H58" i="3"/>
  <c r="I6" i="5"/>
  <c r="I33" i="3"/>
  <c r="H30"/>
  <c r="M8"/>
  <c r="L6" i="4"/>
  <c r="I55" i="3"/>
  <c r="H7" i="6" s="1"/>
  <c r="I30" i="4"/>
  <c r="J56" i="3"/>
  <c r="K43"/>
  <c r="J29" i="4"/>
  <c r="K32" i="3"/>
  <c r="I5" i="4"/>
  <c r="E46"/>
  <c r="H4"/>
  <c r="G39" i="5"/>
  <c r="G41" s="1"/>
  <c r="K15" i="3"/>
  <c r="J13"/>
  <c r="F14" i="4"/>
  <c r="F22"/>
  <c r="E25" i="3"/>
  <c r="E72" s="1"/>
  <c r="E73" s="1"/>
  <c r="E46"/>
  <c r="E59" s="1"/>
  <c r="I11" i="5"/>
  <c r="I27" i="4"/>
  <c r="I23" s="1"/>
  <c r="I47" i="3"/>
  <c r="J51"/>
  <c r="K12"/>
  <c r="J9" i="4"/>
  <c r="I13"/>
  <c r="I11" s="1"/>
  <c r="J17" i="3"/>
  <c r="I9" i="5"/>
  <c r="I16" i="3"/>
  <c r="I6" s="1"/>
  <c r="K20"/>
  <c r="J18"/>
  <c r="J12" i="4" s="1"/>
  <c r="J7"/>
  <c r="K10" i="3"/>
  <c r="J7"/>
  <c r="G27"/>
  <c r="G19" i="4"/>
  <c r="G16" s="1"/>
  <c r="G15" s="1"/>
  <c r="G14" s="1"/>
  <c r="G18" i="5"/>
  <c r="G15" s="1"/>
  <c r="G23" s="1"/>
  <c r="G38" s="1"/>
  <c r="G40" s="1"/>
  <c r="E8" i="6"/>
  <c r="E9" s="1"/>
  <c r="E10" s="1"/>
  <c r="F42" i="5" s="1"/>
  <c r="F7" i="7"/>
  <c r="H5" i="5"/>
  <c r="I28" i="4"/>
  <c r="I5" i="3" l="1"/>
  <c r="I71" s="1"/>
  <c r="H4" i="6"/>
  <c r="H39" i="5"/>
  <c r="H41" s="1"/>
  <c r="G26" i="3"/>
  <c r="F6" i="6"/>
  <c r="F8" s="1"/>
  <c r="F9" s="1"/>
  <c r="F10" s="1"/>
  <c r="G42" i="5" s="1"/>
  <c r="L10" i="3"/>
  <c r="K7" i="4"/>
  <c r="K7" i="3"/>
  <c r="K17"/>
  <c r="J13" i="4"/>
  <c r="J16" i="3"/>
  <c r="J9" i="5"/>
  <c r="J27" i="4"/>
  <c r="J23" s="1"/>
  <c r="K51" i="3"/>
  <c r="J47"/>
  <c r="J11" i="5"/>
  <c r="E10" i="7"/>
  <c r="F31" i="4"/>
  <c r="J7" i="5"/>
  <c r="J10" i="4"/>
  <c r="H3"/>
  <c r="I4"/>
  <c r="L32" i="3"/>
  <c r="L43"/>
  <c r="K29" i="4"/>
  <c r="M6"/>
  <c r="J33" i="3"/>
  <c r="I30"/>
  <c r="F25"/>
  <c r="F72" s="1"/>
  <c r="F73" s="1"/>
  <c r="F46"/>
  <c r="F59" s="1"/>
  <c r="G44" i="4"/>
  <c r="G46" s="1"/>
  <c r="F6" i="7"/>
  <c r="F8"/>
  <c r="G45" i="4"/>
  <c r="F9" i="7"/>
  <c r="J6" i="5"/>
  <c r="J6" i="3"/>
  <c r="L20"/>
  <c r="K18"/>
  <c r="K12" i="4" s="1"/>
  <c r="L12" i="3"/>
  <c r="K9" i="4"/>
  <c r="I58" i="3"/>
  <c r="H5" i="6"/>
  <c r="F45" i="4"/>
  <c r="F46" s="1"/>
  <c r="E9" i="7"/>
  <c r="L15" i="3"/>
  <c r="K13"/>
  <c r="K56"/>
  <c r="J30" i="4"/>
  <c r="J28" s="1"/>
  <c r="J55" i="3"/>
  <c r="I7" i="6" s="1"/>
  <c r="H18" i="5"/>
  <c r="H15" s="1"/>
  <c r="H23" s="1"/>
  <c r="H38" s="1"/>
  <c r="H40" s="1"/>
  <c r="H19" i="4"/>
  <c r="H16" s="1"/>
  <c r="H15" s="1"/>
  <c r="H14" s="1"/>
  <c r="H27" i="3"/>
  <c r="M17" i="4"/>
  <c r="M16" i="5"/>
  <c r="J11" i="4"/>
  <c r="J5"/>
  <c r="I5" i="5"/>
  <c r="G22" i="4"/>
  <c r="J5" i="5" l="1"/>
  <c r="J4" i="4"/>
  <c r="H26" i="3"/>
  <c r="G6" i="6"/>
  <c r="G8" s="1"/>
  <c r="G9" s="1"/>
  <c r="G10" s="1"/>
  <c r="H42" i="5" s="1"/>
  <c r="K10" i="4"/>
  <c r="K7" i="5"/>
  <c r="I4" i="6"/>
  <c r="J5" i="3"/>
  <c r="J71" s="1"/>
  <c r="K33"/>
  <c r="J30"/>
  <c r="M43"/>
  <c r="M29" i="4" s="1"/>
  <c r="L29"/>
  <c r="M32" i="3"/>
  <c r="I3" i="4"/>
  <c r="J58" i="3"/>
  <c r="I5" i="6"/>
  <c r="L17" i="3"/>
  <c r="K16"/>
  <c r="K13" i="4"/>
  <c r="K11" s="1"/>
  <c r="K9" i="5"/>
  <c r="H22" i="4"/>
  <c r="K5"/>
  <c r="G31"/>
  <c r="F10" i="7"/>
  <c r="I39" i="5"/>
  <c r="I41" s="1"/>
  <c r="H45" i="4"/>
  <c r="G9" i="7"/>
  <c r="L56" i="3"/>
  <c r="K55"/>
  <c r="J7" i="6" s="1"/>
  <c r="K30" i="4"/>
  <c r="M15" i="3"/>
  <c r="M13" s="1"/>
  <c r="L13"/>
  <c r="M12"/>
  <c r="M9" i="4" s="1"/>
  <c r="L9"/>
  <c r="M20" i="3"/>
  <c r="M18" s="1"/>
  <c r="M12" i="4" s="1"/>
  <c r="L18" i="3"/>
  <c r="L12" i="4" s="1"/>
  <c r="J39" i="5"/>
  <c r="J41" s="1"/>
  <c r="I19" i="4"/>
  <c r="I16" s="1"/>
  <c r="I15" s="1"/>
  <c r="I14" s="1"/>
  <c r="I18" i="5"/>
  <c r="I15" s="1"/>
  <c r="I23" s="1"/>
  <c r="I38" s="1"/>
  <c r="I40" s="1"/>
  <c r="I27" i="3"/>
  <c r="H44" i="4"/>
  <c r="H46" s="1"/>
  <c r="G6" i="7"/>
  <c r="G7"/>
  <c r="G8"/>
  <c r="L51" i="3"/>
  <c r="K27" i="4"/>
  <c r="K23" s="1"/>
  <c r="K11" i="5"/>
  <c r="K47" i="3"/>
  <c r="K6" i="5"/>
  <c r="K5" s="1"/>
  <c r="K6" i="3"/>
  <c r="M10"/>
  <c r="L7" i="4"/>
  <c r="L5" s="1"/>
  <c r="L7" i="3"/>
  <c r="G25"/>
  <c r="G72" s="1"/>
  <c r="G73" s="1"/>
  <c r="G46"/>
  <c r="G59" s="1"/>
  <c r="K28" i="4"/>
  <c r="L6" i="5" l="1"/>
  <c r="L6" i="3"/>
  <c r="M7" i="4"/>
  <c r="M5" s="1"/>
  <c r="M7" i="3"/>
  <c r="K39" i="5"/>
  <c r="K41" s="1"/>
  <c r="L27" i="4"/>
  <c r="L23" s="1"/>
  <c r="M51" i="3"/>
  <c r="L11" i="5"/>
  <c r="L47" i="3"/>
  <c r="L7" i="5"/>
  <c r="L10" i="4"/>
  <c r="L30"/>
  <c r="L55" i="3"/>
  <c r="K7" i="6" s="1"/>
  <c r="M56" i="3"/>
  <c r="H31" i="4"/>
  <c r="G10" i="7"/>
  <c r="M17" i="3"/>
  <c r="L16"/>
  <c r="L13" i="4"/>
  <c r="L9" i="5"/>
  <c r="I44" i="4"/>
  <c r="I46" s="1"/>
  <c r="H6" i="7"/>
  <c r="H8"/>
  <c r="H7"/>
  <c r="L33" i="3"/>
  <c r="K30"/>
  <c r="L11" i="4"/>
  <c r="J4" i="6"/>
  <c r="K5" i="3"/>
  <c r="K71" s="1"/>
  <c r="K58"/>
  <c r="J5" i="6"/>
  <c r="I26" i="3"/>
  <c r="H6" i="6"/>
  <c r="H8" s="1"/>
  <c r="H9" s="1"/>
  <c r="H10" s="1"/>
  <c r="I42" i="5" s="1"/>
  <c r="I45" i="4"/>
  <c r="H9" i="7"/>
  <c r="M10" i="4"/>
  <c r="M7" i="5"/>
  <c r="K4" i="4"/>
  <c r="J19"/>
  <c r="J16" s="1"/>
  <c r="J15" s="1"/>
  <c r="J14" s="1"/>
  <c r="J18" i="5"/>
  <c r="J15" s="1"/>
  <c r="J23" s="1"/>
  <c r="J38" s="1"/>
  <c r="J40" s="1"/>
  <c r="J27" i="3"/>
  <c r="H25"/>
  <c r="H72" s="1"/>
  <c r="H73" s="1"/>
  <c r="H46"/>
  <c r="H59" s="1"/>
  <c r="J3" i="4"/>
  <c r="J22"/>
  <c r="I22"/>
  <c r="L28"/>
  <c r="L4" l="1"/>
  <c r="L3" s="1"/>
  <c r="K7" i="7" s="1"/>
  <c r="H10"/>
  <c r="I31" i="4"/>
  <c r="I6" i="7"/>
  <c r="J44" i="4"/>
  <c r="I7" i="7"/>
  <c r="I8"/>
  <c r="M33" i="3"/>
  <c r="M30" s="1"/>
  <c r="L30"/>
  <c r="M13" i="4"/>
  <c r="M11" s="1"/>
  <c r="M9" i="5"/>
  <c r="M16" i="3"/>
  <c r="L58"/>
  <c r="K5" i="6"/>
  <c r="M27" i="4"/>
  <c r="M23" s="1"/>
  <c r="M11" i="5"/>
  <c r="M47" i="3"/>
  <c r="M6" i="5"/>
  <c r="M6" i="3"/>
  <c r="K4" i="6"/>
  <c r="L5" i="3"/>
  <c r="L71" s="1"/>
  <c r="J31" i="4"/>
  <c r="I10" i="7"/>
  <c r="I6" i="6"/>
  <c r="I8" s="1"/>
  <c r="I9" s="1"/>
  <c r="I10" s="1"/>
  <c r="J42" i="5" s="1"/>
  <c r="J26" i="3"/>
  <c r="J45" i="4"/>
  <c r="I9" i="7"/>
  <c r="K3" i="4"/>
  <c r="I25" i="3"/>
  <c r="I72" s="1"/>
  <c r="I73" s="1"/>
  <c r="I46"/>
  <c r="I59" s="1"/>
  <c r="K18" i="5"/>
  <c r="K15" s="1"/>
  <c r="K23" s="1"/>
  <c r="K38" s="1"/>
  <c r="K40" s="1"/>
  <c r="K19" i="4"/>
  <c r="K16" s="1"/>
  <c r="K15" s="1"/>
  <c r="K14" s="1"/>
  <c r="K27" i="3"/>
  <c r="M30" i="4"/>
  <c r="M28" s="1"/>
  <c r="M55" i="3"/>
  <c r="L7" i="6" s="1"/>
  <c r="M4" i="4"/>
  <c r="L5" i="5"/>
  <c r="L39" l="1"/>
  <c r="L41" s="1"/>
  <c r="M3" i="4"/>
  <c r="J6" i="6"/>
  <c r="J8" s="1"/>
  <c r="J9" s="1"/>
  <c r="J10" s="1"/>
  <c r="K26" i="3"/>
  <c r="J6" i="7"/>
  <c r="K44" i="4"/>
  <c r="J7" i="7"/>
  <c r="J8"/>
  <c r="L4" i="6"/>
  <c r="M5" i="3"/>
  <c r="M71" s="1"/>
  <c r="M58"/>
  <c r="L5" i="6"/>
  <c r="L19" i="4"/>
  <c r="L16" s="1"/>
  <c r="L15" s="1"/>
  <c r="L18" i="5"/>
  <c r="L15" s="1"/>
  <c r="L23" s="1"/>
  <c r="L38" s="1"/>
  <c r="L40" s="1"/>
  <c r="L27" i="3"/>
  <c r="L44" i="4"/>
  <c r="K6" i="7"/>
  <c r="K8"/>
  <c r="K45" i="4"/>
  <c r="J9" i="7"/>
  <c r="J25" i="3"/>
  <c r="J72" s="1"/>
  <c r="J73" s="1"/>
  <c r="J46"/>
  <c r="J59" s="1"/>
  <c r="M19" i="4"/>
  <c r="M16" s="1"/>
  <c r="M15" s="1"/>
  <c r="M14" s="1"/>
  <c r="M45" s="1"/>
  <c r="M18" i="5"/>
  <c r="M15" s="1"/>
  <c r="M27" i="3"/>
  <c r="K42" i="5"/>
  <c r="J46" i="4"/>
  <c r="L9" i="7"/>
  <c r="K22" i="4"/>
  <c r="M5" i="5"/>
  <c r="L7" i="7"/>
  <c r="M22" i="4" l="1"/>
  <c r="M23" i="5"/>
  <c r="M38" s="1"/>
  <c r="M40" s="1"/>
  <c r="M39"/>
  <c r="M41" s="1"/>
  <c r="J10" i="7"/>
  <c r="K31" i="4"/>
  <c r="L6" i="6"/>
  <c r="L8" s="1"/>
  <c r="L9" s="1"/>
  <c r="L10" s="1"/>
  <c r="M26" i="3"/>
  <c r="L26"/>
  <c r="K6" i="6"/>
  <c r="K8" s="1"/>
  <c r="K9" s="1"/>
  <c r="K10" s="1"/>
  <c r="L42" i="5" s="1"/>
  <c r="L14" i="4"/>
  <c r="L22"/>
  <c r="K25" i="3"/>
  <c r="K72" s="1"/>
  <c r="K73" s="1"/>
  <c r="K46"/>
  <c r="K59" s="1"/>
  <c r="L6" i="7"/>
  <c r="M44" i="4"/>
  <c r="M46" s="1"/>
  <c r="L8" i="7"/>
  <c r="K46" i="4"/>
  <c r="M25" i="3" l="1"/>
  <c r="M72" s="1"/>
  <c r="M73" s="1"/>
  <c r="M46"/>
  <c r="M59" s="1"/>
  <c r="M31" i="4"/>
  <c r="L10" i="7"/>
  <c r="L31" i="4"/>
  <c r="K10" i="7"/>
  <c r="L45" i="4"/>
  <c r="L46" s="1"/>
  <c r="K9" i="7"/>
  <c r="L25" i="3"/>
  <c r="L72" s="1"/>
  <c r="L73" s="1"/>
  <c r="L46"/>
  <c r="L59" s="1"/>
  <c r="M42" i="5"/>
</calcChain>
</file>

<file path=xl/comments1.xml><?xml version="1.0" encoding="utf-8"?>
<comments xmlns="http://schemas.openxmlformats.org/spreadsheetml/2006/main">
  <authors>
    <author>minhacienda</author>
    <author>avalenzu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avlenzu:</t>
        </r>
        <r>
          <rPr>
            <sz val="8"/>
            <color indexed="81"/>
            <rFont val="Tahoma"/>
            <family val="2"/>
          </rPr>
          <t xml:space="preserve">
DIGITAR EL NOMBRE DEL MUNICIPIO</t>
        </r>
      </text>
    </comment>
    <comment ref="B16" authorId="1">
      <text>
        <r>
          <rPr>
            <b/>
            <sz val="8"/>
            <color indexed="81"/>
            <rFont val="Tahoma"/>
            <family val="2"/>
          </rPr>
          <t>avalenzu:</t>
        </r>
        <r>
          <rPr>
            <sz val="8"/>
            <color indexed="81"/>
            <rFont val="Tahoma"/>
            <family val="2"/>
          </rPr>
          <t xml:space="preserve">
ESTE CAMPO ES OBLIGATORIO</t>
        </r>
      </text>
    </comment>
  </commentList>
</comments>
</file>

<file path=xl/comments2.xml><?xml version="1.0" encoding="utf-8"?>
<comments xmlns="http://schemas.openxmlformats.org/spreadsheetml/2006/main">
  <authors>
    <author>jgalindo</author>
  </authors>
  <commentList>
    <comment ref="C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D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E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F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G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H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I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J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L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M8" authorId="0">
      <text>
        <r>
          <rPr>
            <sz val="8"/>
            <color indexed="81"/>
            <rFont val="Tahoma"/>
            <family val="2"/>
          </rPr>
          <t xml:space="preserve">Los municipios con regalías deben trabajar con el porcentaje de  15% si es por Prioritarios
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Si ya estan comprometidos los recursos de APSB, descontar los mismos.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jgalindo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El cálculo de este indicador puede presentar diferencia por la clasificación de los ICLD y GF</t>
        </r>
      </text>
    </comment>
  </commentList>
</comments>
</file>

<file path=xl/sharedStrings.xml><?xml version="1.0" encoding="utf-8"?>
<sst xmlns="http://schemas.openxmlformats.org/spreadsheetml/2006/main" count="405" uniqueCount="352">
  <si>
    <t>Plan Financiero</t>
  </si>
  <si>
    <t>A2005</t>
  </si>
  <si>
    <t>A2006</t>
  </si>
  <si>
    <t>A2007</t>
  </si>
  <si>
    <t>A2008</t>
  </si>
  <si>
    <t>A2009</t>
  </si>
  <si>
    <t>Millones de pesos</t>
  </si>
  <si>
    <t>Deflactor</t>
  </si>
  <si>
    <t>Corrientes *</t>
  </si>
  <si>
    <t>Constantes</t>
  </si>
  <si>
    <t>Tasas de Crecimiento</t>
  </si>
  <si>
    <t>Participaciones</t>
  </si>
  <si>
    <t>CUENTA</t>
  </si>
  <si>
    <t>2005</t>
  </si>
  <si>
    <t>2006</t>
  </si>
  <si>
    <t>2007</t>
  </si>
  <si>
    <t>2008</t>
  </si>
  <si>
    <t>2009</t>
  </si>
  <si>
    <t>2006/2005</t>
  </si>
  <si>
    <t>2007/2006</t>
  </si>
  <si>
    <t>2008/2007</t>
  </si>
  <si>
    <t>2009/2008</t>
  </si>
  <si>
    <t>Promedio</t>
  </si>
  <si>
    <t>INGRESOS TOTALES</t>
  </si>
  <si>
    <t>1.  INGRESOS CORRIENTES</t>
  </si>
  <si>
    <t>1.1     INGRESOS TRIBUTARIOS</t>
  </si>
  <si>
    <t>1.1.1. PREDIAL</t>
  </si>
  <si>
    <t>1.1.2. INDUSTRIA Y COMERCIO</t>
  </si>
  <si>
    <t>1.1.3. SOBRETASA A LA GASOLINA</t>
  </si>
  <si>
    <t>1.1.4. OTROS</t>
  </si>
  <si>
    <t>1.2.    INGRESOS NO TRIBUTARIOS</t>
  </si>
  <si>
    <t>1.3.    TRANSFERENCIAS</t>
  </si>
  <si>
    <t>1.3.1.    DEL NIVEL NACIONAL</t>
  </si>
  <si>
    <t>1.3.2.    OTRAS</t>
  </si>
  <si>
    <t>GASTOS TOTALES</t>
  </si>
  <si>
    <t>SALDO DE DEUDA</t>
  </si>
  <si>
    <t>* Información disponible en la página del DNP:</t>
  </si>
  <si>
    <t>http://www.dnp.gov.co/PortalWeb/Programas/DesarrolloTerritorial/FinanzasPúblicasTerritoriales/EjecucionesPresupuestales/tabid/369/Default.aspx</t>
  </si>
  <si>
    <t>DEPARTAMENTO NACIONAL DE PLANEACION</t>
  </si>
  <si>
    <t>Código:</t>
  </si>
  <si>
    <t>Entidad Territorial</t>
  </si>
  <si>
    <t>Código DANE:</t>
  </si>
  <si>
    <t>Vigencia Fiscal:</t>
  </si>
  <si>
    <t>Categoría:</t>
  </si>
  <si>
    <t>Nit:</t>
  </si>
  <si>
    <t>Opción por la cuál se categorizó en la vigencia anterior (digite una X sobre la opción respectiva):</t>
  </si>
  <si>
    <t>Ley 617 de 2000:</t>
  </si>
  <si>
    <t>Ley 136 de 1994:</t>
  </si>
  <si>
    <t>MinHacienda:</t>
  </si>
  <si>
    <t>Fecha de Inicio del Analisis:</t>
  </si>
  <si>
    <t>A2010</t>
  </si>
  <si>
    <t>2010</t>
  </si>
  <si>
    <t>2010/2009</t>
  </si>
  <si>
    <t>BALANCE FINANCIERO</t>
  </si>
  <si>
    <t>(Millones de pesos)</t>
  </si>
  <si>
    <t>Código CGR</t>
  </si>
  <si>
    <t>CONCEPTOS</t>
  </si>
  <si>
    <t>INGRESOS CORRIENTES</t>
  </si>
  <si>
    <t>TRIBUTARIOS</t>
  </si>
  <si>
    <t>1110103</t>
  </si>
  <si>
    <t xml:space="preserve">    Impuesto Predial Unificado (Incluye Compensación por predial de Resguardos Ind.)</t>
  </si>
  <si>
    <t>307A</t>
  </si>
  <si>
    <t xml:space="preserve">    Impuesto de Circulación y Tránsito Servicio Público</t>
  </si>
  <si>
    <t>1110205</t>
  </si>
  <si>
    <t xml:space="preserve">    Impuesto de Industria y Comercio</t>
  </si>
  <si>
    <t>1110216</t>
  </si>
  <si>
    <t xml:space="preserve">    Sobretasa a la Gasolina</t>
  </si>
  <si>
    <t>308A</t>
  </si>
  <si>
    <t xml:space="preserve">  Otros Ingresos Tributarios</t>
  </si>
  <si>
    <t>112</t>
  </si>
  <si>
    <t>NO TRIBUTARIOS</t>
  </si>
  <si>
    <t>127A</t>
  </si>
  <si>
    <t xml:space="preserve">             Ingresos de la propiedad (Tasas, multas, arendamientos, contribuciones)</t>
  </si>
  <si>
    <t>11298</t>
  </si>
  <si>
    <t xml:space="preserve">             Otros no tributarios (operación comercial, fondos especiales, otros)</t>
  </si>
  <si>
    <t>11205</t>
  </si>
  <si>
    <t xml:space="preserve">       Transferencias</t>
  </si>
  <si>
    <t>1120501</t>
  </si>
  <si>
    <t xml:space="preserve">      Transferencias Corrientes (Para Funcionamiento)</t>
  </si>
  <si>
    <t>1120502</t>
  </si>
  <si>
    <t xml:space="preserve">         Del Nivel Nacional (SGP- Inversión)</t>
  </si>
  <si>
    <t>1120502010101</t>
  </si>
  <si>
    <t xml:space="preserve">            Sistema General de Participaciones -Educación-</t>
  </si>
  <si>
    <t>1120502010102</t>
  </si>
  <si>
    <t xml:space="preserve">            Sistema General de Participaciones -Salud-</t>
  </si>
  <si>
    <t>1120502010103</t>
  </si>
  <si>
    <t xml:space="preserve">            Sistema General de Participaciones -APSB-</t>
  </si>
  <si>
    <t>1120502010104</t>
  </si>
  <si>
    <t xml:space="preserve">            Sistema General de Participaciones PG (Forzosa Inversión)</t>
  </si>
  <si>
    <t>1120502010198</t>
  </si>
  <si>
    <t xml:space="preserve">             Otras (Alimentación Escolar, Ribereños, Otras transferencias nal.)</t>
  </si>
  <si>
    <t>112050202</t>
  </si>
  <si>
    <t xml:space="preserve">        Del Nivel Departamental</t>
  </si>
  <si>
    <t>2</t>
  </si>
  <si>
    <t>GASTOS  TOTALES</t>
  </si>
  <si>
    <t>131A</t>
  </si>
  <si>
    <t>GASTOS CORRIENTES</t>
  </si>
  <si>
    <t>21</t>
  </si>
  <si>
    <t>FUNCIONAMIENTO</t>
  </si>
  <si>
    <t>211</t>
  </si>
  <si>
    <t xml:space="preserve">  GASTOS DE PERSONAL</t>
  </si>
  <si>
    <t>212</t>
  </si>
  <si>
    <t xml:space="preserve">  GASTOS GENERALES</t>
  </si>
  <si>
    <t>213</t>
  </si>
  <si>
    <t xml:space="preserve">  TRANSFERENCIAS</t>
  </si>
  <si>
    <t>132A</t>
  </si>
  <si>
    <t xml:space="preserve">          Pensiones (mesadas)</t>
  </si>
  <si>
    <t>133A</t>
  </si>
  <si>
    <t xml:space="preserve">        Previsión Social (cesantías y otras prestaciones)</t>
  </si>
  <si>
    <t>312A</t>
  </si>
  <si>
    <t xml:space="preserve">        A Entidades  Nacionales (Fonpet y otros)</t>
  </si>
  <si>
    <t>313A</t>
  </si>
  <si>
    <t xml:space="preserve">        A Entidades Departamentales</t>
  </si>
  <si>
    <t>217A</t>
  </si>
  <si>
    <t xml:space="preserve">        A Entidades Municipales</t>
  </si>
  <si>
    <t>314A</t>
  </si>
  <si>
    <t xml:space="preserve">        Cuota de auditaje</t>
  </si>
  <si>
    <t>21305</t>
  </si>
  <si>
    <t xml:space="preserve">         Indemnizaciones por retiros de personal</t>
  </si>
  <si>
    <t>21306</t>
  </si>
  <si>
    <t xml:space="preserve">        Sentencias y Conciliaciones</t>
  </si>
  <si>
    <t>21398</t>
  </si>
  <si>
    <t xml:space="preserve">        Otras Transferencias</t>
  </si>
  <si>
    <t>2320102 + 2320103 + 2320202 + 2320203</t>
  </si>
  <si>
    <t xml:space="preserve"> Intereses y Comisiones de Deuda Pública</t>
  </si>
  <si>
    <t>135A</t>
  </si>
  <si>
    <t xml:space="preserve">           Interna</t>
  </si>
  <si>
    <t>136A</t>
  </si>
  <si>
    <t xml:space="preserve">           Externa</t>
  </si>
  <si>
    <t>137A</t>
  </si>
  <si>
    <t>Gastos operativos en sectores sociales (remuneración al trabajo, prestaciones, subsidios en educación, salud y otros sectores de inversión)</t>
  </si>
  <si>
    <t>217</t>
  </si>
  <si>
    <t>Déficit de Vigencias anteriores por funcionamiento</t>
  </si>
  <si>
    <t>300A</t>
  </si>
  <si>
    <t>Amortización de Bonos Pensionales</t>
  </si>
  <si>
    <t>138A</t>
  </si>
  <si>
    <t>DÉFICIT O AHORRO CORRIENTE</t>
  </si>
  <si>
    <t>12</t>
  </si>
  <si>
    <t>INGRESOS DE CAPITAL</t>
  </si>
  <si>
    <t>309A</t>
  </si>
  <si>
    <t xml:space="preserve">        Cofinanciación (Fondos de Cofinanciación, FNR)</t>
  </si>
  <si>
    <t>112050207</t>
  </si>
  <si>
    <t xml:space="preserve">        Regalías</t>
  </si>
  <si>
    <t>11205020105</t>
  </si>
  <si>
    <t xml:space="preserve">        Fondo de Ahorro y Estabilización Petrolera (FAEP)</t>
  </si>
  <si>
    <t>123</t>
  </si>
  <si>
    <t xml:space="preserve">         Rendimientos Financieros</t>
  </si>
  <si>
    <t>125</t>
  </si>
  <si>
    <t xml:space="preserve">         Excedentes Financieros</t>
  </si>
  <si>
    <t>122</t>
  </si>
  <si>
    <t xml:space="preserve">         Recursos del balance  </t>
  </si>
  <si>
    <t>128</t>
  </si>
  <si>
    <t xml:space="preserve">         Otros recursos de capital  (donaciones, aprovechamientos y otros)</t>
  </si>
  <si>
    <t>139A</t>
  </si>
  <si>
    <t>GASTOS DE CAPITAL</t>
  </si>
  <si>
    <t>140A</t>
  </si>
  <si>
    <t xml:space="preserve">        Formación Bruta de capital (construcción, reparación)</t>
  </si>
  <si>
    <t>228</t>
  </si>
  <si>
    <t xml:space="preserve">        Déficit de Vigencias anteriores por inversión / Reservas</t>
  </si>
  <si>
    <t>142A</t>
  </si>
  <si>
    <t>DÉFICIT O SUPERÁVIT DE CAPITAL</t>
  </si>
  <si>
    <t>143A</t>
  </si>
  <si>
    <t>DÉFICIT O SUPERÁVIT TOTAL</t>
  </si>
  <si>
    <t>144A</t>
  </si>
  <si>
    <t>FINANCIACIÓN</t>
  </si>
  <si>
    <t>121</t>
  </si>
  <si>
    <t xml:space="preserve">  Recursos del crédito</t>
  </si>
  <si>
    <t>12101</t>
  </si>
  <si>
    <t xml:space="preserve">    Interno</t>
  </si>
  <si>
    <t>218A</t>
  </si>
  <si>
    <t xml:space="preserve">        Desembolsos</t>
  </si>
  <si>
    <t>297A</t>
  </si>
  <si>
    <t xml:space="preserve">        Amortizaciones</t>
  </si>
  <si>
    <t>12102</t>
  </si>
  <si>
    <t xml:space="preserve">    Externo</t>
  </si>
  <si>
    <t>219A</t>
  </si>
  <si>
    <t>302A</t>
  </si>
  <si>
    <t xml:space="preserve">    Saldo de Deuda</t>
  </si>
  <si>
    <t>147A</t>
  </si>
  <si>
    <t>RESULTADO PRESUPUESTAL</t>
  </si>
  <si>
    <t>148A</t>
  </si>
  <si>
    <t>149A</t>
  </si>
  <si>
    <t>150A</t>
  </si>
  <si>
    <t>DEFICIT O SUPERAVIT PRESUPUESTAL</t>
  </si>
  <si>
    <t>IPC PROYECTADO</t>
  </si>
  <si>
    <t>Plan Financiero (milones de $ corrientes)</t>
  </si>
  <si>
    <t>COD_CUE</t>
  </si>
  <si>
    <t>A</t>
  </si>
  <si>
    <t xml:space="preserve">    INGRESOS TOTALES</t>
  </si>
  <si>
    <t>A0</t>
  </si>
  <si>
    <t>A1000</t>
  </si>
  <si>
    <t>A1010</t>
  </si>
  <si>
    <t>A1020</t>
  </si>
  <si>
    <t>A1030</t>
  </si>
  <si>
    <t>1.1.3. SOBRETASAS A LA GASOLINA</t>
  </si>
  <si>
    <t>A1040</t>
  </si>
  <si>
    <t>A2000</t>
  </si>
  <si>
    <t>A3000</t>
  </si>
  <si>
    <t>A3010</t>
  </si>
  <si>
    <t>A3020</t>
  </si>
  <si>
    <t>B</t>
  </si>
  <si>
    <t xml:space="preserve">     GASTOS TOTALES</t>
  </si>
  <si>
    <t>B0</t>
  </si>
  <si>
    <t>2.  GASTOS CORRIENTES</t>
  </si>
  <si>
    <t>B1000</t>
  </si>
  <si>
    <t>2.1.    FUNCIONAMIENTO</t>
  </si>
  <si>
    <t>B1010</t>
  </si>
  <si>
    <t>2.1.1.  SERVICIOS PERSONALES</t>
  </si>
  <si>
    <t>B1020</t>
  </si>
  <si>
    <t>2.1.2. GASTOS GENERALES</t>
  </si>
  <si>
    <t>B1030</t>
  </si>
  <si>
    <t>2.1.3. TRANSFERENCIAS PAGADAS</t>
  </si>
  <si>
    <t>B2000</t>
  </si>
  <si>
    <t>2.2.   INTERESES DEUDA PUBLICA</t>
  </si>
  <si>
    <t>B3000</t>
  </si>
  <si>
    <t>2.3.   OTROS GASTOS DE FUNCIONAMIENTO</t>
  </si>
  <si>
    <t>C</t>
  </si>
  <si>
    <t>3. DEFICIT O AHORRO CORRIENTE (1-2)</t>
  </si>
  <si>
    <t>D</t>
  </si>
  <si>
    <t>4.  INGRESOS DE CAPITAL</t>
  </si>
  <si>
    <t>D1000</t>
  </si>
  <si>
    <t>4.1. REGALÍAS</t>
  </si>
  <si>
    <t>D2000</t>
  </si>
  <si>
    <t>4.2. TRANSFERENCIAS NACIONALES (SGP, etc.)</t>
  </si>
  <si>
    <t>D3000</t>
  </si>
  <si>
    <t>4.3. COFINANCIACION</t>
  </si>
  <si>
    <t>D4000</t>
  </si>
  <si>
    <t>4.4. OTROS</t>
  </si>
  <si>
    <t>E</t>
  </si>
  <si>
    <t>5.   GASTOS DE CAPITAL (INVERSION)</t>
  </si>
  <si>
    <t>E1000</t>
  </si>
  <si>
    <t>5.1.1.1.   FORMACION BRUTAL DE CAPITAL FIJO</t>
  </si>
  <si>
    <t>E2000</t>
  </si>
  <si>
    <t>5.1.1.2.   OTROS</t>
  </si>
  <si>
    <t>G</t>
  </si>
  <si>
    <t>6. DEFICIT O SUPERAVIT TOTAL (3+4-5)</t>
  </si>
  <si>
    <t>H</t>
  </si>
  <si>
    <t>7. FINANCIAMIENTO</t>
  </si>
  <si>
    <t>H1000</t>
  </si>
  <si>
    <t>7.1. CREDITO NETO</t>
  </si>
  <si>
    <t>H1010</t>
  </si>
  <si>
    <t>7.1.1. DESEMBOLSOS (+)</t>
  </si>
  <si>
    <t>H1020</t>
  </si>
  <si>
    <t>7.1.2. AMORTIZACIONES (-)</t>
  </si>
  <si>
    <t>H2000</t>
  </si>
  <si>
    <t>7.3. VARIACION DE DEPOSITOS, RB Y OTROS</t>
  </si>
  <si>
    <t>CUENTAS DE FINANCIAMIENTO</t>
  </si>
  <si>
    <t>1. CREDITO</t>
  </si>
  <si>
    <t>2. RECURSOS DEL BALANCE</t>
  </si>
  <si>
    <t>CONCEPTO</t>
  </si>
  <si>
    <t>1.</t>
  </si>
  <si>
    <t xml:space="preserve">INGRESOS CORRIENTES </t>
  </si>
  <si>
    <t>1.1</t>
  </si>
  <si>
    <t>(+) Ingresos tributarios</t>
  </si>
  <si>
    <t>1.2</t>
  </si>
  <si>
    <t>(+) Ingresos no tributarios</t>
  </si>
  <si>
    <t>1.3</t>
  </si>
  <si>
    <t>(+) Regalías y comensaciones monetarias</t>
  </si>
  <si>
    <t>1.4</t>
  </si>
  <si>
    <t>(+) Sistema General de Participaciones (libre dest. +  APSB +Propósito General)</t>
  </si>
  <si>
    <t>1.5</t>
  </si>
  <si>
    <t>(+) Recursos del balance</t>
  </si>
  <si>
    <t>1.6</t>
  </si>
  <si>
    <t>(+) Rendimientos financieros</t>
  </si>
  <si>
    <t>1.7</t>
  </si>
  <si>
    <t>(-) Reservas 819/03 vigencia anterior</t>
  </si>
  <si>
    <t>1.8</t>
  </si>
  <si>
    <t>(-) Ingresos que soportan las vigencias futuras</t>
  </si>
  <si>
    <t>1.9</t>
  </si>
  <si>
    <t>(-) Rentas titularizadas</t>
  </si>
  <si>
    <t>2.</t>
  </si>
  <si>
    <t>GASTOS DE FUNCIONAMIENTO</t>
  </si>
  <si>
    <t>2.1</t>
  </si>
  <si>
    <t>(+) Gastos de personal</t>
  </si>
  <si>
    <t>2.2</t>
  </si>
  <si>
    <t>(+) Gastos generales</t>
  </si>
  <si>
    <t>2.3</t>
  </si>
  <si>
    <t>(+) Transferencias</t>
  </si>
  <si>
    <t>2.4</t>
  </si>
  <si>
    <t>(+) Pago de déficit de funcionamiento de vigencias anteriores</t>
  </si>
  <si>
    <t>2.5</t>
  </si>
  <si>
    <t xml:space="preserve">(+) Gastos de personal presupuestados como inversión </t>
  </si>
  <si>
    <t>2.6</t>
  </si>
  <si>
    <t>(-) Indemnizaciones por programas de ajuste</t>
  </si>
  <si>
    <t>2.7</t>
  </si>
  <si>
    <t>(-) Reservas 819/03 vigencia anterior (funcionamiento)</t>
  </si>
  <si>
    <t>3.</t>
  </si>
  <si>
    <t>AHORRO OPERACIONAL (1-2)</t>
  </si>
  <si>
    <t>4.</t>
  </si>
  <si>
    <t>INFLACION PROYECTADA POR EL BANCO DE LA REPUBLICA</t>
  </si>
  <si>
    <t>5.</t>
  </si>
  <si>
    <t>SALDO DE DEUDA A 31 DE DICIEMBRE</t>
  </si>
  <si>
    <t>6.</t>
  </si>
  <si>
    <t xml:space="preserve">INTERESES DE LA DEUDA </t>
  </si>
  <si>
    <t>6.2</t>
  </si>
  <si>
    <t>Intereses causados en la vigencia por pagar</t>
  </si>
  <si>
    <t>6.3</t>
  </si>
  <si>
    <t>Intereses de los creditos de corto plazo + sobregiro + mora</t>
  </si>
  <si>
    <t>7.</t>
  </si>
  <si>
    <t xml:space="preserve">AMORTIZACIONES </t>
  </si>
  <si>
    <t>8.</t>
  </si>
  <si>
    <t>SITUACIÓN DEL NUEVO CREDITO</t>
  </si>
  <si>
    <t>8.1</t>
  </si>
  <si>
    <t>Valor total del Nuevo Crédito</t>
  </si>
  <si>
    <t>8.2</t>
  </si>
  <si>
    <t xml:space="preserve">Amortizaciones del nuevo credito </t>
  </si>
  <si>
    <t>8.3</t>
  </si>
  <si>
    <t xml:space="preserve">Intereses del nuevo credito </t>
  </si>
  <si>
    <t>8.4</t>
  </si>
  <si>
    <t xml:space="preserve">Saldo del nuevo credito </t>
  </si>
  <si>
    <t>9.</t>
  </si>
  <si>
    <t>CALCULO INDICADORES</t>
  </si>
  <si>
    <t>9.1</t>
  </si>
  <si>
    <t>TOTAL INTERESES   = ( 6 + 8.3 )</t>
  </si>
  <si>
    <t>9.2</t>
  </si>
  <si>
    <t xml:space="preserve">SALDO DEUDA NETO CON NUEVO CREDITO </t>
  </si>
  <si>
    <t>9.3</t>
  </si>
  <si>
    <r>
      <t xml:space="preserve">SOLVENCIA = INTERESES / AHORRO OPERACIONAL  = ( 9.1 / 3 ):                    </t>
    </r>
    <r>
      <rPr>
        <b/>
        <sz val="9"/>
        <color indexed="10"/>
        <rFont val="Arial"/>
        <family val="2"/>
      </rPr>
      <t xml:space="preserve"> I / AO &lt;= 40%</t>
    </r>
  </si>
  <si>
    <t>9.4</t>
  </si>
  <si>
    <r>
      <t xml:space="preserve">SOSTENIBILIDAD = SALDO DEUDA / INGRESOS CORRIENTES  = (9.2 / 1 ):     </t>
    </r>
    <r>
      <rPr>
        <b/>
        <sz val="9"/>
        <color indexed="10"/>
        <rFont val="Arial"/>
        <family val="2"/>
      </rPr>
      <t>SD / IC &lt;= 80%</t>
    </r>
  </si>
  <si>
    <t>9.5</t>
  </si>
  <si>
    <t>ESTADO ACTUAL DE LA ENTIDAD (SEMÁFORO INTERESES)</t>
  </si>
  <si>
    <t>9.6</t>
  </si>
  <si>
    <t>ESTADO ACTUAL DE LA ENTIDAD (SEMÁFORO SALDO DE DEUDA)</t>
  </si>
  <si>
    <t>9.7</t>
  </si>
  <si>
    <t>CAPACIDAD DE ENDEUDAMIENTO (SEMAFORO)</t>
  </si>
  <si>
    <t>LEY 819 DE 2003</t>
  </si>
  <si>
    <t>SUPERAVIT PRIMARIO</t>
  </si>
  <si>
    <t>RECURSOS DE CAPITAL</t>
  </si>
  <si>
    <t>GASTOS DE INVERSION</t>
  </si>
  <si>
    <t>INDICADOR (superavit primario / Intereses) &gt; = 100</t>
  </si>
  <si>
    <t>Servicio</t>
  </si>
  <si>
    <t>Intereses</t>
  </si>
  <si>
    <t>Indicadores de Desempeño Fiscal</t>
  </si>
  <si>
    <t>Indicador</t>
  </si>
  <si>
    <t>1. Autofinanciación del funcionamiento</t>
  </si>
  <si>
    <t>2. Magnitud de la Deuda: Saldo de deuda / Ingresos totales</t>
  </si>
  <si>
    <t>3. Importancia de las transferencias (SGP + Regalías)</t>
  </si>
  <si>
    <t>4. Recursos Propios: Ingresos Tributarios / Ingresos Totales</t>
  </si>
  <si>
    <t>5. Magnitud de la Inversión: Inversión / Gasto Total</t>
  </si>
  <si>
    <t>6. Capacidad de Ahorro:  Ahorro corriente/ Ingresos Corrientes</t>
  </si>
  <si>
    <t>SALDO DE DEUDA 2005-2010</t>
  </si>
  <si>
    <t>Capacidad de Endeudamiento 2011</t>
  </si>
  <si>
    <t>2.1.3. TRANSFERENCIAS PAGADAS (NOMINA Y A ENTIDADES)</t>
  </si>
  <si>
    <t>4.1.  REGALIAS</t>
  </si>
  <si>
    <t>5.1.   FORMACION BRUTAL DE CAPITAL FIJO</t>
  </si>
  <si>
    <t>5.2.   RESTO INVERSIONES</t>
  </si>
  <si>
    <t>7. FINANCIAMIENTO (7.1 + 7.2)</t>
  </si>
  <si>
    <t>7.1. CREDITO INTERNO Y EXTERNO (7.1.1 - 7.1.2.)</t>
  </si>
  <si>
    <t>7.2. RECURSOS BALANCE, VAR. DEPOSITOS, OTROS</t>
  </si>
  <si>
    <t>Saldo de deuda</t>
  </si>
  <si>
    <t>TERUEL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</si>
</sst>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_ * #,##0_ ;_ * \-#,##0_ ;_ * &quot;-&quot;??_ ;_ @_ "/>
    <numFmt numFmtId="165" formatCode="0.00000"/>
    <numFmt numFmtId="166" formatCode="_ * #,##0.00_ ;_ * \-#,##0.00_ ;_ * &quot;-&quot;??_ ;_ @_ "/>
    <numFmt numFmtId="167" formatCode="_-* #,##0.000\ _p_t_a_-;\-* #,##0.000\ _p_t_a_-;_-* &quot;-&quot;??\ _p_t_a_-;_-@_-"/>
    <numFmt numFmtId="168" formatCode="_(* #,##0_);_(* \(#,##0\);_(* &quot;-&quot;??_);_(@_)"/>
    <numFmt numFmtId="169" formatCode="0.0"/>
    <numFmt numFmtId="170" formatCode="_ * #,##0.0_ ;_ * \-#,##0.0_ ;_ * &quot;-&quot;??_ ;_ @_ "/>
    <numFmt numFmtId="171" formatCode="_ * #,##0.0_ ;_ * \-#,##0.0_ ;_ * &quot;-&quot;?_ ;_ @_ "/>
    <numFmt numFmtId="172" formatCode="m/d/yyyy;@"/>
    <numFmt numFmtId="173" formatCode="d/mm/yyyy;@"/>
    <numFmt numFmtId="174" formatCode="#,##0.000"/>
    <numFmt numFmtId="175" formatCode="_-* #,##0.00\ _p_t_a_-;\-* #,##0.00\ _p_t_a_-;_-* &quot;-&quot;??\ _p_t_a_-;_-@_-"/>
    <numFmt numFmtId="176" formatCode="_(* #,##0.0_);_(* \(#,##0.0\);_(* &quot;-&quot;??_);_(@_)"/>
    <numFmt numFmtId="177" formatCode="0.0%"/>
    <numFmt numFmtId="178" formatCode="_-* #,##0\ _€_-;\-* #,##0\ _€_-;_-* &quot;-&quot;??\ _€_-;_-@_-"/>
    <numFmt numFmtId="179" formatCode="#,##0.0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7"/>
      <name val="Calibri"/>
      <family val="2"/>
    </font>
    <font>
      <b/>
      <i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.5"/>
      <color indexed="8"/>
      <name val="Arial"/>
      <family val="2"/>
    </font>
    <font>
      <sz val="8"/>
      <color indexed="8"/>
      <name val="Arial"/>
      <family val="2"/>
    </font>
    <font>
      <sz val="7.5"/>
      <color indexed="8"/>
      <name val="Arial"/>
      <family val="2"/>
    </font>
    <font>
      <sz val="7.5"/>
      <name val="Arial"/>
      <family val="2"/>
    </font>
    <font>
      <b/>
      <i/>
      <sz val="10"/>
      <color indexed="8"/>
      <name val="Arial"/>
      <family val="2"/>
    </font>
    <font>
      <b/>
      <sz val="5.5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.5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b/>
      <sz val="9"/>
      <color indexed="10"/>
      <name val="Arial"/>
      <family val="2"/>
    </font>
    <font>
      <b/>
      <sz val="9.5"/>
      <name val="Arial"/>
      <family val="2"/>
    </font>
    <font>
      <b/>
      <sz val="13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8"/>
      <name val="MS Sans Serif"/>
      <family val="2"/>
    </font>
    <font>
      <sz val="10"/>
      <name val="MS Sans Serif"/>
      <family val="2"/>
    </font>
    <font>
      <u/>
      <sz val="9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2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35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9" applyFont="1" applyProtection="1"/>
    <xf numFmtId="164" fontId="1" fillId="0" borderId="0" xfId="9" applyNumberFormat="1" applyFont="1" applyProtection="1"/>
    <xf numFmtId="0" fontId="1" fillId="0" borderId="0" xfId="9" applyFont="1" applyProtection="1"/>
    <xf numFmtId="165" fontId="2" fillId="2" borderId="1" xfId="9" quotePrefix="1" applyNumberFormat="1" applyFont="1" applyFill="1" applyBorder="1" applyAlignment="1" applyProtection="1">
      <alignment horizontal="center"/>
    </xf>
    <xf numFmtId="165" fontId="2" fillId="2" borderId="1" xfId="9" applyNumberFormat="1" applyFont="1" applyFill="1" applyBorder="1" applyAlignment="1" applyProtection="1">
      <alignment horizontal="center"/>
    </xf>
    <xf numFmtId="0" fontId="1" fillId="0" borderId="0" xfId="9" applyFont="1" applyFill="1" applyBorder="1" applyProtection="1"/>
    <xf numFmtId="0" fontId="1" fillId="0" borderId="0" xfId="9" applyFont="1" applyFill="1" applyProtection="1"/>
    <xf numFmtId="166" fontId="1" fillId="0" borderId="0" xfId="9" applyNumberFormat="1" applyFont="1" applyProtection="1"/>
    <xf numFmtId="166" fontId="2" fillId="0" borderId="0" xfId="9" applyNumberFormat="1" applyFont="1" applyProtection="1"/>
    <xf numFmtId="167" fontId="1" fillId="0" borderId="0" xfId="5" applyNumberFormat="1" applyFont="1" applyAlignment="1" applyProtection="1">
      <alignment horizontal="right"/>
    </xf>
    <xf numFmtId="4" fontId="1" fillId="0" borderId="0" xfId="9" applyNumberFormat="1" applyFont="1" applyProtection="1"/>
    <xf numFmtId="164" fontId="2" fillId="0" borderId="0" xfId="9" applyNumberFormat="1" applyFont="1" applyProtection="1"/>
    <xf numFmtId="1" fontId="2" fillId="2" borderId="2" xfId="9" applyNumberFormat="1" applyFont="1" applyFill="1" applyBorder="1" applyAlignment="1" applyProtection="1">
      <alignment horizontal="center" vertical="center" wrapText="1"/>
    </xf>
    <xf numFmtId="165" fontId="2" fillId="2" borderId="3" xfId="9" quotePrefix="1" applyNumberFormat="1" applyFont="1" applyFill="1" applyBorder="1" applyAlignment="1" applyProtection="1">
      <alignment horizontal="center" vertical="center" wrapText="1"/>
    </xf>
    <xf numFmtId="165" fontId="2" fillId="2" borderId="3" xfId="9" applyNumberFormat="1" applyFont="1" applyFill="1" applyBorder="1" applyAlignment="1" applyProtection="1">
      <alignment horizontal="center" vertical="center" wrapText="1"/>
    </xf>
    <xf numFmtId="165" fontId="2" fillId="2" borderId="4" xfId="9" quotePrefix="1" applyNumberFormat="1" applyFont="1" applyFill="1" applyBorder="1" applyAlignment="1" applyProtection="1">
      <alignment horizontal="center" vertical="center" wrapText="1"/>
    </xf>
    <xf numFmtId="165" fontId="2" fillId="2" borderId="5" xfId="9" quotePrefix="1" applyNumberFormat="1" applyFont="1" applyFill="1" applyBorder="1" applyAlignment="1" applyProtection="1">
      <alignment horizontal="center" vertical="center" wrapText="1"/>
    </xf>
    <xf numFmtId="165" fontId="3" fillId="2" borderId="5" xfId="9" quotePrefix="1" applyNumberFormat="1" applyFont="1" applyFill="1" applyBorder="1" applyAlignment="1" applyProtection="1">
      <alignment horizontal="center" vertical="center" wrapText="1"/>
    </xf>
    <xf numFmtId="165" fontId="3" fillId="2" borderId="3" xfId="9" quotePrefix="1" applyNumberFormat="1" applyFont="1" applyFill="1" applyBorder="1" applyAlignment="1" applyProtection="1">
      <alignment horizontal="center" vertical="center" wrapText="1"/>
    </xf>
    <xf numFmtId="0" fontId="3" fillId="2" borderId="4" xfId="9" applyFont="1" applyFill="1" applyBorder="1" applyAlignment="1" applyProtection="1">
      <alignment horizontal="center" vertical="center" wrapText="1"/>
    </xf>
    <xf numFmtId="0" fontId="1" fillId="0" borderId="0" xfId="9" applyFont="1" applyFill="1" applyBorder="1" applyAlignment="1" applyProtection="1">
      <alignment horizontal="center" vertical="center" wrapText="1"/>
    </xf>
    <xf numFmtId="0" fontId="1" fillId="0" borderId="0" xfId="9" applyFont="1" applyFill="1" applyAlignment="1" applyProtection="1">
      <alignment horizontal="center" vertical="center" wrapText="1"/>
    </xf>
    <xf numFmtId="164" fontId="1" fillId="2" borderId="6" xfId="7" applyNumberFormat="1" applyFont="1" applyFill="1" applyBorder="1" applyProtection="1"/>
    <xf numFmtId="164" fontId="1" fillId="2" borderId="1" xfId="7" applyNumberFormat="1" applyFont="1" applyFill="1" applyBorder="1" applyProtection="1"/>
    <xf numFmtId="164" fontId="1" fillId="2" borderId="7" xfId="7" applyNumberFormat="1" applyFont="1" applyFill="1" applyBorder="1" applyProtection="1"/>
    <xf numFmtId="166" fontId="1" fillId="2" borderId="6" xfId="9" applyNumberFormat="1" applyFont="1" applyFill="1" applyBorder="1" applyProtection="1"/>
    <xf numFmtId="166" fontId="1" fillId="2" borderId="1" xfId="9" applyNumberFormat="1" applyFont="1" applyFill="1" applyBorder="1" applyProtection="1"/>
    <xf numFmtId="169" fontId="1" fillId="2" borderId="7" xfId="9" applyNumberFormat="1" applyFont="1" applyFill="1" applyBorder="1" applyAlignment="1" applyProtection="1">
      <alignment horizontal="center"/>
    </xf>
    <xf numFmtId="170" fontId="1" fillId="2" borderId="6" xfId="9" applyNumberFormat="1" applyFont="1" applyFill="1" applyBorder="1" applyProtection="1"/>
    <xf numFmtId="170" fontId="1" fillId="2" borderId="1" xfId="9" applyNumberFormat="1" applyFont="1" applyFill="1" applyBorder="1" applyProtection="1"/>
    <xf numFmtId="170" fontId="1" fillId="2" borderId="7" xfId="9" applyNumberFormat="1" applyFont="1" applyFill="1" applyBorder="1" applyAlignment="1" applyProtection="1">
      <alignment horizontal="center"/>
    </xf>
    <xf numFmtId="164" fontId="1" fillId="0" borderId="6" xfId="7" applyNumberFormat="1" applyFont="1" applyBorder="1" applyProtection="1"/>
    <xf numFmtId="164" fontId="1" fillId="0" borderId="1" xfId="7" applyNumberFormat="1" applyFont="1" applyBorder="1" applyProtection="1"/>
    <xf numFmtId="164" fontId="1" fillId="0" borderId="7" xfId="7" applyNumberFormat="1" applyFont="1" applyBorder="1" applyProtection="1"/>
    <xf numFmtId="166" fontId="1" fillId="0" borderId="6" xfId="9" applyNumberFormat="1" applyFont="1" applyBorder="1" applyProtection="1"/>
    <xf numFmtId="166" fontId="1" fillId="0" borderId="1" xfId="9" applyNumberFormat="1" applyFont="1" applyBorder="1" applyProtection="1"/>
    <xf numFmtId="169" fontId="1" fillId="0" borderId="7" xfId="9" applyNumberFormat="1" applyFont="1" applyBorder="1" applyAlignment="1" applyProtection="1">
      <alignment horizontal="center"/>
    </xf>
    <xf numFmtId="170" fontId="1" fillId="0" borderId="6" xfId="9" applyNumberFormat="1" applyFont="1" applyBorder="1" applyProtection="1"/>
    <xf numFmtId="170" fontId="1" fillId="0" borderId="1" xfId="9" applyNumberFormat="1" applyFont="1" applyBorder="1" applyProtection="1"/>
    <xf numFmtId="170" fontId="1" fillId="0" borderId="7" xfId="9" applyNumberFormat="1" applyFont="1" applyBorder="1" applyAlignment="1" applyProtection="1">
      <alignment horizontal="center"/>
    </xf>
    <xf numFmtId="171" fontId="1" fillId="0" borderId="0" xfId="9" applyNumberFormat="1" applyFont="1" applyFill="1" applyBorder="1" applyProtection="1"/>
    <xf numFmtId="9" fontId="1" fillId="0" borderId="0" xfId="14" applyFont="1" applyFill="1" applyBorder="1" applyProtection="1"/>
    <xf numFmtId="0" fontId="1" fillId="2" borderId="0" xfId="9" applyFont="1" applyFill="1" applyBorder="1" applyProtection="1"/>
    <xf numFmtId="0" fontId="1" fillId="2" borderId="0" xfId="9" applyFont="1" applyFill="1" applyProtection="1"/>
    <xf numFmtId="170" fontId="1" fillId="0" borderId="0" xfId="9" applyNumberFormat="1" applyFont="1" applyFill="1" applyBorder="1" applyProtection="1"/>
    <xf numFmtId="164" fontId="1" fillId="0" borderId="1" xfId="7" applyNumberFormat="1" applyFont="1" applyFill="1" applyBorder="1" applyProtection="1"/>
    <xf numFmtId="164" fontId="1" fillId="0" borderId="7" xfId="7" applyNumberFormat="1" applyFont="1" applyFill="1" applyBorder="1" applyProtection="1"/>
    <xf numFmtId="0" fontId="1" fillId="2" borderId="8" xfId="9" applyFont="1" applyFill="1" applyBorder="1" applyProtection="1"/>
    <xf numFmtId="164" fontId="1" fillId="2" borderId="9" xfId="7" applyNumberFormat="1" applyFont="1" applyFill="1" applyBorder="1" applyProtection="1">
      <protection locked="0"/>
    </xf>
    <xf numFmtId="164" fontId="1" fillId="2" borderId="10" xfId="7" applyNumberFormat="1" applyFont="1" applyFill="1" applyBorder="1" applyProtection="1"/>
    <xf numFmtId="164" fontId="1" fillId="2" borderId="11" xfId="7" applyNumberFormat="1" applyFont="1" applyFill="1" applyBorder="1" applyProtection="1"/>
    <xf numFmtId="164" fontId="1" fillId="2" borderId="9" xfId="7" applyNumberFormat="1" applyFont="1" applyFill="1" applyBorder="1" applyProtection="1"/>
    <xf numFmtId="166" fontId="1" fillId="2" borderId="10" xfId="9" applyNumberFormat="1" applyFont="1" applyFill="1" applyBorder="1" applyProtection="1"/>
    <xf numFmtId="166" fontId="1" fillId="2" borderId="11" xfId="9" applyNumberFormat="1" applyFont="1" applyFill="1" applyBorder="1" applyProtection="1"/>
    <xf numFmtId="169" fontId="1" fillId="2" borderId="9" xfId="9" applyNumberFormat="1" applyFont="1" applyFill="1" applyBorder="1" applyAlignment="1" applyProtection="1">
      <alignment horizontal="center"/>
    </xf>
    <xf numFmtId="170" fontId="1" fillId="2" borderId="10" xfId="9" applyNumberFormat="1" applyFont="1" applyFill="1" applyBorder="1" applyProtection="1"/>
    <xf numFmtId="170" fontId="1" fillId="2" borderId="11" xfId="9" applyNumberFormat="1" applyFont="1" applyFill="1" applyBorder="1" applyProtection="1"/>
    <xf numFmtId="170" fontId="1" fillId="2" borderId="9" xfId="9" applyNumberFormat="1" applyFont="1" applyFill="1" applyBorder="1" applyProtection="1"/>
    <xf numFmtId="1" fontId="4" fillId="0" borderId="0" xfId="9" applyNumberFormat="1" applyFont="1" applyBorder="1" applyProtection="1"/>
    <xf numFmtId="166" fontId="1" fillId="0" borderId="0" xfId="7" applyNumberFormat="1" applyFont="1" applyBorder="1" applyProtection="1"/>
    <xf numFmtId="164" fontId="1" fillId="0" borderId="0" xfId="7" applyNumberFormat="1" applyFont="1" applyBorder="1" applyProtection="1"/>
    <xf numFmtId="0" fontId="1" fillId="0" borderId="0" xfId="9" applyFont="1" applyBorder="1" applyProtection="1"/>
    <xf numFmtId="170" fontId="1" fillId="0" borderId="0" xfId="9" applyNumberFormat="1" applyFont="1" applyBorder="1" applyProtection="1"/>
    <xf numFmtId="164" fontId="1" fillId="0" borderId="0" xfId="7" applyNumberFormat="1" applyFont="1" applyFill="1" applyBorder="1" applyProtection="1"/>
    <xf numFmtId="164" fontId="1" fillId="0" borderId="0" xfId="7" applyNumberFormat="1" applyFont="1" applyProtection="1"/>
    <xf numFmtId="4" fontId="5" fillId="0" borderId="0" xfId="0" applyNumberFormat="1" applyFont="1" applyProtection="1"/>
    <xf numFmtId="0" fontId="5" fillId="0" borderId="0" xfId="0" applyFont="1" applyProtection="1"/>
    <xf numFmtId="4" fontId="1" fillId="0" borderId="0" xfId="9" applyNumberFormat="1" applyFont="1" applyFill="1" applyBorder="1" applyProtection="1"/>
    <xf numFmtId="0" fontId="6" fillId="3" borderId="0" xfId="8" applyFont="1" applyFill="1" applyAlignment="1" applyProtection="1">
      <alignment horizontal="left"/>
    </xf>
    <xf numFmtId="0" fontId="1" fillId="3" borderId="0" xfId="8" applyFill="1" applyProtection="1"/>
    <xf numFmtId="0" fontId="1" fillId="0" borderId="0" xfId="8" applyFill="1" applyProtection="1"/>
    <xf numFmtId="0" fontId="1" fillId="3" borderId="0" xfId="8" applyFill="1" applyBorder="1" applyProtection="1"/>
    <xf numFmtId="0" fontId="2" fillId="3" borderId="0" xfId="8" applyFont="1" applyFill="1" applyBorder="1" applyAlignment="1" applyProtection="1">
      <alignment horizontal="left"/>
    </xf>
    <xf numFmtId="0" fontId="2" fillId="3" borderId="0" xfId="8" applyFont="1" applyFill="1" applyBorder="1" applyAlignment="1" applyProtection="1">
      <alignment horizontal="right"/>
      <protection locked="0"/>
    </xf>
    <xf numFmtId="0" fontId="1" fillId="3" borderId="0" xfId="8" applyFill="1" applyAlignment="1" applyProtection="1">
      <alignment vertical="center"/>
    </xf>
    <xf numFmtId="0" fontId="1" fillId="3" borderId="12" xfId="8" applyFill="1" applyBorder="1"/>
    <xf numFmtId="0" fontId="1" fillId="3" borderId="0" xfId="8" applyFill="1" applyBorder="1" applyAlignment="1" applyProtection="1">
      <alignment vertical="center"/>
      <protection locked="0"/>
    </xf>
    <xf numFmtId="0" fontId="1" fillId="3" borderId="0" xfId="8" applyFill="1" applyAlignment="1" applyProtection="1">
      <alignment vertical="center"/>
      <protection locked="0"/>
    </xf>
    <xf numFmtId="0" fontId="1" fillId="0" borderId="0" xfId="8" applyFill="1" applyAlignment="1" applyProtection="1">
      <alignment vertical="center"/>
    </xf>
    <xf numFmtId="0" fontId="1" fillId="3" borderId="0" xfId="8" applyFill="1" applyBorder="1" applyAlignment="1" applyProtection="1">
      <protection locked="0"/>
    </xf>
    <xf numFmtId="0" fontId="1" fillId="3" borderId="0" xfId="8" applyFill="1" applyBorder="1" applyProtection="1">
      <protection locked="0"/>
    </xf>
    <xf numFmtId="0" fontId="1" fillId="3" borderId="0" xfId="8" applyFill="1" applyProtection="1">
      <protection locked="0"/>
    </xf>
    <xf numFmtId="0" fontId="1" fillId="3" borderId="12" xfId="8" applyFill="1" applyBorder="1" applyAlignment="1" applyProtection="1">
      <alignment vertical="center"/>
      <protection locked="0"/>
    </xf>
    <xf numFmtId="0" fontId="1" fillId="3" borderId="13" xfId="8" applyFill="1" applyBorder="1" applyProtection="1"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1" fillId="2" borderId="1" xfId="8" applyFill="1" applyBorder="1" applyAlignment="1" applyProtection="1">
      <alignment horizontal="center"/>
      <protection locked="0"/>
    </xf>
    <xf numFmtId="0" fontId="1" fillId="3" borderId="14" xfId="8" applyFill="1" applyBorder="1" applyAlignment="1" applyProtection="1">
      <alignment horizontal="center"/>
      <protection locked="0"/>
    </xf>
    <xf numFmtId="0" fontId="1" fillId="4" borderId="1" xfId="8" applyFill="1" applyBorder="1" applyAlignment="1" applyProtection="1">
      <alignment horizontal="center" vertical="center"/>
      <protection locked="0"/>
    </xf>
    <xf numFmtId="172" fontId="1" fillId="3" borderId="0" xfId="8" applyNumberFormat="1" applyFill="1" applyAlignment="1" applyProtection="1">
      <alignment vertical="center"/>
      <protection locked="0"/>
    </xf>
    <xf numFmtId="0" fontId="1" fillId="3" borderId="1" xfId="8" applyFill="1" applyBorder="1" applyAlignment="1" applyProtection="1">
      <alignment horizontal="center" vertical="center"/>
      <protection locked="0"/>
    </xf>
    <xf numFmtId="0" fontId="1" fillId="3" borderId="0" xfId="8" applyFill="1" applyAlignment="1" applyProtection="1">
      <alignment horizontal="right" vertical="center"/>
    </xf>
    <xf numFmtId="173" fontId="1" fillId="4" borderId="1" xfId="8" applyNumberFormat="1" applyFill="1" applyBorder="1" applyAlignment="1" applyProtection="1">
      <alignment horizontal="center" vertical="center"/>
    </xf>
    <xf numFmtId="0" fontId="1" fillId="3" borderId="15" xfId="8" applyFill="1" applyBorder="1" applyAlignment="1" applyProtection="1">
      <alignment horizontal="center" vertical="center"/>
      <protection locked="0"/>
    </xf>
    <xf numFmtId="0" fontId="6" fillId="3" borderId="0" xfId="8" applyFont="1" applyFill="1" applyBorder="1" applyAlignment="1" applyProtection="1">
      <alignment horizontal="left"/>
    </xf>
    <xf numFmtId="0" fontId="1" fillId="3" borderId="16" xfId="8" applyFill="1" applyBorder="1" applyAlignment="1" applyProtection="1">
      <alignment vertical="center"/>
    </xf>
    <xf numFmtId="0" fontId="9" fillId="0" borderId="0" xfId="0" applyFont="1" applyProtection="1"/>
    <xf numFmtId="0" fontId="10" fillId="0" borderId="0" xfId="0" applyFont="1" applyProtection="1"/>
    <xf numFmtId="3" fontId="9" fillId="0" borderId="0" xfId="0" applyNumberFormat="1" applyFont="1" applyProtection="1"/>
    <xf numFmtId="0" fontId="1" fillId="0" borderId="0" xfId="9" applyFill="1" applyBorder="1"/>
    <xf numFmtId="3" fontId="1" fillId="0" borderId="0" xfId="9" applyNumberFormat="1" applyFill="1" applyBorder="1"/>
    <xf numFmtId="0" fontId="3" fillId="0" borderId="0" xfId="0" applyFont="1" applyProtection="1"/>
    <xf numFmtId="0" fontId="1" fillId="0" borderId="0" xfId="9"/>
    <xf numFmtId="0" fontId="3" fillId="2" borderId="1" xfId="0" applyFont="1" applyFill="1" applyBorder="1" applyAlignment="1" applyProtection="1">
      <alignment horizontal="centerContinuous" vertical="center" wrapText="1"/>
    </xf>
    <xf numFmtId="0" fontId="3" fillId="5" borderId="1" xfId="0" applyFont="1" applyFill="1" applyBorder="1" applyAlignment="1" applyProtection="1">
      <alignment horizontal="centerContinuous" vertical="center" wrapText="1"/>
    </xf>
    <xf numFmtId="0" fontId="3" fillId="5" borderId="6" xfId="0" applyFont="1" applyFill="1" applyBorder="1" applyAlignment="1" applyProtection="1">
      <alignment horizontal="centerContinuous" vertical="center" wrapText="1"/>
      <protection locked="0"/>
    </xf>
    <xf numFmtId="0" fontId="3" fillId="0" borderId="1" xfId="0" applyFont="1" applyBorder="1" applyAlignment="1" applyProtection="1">
      <alignment horizontal="centerContinuous" vertical="center" wrapText="1"/>
    </xf>
    <xf numFmtId="3" fontId="3" fillId="0" borderId="6" xfId="0" applyNumberFormat="1" applyFont="1" applyBorder="1" applyAlignment="1" applyProtection="1">
      <alignment horizontal="centerContinuous" vertical="center" wrapText="1"/>
    </xf>
    <xf numFmtId="0" fontId="3" fillId="0" borderId="6" xfId="0" applyFont="1" applyBorder="1" applyAlignment="1" applyProtection="1">
      <alignment horizontal="centerContinuous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NumberFormat="1" applyFont="1" applyFill="1" applyBorder="1" applyProtection="1"/>
    <xf numFmtId="3" fontId="3" fillId="2" borderId="6" xfId="0" applyNumberFormat="1" applyFont="1" applyFill="1" applyBorder="1" applyProtection="1"/>
    <xf numFmtId="0" fontId="3" fillId="2" borderId="1" xfId="0" applyFont="1" applyFill="1" applyBorder="1" applyProtection="1"/>
    <xf numFmtId="0" fontId="3" fillId="0" borderId="17" xfId="0" applyFont="1" applyFill="1" applyBorder="1" applyAlignment="1" applyProtection="1">
      <alignment horizontal="left"/>
    </xf>
    <xf numFmtId="0" fontId="3" fillId="2" borderId="17" xfId="0" applyNumberFormat="1" applyFont="1" applyFill="1" applyBorder="1" applyProtection="1"/>
    <xf numFmtId="3" fontId="3" fillId="2" borderId="18" xfId="0" applyNumberFormat="1" applyFont="1" applyFill="1" applyBorder="1" applyProtection="1"/>
    <xf numFmtId="0" fontId="9" fillId="0" borderId="17" xfId="0" applyFont="1" applyFill="1" applyBorder="1" applyAlignment="1" applyProtection="1">
      <alignment horizontal="left"/>
    </xf>
    <xf numFmtId="0" fontId="9" fillId="2" borderId="17" xfId="0" applyNumberFormat="1" applyFont="1" applyFill="1" applyBorder="1" applyProtection="1"/>
    <xf numFmtId="3" fontId="9" fillId="2" borderId="1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horizontal="left"/>
    </xf>
    <xf numFmtId="0" fontId="3" fillId="2" borderId="17" xfId="0" applyFont="1" applyFill="1" applyBorder="1" applyProtection="1"/>
    <xf numFmtId="0" fontId="3" fillId="0" borderId="17" xfId="0" applyFont="1" applyFill="1" applyBorder="1" applyAlignment="1">
      <alignment horizontal="left"/>
    </xf>
    <xf numFmtId="0" fontId="9" fillId="2" borderId="17" xfId="0" applyFont="1" applyFill="1" applyBorder="1" applyProtection="1"/>
    <xf numFmtId="3" fontId="3" fillId="2" borderId="18" xfId="0" applyNumberFormat="1" applyFont="1" applyFill="1" applyBorder="1" applyProtection="1">
      <protection locked="0"/>
    </xf>
    <xf numFmtId="0" fontId="9" fillId="0" borderId="17" xfId="0" quotePrefix="1" applyFont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left"/>
    </xf>
    <xf numFmtId="0" fontId="1" fillId="0" borderId="0" xfId="9" applyProtection="1"/>
    <xf numFmtId="0" fontId="3" fillId="0" borderId="17" xfId="0" applyFont="1" applyBorder="1" applyProtection="1"/>
    <xf numFmtId="0" fontId="11" fillId="0" borderId="17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>
      <alignment horizontal="left"/>
    </xf>
    <xf numFmtId="0" fontId="11" fillId="0" borderId="17" xfId="0" applyFont="1" applyFill="1" applyBorder="1" applyProtection="1"/>
    <xf numFmtId="0" fontId="9" fillId="2" borderId="19" xfId="0" applyFont="1" applyFill="1" applyBorder="1" applyProtection="1"/>
    <xf numFmtId="3" fontId="9" fillId="2" borderId="20" xfId="0" applyNumberFormat="1" applyFont="1" applyFill="1" applyBorder="1" applyProtection="1">
      <protection locked="0"/>
    </xf>
    <xf numFmtId="0" fontId="3" fillId="2" borderId="18" xfId="0" applyFont="1" applyFill="1" applyBorder="1" applyProtection="1"/>
    <xf numFmtId="0" fontId="9" fillId="2" borderId="18" xfId="0" applyFont="1" applyFill="1" applyBorder="1" applyProtection="1"/>
    <xf numFmtId="0" fontId="11" fillId="0" borderId="0" xfId="0" applyFont="1" applyFill="1" applyBorder="1" applyProtection="1"/>
    <xf numFmtId="3" fontId="9" fillId="2" borderId="1" xfId="0" applyNumberFormat="1" applyFont="1" applyFill="1" applyBorder="1" applyProtection="1">
      <protection locked="0"/>
    </xf>
    <xf numFmtId="0" fontId="9" fillId="0" borderId="0" xfId="0" applyFont="1" applyFill="1" applyProtection="1"/>
    <xf numFmtId="0" fontId="3" fillId="2" borderId="1" xfId="0" applyFont="1" applyFill="1" applyBorder="1"/>
    <xf numFmtId="0" fontId="9" fillId="5" borderId="1" xfId="0" applyFont="1" applyFill="1" applyBorder="1" applyProtection="1"/>
    <xf numFmtId="0" fontId="3" fillId="5" borderId="6" xfId="0" applyNumberFormat="1" applyFont="1" applyFill="1" applyBorder="1" applyAlignment="1" applyProtection="1">
      <alignment horizontal="centerContinuous" vertical="center" wrapText="1"/>
    </xf>
    <xf numFmtId="3" fontId="3" fillId="5" borderId="1" xfId="0" applyNumberFormat="1" applyFont="1" applyFill="1" applyBorder="1" applyAlignment="1" applyProtection="1"/>
    <xf numFmtId="0" fontId="9" fillId="5" borderId="15" xfId="0" applyFont="1" applyFill="1" applyBorder="1" applyProtection="1"/>
    <xf numFmtId="3" fontId="3" fillId="5" borderId="15" xfId="0" applyNumberFormat="1" applyFont="1" applyFill="1" applyBorder="1" applyAlignment="1" applyProtection="1"/>
    <xf numFmtId="9" fontId="9" fillId="5" borderId="21" xfId="14" applyFont="1" applyFill="1" applyBorder="1" applyProtection="1"/>
    <xf numFmtId="3" fontId="1" fillId="0" borderId="0" xfId="9" applyNumberFormat="1"/>
    <xf numFmtId="43" fontId="1" fillId="0" borderId="0" xfId="2" applyFont="1"/>
    <xf numFmtId="168" fontId="1" fillId="0" borderId="0" xfId="2" applyNumberFormat="1" applyFont="1"/>
    <xf numFmtId="43" fontId="1" fillId="0" borderId="0" xfId="9" applyNumberFormat="1"/>
    <xf numFmtId="0" fontId="13" fillId="0" borderId="0" xfId="9" applyFont="1" applyFill="1" applyBorder="1" applyProtection="1">
      <protection hidden="1"/>
    </xf>
    <xf numFmtId="0" fontId="12" fillId="0" borderId="0" xfId="9" applyFont="1" applyFill="1" applyBorder="1" applyProtection="1">
      <protection hidden="1"/>
    </xf>
    <xf numFmtId="0" fontId="13" fillId="0" borderId="0" xfId="9" applyFont="1"/>
    <xf numFmtId="0" fontId="15" fillId="6" borderId="1" xfId="12" applyFont="1" applyFill="1" applyBorder="1" applyAlignment="1" applyProtection="1">
      <alignment horizontal="center"/>
      <protection hidden="1"/>
    </xf>
    <xf numFmtId="0" fontId="12" fillId="6" borderId="1" xfId="7" quotePrefix="1" applyNumberFormat="1" applyFont="1" applyFill="1" applyBorder="1" applyAlignment="1">
      <alignment horizontal="center" vertical="center" wrapText="1"/>
    </xf>
    <xf numFmtId="0" fontId="15" fillId="7" borderId="1" xfId="12" applyFont="1" applyFill="1" applyBorder="1" applyAlignment="1" applyProtection="1">
      <protection hidden="1"/>
    </xf>
    <xf numFmtId="0" fontId="16" fillId="7" borderId="1" xfId="12" applyFont="1" applyFill="1" applyBorder="1" applyAlignment="1" applyProtection="1">
      <protection hidden="1"/>
    </xf>
    <xf numFmtId="3" fontId="12" fillId="7" borderId="1" xfId="12" applyNumberFormat="1" applyFont="1" applyFill="1" applyBorder="1" applyAlignment="1" applyProtection="1">
      <alignment horizontal="right"/>
      <protection hidden="1"/>
    </xf>
    <xf numFmtId="0" fontId="17" fillId="8" borderId="1" xfId="12" applyFont="1" applyFill="1" applyBorder="1" applyAlignment="1" applyProtection="1">
      <protection hidden="1"/>
    </xf>
    <xf numFmtId="0" fontId="18" fillId="7" borderId="1" xfId="12" applyFont="1" applyFill="1" applyBorder="1" applyAlignment="1" applyProtection="1">
      <protection hidden="1"/>
    </xf>
    <xf numFmtId="0" fontId="18" fillId="8" borderId="1" xfId="12" applyFont="1" applyFill="1" applyBorder="1" applyAlignment="1" applyProtection="1">
      <protection hidden="1"/>
    </xf>
    <xf numFmtId="3" fontId="13" fillId="8" borderId="1" xfId="12" applyNumberFormat="1" applyFont="1" applyFill="1" applyBorder="1" applyAlignment="1" applyProtection="1">
      <alignment horizontal="right"/>
      <protection hidden="1"/>
    </xf>
    <xf numFmtId="0" fontId="17" fillId="8" borderId="1" xfId="12" quotePrefix="1" applyFont="1" applyFill="1" applyBorder="1" applyAlignment="1" applyProtection="1">
      <alignment horizontal="left"/>
      <protection hidden="1"/>
    </xf>
    <xf numFmtId="0" fontId="18" fillId="8" borderId="1" xfId="12" quotePrefix="1" applyFont="1" applyFill="1" applyBorder="1" applyAlignment="1" applyProtection="1">
      <alignment horizontal="left"/>
      <protection hidden="1"/>
    </xf>
    <xf numFmtId="3" fontId="12" fillId="8" borderId="1" xfId="12" applyNumberFormat="1" applyFont="1" applyFill="1" applyBorder="1" applyAlignment="1" applyProtection="1">
      <alignment horizontal="right"/>
      <protection hidden="1"/>
    </xf>
    <xf numFmtId="0" fontId="17" fillId="8" borderId="1" xfId="12" applyFont="1" applyFill="1" applyBorder="1" applyAlignment="1" applyProtection="1">
      <alignment horizontal="left"/>
      <protection hidden="1"/>
    </xf>
    <xf numFmtId="0" fontId="18" fillId="7" borderId="1" xfId="12" quotePrefix="1" applyFont="1" applyFill="1" applyBorder="1" applyAlignment="1" applyProtection="1">
      <alignment horizontal="left"/>
      <protection hidden="1"/>
    </xf>
    <xf numFmtId="3" fontId="13" fillId="7" borderId="1" xfId="12" applyNumberFormat="1" applyFont="1" applyFill="1" applyBorder="1" applyAlignment="1" applyProtection="1">
      <alignment horizontal="right"/>
      <protection hidden="1"/>
    </xf>
    <xf numFmtId="0" fontId="17" fillId="7" borderId="1" xfId="12" quotePrefix="1" applyFont="1" applyFill="1" applyBorder="1" applyAlignment="1" applyProtection="1">
      <alignment horizontal="left"/>
      <protection hidden="1"/>
    </xf>
    <xf numFmtId="0" fontId="18" fillId="7" borderId="1" xfId="12" applyFont="1" applyFill="1" applyBorder="1" applyAlignment="1" applyProtection="1">
      <alignment horizontal="left"/>
      <protection hidden="1"/>
    </xf>
    <xf numFmtId="164" fontId="12" fillId="2" borderId="1" xfId="7" applyNumberFormat="1" applyFont="1" applyFill="1" applyBorder="1"/>
    <xf numFmtId="0" fontId="17" fillId="8" borderId="0" xfId="12" quotePrefix="1" applyFont="1" applyFill="1" applyBorder="1" applyAlignment="1" applyProtection="1">
      <alignment horizontal="left"/>
      <protection hidden="1"/>
    </xf>
    <xf numFmtId="0" fontId="17" fillId="8" borderId="0" xfId="12" applyFont="1" applyFill="1" applyBorder="1" applyAlignment="1" applyProtection="1">
      <alignment horizontal="left"/>
      <protection hidden="1"/>
    </xf>
    <xf numFmtId="3" fontId="12" fillId="8" borderId="0" xfId="12" applyNumberFormat="1" applyFont="1" applyFill="1" applyBorder="1" applyAlignment="1" applyProtection="1">
      <alignment horizontal="right"/>
      <protection hidden="1"/>
    </xf>
    <xf numFmtId="164" fontId="12" fillId="3" borderId="0" xfId="7" applyNumberFormat="1" applyFont="1" applyFill="1" applyBorder="1"/>
    <xf numFmtId="0" fontId="13" fillId="3" borderId="0" xfId="9" applyFont="1" applyFill="1"/>
    <xf numFmtId="166" fontId="12" fillId="6" borderId="1" xfId="7" quotePrefix="1" applyNumberFormat="1" applyFont="1" applyFill="1" applyBorder="1" applyAlignment="1" applyProtection="1">
      <alignment horizontal="center" vertical="center" wrapText="1"/>
    </xf>
    <xf numFmtId="0" fontId="19" fillId="3" borderId="1" xfId="0" quotePrefix="1" applyFont="1" applyFill="1" applyBorder="1" applyAlignment="1" applyProtection="1">
      <alignment horizontal="left"/>
    </xf>
    <xf numFmtId="164" fontId="13" fillId="3" borderId="1" xfId="3" applyNumberFormat="1" applyFont="1" applyFill="1" applyBorder="1" applyProtection="1"/>
    <xf numFmtId="0" fontId="19" fillId="0" borderId="1" xfId="0" applyFont="1" applyBorder="1" applyProtection="1">
      <protection locked="0"/>
    </xf>
    <xf numFmtId="164" fontId="13" fillId="0" borderId="1" xfId="3" applyNumberFormat="1" applyFont="1" applyBorder="1" applyProtection="1">
      <protection locked="0"/>
    </xf>
    <xf numFmtId="0" fontId="13" fillId="0" borderId="0" xfId="0" applyFont="1" applyProtection="1">
      <protection locked="0"/>
    </xf>
    <xf numFmtId="164" fontId="13" fillId="0" borderId="0" xfId="3" applyNumberFormat="1" applyFont="1" applyProtection="1">
      <protection locked="0"/>
    </xf>
    <xf numFmtId="0" fontId="19" fillId="3" borderId="1" xfId="0" applyFont="1" applyFill="1" applyBorder="1" applyProtection="1"/>
    <xf numFmtId="164" fontId="12" fillId="3" borderId="1" xfId="3" applyNumberFormat="1" applyFont="1" applyFill="1" applyBorder="1" applyAlignment="1" applyProtection="1"/>
    <xf numFmtId="174" fontId="12" fillId="8" borderId="0" xfId="12" applyNumberFormat="1" applyFont="1" applyFill="1" applyBorder="1" applyAlignment="1" applyProtection="1">
      <alignment horizontal="right"/>
      <protection hidden="1"/>
    </xf>
    <xf numFmtId="174" fontId="13" fillId="0" borderId="0" xfId="9" applyNumberFormat="1" applyFont="1"/>
    <xf numFmtId="0" fontId="13" fillId="0" borderId="0" xfId="9" applyFont="1" applyFill="1" applyBorder="1"/>
    <xf numFmtId="0" fontId="12" fillId="0" borderId="0" xfId="9" applyFont="1" applyFill="1" applyBorder="1"/>
    <xf numFmtId="167" fontId="13" fillId="0" borderId="0" xfId="9" applyNumberFormat="1" applyFont="1"/>
    <xf numFmtId="0" fontId="2" fillId="0" borderId="0" xfId="9" quotePrefix="1" applyFont="1" applyBorder="1" applyAlignment="1">
      <alignment horizontal="left"/>
    </xf>
    <xf numFmtId="0" fontId="1" fillId="0" borderId="0" xfId="9" applyAlignment="1">
      <alignment wrapText="1"/>
    </xf>
    <xf numFmtId="1" fontId="1" fillId="0" borderId="0" xfId="9" quotePrefix="1" applyNumberFormat="1" applyFont="1" applyBorder="1" applyAlignment="1">
      <alignment horizontal="left"/>
    </xf>
    <xf numFmtId="0" fontId="1" fillId="0" borderId="0" xfId="9" applyFill="1"/>
    <xf numFmtId="0" fontId="2" fillId="0" borderId="0" xfId="9" applyFont="1" applyFill="1" applyBorder="1" applyAlignment="1" applyProtection="1">
      <alignment horizontal="left"/>
    </xf>
    <xf numFmtId="0" fontId="2" fillId="0" borderId="0" xfId="9" applyFont="1" applyFill="1" applyBorder="1" applyAlignment="1" applyProtection="1">
      <alignment horizontal="left" wrapText="1"/>
    </xf>
    <xf numFmtId="0" fontId="2" fillId="0" borderId="0" xfId="9" applyFont="1" applyFill="1" applyBorder="1" applyAlignment="1" applyProtection="1">
      <alignment horizontal="center"/>
    </xf>
    <xf numFmtId="0" fontId="20" fillId="0" borderId="0" xfId="9" applyFont="1" applyFill="1" applyBorder="1" applyAlignment="1" applyProtection="1">
      <alignment horizontal="centerContinuous"/>
    </xf>
    <xf numFmtId="0" fontId="1" fillId="0" borderId="0" xfId="9" applyFont="1"/>
    <xf numFmtId="0" fontId="21" fillId="5" borderId="21" xfId="9" applyFont="1" applyFill="1" applyBorder="1" applyAlignment="1" applyProtection="1">
      <alignment horizontal="centerContinuous" vertical="center" wrapText="1"/>
    </xf>
    <xf numFmtId="0" fontId="11" fillId="5" borderId="22" xfId="9" applyFont="1" applyFill="1" applyBorder="1" applyAlignment="1" applyProtection="1">
      <alignment horizontal="centerContinuous" vertical="center" wrapText="1"/>
    </xf>
    <xf numFmtId="0" fontId="22" fillId="5" borderId="22" xfId="9" applyFont="1" applyFill="1" applyBorder="1" applyAlignment="1" applyProtection="1">
      <alignment horizontal="centerContinuous" vertical="center" wrapText="1"/>
    </xf>
    <xf numFmtId="1" fontId="11" fillId="2" borderId="21" xfId="9" quotePrefix="1" applyNumberFormat="1" applyFont="1" applyFill="1" applyBorder="1" applyAlignment="1" applyProtection="1">
      <alignment horizontal="center"/>
    </xf>
    <xf numFmtId="0" fontId="3" fillId="2" borderId="22" xfId="9" applyFont="1" applyFill="1" applyBorder="1" applyAlignment="1" applyProtection="1">
      <alignment wrapText="1"/>
    </xf>
    <xf numFmtId="164" fontId="22" fillId="2" borderId="22" xfId="6" applyNumberFormat="1" applyFont="1" applyFill="1" applyBorder="1" applyAlignment="1" applyProtection="1">
      <alignment horizontal="right"/>
    </xf>
    <xf numFmtId="169" fontId="23" fillId="2" borderId="23" xfId="9" quotePrefix="1" applyNumberFormat="1" applyFont="1" applyFill="1" applyBorder="1" applyAlignment="1" applyProtection="1">
      <alignment horizontal="center"/>
    </xf>
    <xf numFmtId="0" fontId="9" fillId="2" borderId="23" xfId="9" quotePrefix="1" applyFont="1" applyFill="1" applyBorder="1" applyAlignment="1" applyProtection="1">
      <alignment horizontal="left" wrapText="1"/>
    </xf>
    <xf numFmtId="164" fontId="24" fillId="2" borderId="24" xfId="6" applyNumberFormat="1" applyFont="1" applyFill="1" applyBorder="1" applyAlignment="1" applyProtection="1">
      <alignment horizontal="right"/>
    </xf>
    <xf numFmtId="169" fontId="23" fillId="2" borderId="25" xfId="9" quotePrefix="1" applyNumberFormat="1" applyFont="1" applyFill="1" applyBorder="1" applyAlignment="1" applyProtection="1">
      <alignment horizontal="center"/>
    </xf>
    <xf numFmtId="0" fontId="9" fillId="2" borderId="25" xfId="9" quotePrefix="1" applyFont="1" applyFill="1" applyBorder="1" applyAlignment="1" applyProtection="1">
      <alignment horizontal="left" wrapText="1"/>
    </xf>
    <xf numFmtId="0" fontId="23" fillId="2" borderId="25" xfId="9" quotePrefix="1" applyFont="1" applyFill="1" applyBorder="1" applyAlignment="1" applyProtection="1">
      <alignment horizontal="left" wrapText="1"/>
    </xf>
    <xf numFmtId="164" fontId="24" fillId="2" borderId="24" xfId="6" applyNumberFormat="1" applyFont="1" applyFill="1" applyBorder="1" applyAlignment="1" applyProtection="1">
      <alignment horizontal="right"/>
      <protection locked="0"/>
    </xf>
    <xf numFmtId="0" fontId="11" fillId="2" borderId="22" xfId="9" applyFont="1" applyFill="1" applyBorder="1" applyAlignment="1" applyProtection="1">
      <alignment horizontal="left" wrapText="1"/>
    </xf>
    <xf numFmtId="164" fontId="25" fillId="2" borderId="22" xfId="6" applyNumberFormat="1" applyFont="1" applyFill="1" applyBorder="1" applyAlignment="1" applyProtection="1">
      <alignment horizontal="right"/>
    </xf>
    <xf numFmtId="1" fontId="23" fillId="2" borderId="2" xfId="9" quotePrefix="1" applyNumberFormat="1" applyFont="1" applyFill="1" applyBorder="1" applyAlignment="1" applyProtection="1">
      <alignment horizontal="center"/>
    </xf>
    <xf numFmtId="0" fontId="23" fillId="2" borderId="26" xfId="9" quotePrefix="1" applyFont="1" applyFill="1" applyBorder="1" applyAlignment="1" applyProtection="1">
      <alignment horizontal="left" wrapText="1"/>
    </xf>
    <xf numFmtId="164" fontId="24" fillId="2" borderId="26" xfId="6" applyNumberFormat="1" applyFont="1" applyFill="1" applyBorder="1" applyAlignment="1" applyProtection="1">
      <alignment horizontal="right"/>
    </xf>
    <xf numFmtId="1" fontId="23" fillId="2" borderId="25" xfId="9" quotePrefix="1" applyNumberFormat="1" applyFont="1" applyFill="1" applyBorder="1" applyAlignment="1" applyProtection="1">
      <alignment horizontal="center"/>
    </xf>
    <xf numFmtId="0" fontId="23" fillId="2" borderId="24" xfId="9" quotePrefix="1" applyFont="1" applyFill="1" applyBorder="1" applyAlignment="1" applyProtection="1">
      <alignment horizontal="left" wrapText="1"/>
    </xf>
    <xf numFmtId="0" fontId="23" fillId="2" borderId="27" xfId="9" quotePrefix="1" applyFont="1" applyFill="1" applyBorder="1" applyAlignment="1" applyProtection="1">
      <alignment horizontal="left" wrapText="1"/>
    </xf>
    <xf numFmtId="164" fontId="24" fillId="2" borderId="27" xfId="6" applyNumberFormat="1" applyFont="1" applyFill="1" applyBorder="1" applyAlignment="1" applyProtection="1">
      <alignment horizontal="right"/>
    </xf>
    <xf numFmtId="1" fontId="23" fillId="2" borderId="28" xfId="9" quotePrefix="1" applyNumberFormat="1" applyFont="1" applyFill="1" applyBorder="1" applyAlignment="1" applyProtection="1">
      <alignment horizontal="center"/>
    </xf>
    <xf numFmtId="169" fontId="23" fillId="2" borderId="29" xfId="9" applyNumberFormat="1" applyFont="1" applyFill="1" applyBorder="1" applyAlignment="1" applyProtection="1">
      <alignment horizontal="center"/>
    </xf>
    <xf numFmtId="0" fontId="23" fillId="2" borderId="30" xfId="9" quotePrefix="1" applyFont="1" applyFill="1" applyBorder="1" applyAlignment="1" applyProtection="1">
      <alignment horizontal="left" wrapText="1"/>
    </xf>
    <xf numFmtId="164" fontId="24" fillId="2" borderId="30" xfId="6" applyNumberFormat="1" applyFont="1" applyFill="1" applyBorder="1" applyAlignment="1" applyProtection="1">
      <alignment horizontal="right"/>
      <protection locked="0"/>
    </xf>
    <xf numFmtId="1" fontId="11" fillId="2" borderId="31" xfId="9" applyNumberFormat="1" applyFont="1" applyFill="1" applyBorder="1" applyAlignment="1" applyProtection="1">
      <alignment horizontal="left" wrapText="1"/>
    </xf>
    <xf numFmtId="1" fontId="11" fillId="9" borderId="21" xfId="9" quotePrefix="1" applyNumberFormat="1" applyFont="1" applyFill="1" applyBorder="1" applyAlignment="1" applyProtection="1">
      <alignment horizontal="center"/>
    </xf>
    <xf numFmtId="0" fontId="23" fillId="9" borderId="22" xfId="9" quotePrefix="1" applyFont="1" applyFill="1" applyBorder="1" applyAlignment="1" applyProtection="1">
      <alignment horizontal="left" wrapText="1"/>
    </xf>
    <xf numFmtId="10" fontId="26" fillId="9" borderId="22" xfId="14" applyNumberFormat="1" applyFont="1" applyFill="1" applyBorder="1" applyAlignment="1" applyProtection="1">
      <alignment horizontal="right"/>
      <protection locked="0"/>
    </xf>
    <xf numFmtId="1" fontId="11" fillId="9" borderId="22" xfId="9" quotePrefix="1" applyNumberFormat="1" applyFont="1" applyFill="1" applyBorder="1" applyAlignment="1" applyProtection="1">
      <alignment horizontal="left" wrapText="1"/>
    </xf>
    <xf numFmtId="164" fontId="25" fillId="9" borderId="22" xfId="6" applyNumberFormat="1" applyFont="1" applyFill="1" applyBorder="1" applyAlignment="1" applyProtection="1">
      <alignment horizontal="right"/>
      <protection locked="0"/>
    </xf>
    <xf numFmtId="0" fontId="3" fillId="2" borderId="21" xfId="9" quotePrefix="1" applyFont="1" applyFill="1" applyBorder="1" applyAlignment="1" applyProtection="1">
      <alignment horizontal="center"/>
    </xf>
    <xf numFmtId="1" fontId="11" fillId="2" borderId="22" xfId="9" quotePrefix="1" applyNumberFormat="1" applyFont="1" applyFill="1" applyBorder="1" applyAlignment="1" applyProtection="1">
      <alignment horizontal="left" wrapText="1"/>
    </xf>
    <xf numFmtId="0" fontId="9" fillId="2" borderId="23" xfId="9" applyFont="1" applyFill="1" applyBorder="1" applyAlignment="1" applyProtection="1">
      <alignment horizontal="center"/>
    </xf>
    <xf numFmtId="1" fontId="23" fillId="2" borderId="24" xfId="9" quotePrefix="1" applyNumberFormat="1" applyFont="1" applyFill="1" applyBorder="1" applyAlignment="1" applyProtection="1">
      <alignment horizontal="left" wrapText="1"/>
    </xf>
    <xf numFmtId="0" fontId="9" fillId="2" borderId="31" xfId="9" applyFont="1" applyFill="1" applyBorder="1" applyAlignment="1" applyProtection="1">
      <alignment horizontal="center"/>
    </xf>
    <xf numFmtId="1" fontId="23" fillId="2" borderId="30" xfId="9" quotePrefix="1" applyNumberFormat="1" applyFont="1" applyFill="1" applyBorder="1" applyAlignment="1" applyProtection="1">
      <alignment horizontal="left" wrapText="1"/>
    </xf>
    <xf numFmtId="164" fontId="25" fillId="2" borderId="30" xfId="6" applyNumberFormat="1" applyFont="1" applyFill="1" applyBorder="1" applyAlignment="1" applyProtection="1">
      <alignment horizontal="right"/>
      <protection locked="0"/>
    </xf>
    <xf numFmtId="0" fontId="3" fillId="9" borderId="21" xfId="9" applyFont="1" applyFill="1" applyBorder="1" applyAlignment="1" applyProtection="1">
      <alignment horizontal="center"/>
    </xf>
    <xf numFmtId="164" fontId="25" fillId="9" borderId="22" xfId="6" applyNumberFormat="1" applyFont="1" applyFill="1" applyBorder="1" applyAlignment="1" applyProtection="1">
      <alignment horizontal="right"/>
    </xf>
    <xf numFmtId="0" fontId="3" fillId="2" borderId="21" xfId="9" applyFont="1" applyFill="1" applyBorder="1" applyAlignment="1" applyProtection="1">
      <alignment horizontal="center"/>
    </xf>
    <xf numFmtId="1" fontId="11" fillId="2" borderId="22" xfId="9" applyNumberFormat="1" applyFont="1" applyFill="1" applyBorder="1" applyAlignment="1" applyProtection="1">
      <alignment horizontal="left" wrapText="1"/>
    </xf>
    <xf numFmtId="1" fontId="23" fillId="2" borderId="32" xfId="9" applyNumberFormat="1" applyFont="1" applyFill="1" applyBorder="1" applyAlignment="1" applyProtection="1">
      <alignment horizontal="left" wrapText="1"/>
    </xf>
    <xf numFmtId="164" fontId="24" fillId="2" borderId="32" xfId="6" applyNumberFormat="1" applyFont="1" applyFill="1" applyBorder="1" applyAlignment="1" applyProtection="1">
      <alignment horizontal="right"/>
      <protection locked="0"/>
    </xf>
    <xf numFmtId="0" fontId="9" fillId="2" borderId="24" xfId="9" applyFont="1" applyFill="1" applyBorder="1" applyAlignment="1" applyProtection="1">
      <alignment horizontal="center"/>
    </xf>
    <xf numFmtId="1" fontId="23" fillId="2" borderId="27" xfId="9" quotePrefix="1" applyNumberFormat="1" applyFont="1" applyFill="1" applyBorder="1" applyAlignment="1" applyProtection="1">
      <alignment horizontal="left" wrapText="1"/>
    </xf>
    <xf numFmtId="164" fontId="24" fillId="2" borderId="27" xfId="6" applyNumberFormat="1" applyFont="1" applyFill="1" applyBorder="1" applyAlignment="1" applyProtection="1">
      <alignment horizontal="right"/>
      <protection locked="0"/>
    </xf>
    <xf numFmtId="0" fontId="9" fillId="2" borderId="31" xfId="9" quotePrefix="1" applyFont="1" applyFill="1" applyBorder="1" applyAlignment="1" applyProtection="1">
      <alignment horizontal="center"/>
    </xf>
    <xf numFmtId="1" fontId="23" fillId="2" borderId="33" xfId="9" quotePrefix="1" applyNumberFormat="1" applyFont="1" applyFill="1" applyBorder="1" applyAlignment="1" applyProtection="1">
      <alignment horizontal="left" wrapText="1"/>
    </xf>
    <xf numFmtId="0" fontId="3" fillId="2" borderId="22" xfId="9" applyFont="1" applyFill="1" applyBorder="1" applyAlignment="1" applyProtection="1">
      <alignment horizontal="left" wrapText="1"/>
    </xf>
    <xf numFmtId="164" fontId="24" fillId="2" borderId="22" xfId="6" applyNumberFormat="1" applyFont="1" applyFill="1" applyBorder="1" applyAlignment="1" applyProtection="1">
      <alignment horizontal="right"/>
    </xf>
    <xf numFmtId="1" fontId="11" fillId="2" borderId="26" xfId="9" quotePrefix="1" applyNumberFormat="1" applyFont="1" applyFill="1" applyBorder="1" applyAlignment="1" applyProtection="1">
      <alignment horizontal="left" wrapText="1"/>
    </xf>
    <xf numFmtId="0" fontId="9" fillId="2" borderId="25" xfId="9" applyFont="1" applyFill="1" applyBorder="1" applyAlignment="1" applyProtection="1">
      <alignment horizontal="center"/>
    </xf>
    <xf numFmtId="1" fontId="11" fillId="2" borderId="24" xfId="9" quotePrefix="1" applyNumberFormat="1" applyFont="1" applyFill="1" applyBorder="1" applyAlignment="1" applyProtection="1">
      <alignment horizontal="left" wrapText="1"/>
    </xf>
    <xf numFmtId="0" fontId="3" fillId="2" borderId="24" xfId="9" quotePrefix="1" applyFont="1" applyFill="1" applyBorder="1" applyAlignment="1" applyProtection="1">
      <alignment horizontal="center" wrapText="1"/>
    </xf>
    <xf numFmtId="10" fontId="25" fillId="2" borderId="24" xfId="14" applyNumberFormat="1" applyFont="1" applyFill="1" applyBorder="1" applyAlignment="1" applyProtection="1">
      <alignment horizontal="right"/>
    </xf>
    <xf numFmtId="1" fontId="11" fillId="2" borderId="24" xfId="9" quotePrefix="1" applyNumberFormat="1" applyFont="1" applyFill="1" applyBorder="1" applyAlignment="1" applyProtection="1">
      <alignment horizontal="center" wrapText="1"/>
    </xf>
    <xf numFmtId="176" fontId="28" fillId="2" borderId="24" xfId="6" quotePrefix="1" applyNumberFormat="1" applyFont="1" applyFill="1" applyBorder="1" applyAlignment="1">
      <alignment horizontal="center" vertical="center"/>
    </xf>
    <xf numFmtId="1" fontId="11" fillId="2" borderId="27" xfId="9" applyNumberFormat="1" applyFont="1" applyFill="1" applyBorder="1" applyAlignment="1" applyProtection="1">
      <alignment horizontal="left" wrapText="1"/>
    </xf>
    <xf numFmtId="176" fontId="28" fillId="2" borderId="27" xfId="6" quotePrefix="1" applyNumberFormat="1" applyFont="1" applyFill="1" applyBorder="1" applyAlignment="1">
      <alignment horizontal="center" vertical="center"/>
    </xf>
    <xf numFmtId="0" fontId="9" fillId="2" borderId="34" xfId="9" applyFont="1" applyFill="1" applyBorder="1" applyAlignment="1" applyProtection="1">
      <alignment horizontal="center"/>
    </xf>
    <xf numFmtId="1" fontId="11" fillId="2" borderId="33" xfId="9" applyNumberFormat="1" applyFont="1" applyFill="1" applyBorder="1" applyAlignment="1" applyProtection="1">
      <alignment horizontal="left" wrapText="1"/>
    </xf>
    <xf numFmtId="176" fontId="28" fillId="2" borderId="33" xfId="6" quotePrefix="1" applyNumberFormat="1" applyFont="1" applyFill="1" applyBorder="1" applyAlignment="1">
      <alignment horizontal="center" vertical="center"/>
    </xf>
    <xf numFmtId="0" fontId="2" fillId="0" borderId="0" xfId="9" quotePrefix="1" applyFont="1" applyBorder="1" applyAlignment="1" applyProtection="1">
      <alignment horizontal="center" wrapText="1"/>
    </xf>
    <xf numFmtId="0" fontId="1" fillId="0" borderId="0" xfId="9" applyFont="1" applyBorder="1" applyAlignment="1" applyProtection="1"/>
    <xf numFmtId="0" fontId="1" fillId="0" borderId="0" xfId="9" applyBorder="1" applyAlignment="1"/>
    <xf numFmtId="0" fontId="1" fillId="0" borderId="0" xfId="9" quotePrefix="1" applyFont="1" applyBorder="1" applyAlignment="1" applyProtection="1">
      <alignment horizontal="left" wrapText="1"/>
    </xf>
    <xf numFmtId="0" fontId="1" fillId="0" borderId="0" xfId="9" applyBorder="1"/>
    <xf numFmtId="0" fontId="2" fillId="2" borderId="1" xfId="9" quotePrefix="1" applyFont="1" applyFill="1" applyBorder="1" applyAlignment="1" applyProtection="1">
      <alignment horizontal="center" wrapText="1"/>
    </xf>
    <xf numFmtId="0" fontId="22" fillId="2" borderId="1" xfId="9" applyFont="1" applyFill="1" applyBorder="1" applyAlignment="1" applyProtection="1">
      <alignment horizontal="centerContinuous" vertical="center" wrapText="1"/>
    </xf>
    <xf numFmtId="0" fontId="9" fillId="0" borderId="1" xfId="9" applyFont="1" applyBorder="1" applyAlignment="1" applyProtection="1">
      <alignment horizontal="left" wrapText="1"/>
    </xf>
    <xf numFmtId="164" fontId="1" fillId="0" borderId="1" xfId="6" applyNumberFormat="1" applyFont="1" applyBorder="1" applyAlignment="1" applyProtection="1"/>
    <xf numFmtId="169" fontId="2" fillId="2" borderId="1" xfId="9" applyNumberFormat="1" applyFont="1" applyFill="1" applyBorder="1" applyAlignment="1">
      <alignment horizontal="center" vertical="center"/>
    </xf>
    <xf numFmtId="0" fontId="1" fillId="2" borderId="1" xfId="9" applyFill="1" applyBorder="1" applyAlignment="1">
      <alignment wrapText="1"/>
    </xf>
    <xf numFmtId="0" fontId="12" fillId="2" borderId="1" xfId="9" applyFont="1" applyFill="1" applyBorder="1" applyAlignment="1" applyProtection="1">
      <alignment horizontal="centerContinuous" vertical="center" wrapText="1"/>
    </xf>
    <xf numFmtId="0" fontId="1" fillId="0" borderId="35" xfId="9" applyBorder="1"/>
    <xf numFmtId="0" fontId="2" fillId="2" borderId="1" xfId="9" applyFont="1" applyFill="1" applyBorder="1" applyAlignment="1">
      <alignment horizontal="center" wrapText="1"/>
    </xf>
    <xf numFmtId="0" fontId="1" fillId="0" borderId="1" xfId="9" applyBorder="1" applyAlignment="1">
      <alignment wrapText="1"/>
    </xf>
    <xf numFmtId="164" fontId="1" fillId="0" borderId="1" xfId="6" applyNumberFormat="1" applyBorder="1"/>
    <xf numFmtId="2" fontId="13" fillId="0" borderId="0" xfId="9" applyNumberFormat="1" applyFont="1" applyBorder="1"/>
    <xf numFmtId="4" fontId="17" fillId="0" borderId="0" xfId="10" applyNumberFormat="1" applyFont="1" applyFill="1" applyBorder="1" applyAlignment="1">
      <alignment horizontal="right"/>
    </xf>
    <xf numFmtId="0" fontId="29" fillId="0" borderId="0" xfId="9" applyFont="1" applyAlignment="1">
      <alignment horizontal="center"/>
    </xf>
    <xf numFmtId="0" fontId="30" fillId="10" borderId="1" xfId="9" applyFont="1" applyFill="1" applyBorder="1" applyAlignment="1">
      <alignment horizontal="centerContinuous" vertical="center" wrapText="1"/>
    </xf>
    <xf numFmtId="1" fontId="30" fillId="10" borderId="1" xfId="9" applyNumberFormat="1" applyFont="1" applyFill="1" applyBorder="1" applyAlignment="1">
      <alignment horizontal="centerContinuous" vertical="center" wrapText="1"/>
    </xf>
    <xf numFmtId="1" fontId="30" fillId="10" borderId="1" xfId="9" applyNumberFormat="1" applyFont="1" applyFill="1" applyBorder="1" applyAlignment="1">
      <alignment horizontal="center" vertical="center" wrapText="1"/>
    </xf>
    <xf numFmtId="0" fontId="31" fillId="3" borderId="1" xfId="9" quotePrefix="1" applyFont="1" applyFill="1" applyBorder="1" applyAlignment="1">
      <alignment horizontal="left" wrapText="1"/>
    </xf>
    <xf numFmtId="2" fontId="31" fillId="3" borderId="1" xfId="7" applyNumberFormat="1" applyFont="1" applyFill="1" applyBorder="1" applyAlignment="1" applyProtection="1">
      <alignment horizontal="right" vertical="center" wrapText="1"/>
      <protection locked="0"/>
    </xf>
    <xf numFmtId="0" fontId="31" fillId="3" borderId="1" xfId="9" quotePrefix="1" applyFont="1" applyFill="1" applyBorder="1" applyAlignment="1">
      <alignment horizontal="left" vertical="center" wrapText="1"/>
    </xf>
    <xf numFmtId="43" fontId="31" fillId="3" borderId="1" xfId="2" applyFont="1" applyFill="1" applyBorder="1" applyAlignment="1" applyProtection="1">
      <alignment horizontal="center" vertical="center" wrapText="1"/>
      <protection hidden="1"/>
    </xf>
    <xf numFmtId="0" fontId="2" fillId="0" borderId="0" xfId="9" quotePrefix="1" applyFont="1" applyAlignment="1">
      <alignment horizontal="left"/>
    </xf>
    <xf numFmtId="1" fontId="1" fillId="0" borderId="0" xfId="9" applyNumberFormat="1"/>
    <xf numFmtId="164" fontId="1" fillId="0" borderId="0" xfId="7" applyNumberFormat="1"/>
    <xf numFmtId="166" fontId="1" fillId="0" borderId="0" xfId="7" applyNumberFormat="1"/>
    <xf numFmtId="0" fontId="2" fillId="0" borderId="0" xfId="9" applyFont="1"/>
    <xf numFmtId="171" fontId="1" fillId="0" borderId="0" xfId="9" applyNumberFormat="1"/>
    <xf numFmtId="0" fontId="2" fillId="2" borderId="1" xfId="8" applyFont="1" applyFill="1" applyBorder="1" applyAlignment="1" applyProtection="1">
      <alignment horizontal="center" vertical="center"/>
      <protection locked="0"/>
    </xf>
    <xf numFmtId="0" fontId="36" fillId="0" borderId="0" xfId="1" applyAlignment="1" applyProtection="1"/>
    <xf numFmtId="175" fontId="13" fillId="0" borderId="0" xfId="5" applyNumberFormat="1" applyFont="1"/>
    <xf numFmtId="166" fontId="13" fillId="0" borderId="0" xfId="9" applyNumberFormat="1" applyFont="1"/>
    <xf numFmtId="177" fontId="9" fillId="5" borderId="36" xfId="14" applyNumberFormat="1" applyFont="1" applyFill="1" applyBorder="1" applyProtection="1"/>
    <xf numFmtId="3" fontId="9" fillId="2" borderId="18" xfId="0" applyNumberFormat="1" applyFont="1" applyFill="1" applyBorder="1" applyProtection="1"/>
    <xf numFmtId="164" fontId="26" fillId="2" borderId="24" xfId="6" applyNumberFormat="1" applyFont="1" applyFill="1" applyBorder="1" applyAlignment="1" applyProtection="1">
      <alignment horizontal="right"/>
    </xf>
    <xf numFmtId="164" fontId="25" fillId="2" borderId="33" xfId="6" applyNumberFormat="1" applyFont="1" applyFill="1" applyBorder="1" applyAlignment="1" applyProtection="1">
      <alignment horizontal="right"/>
    </xf>
    <xf numFmtId="164" fontId="25" fillId="2" borderId="26" xfId="6" applyNumberFormat="1" applyFont="1" applyFill="1" applyBorder="1" applyAlignment="1" applyProtection="1">
      <alignment horizontal="right"/>
    </xf>
    <xf numFmtId="164" fontId="25" fillId="2" borderId="24" xfId="6" applyNumberFormat="1" applyFont="1" applyFill="1" applyBorder="1" applyAlignment="1" applyProtection="1">
      <alignment horizontal="right"/>
    </xf>
    <xf numFmtId="178" fontId="33" fillId="0" borderId="1" xfId="2" quotePrefix="1" applyNumberFormat="1" applyFont="1" applyBorder="1" applyProtection="1">
      <protection locked="0"/>
    </xf>
    <xf numFmtId="178" fontId="33" fillId="0" borderId="1" xfId="2" applyNumberFormat="1" applyFont="1" applyBorder="1" applyProtection="1">
      <protection locked="0"/>
    </xf>
    <xf numFmtId="178" fontId="34" fillId="0" borderId="1" xfId="4" applyNumberFormat="1" applyFont="1" applyBorder="1"/>
    <xf numFmtId="178" fontId="33" fillId="0" borderId="1" xfId="4" quotePrefix="1" applyNumberFormat="1" applyFont="1" applyBorder="1"/>
    <xf numFmtId="178" fontId="33" fillId="0" borderId="1" xfId="4" applyNumberFormat="1" applyFont="1" applyBorder="1"/>
    <xf numFmtId="179" fontId="33" fillId="0" borderId="1" xfId="13" quotePrefix="1" applyNumberFormat="1" applyFont="1" applyBorder="1"/>
    <xf numFmtId="0" fontId="33" fillId="0" borderId="1" xfId="11" applyFont="1" applyFill="1" applyBorder="1"/>
    <xf numFmtId="179" fontId="33" fillId="0" borderId="1" xfId="11" quotePrefix="1" applyNumberFormat="1" applyFont="1" applyBorder="1"/>
    <xf numFmtId="0" fontId="33" fillId="0" borderId="1" xfId="13" applyFont="1" applyFill="1" applyBorder="1" applyAlignment="1">
      <alignment horizontal="left"/>
    </xf>
    <xf numFmtId="0" fontId="1" fillId="3" borderId="28" xfId="8" applyFill="1" applyBorder="1" applyAlignment="1" applyProtection="1">
      <alignment horizontal="center" vertical="center"/>
    </xf>
    <xf numFmtId="0" fontId="1" fillId="3" borderId="6" xfId="8" applyFill="1" applyBorder="1" applyAlignment="1" applyProtection="1">
      <alignment horizontal="center" vertical="center"/>
    </xf>
    <xf numFmtId="0" fontId="12" fillId="0" borderId="13" xfId="9" quotePrefix="1" applyFont="1" applyBorder="1" applyAlignment="1" applyProtection="1">
      <alignment horizontal="left" vertical="center"/>
      <protection hidden="1"/>
    </xf>
  </cellXfs>
  <cellStyles count="15">
    <cellStyle name="Hipervínculo" xfId="1" builtinId="8"/>
    <cellStyle name="Millares" xfId="2" builtinId="3"/>
    <cellStyle name="Millares 2 3" xfId="3"/>
    <cellStyle name="Millares 32" xfId="4"/>
    <cellStyle name="Millares 4" xfId="5"/>
    <cellStyle name="Millares_Formato Analisis Financiero Viabilidad Fiscal VIG-2005 (YPL) FINAL1" xfId="6"/>
    <cellStyle name="Millares_Formato Analisis Financiero YPL 2006 FINAL" xfId="7"/>
    <cellStyle name="Normal" xfId="0" builtinId="0"/>
    <cellStyle name="Normal 2 2" xfId="8"/>
    <cellStyle name="Normal 3" xfId="9"/>
    <cellStyle name="Normal_BASE_MPIOS" xfId="10"/>
    <cellStyle name="Normal_Ejercicio Sobretasa" xfId="11"/>
    <cellStyle name="Normal_Hoja1" xfId="12"/>
    <cellStyle name="Normal_OEC Mpios Consulta ultima 2007 (3) 2" xfId="13"/>
    <cellStyle name="Porcentual 3" xfId="14"/>
  </cellStyles>
  <dxfs count="10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4310670113898397"/>
          <c:y val="5.2658519399358325E-2"/>
          <c:w val="0.84059520831265344"/>
          <c:h val="0.72690012383223257"/>
        </c:manualLayout>
      </c:layout>
      <c:bar3DChart>
        <c:barDir val="col"/>
        <c:grouping val="clustered"/>
        <c:ser>
          <c:idx val="0"/>
          <c:order val="0"/>
          <c:tx>
            <c:strRef>
              <c:f>'Análisis Histórico'!$A$6</c:f>
              <c:strCache>
                <c:ptCount val="1"/>
                <c:pt idx="0">
                  <c:v>    INGRESOS TOTALES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Histórico'!$H$6:$M$6</c:f>
              <c:numCache>
                <c:formatCode>_ * #,##0_ ;_ * \-#,##0_ ;_ * "-"??_ ;_ @_ </c:formatCode>
                <c:ptCount val="6"/>
                <c:pt idx="0">
                  <c:v>3752.8274927609018</c:v>
                </c:pt>
                <c:pt idx="1">
                  <c:v>4241.8658780326778</c:v>
                </c:pt>
                <c:pt idx="2">
                  <c:v>5015.4677350103666</c:v>
                </c:pt>
                <c:pt idx="3">
                  <c:v>5358.3473835719997</c:v>
                </c:pt>
                <c:pt idx="4">
                  <c:v>4928.8735800000004</c:v>
                </c:pt>
                <c:pt idx="5">
                  <c:v>5237.9050000000007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'Análisis Histórico'!$A$17</c:f>
              <c:strCache>
                <c:ptCount val="1"/>
                <c:pt idx="0">
                  <c:v>     GASTOS TOTALES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Histórico'!$H$17:$M$17</c:f>
              <c:numCache>
                <c:formatCode>_ * #,##0_ ;_ * \-#,##0_ ;_ * "-"??_ ;_ @_ </c:formatCode>
                <c:ptCount val="6"/>
                <c:pt idx="0">
                  <c:v>3684.7758879179578</c:v>
                </c:pt>
                <c:pt idx="1">
                  <c:v>4434.1540488558876</c:v>
                </c:pt>
                <c:pt idx="2">
                  <c:v>5158.5988730427216</c:v>
                </c:pt>
                <c:pt idx="3">
                  <c:v>5696.927622400015</c:v>
                </c:pt>
                <c:pt idx="4">
                  <c:v>4965.1458000000002</c:v>
                </c:pt>
                <c:pt idx="5">
                  <c:v>3063.8309999999997</c:v>
                </c:pt>
              </c:numCache>
            </c:numRef>
          </c:val>
        </c:ser>
        <c:gapWidth val="20"/>
        <c:shape val="box"/>
        <c:axId val="74455296"/>
        <c:axId val="74465280"/>
        <c:axId val="0"/>
      </c:bar3DChart>
      <c:catAx>
        <c:axId val="744552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465280"/>
        <c:crosses val="autoZero"/>
        <c:auto val="1"/>
        <c:lblAlgn val="ctr"/>
        <c:lblOffset val="100"/>
        <c:tickLblSkip val="1"/>
        <c:tickMarkSkip val="1"/>
      </c:catAx>
      <c:valAx>
        <c:axId val="74465280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9.3159820990962559E-3"/>
              <c:y val="0.28313253012048195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45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007083495846001E-2"/>
          <c:y val="0.87848044616054444"/>
          <c:w val="0.86933982788474662"/>
          <c:h val="0.11127418984700228"/>
        </c:manualLayout>
      </c:layout>
      <c:txPr>
        <a:bodyPr/>
        <a:lstStyle/>
        <a:p>
          <a:pPr>
            <a:defRPr lang="es-ES_tradnl"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1"/>
      <c:depthPercent val="70"/>
      <c:rAngAx val="1"/>
    </c:view3D>
    <c:plotArea>
      <c:layout>
        <c:manualLayout>
          <c:layoutTarget val="inner"/>
          <c:xMode val="edge"/>
          <c:yMode val="edge"/>
          <c:x val="0.15901060070671391"/>
          <c:y val="3.4837636574498052E-2"/>
          <c:w val="0.81861012956419565"/>
          <c:h val="0.72305512179438425"/>
        </c:manualLayout>
      </c:layout>
      <c:bar3DChart>
        <c:barDir val="col"/>
        <c:grouping val="clustered"/>
        <c:ser>
          <c:idx val="0"/>
          <c:order val="0"/>
          <c:tx>
            <c:strRef>
              <c:f>'Análisis Histórico'!$A$18</c:f>
              <c:strCache>
                <c:ptCount val="1"/>
                <c:pt idx="0">
                  <c:v>2.  GASTOS CORRIENTES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Histórico'!$H$18:$M$18</c:f>
              <c:numCache>
                <c:formatCode>_ * #,##0_ ;_ * \-#,##0_ ;_ * "-"??_ ;_ @_ </c:formatCode>
                <c:ptCount val="6"/>
                <c:pt idx="0">
                  <c:v>792.74607511627948</c:v>
                </c:pt>
                <c:pt idx="1">
                  <c:v>884.86401410465942</c:v>
                </c:pt>
                <c:pt idx="2">
                  <c:v>964.52757965067656</c:v>
                </c:pt>
                <c:pt idx="3">
                  <c:v>795.65534552201404</c:v>
                </c:pt>
                <c:pt idx="4">
                  <c:v>799.23732000000007</c:v>
                </c:pt>
                <c:pt idx="5">
                  <c:v>708.91199999999992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'Análisis Histórico'!$A$31</c:f>
              <c:strCache>
                <c:ptCount val="1"/>
                <c:pt idx="0">
                  <c:v>5.1.   FORMACION BRUTAL DE CAPITAL FIJO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Histórico'!$H$31:$M$31</c:f>
              <c:numCache>
                <c:formatCode>_ * #,##0_ ;_ * \-#,##0_ ;_ * "-"??_ ;_ @_ </c:formatCode>
                <c:ptCount val="6"/>
                <c:pt idx="0">
                  <c:v>761.82982630461743</c:v>
                </c:pt>
                <c:pt idx="1">
                  <c:v>1140.2988423467621</c:v>
                </c:pt>
                <c:pt idx="2">
                  <c:v>1437.0256221859277</c:v>
                </c:pt>
                <c:pt idx="3">
                  <c:v>1511.1535104899999</c:v>
                </c:pt>
                <c:pt idx="4">
                  <c:v>1087.96056</c:v>
                </c:pt>
                <c:pt idx="5">
                  <c:v>405.12200000000001</c:v>
                </c:pt>
              </c:numCache>
            </c:numRef>
          </c:val>
        </c:ser>
        <c:gapWidth val="10"/>
        <c:shape val="box"/>
        <c:axId val="74503296"/>
        <c:axId val="74504832"/>
        <c:axId val="0"/>
      </c:bar3DChart>
      <c:catAx>
        <c:axId val="74503296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04832"/>
        <c:crosses val="autoZero"/>
        <c:auto val="1"/>
        <c:lblAlgn val="ctr"/>
        <c:lblOffset val="100"/>
        <c:tickLblSkip val="1"/>
        <c:tickMarkSkip val="1"/>
      </c:catAx>
      <c:valAx>
        <c:axId val="74504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1201413427561849E-2"/>
              <c:y val="0.24550918635170607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0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591373219633521E-2"/>
          <c:y val="0.77811550151975684"/>
          <c:w val="0.94086698767744392"/>
          <c:h val="0.21276595744680854"/>
        </c:manualLayout>
      </c:layout>
      <c:txPr>
        <a:bodyPr/>
        <a:lstStyle/>
        <a:p>
          <a:pPr>
            <a:defRPr lang="es-ES_tradnl"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5207208139233663"/>
          <c:y val="2.498053160626541E-2"/>
          <c:w val="0.81332933418822717"/>
          <c:h val="0.79313187849892697"/>
        </c:manualLayout>
      </c:layout>
      <c:lineChart>
        <c:grouping val="standard"/>
        <c:ser>
          <c:idx val="2"/>
          <c:order val="0"/>
          <c:tx>
            <c:strRef>
              <c:f>'Análisis Histórico'!$A$25</c:f>
              <c:strCache>
                <c:ptCount val="1"/>
                <c:pt idx="0">
                  <c:v>4.  INGRESOS DE CAPITAL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Histórico'!$H$25:$M$25</c:f>
              <c:numCache>
                <c:formatCode>_ * #,##0_ ;_ * \-#,##0_ ;_ * "-"??_ ;_ @_ </c:formatCode>
                <c:ptCount val="6"/>
                <c:pt idx="0">
                  <c:v>2787.6197635020144</c:v>
                </c:pt>
                <c:pt idx="1">
                  <c:v>3256.5869874760956</c:v>
                </c:pt>
                <c:pt idx="2">
                  <c:v>3733.2582544782722</c:v>
                </c:pt>
                <c:pt idx="3">
                  <c:v>4084.3388354039998</c:v>
                </c:pt>
                <c:pt idx="4">
                  <c:v>3920.1915000000004</c:v>
                </c:pt>
                <c:pt idx="5">
                  <c:v>4184.4030000000002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'Análisis Histórico'!$A$34</c:f>
              <c:strCache>
                <c:ptCount val="1"/>
                <c:pt idx="0">
                  <c:v>7. FINANCIAMIENTO (7.1 + 7.2)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Histórico'!$H$34:$M$34</c:f>
              <c:numCache>
                <c:formatCode>_ * #,##0_ ;_ * \-#,##0_ ;_ * "-"??_ ;_ @_ </c:formatCode>
                <c:ptCount val="6"/>
                <c:pt idx="0">
                  <c:v>-68.051604842944045</c:v>
                </c:pt>
                <c:pt idx="1">
                  <c:v>192.2881708232097</c:v>
                </c:pt>
                <c:pt idx="2">
                  <c:v>143.13113803235507</c:v>
                </c:pt>
                <c:pt idx="3">
                  <c:v>338.58023882801473</c:v>
                </c:pt>
                <c:pt idx="4">
                  <c:v>36.272219999999692</c:v>
                </c:pt>
                <c:pt idx="5">
                  <c:v>-2174.0740000000014</c:v>
                </c:pt>
              </c:numCache>
            </c:numRef>
          </c:val>
        </c:ser>
        <c:marker val="1"/>
        <c:axId val="74517504"/>
        <c:axId val="74539776"/>
      </c:lineChart>
      <c:catAx>
        <c:axId val="74517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39776"/>
        <c:crosses val="autoZero"/>
        <c:auto val="1"/>
        <c:lblAlgn val="ctr"/>
        <c:lblOffset val="100"/>
        <c:tickLblSkip val="1"/>
        <c:tickMarkSkip val="1"/>
      </c:catAx>
      <c:valAx>
        <c:axId val="7453977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7303766516364951E-2"/>
              <c:y val="0.22222278485285801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1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960725502768051E-2"/>
          <c:y val="0.87119603976850635"/>
          <c:w val="0.95856671529326742"/>
          <c:h val="0.11865752512976067"/>
        </c:manualLayout>
      </c:layout>
      <c:txPr>
        <a:bodyPr/>
        <a:lstStyle/>
        <a:p>
          <a:pPr>
            <a:defRPr lang="es-ES_tradnl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39"/>
      <c:depthPercent val="70"/>
      <c:rAngAx val="1"/>
    </c:view3D>
    <c:plotArea>
      <c:layout>
        <c:manualLayout>
          <c:layoutTarget val="inner"/>
          <c:xMode val="edge"/>
          <c:yMode val="edge"/>
          <c:x val="7.3227885178676025E-2"/>
          <c:y val="2.6540813598969887E-2"/>
          <c:w val="0.86818980667839785"/>
          <c:h val="0.69844280234520062"/>
        </c:manualLayout>
      </c:layout>
      <c:bar3DChart>
        <c:barDir val="col"/>
        <c:grouping val="stacked"/>
        <c:ser>
          <c:idx val="3"/>
          <c:order val="0"/>
          <c:tx>
            <c:strRef>
              <c:f>'Análisis Histórico'!$A$20</c:f>
              <c:strCache>
                <c:ptCount val="1"/>
                <c:pt idx="0">
                  <c:v>2.1.1.  SERVICIOS PERSONALES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Histórico'!$H$20:$M$20</c:f>
              <c:numCache>
                <c:formatCode>_ * #,##0_ ;_ * \-#,##0_ ;_ * "-"??_ ;_ @_ </c:formatCode>
                <c:ptCount val="6"/>
                <c:pt idx="0">
                  <c:v>410.49159347984295</c:v>
                </c:pt>
                <c:pt idx="1">
                  <c:v>531.51749408325429</c:v>
                </c:pt>
                <c:pt idx="2">
                  <c:v>532.27066064309281</c:v>
                </c:pt>
                <c:pt idx="3">
                  <c:v>518.29066985399993</c:v>
                </c:pt>
                <c:pt idx="4">
                  <c:v>476.89590000000004</c:v>
                </c:pt>
                <c:pt idx="5">
                  <c:v>461.80099999999999</c:v>
                </c:pt>
              </c:numCache>
            </c:numRef>
          </c:val>
        </c:ser>
        <c:ser>
          <c:idx val="0"/>
          <c:order val="1"/>
          <c:tx>
            <c:strRef>
              <c:f>'Análisis Histórico'!$A$21</c:f>
              <c:strCache>
                <c:ptCount val="1"/>
                <c:pt idx="0">
                  <c:v>2.1.2. GASTOS GENERALES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Histórico'!$H$21:$M$21</c:f>
              <c:numCache>
                <c:formatCode>_ * #,##0_ ;_ * \-#,##0_ ;_ * "-"??_ ;_ @_ </c:formatCode>
                <c:ptCount val="6"/>
                <c:pt idx="0">
                  <c:v>182.36187266887254</c:v>
                </c:pt>
                <c:pt idx="1">
                  <c:v>273.46803305226695</c:v>
                </c:pt>
                <c:pt idx="2">
                  <c:v>342.84986884848956</c:v>
                </c:pt>
                <c:pt idx="3">
                  <c:v>190.12297537799998</c:v>
                </c:pt>
                <c:pt idx="4">
                  <c:v>166.39055999999999</c:v>
                </c:pt>
                <c:pt idx="5">
                  <c:v>127.864</c:v>
                </c:pt>
              </c:numCache>
            </c:numRef>
          </c:val>
        </c:ser>
        <c:ser>
          <c:idx val="1"/>
          <c:order val="2"/>
          <c:tx>
            <c:strRef>
              <c:f>'Análisis Histórico'!$A$22</c:f>
              <c:strCache>
                <c:ptCount val="1"/>
                <c:pt idx="0">
                  <c:v>2.1.3. TRANSFERENCIAS PAGADAS (NOMINA Y A ENTIDADES)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Histórico'!$H$22:$M$22</c:f>
              <c:numCache>
                <c:formatCode>_ * #,##0_ ;_ * \-#,##0_ ;_ * "-"??_ ;_ @_ </c:formatCode>
                <c:ptCount val="6"/>
                <c:pt idx="0">
                  <c:v>133.00700725698357</c:v>
                </c:pt>
                <c:pt idx="1">
                  <c:v>20.159109856042971</c:v>
                </c:pt>
                <c:pt idx="2">
                  <c:v>19.775246518240198</c:v>
                </c:pt>
                <c:pt idx="3">
                  <c:v>25.399955951999999</c:v>
                </c:pt>
                <c:pt idx="4">
                  <c:v>55.985759999999999</c:v>
                </c:pt>
                <c:pt idx="5">
                  <c:v>72.558000000000007</c:v>
                </c:pt>
              </c:numCache>
            </c:numRef>
          </c:val>
        </c:ser>
        <c:gapWidth val="70"/>
        <c:shape val="cylinder"/>
        <c:axId val="74569984"/>
        <c:axId val="74383360"/>
        <c:axId val="0"/>
      </c:bar3DChart>
      <c:catAx>
        <c:axId val="7456998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383360"/>
        <c:crosses val="autoZero"/>
        <c:auto val="1"/>
        <c:lblAlgn val="ctr"/>
        <c:lblOffset val="100"/>
        <c:tickLblSkip val="1"/>
        <c:tickMarkSkip val="1"/>
      </c:catAx>
      <c:valAx>
        <c:axId val="74383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7873462214411256E-3"/>
              <c:y val="0.285714634507895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6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059753954305797E-2"/>
          <c:y val="0.82836422240128937"/>
          <c:w val="0.97891036906854134"/>
          <c:h val="0.16116035455278005"/>
        </c:manualLayout>
      </c:layout>
      <c:txPr>
        <a:bodyPr/>
        <a:lstStyle/>
        <a:p>
          <a:pPr>
            <a:defRPr lang="es-ES_trad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5"/>
      <c:depthPercent val="70"/>
      <c:rAngAx val="1"/>
    </c:view3D>
    <c:plotArea>
      <c:layout>
        <c:manualLayout>
          <c:layoutTarget val="inner"/>
          <c:xMode val="edge"/>
          <c:yMode val="edge"/>
          <c:x val="0.16956211526596404"/>
          <c:y val="0.12550380354997998"/>
          <c:w val="0.82867132867132864"/>
          <c:h val="0.76046739920221129"/>
        </c:manualLayout>
      </c:layout>
      <c:bar3DChart>
        <c:barDir val="col"/>
        <c:grouping val="clustered"/>
        <c:ser>
          <c:idx val="0"/>
          <c:order val="0"/>
          <c:tx>
            <c:strRef>
              <c:f>'Análisis Histórico'!$A$40</c:f>
              <c:strCache>
                <c:ptCount val="1"/>
              </c:strCache>
            </c:strRef>
          </c:tx>
          <c:dLbls>
            <c:dLbl>
              <c:idx val="0"/>
              <c:layout>
                <c:manualLayout>
                  <c:x val="2.7298790448396792E-2"/>
                  <c:y val="-5.8675456265641218E-2"/>
                </c:manualLayout>
              </c:layout>
              <c:showVal val="1"/>
            </c:dLbl>
            <c:dLbl>
              <c:idx val="1"/>
              <c:layout>
                <c:manualLayout>
                  <c:x val="4.0327258043793474E-2"/>
                  <c:y val="-6.4933162424464411E-2"/>
                </c:manualLayout>
              </c:layout>
              <c:showVal val="1"/>
            </c:dLbl>
            <c:dLbl>
              <c:idx val="2"/>
              <c:layout>
                <c:manualLayout>
                  <c:x val="4.2866215149679913E-2"/>
                  <c:y val="-6.341726179576393E-2"/>
                </c:manualLayout>
              </c:layout>
              <c:showVal val="1"/>
            </c:dLbl>
            <c:dLbl>
              <c:idx val="3"/>
              <c:layout>
                <c:manualLayout>
                  <c:x val="5.2398362792063585E-2"/>
                  <c:y val="-6.3802722334127024E-2"/>
                </c:manualLayout>
              </c:layout>
              <c:showVal val="1"/>
            </c:dLbl>
            <c:dLbl>
              <c:idx val="4"/>
              <c:layout>
                <c:manualLayout>
                  <c:x val="-0.34190824077729981"/>
                  <c:y val="-0.21495047574118512"/>
                </c:manualLayout>
              </c:layout>
              <c:showVal val="1"/>
            </c:dLbl>
            <c:dLbl>
              <c:idx val="5"/>
              <c:layout>
                <c:manualLayout>
                  <c:x val="-0.2954941613422622"/>
                  <c:y val="-0.49685571822245572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61188811188811265"/>
                  <c:y val="0.30523255813953476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9405594405594406"/>
                  <c:y val="0.36337209302326506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5559440559441784"/>
                  <c:y val="0.38662790697675115"/>
                </c:manualLayout>
              </c:layout>
              <c:showVal val="1"/>
            </c:dLbl>
            <c:numFmt formatCode="_ * #,##0_ ;_ * \-#,##0_ ;_ * &quot;-&quot;??_ ;_ @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_tradnl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Val val="1"/>
          </c:dLbls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Histórico'!$H$40:$M$40</c:f>
              <c:numCache>
                <c:formatCode>_ * #,##0_ ;_ * \-#,##0_ ;_ * "-"??_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hape val="cylinder"/>
        </c:ser>
        <c:gapWidth val="20"/>
        <c:shape val="box"/>
        <c:axId val="74527104"/>
        <c:axId val="74528640"/>
        <c:axId val="0"/>
      </c:bar3DChart>
      <c:catAx>
        <c:axId val="74527104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_tradnl"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28640"/>
        <c:crosses val="autoZero"/>
        <c:auto val="1"/>
        <c:lblAlgn val="ctr"/>
        <c:lblOffset val="100"/>
        <c:tickLblSkip val="1"/>
        <c:tickMarkSkip val="1"/>
      </c:catAx>
      <c:valAx>
        <c:axId val="745286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2.9720279720279727E-2"/>
              <c:y val="0.33720930232558138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27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plotArea>
      <c:layout>
        <c:manualLayout>
          <c:layoutTarget val="inner"/>
          <c:xMode val="edge"/>
          <c:yMode val="edge"/>
          <c:x val="0.12953381530426006"/>
          <c:y val="2.3171696700253649E-2"/>
          <c:w val="0.85837741608289675"/>
          <c:h val="0.77914830154602921"/>
        </c:manualLayout>
      </c:layout>
      <c:lineChart>
        <c:grouping val="standard"/>
        <c:ser>
          <c:idx val="0"/>
          <c:order val="0"/>
          <c:tx>
            <c:strRef>
              <c:f>'Análisis Histórico'!$A$9</c:f>
              <c:strCache>
                <c:ptCount val="1"/>
                <c:pt idx="0">
                  <c:v>1.1.1. PREDIAL</c:v>
                </c:pt>
              </c:strCache>
            </c:strRef>
          </c:tx>
          <c:marker>
            <c:symbol val="none"/>
          </c:marker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Histórico'!$H$9:$M$9</c:f>
              <c:numCache>
                <c:formatCode>_ * #,##0_ ;_ * \-#,##0_ ;_ * "-"??_ ;_ @_ </c:formatCode>
                <c:ptCount val="6"/>
                <c:pt idx="0">
                  <c:v>57.866561124041056</c:v>
                </c:pt>
                <c:pt idx="1">
                  <c:v>76.265782387464967</c:v>
                </c:pt>
                <c:pt idx="2">
                  <c:v>61.881652733869799</c:v>
                </c:pt>
                <c:pt idx="3">
                  <c:v>80.183162573999994</c:v>
                </c:pt>
                <c:pt idx="4">
                  <c:v>71.491800000000012</c:v>
                </c:pt>
                <c:pt idx="5">
                  <c:v>74.643000000000001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'Análisis Histórico'!$A$10</c:f>
              <c:strCache>
                <c:ptCount val="1"/>
                <c:pt idx="0">
                  <c:v>1.1.2. INDUSTRIA Y COMERCIO</c:v>
                </c:pt>
              </c:strCache>
            </c:strRef>
          </c:tx>
          <c:marker>
            <c:symbol val="none"/>
          </c:marker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Histórico'!$H$10:$M$10</c:f>
              <c:numCache>
                <c:formatCode>_ * #,##0_ ;_ * \-#,##0_ ;_ * "-"??_ ;_ @_ </c:formatCode>
                <c:ptCount val="6"/>
                <c:pt idx="0">
                  <c:v>28.979691809928138</c:v>
                </c:pt>
                <c:pt idx="1">
                  <c:v>41.003408731436494</c:v>
                </c:pt>
                <c:pt idx="2">
                  <c:v>84.173347831762797</c:v>
                </c:pt>
                <c:pt idx="3">
                  <c:v>41.397930629999998</c:v>
                </c:pt>
                <c:pt idx="4">
                  <c:v>34.727939999999997</c:v>
                </c:pt>
                <c:pt idx="5">
                  <c:v>41.146000000000001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'Análisis Histórico'!$A$11</c:f>
              <c:strCache>
                <c:ptCount val="1"/>
                <c:pt idx="0">
                  <c:v>1.1.3. SOBRETASA A LA GASOLINA</c:v>
                </c:pt>
              </c:strCache>
            </c:strRef>
          </c:tx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trendline>
            <c:trendlineType val="linear"/>
          </c:trendline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Histórico'!$H$11:$M$11</c:f>
              <c:numCache>
                <c:formatCode>_ * #,##0_ ;_ * \-#,##0_ ;_ * "-"??_ ;_ @_ </c:formatCode>
                <c:ptCount val="6"/>
                <c:pt idx="0">
                  <c:v>127.95008854661178</c:v>
                </c:pt>
                <c:pt idx="1">
                  <c:v>145.87734858169722</c:v>
                </c:pt>
                <c:pt idx="2">
                  <c:v>157.17241038847138</c:v>
                </c:pt>
                <c:pt idx="3">
                  <c:v>171.97136382599999</c:v>
                </c:pt>
                <c:pt idx="4">
                  <c:v>120.43344</c:v>
                </c:pt>
                <c:pt idx="5">
                  <c:v>118.122</c:v>
                </c:pt>
              </c:numCache>
            </c:numRef>
          </c:val>
          <c:smooth val="1"/>
        </c:ser>
        <c:ser>
          <c:idx val="2"/>
          <c:order val="3"/>
          <c:tx>
            <c:strRef>
              <c:f>'Análisis Histórico'!$A$12</c:f>
              <c:strCache>
                <c:ptCount val="1"/>
                <c:pt idx="0">
                  <c:v>1.1.4. OTROS</c:v>
                </c:pt>
              </c:strCache>
            </c:strRef>
          </c:tx>
          <c:marker>
            <c:symbol val="none"/>
          </c:marker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Histórico'!$H$12:$M$12</c:f>
              <c:numCache>
                <c:formatCode>_ * #,##0_ ;_ * \-#,##0_ ;_ * "-"??_ ;_ @_ </c:formatCode>
                <c:ptCount val="6"/>
                <c:pt idx="0">
                  <c:v>74.097782481319484</c:v>
                </c:pt>
                <c:pt idx="1">
                  <c:v>83.038845525647005</c:v>
                </c:pt>
                <c:pt idx="2">
                  <c:v>188.55140988216777</c:v>
                </c:pt>
                <c:pt idx="3">
                  <c:v>150.63816837599998</c:v>
                </c:pt>
                <c:pt idx="4">
                  <c:v>182.55756000000002</c:v>
                </c:pt>
                <c:pt idx="5">
                  <c:v>182.67</c:v>
                </c:pt>
              </c:numCache>
            </c:numRef>
          </c:val>
          <c:smooth val="1"/>
        </c:ser>
        <c:marker val="1"/>
        <c:axId val="82293120"/>
        <c:axId val="82294656"/>
      </c:lineChart>
      <c:catAx>
        <c:axId val="8229312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2294656"/>
        <c:crosses val="autoZero"/>
        <c:auto val="1"/>
        <c:lblAlgn val="ctr"/>
        <c:lblOffset val="100"/>
        <c:tickLblSkip val="1"/>
        <c:tickMarkSkip val="1"/>
      </c:catAx>
      <c:valAx>
        <c:axId val="822946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8.6355785837651123E-3"/>
              <c:y val="0.23214348206474195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229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6355876869506718E-3"/>
          <c:y val="0.88631739878470206"/>
          <c:w val="0.99309258399932687"/>
          <c:h val="9.8479710976078008E-2"/>
        </c:manualLayout>
      </c:layout>
      <c:txPr>
        <a:bodyPr/>
        <a:lstStyle/>
        <a:p>
          <a:pPr>
            <a:defRPr lang="es-ES_tradnl"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roundedCorners val="1"/>
  <c:chart>
    <c:view3D>
      <c:hPercent val="44"/>
      <c:depthPercent val="70"/>
      <c:rAngAx val="1"/>
    </c:view3D>
    <c:plotArea>
      <c:layout>
        <c:manualLayout>
          <c:layoutTarget val="inner"/>
          <c:xMode val="edge"/>
          <c:yMode val="edge"/>
          <c:x val="0.15334517465956191"/>
          <c:y val="4.3684819378737395E-2"/>
          <c:w val="0.8164594434576673"/>
          <c:h val="0.7316942890453878"/>
        </c:manualLayout>
      </c:layout>
      <c:bar3DChart>
        <c:barDir val="col"/>
        <c:grouping val="clustered"/>
        <c:ser>
          <c:idx val="0"/>
          <c:order val="0"/>
          <c:tx>
            <c:strRef>
              <c:f>'Análisis Histórico'!$A$7</c:f>
              <c:strCache>
                <c:ptCount val="1"/>
                <c:pt idx="0">
                  <c:v>1.  INGRESOS CORRIENTES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Histórico'!$H$7:$M$7</c:f>
              <c:numCache>
                <c:formatCode>_ * #,##0_ ;_ * \-#,##0_ ;_ * "-"??_ ;_ @_ </c:formatCode>
                <c:ptCount val="6"/>
                <c:pt idx="0">
                  <c:v>965.2077292588873</c:v>
                </c:pt>
                <c:pt idx="1">
                  <c:v>985.27889055658204</c:v>
                </c:pt>
                <c:pt idx="2">
                  <c:v>1282.2094805320944</c:v>
                </c:pt>
                <c:pt idx="3">
                  <c:v>1274.0085481680001</c:v>
                </c:pt>
                <c:pt idx="4">
                  <c:v>1008.68208</c:v>
                </c:pt>
                <c:pt idx="5">
                  <c:v>1053.502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'Análisis Histórico'!$A$18</c:f>
              <c:strCache>
                <c:ptCount val="1"/>
                <c:pt idx="0">
                  <c:v>2.  GASTOS CORRIENTES</c:v>
                </c:pt>
              </c:strCache>
            </c:strRef>
          </c:tx>
          <c:cat>
            <c:strRef>
              <c:f>'Análisis Histórico'!$H$5:$M$5</c:f>
              <c:strCach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strCache>
            </c:strRef>
          </c:cat>
          <c:val>
            <c:numRef>
              <c:f>'Análisis Histórico'!$H$18:$M$18</c:f>
              <c:numCache>
                <c:formatCode>_ * #,##0_ ;_ * \-#,##0_ ;_ * "-"??_ ;_ @_ </c:formatCode>
                <c:ptCount val="6"/>
                <c:pt idx="0">
                  <c:v>792.74607511627948</c:v>
                </c:pt>
                <c:pt idx="1">
                  <c:v>884.86401410465942</c:v>
                </c:pt>
                <c:pt idx="2">
                  <c:v>964.52757965067656</c:v>
                </c:pt>
                <c:pt idx="3">
                  <c:v>795.65534552201404</c:v>
                </c:pt>
                <c:pt idx="4">
                  <c:v>799.23732000000007</c:v>
                </c:pt>
                <c:pt idx="5">
                  <c:v>708.91199999999992</c:v>
                </c:pt>
              </c:numCache>
            </c:numRef>
          </c:val>
        </c:ser>
        <c:gapWidth val="20"/>
        <c:shape val="box"/>
        <c:axId val="74562560"/>
        <c:axId val="82330368"/>
        <c:axId val="0"/>
      </c:bar3DChart>
      <c:catAx>
        <c:axId val="7456256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82330368"/>
        <c:crosses val="autoZero"/>
        <c:auto val="1"/>
        <c:lblAlgn val="ctr"/>
        <c:lblOffset val="100"/>
        <c:tickLblSkip val="1"/>
        <c:tickMarkSkip val="1"/>
      </c:catAx>
      <c:valAx>
        <c:axId val="82330368"/>
        <c:scaling>
          <c:orientation val="minMax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lang="es-ES_tradnl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Mill $ Constantes, 2010</a:t>
                </a:r>
              </a:p>
            </c:rich>
          </c:tx>
          <c:layout>
            <c:manualLayout>
              <c:xMode val="edge"/>
              <c:yMode val="edge"/>
              <c:x val="1.0065127294256961E-2"/>
              <c:y val="0.29202099737532822"/>
            </c:manualLayout>
          </c:layout>
          <c:spPr>
            <a:noFill/>
            <a:ln w="25400">
              <a:noFill/>
            </a:ln>
          </c:spPr>
        </c:title>
        <c:numFmt formatCode="_ * #,##0_ ;_ * \-#,##0_ ;_ * &quot;-&quot;??_ ;_ @_ " sourceLinked="1"/>
        <c:tickLblPos val="nextTo"/>
        <c:txPr>
          <a:bodyPr rot="0" vert="horz"/>
          <a:lstStyle/>
          <a:p>
            <a:pPr>
              <a:defRPr lang="es-ES_tradnl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4562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295609276973439E-2"/>
          <c:y val="0.82530553558590958"/>
          <c:w val="0.80320032069149971"/>
          <c:h val="0.16678648454349396"/>
        </c:manualLayout>
      </c:layout>
      <c:txPr>
        <a:bodyPr/>
        <a:lstStyle/>
        <a:p>
          <a:pPr>
            <a:defRPr lang="es-ES_tradnl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833" r="0.750000000000008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22</xdr:row>
      <xdr:rowOff>66675</xdr:rowOff>
    </xdr:from>
    <xdr:to>
      <xdr:col>7</xdr:col>
      <xdr:colOff>809625</xdr:colOff>
      <xdr:row>41</xdr:row>
      <xdr:rowOff>152400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23</xdr:row>
      <xdr:rowOff>19050</xdr:rowOff>
    </xdr:from>
    <xdr:to>
      <xdr:col>16</xdr:col>
      <xdr:colOff>857250</xdr:colOff>
      <xdr:row>41</xdr:row>
      <xdr:rowOff>152400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43</xdr:row>
      <xdr:rowOff>0</xdr:rowOff>
    </xdr:from>
    <xdr:to>
      <xdr:col>7</xdr:col>
      <xdr:colOff>866775</xdr:colOff>
      <xdr:row>61</xdr:row>
      <xdr:rowOff>47625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43</xdr:row>
      <xdr:rowOff>47625</xdr:rowOff>
    </xdr:from>
    <xdr:to>
      <xdr:col>16</xdr:col>
      <xdr:colOff>895350</xdr:colOff>
      <xdr:row>61</xdr:row>
      <xdr:rowOff>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63</xdr:row>
      <xdr:rowOff>47625</xdr:rowOff>
    </xdr:from>
    <xdr:to>
      <xdr:col>7</xdr:col>
      <xdr:colOff>600075</xdr:colOff>
      <xdr:row>83</xdr:row>
      <xdr:rowOff>85725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7</xdr:col>
      <xdr:colOff>790575</xdr:colOff>
      <xdr:row>20</xdr:row>
      <xdr:rowOff>123825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47625</xdr:colOff>
      <xdr:row>1</xdr:row>
      <xdr:rowOff>0</xdr:rowOff>
    </xdr:from>
    <xdr:to>
      <xdr:col>16</xdr:col>
      <xdr:colOff>838200</xdr:colOff>
      <xdr:row>20</xdr:row>
      <xdr:rowOff>142875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np.gov.co/PortalWeb/Programas/DesarrolloTerritorial/FinanzasP&#250;blicasTerritoriales/EjecucionesPresupuestales/tabid/369/Default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Q27"/>
  <sheetViews>
    <sheetView workbookViewId="0">
      <selection sqref="A1:C29"/>
    </sheetView>
  </sheetViews>
  <sheetFormatPr baseColWidth="10" defaultRowHeight="12.75"/>
  <cols>
    <col min="1" max="1" width="16.7109375" style="71" customWidth="1"/>
    <col min="2" max="2" width="54.140625" style="71" customWidth="1"/>
    <col min="3" max="16384" width="11.42578125" style="71"/>
  </cols>
  <sheetData>
    <row r="1" spans="1:17" s="70" customFormat="1" ht="15">
      <c r="A1" s="69" t="s">
        <v>38</v>
      </c>
      <c r="B1" s="94"/>
      <c r="C1" s="69"/>
      <c r="D1" s="69"/>
      <c r="E1" s="69"/>
      <c r="O1" s="71"/>
      <c r="P1" s="71"/>
      <c r="Q1" s="71"/>
    </row>
    <row r="2" spans="1:17" s="70" customFormat="1" hidden="1">
      <c r="A2" s="73"/>
      <c r="B2" s="73"/>
      <c r="C2" s="74"/>
      <c r="D2" s="72"/>
      <c r="E2" s="72"/>
      <c r="O2" s="71"/>
      <c r="P2" s="71"/>
      <c r="Q2" s="71"/>
    </row>
    <row r="3" spans="1:17" s="75" customFormat="1" hidden="1">
      <c r="A3" s="75" t="s">
        <v>39</v>
      </c>
      <c r="B3" s="95"/>
      <c r="C3" s="76"/>
      <c r="D3" s="77"/>
      <c r="E3" s="78"/>
      <c r="F3" s="78"/>
      <c r="G3" s="78"/>
      <c r="H3" s="78"/>
      <c r="I3" s="78"/>
      <c r="O3" s="79"/>
      <c r="P3" s="79"/>
      <c r="Q3" s="79"/>
    </row>
    <row r="4" spans="1:17" s="70" customFormat="1">
      <c r="A4" s="72"/>
      <c r="B4" s="81"/>
      <c r="C4" s="80"/>
      <c r="D4" s="81"/>
      <c r="E4" s="82"/>
      <c r="F4" s="82"/>
      <c r="G4" s="82"/>
      <c r="H4" s="82"/>
      <c r="I4" s="82"/>
      <c r="O4" s="71"/>
      <c r="P4" s="71"/>
      <c r="Q4" s="71"/>
    </row>
    <row r="5" spans="1:17" s="75" customFormat="1">
      <c r="A5" s="75" t="s">
        <v>40</v>
      </c>
      <c r="B5" s="295" t="s">
        <v>351</v>
      </c>
      <c r="C5" s="83"/>
      <c r="D5" s="77"/>
      <c r="E5" s="78"/>
      <c r="F5" s="78"/>
      <c r="G5" s="78"/>
      <c r="H5" s="78"/>
      <c r="I5" s="78"/>
      <c r="O5" s="79"/>
      <c r="P5" s="79"/>
      <c r="Q5" s="79"/>
    </row>
    <row r="6" spans="1:17" s="70" customFormat="1">
      <c r="A6" s="72"/>
      <c r="B6" s="84"/>
      <c r="C6" s="80"/>
      <c r="D6" s="81"/>
      <c r="E6" s="82"/>
      <c r="F6" s="82"/>
      <c r="G6" s="82"/>
      <c r="H6" s="82"/>
      <c r="I6" s="82"/>
      <c r="O6" s="71"/>
      <c r="P6" s="71"/>
      <c r="Q6" s="71"/>
    </row>
    <row r="7" spans="1:17" s="70" customFormat="1">
      <c r="A7" s="72" t="s">
        <v>41</v>
      </c>
      <c r="B7" s="85">
        <v>41801</v>
      </c>
      <c r="C7" s="80"/>
      <c r="D7" s="81"/>
      <c r="E7" s="82"/>
      <c r="F7" s="82"/>
      <c r="G7" s="82"/>
      <c r="H7" s="82"/>
      <c r="I7" s="82"/>
      <c r="O7" s="71"/>
      <c r="P7" s="71"/>
      <c r="Q7" s="71"/>
    </row>
    <row r="8" spans="1:17" s="70" customFormat="1">
      <c r="A8" s="72"/>
      <c r="B8" s="84"/>
      <c r="C8" s="80"/>
      <c r="D8" s="81"/>
      <c r="E8" s="82"/>
      <c r="F8" s="82"/>
      <c r="G8" s="82"/>
      <c r="H8" s="82"/>
      <c r="I8" s="82"/>
      <c r="O8" s="71"/>
      <c r="P8" s="71"/>
      <c r="Q8" s="71"/>
    </row>
    <row r="9" spans="1:17" s="70" customFormat="1">
      <c r="A9" s="72" t="s">
        <v>42</v>
      </c>
      <c r="B9" s="85">
        <v>2011</v>
      </c>
      <c r="C9" s="80"/>
      <c r="D9" s="81"/>
      <c r="E9" s="82"/>
      <c r="F9" s="82"/>
      <c r="G9" s="82"/>
      <c r="H9" s="82"/>
      <c r="I9" s="82"/>
      <c r="O9" s="71"/>
      <c r="P9" s="71"/>
      <c r="Q9" s="71"/>
    </row>
    <row r="10" spans="1:17" s="70" customFormat="1">
      <c r="B10" s="84"/>
      <c r="C10" s="81"/>
      <c r="D10" s="81"/>
      <c r="E10" s="82"/>
      <c r="F10" s="82"/>
      <c r="G10" s="82"/>
      <c r="H10" s="82"/>
      <c r="I10" s="82"/>
      <c r="O10" s="71"/>
      <c r="P10" s="71"/>
      <c r="Q10" s="71"/>
    </row>
    <row r="11" spans="1:17" s="70" customFormat="1">
      <c r="A11" s="70" t="s">
        <v>43</v>
      </c>
      <c r="B11" s="86">
        <v>6</v>
      </c>
      <c r="C11" s="81"/>
      <c r="D11" s="81"/>
      <c r="E11" s="82"/>
      <c r="F11" s="82"/>
      <c r="G11" s="82"/>
      <c r="H11" s="82"/>
      <c r="I11" s="82"/>
      <c r="O11" s="71"/>
      <c r="P11" s="71"/>
      <c r="Q11" s="71"/>
    </row>
    <row r="12" spans="1:17" s="70" customFormat="1">
      <c r="A12" s="72"/>
      <c r="B12" s="87"/>
      <c r="C12" s="82"/>
      <c r="D12" s="81"/>
      <c r="E12" s="82"/>
      <c r="F12" s="82"/>
      <c r="G12" s="82"/>
      <c r="H12" s="82"/>
      <c r="I12" s="82"/>
    </row>
    <row r="13" spans="1:17" s="75" customFormat="1" hidden="1">
      <c r="A13" s="75" t="s">
        <v>44</v>
      </c>
      <c r="B13" s="314"/>
      <c r="C13" s="315"/>
      <c r="D13" s="77"/>
      <c r="E13" s="78"/>
      <c r="F13" s="78"/>
      <c r="G13" s="78"/>
      <c r="H13" s="78"/>
      <c r="I13" s="78"/>
    </row>
    <row r="14" spans="1:17" s="70" customFormat="1" hidden="1">
      <c r="B14" s="82"/>
      <c r="C14" s="82"/>
      <c r="D14" s="82"/>
      <c r="E14" s="82"/>
      <c r="F14" s="82"/>
      <c r="G14" s="82"/>
      <c r="H14" s="82"/>
      <c r="I14" s="82"/>
    </row>
    <row r="15" spans="1:17" s="75" customFormat="1" hidden="1">
      <c r="A15" s="75" t="s">
        <v>45</v>
      </c>
      <c r="B15" s="78"/>
      <c r="C15" s="78"/>
      <c r="D15" s="78"/>
      <c r="E15" s="78"/>
      <c r="F15" s="78"/>
      <c r="G15" s="78"/>
      <c r="H15" s="78"/>
      <c r="I15" s="78"/>
    </row>
    <row r="16" spans="1:17" s="75" customFormat="1" hidden="1">
      <c r="A16" s="75" t="s">
        <v>46</v>
      </c>
      <c r="B16" s="88"/>
      <c r="C16" s="78"/>
      <c r="D16" s="78"/>
      <c r="E16" s="78"/>
      <c r="F16" s="78"/>
      <c r="G16" s="78"/>
      <c r="H16" s="78"/>
      <c r="I16" s="89"/>
    </row>
    <row r="17" spans="1:9" s="75" customFormat="1" hidden="1">
      <c r="A17" s="75" t="s">
        <v>47</v>
      </c>
      <c r="B17" s="90"/>
      <c r="C17" s="78"/>
      <c r="D17" s="78"/>
      <c r="E17" s="78"/>
      <c r="F17" s="78"/>
      <c r="G17" s="78"/>
      <c r="H17" s="78"/>
      <c r="I17" s="78"/>
    </row>
    <row r="18" spans="1:9" s="75" customFormat="1" hidden="1">
      <c r="A18" s="75" t="s">
        <v>48</v>
      </c>
      <c r="B18" s="90"/>
      <c r="C18" s="78"/>
      <c r="D18" s="78"/>
      <c r="E18" s="78"/>
      <c r="F18" s="78"/>
      <c r="G18" s="78"/>
      <c r="H18" s="78"/>
      <c r="I18" s="78"/>
    </row>
    <row r="19" spans="1:9" s="70" customFormat="1" hidden="1">
      <c r="B19" s="82"/>
      <c r="C19" s="82"/>
      <c r="D19" s="82"/>
      <c r="E19" s="82"/>
      <c r="F19" s="82"/>
      <c r="G19" s="82"/>
      <c r="H19" s="82"/>
      <c r="I19" s="82"/>
    </row>
    <row r="20" spans="1:9" s="75" customFormat="1" hidden="1">
      <c r="A20" s="91"/>
      <c r="B20" s="91" t="s">
        <v>49</v>
      </c>
      <c r="C20" s="92">
        <v>38718</v>
      </c>
      <c r="D20" s="93"/>
      <c r="E20" s="78"/>
      <c r="F20" s="91"/>
    </row>
    <row r="21" spans="1:9" hidden="1"/>
    <row r="22" spans="1:9" hidden="1"/>
    <row r="23" spans="1:9" hidden="1"/>
    <row r="24" spans="1:9" hidden="1"/>
    <row r="25" spans="1:9" hidden="1"/>
    <row r="26" spans="1:9" hidden="1"/>
    <row r="27" spans="1:9" hidden="1"/>
  </sheetData>
  <mergeCells count="1">
    <mergeCell ref="B13:C13"/>
  </mergeCells>
  <phoneticPr fontId="0" type="noConversion"/>
  <dataValidations count="4">
    <dataValidation type="list" allowBlank="1" showInputMessage="1" showErrorMessage="1" sqref="B65506">
      <formula1>#REF!</formula1>
    </dataValidation>
    <dataValidation type="list" errorStyle="warning" allowBlank="1" showInputMessage="1" showErrorMessage="1" errorTitle="Entrada de Datos" error="Debe escoger un valor entre 0 y 4" sqref="E65504">
      <formula1>#REF!</formula1>
    </dataValidation>
    <dataValidation type="custom" operator="lessThan" allowBlank="1" showInputMessage="1" showErrorMessage="1" errorTitle="AÑO NO VALIDO" error="EL AÑO DEBE SER MENOR AL QUE SE ESCOGIO EN LA CELDA B10....INDIQUE COMO MINIMO EL AÑO ANTERIOR_x000a_" promptTitle="TENGA EN CUENTA QUE" prompt="PRIMERO DEBE ESCOGER UN AÑO EN LA CELDA B10 Y LUEGO EN ESTA CELDA EL AÑO DEBE SER MENOR AL QUE SE ESCOGIO EN LA CELDA B10... COMO MINIMO DEBE SER EL AÑO ANTERIOR." sqref="C65515">
      <formula1>#REF!</formula1>
    </dataValidation>
    <dataValidation type="list" errorStyle="warning" allowBlank="1" showInputMessage="1" showErrorMessage="1" errorTitle="Error en la entrada" error="Debe seleccionar el año de la lista" sqref="B65504">
      <formula1>#REF!</formula1>
    </dataValidation>
  </dataValidations>
  <pageMargins left="1.81" right="0.70866141732283472" top="0.74803149606299213" bottom="0.74803149606299213" header="0.31496062992125984" footer="0.31496062992125984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A64"/>
  <sheetViews>
    <sheetView zoomScale="90" zoomScaleNormal="90" workbookViewId="0">
      <pane xSplit="1" topLeftCell="N1" activePane="topRight" state="frozen"/>
      <selection pane="topRight" activeCell="P51" sqref="P51"/>
    </sheetView>
  </sheetViews>
  <sheetFormatPr baseColWidth="10" defaultRowHeight="12.75"/>
  <cols>
    <col min="1" max="1" width="45.85546875" style="3" customWidth="1"/>
    <col min="2" max="7" width="11.42578125" style="3"/>
    <col min="8" max="24" width="11.42578125" style="6"/>
    <col min="25" max="25" width="9.7109375" style="6" customWidth="1"/>
    <col min="26" max="16384" width="11.42578125" style="6"/>
  </cols>
  <sheetData>
    <row r="1" spans="1:27" s="7" customFormat="1">
      <c r="A1" s="1" t="s">
        <v>0</v>
      </c>
      <c r="B1" s="2"/>
      <c r="C1" s="3"/>
      <c r="D1" s="3"/>
      <c r="E1" s="3"/>
      <c r="F1" s="3"/>
      <c r="G1" s="3"/>
      <c r="H1" s="4" t="s">
        <v>1</v>
      </c>
      <c r="I1" s="4" t="s">
        <v>2</v>
      </c>
      <c r="J1" s="4" t="s">
        <v>3</v>
      </c>
      <c r="K1" s="5" t="s">
        <v>4</v>
      </c>
      <c r="L1" s="4" t="s">
        <v>5</v>
      </c>
      <c r="M1" s="4" t="s">
        <v>50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6"/>
    </row>
    <row r="2" spans="1:27" s="7" customFormat="1">
      <c r="A2" s="3" t="s">
        <v>6</v>
      </c>
      <c r="B2" s="8"/>
      <c r="D2" s="9"/>
      <c r="F2" s="9"/>
      <c r="G2" s="9" t="s">
        <v>7</v>
      </c>
      <c r="H2" s="10">
        <v>0.78644728693049948</v>
      </c>
      <c r="I2" s="10">
        <v>0.82458998034662867</v>
      </c>
      <c r="J2" s="10">
        <v>0.86153161146615753</v>
      </c>
      <c r="K2" s="10">
        <v>0.91055276015858189</v>
      </c>
      <c r="L2" s="10">
        <v>0.98039215686274506</v>
      </c>
      <c r="M2" s="10">
        <v>1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6"/>
    </row>
    <row r="3" spans="1:27" s="7" customFormat="1">
      <c r="A3" s="3"/>
      <c r="B3" s="8"/>
      <c r="C3" s="9"/>
      <c r="D3" s="9"/>
      <c r="E3" s="9"/>
      <c r="F3" s="9"/>
      <c r="G3" s="9"/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"/>
    </row>
    <row r="4" spans="1:27" s="7" customFormat="1" ht="13.5" thickBot="1">
      <c r="A4" s="3"/>
      <c r="B4" s="1" t="s">
        <v>8</v>
      </c>
      <c r="C4" s="3"/>
      <c r="D4" s="12"/>
      <c r="E4" s="12"/>
      <c r="F4" s="12"/>
      <c r="G4" s="12"/>
      <c r="H4" s="1" t="s">
        <v>9</v>
      </c>
      <c r="I4" s="3"/>
      <c r="J4" s="3"/>
      <c r="K4" s="3"/>
      <c r="L4" s="3"/>
      <c r="M4" s="3"/>
      <c r="N4" s="1" t="s">
        <v>10</v>
      </c>
      <c r="O4" s="3"/>
      <c r="P4" s="3"/>
      <c r="Q4" s="3"/>
      <c r="R4" s="3"/>
      <c r="S4" s="3"/>
      <c r="T4" s="1" t="s">
        <v>11</v>
      </c>
      <c r="U4" s="3"/>
      <c r="V4" s="3"/>
      <c r="W4" s="3"/>
      <c r="X4" s="3"/>
      <c r="Y4" s="3"/>
      <c r="Z4" s="3"/>
      <c r="AA4" s="6"/>
    </row>
    <row r="5" spans="1:27" s="22" customFormat="1">
      <c r="A5" s="13" t="s">
        <v>12</v>
      </c>
      <c r="B5" s="14" t="s">
        <v>1</v>
      </c>
      <c r="C5" s="14" t="s">
        <v>2</v>
      </c>
      <c r="D5" s="15" t="s">
        <v>3</v>
      </c>
      <c r="E5" s="14" t="s">
        <v>4</v>
      </c>
      <c r="F5" s="15" t="s">
        <v>5</v>
      </c>
      <c r="G5" s="16" t="s">
        <v>50</v>
      </c>
      <c r="H5" s="17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6" t="s">
        <v>51</v>
      </c>
      <c r="N5" s="18" t="s">
        <v>18</v>
      </c>
      <c r="O5" s="19" t="s">
        <v>19</v>
      </c>
      <c r="P5" s="19" t="s">
        <v>20</v>
      </c>
      <c r="Q5" s="19" t="s">
        <v>21</v>
      </c>
      <c r="R5" s="19" t="s">
        <v>52</v>
      </c>
      <c r="S5" s="20" t="s">
        <v>22</v>
      </c>
      <c r="T5" s="17" t="s">
        <v>13</v>
      </c>
      <c r="U5" s="14" t="s">
        <v>14</v>
      </c>
      <c r="V5" s="14" t="s">
        <v>15</v>
      </c>
      <c r="W5" s="14" t="s">
        <v>16</v>
      </c>
      <c r="X5" s="14" t="s">
        <v>17</v>
      </c>
      <c r="Y5" s="16" t="s">
        <v>51</v>
      </c>
      <c r="Z5" s="20" t="s">
        <v>22</v>
      </c>
      <c r="AA5" s="21"/>
    </row>
    <row r="6" spans="1:27" s="7" customFormat="1">
      <c r="A6" s="310" t="s">
        <v>188</v>
      </c>
      <c r="B6" s="308">
        <v>2951.4009999999998</v>
      </c>
      <c r="C6" s="308">
        <v>3497.8001010000003</v>
      </c>
      <c r="D6" s="308">
        <v>4320.9840000000004</v>
      </c>
      <c r="E6" s="309">
        <v>4879.058</v>
      </c>
      <c r="F6" s="309">
        <v>4832.2290000000003</v>
      </c>
      <c r="G6" s="307">
        <v>5237.9050000000007</v>
      </c>
      <c r="H6" s="23">
        <f t="shared" ref="H6:M40" si="0">+B6/H$2</f>
        <v>3752.8274927609018</v>
      </c>
      <c r="I6" s="24">
        <f t="shared" si="0"/>
        <v>4241.8658780326778</v>
      </c>
      <c r="J6" s="24">
        <f t="shared" si="0"/>
        <v>5015.4677350103666</v>
      </c>
      <c r="K6" s="24">
        <f t="shared" si="0"/>
        <v>5358.3473835719997</v>
      </c>
      <c r="L6" s="24">
        <f t="shared" si="0"/>
        <v>4928.8735800000004</v>
      </c>
      <c r="M6" s="25">
        <f t="shared" si="0"/>
        <v>5237.9050000000007</v>
      </c>
      <c r="N6" s="26">
        <f t="shared" ref="N6:R40" si="1">IF(ISERROR(I6/H6),0,(I6/H6-1)*100)</f>
        <v>13.031198109028907</v>
      </c>
      <c r="O6" s="27">
        <f t="shared" si="1"/>
        <v>18.237301207092283</v>
      </c>
      <c r="P6" s="27">
        <f t="shared" si="1"/>
        <v>6.8364441100511764</v>
      </c>
      <c r="Q6" s="27">
        <f t="shared" si="1"/>
        <v>-8.015042191715871</v>
      </c>
      <c r="R6" s="27">
        <f t="shared" si="1"/>
        <v>6.2698183466089352</v>
      </c>
      <c r="S6" s="28">
        <f>AVERAGE(N6:R6)</f>
        <v>7.271943916213087</v>
      </c>
      <c r="T6" s="29">
        <f t="shared" ref="T6:Y16" si="2">+B6/B$6*100</f>
        <v>100</v>
      </c>
      <c r="U6" s="30">
        <f t="shared" si="2"/>
        <v>100</v>
      </c>
      <c r="V6" s="30">
        <f t="shared" si="2"/>
        <v>100</v>
      </c>
      <c r="W6" s="30">
        <f t="shared" si="2"/>
        <v>100</v>
      </c>
      <c r="X6" s="30">
        <f t="shared" si="2"/>
        <v>100</v>
      </c>
      <c r="Y6" s="30">
        <f t="shared" si="2"/>
        <v>100</v>
      </c>
      <c r="Z6" s="31">
        <f>+AVERAGE(T6:Y6)</f>
        <v>100</v>
      </c>
      <c r="AA6" s="6"/>
    </row>
    <row r="7" spans="1:27" s="7" customFormat="1">
      <c r="A7" s="310" t="s">
        <v>24</v>
      </c>
      <c r="B7" s="308">
        <v>759.08500000000004</v>
      </c>
      <c r="C7" s="308">
        <v>812.45110100000011</v>
      </c>
      <c r="D7" s="308">
        <v>1104.664</v>
      </c>
      <c r="E7" s="309">
        <v>1160.0520000000001</v>
      </c>
      <c r="F7" s="309">
        <v>988.904</v>
      </c>
      <c r="G7" s="307">
        <v>1053.502</v>
      </c>
      <c r="H7" s="32">
        <f t="shared" si="0"/>
        <v>965.2077292588873</v>
      </c>
      <c r="I7" s="33">
        <f t="shared" si="0"/>
        <v>985.27889055658204</v>
      </c>
      <c r="J7" s="33">
        <f t="shared" si="0"/>
        <v>1282.2094805320944</v>
      </c>
      <c r="K7" s="33">
        <f t="shared" si="0"/>
        <v>1274.0085481680001</v>
      </c>
      <c r="L7" s="33">
        <f t="shared" si="0"/>
        <v>1008.68208</v>
      </c>
      <c r="M7" s="34">
        <f t="shared" si="0"/>
        <v>1053.502</v>
      </c>
      <c r="N7" s="35">
        <f t="shared" si="1"/>
        <v>2.0794654548721869</v>
      </c>
      <c r="O7" s="36">
        <f t="shared" si="1"/>
        <v>30.136704726087938</v>
      </c>
      <c r="P7" s="36">
        <f t="shared" si="1"/>
        <v>-0.63959380184048786</v>
      </c>
      <c r="Q7" s="36">
        <f t="shared" si="1"/>
        <v>-20.826113651241542</v>
      </c>
      <c r="R7" s="36">
        <f t="shared" si="1"/>
        <v>4.4434139248314963</v>
      </c>
      <c r="S7" s="37">
        <f t="shared" ref="S7:S40" si="3">AVERAGE(N7:R7)</f>
        <v>3.038775330541919</v>
      </c>
      <c r="T7" s="38">
        <f t="shared" si="2"/>
        <v>25.719480341708906</v>
      </c>
      <c r="U7" s="39">
        <f t="shared" si="2"/>
        <v>23.227488065076251</v>
      </c>
      <c r="V7" s="39">
        <f t="shared" si="2"/>
        <v>25.565102763629767</v>
      </c>
      <c r="W7" s="39">
        <f t="shared" si="2"/>
        <v>23.776146952956907</v>
      </c>
      <c r="X7" s="39">
        <f t="shared" si="2"/>
        <v>20.464758603120835</v>
      </c>
      <c r="Y7" s="39">
        <f t="shared" si="2"/>
        <v>20.113041378184597</v>
      </c>
      <c r="Z7" s="40">
        <f t="shared" ref="Z7:Z40" si="4">+AVERAGE(T7:Y7)</f>
        <v>23.144336350779543</v>
      </c>
      <c r="AA7" s="41"/>
    </row>
    <row r="8" spans="1:27" s="7" customFormat="1">
      <c r="A8" s="310" t="s">
        <v>25</v>
      </c>
      <c r="B8" s="308">
        <v>227.2</v>
      </c>
      <c r="C8" s="308">
        <v>285.46100000000001</v>
      </c>
      <c r="D8" s="308">
        <v>423.68299999999999</v>
      </c>
      <c r="E8" s="309">
        <v>404.45899999999995</v>
      </c>
      <c r="F8" s="309">
        <v>401.18700000000001</v>
      </c>
      <c r="G8" s="307">
        <v>416.58100000000002</v>
      </c>
      <c r="H8" s="32">
        <f t="shared" si="0"/>
        <v>288.89412396190045</v>
      </c>
      <c r="I8" s="33">
        <f t="shared" si="0"/>
        <v>346.18538522624567</v>
      </c>
      <c r="J8" s="33">
        <f t="shared" si="0"/>
        <v>491.77882083627179</v>
      </c>
      <c r="K8" s="33">
        <f t="shared" si="0"/>
        <v>444.19062540599992</v>
      </c>
      <c r="L8" s="33">
        <f t="shared" si="0"/>
        <v>409.21074000000004</v>
      </c>
      <c r="M8" s="34">
        <f t="shared" si="0"/>
        <v>416.58100000000002</v>
      </c>
      <c r="N8" s="35">
        <f t="shared" si="1"/>
        <v>19.831231067856827</v>
      </c>
      <c r="O8" s="36">
        <f t="shared" si="1"/>
        <v>42.056493954785282</v>
      </c>
      <c r="P8" s="36">
        <f t="shared" si="1"/>
        <v>-9.6767476381654625</v>
      </c>
      <c r="Q8" s="36">
        <f t="shared" si="1"/>
        <v>-7.8749715561933549</v>
      </c>
      <c r="R8" s="36">
        <f t="shared" si="1"/>
        <v>1.8010915353785517</v>
      </c>
      <c r="S8" s="37">
        <f t="shared" si="3"/>
        <v>9.2274194727323682</v>
      </c>
      <c r="T8" s="38">
        <f t="shared" si="2"/>
        <v>7.6980389991058482</v>
      </c>
      <c r="U8" s="39">
        <f t="shared" si="2"/>
        <v>8.1611582067937043</v>
      </c>
      <c r="V8" s="39">
        <f t="shared" si="2"/>
        <v>9.8052434352915903</v>
      </c>
      <c r="W8" s="39">
        <f t="shared" si="2"/>
        <v>8.2896944451162486</v>
      </c>
      <c r="X8" s="39">
        <f t="shared" si="2"/>
        <v>8.3023176260893266</v>
      </c>
      <c r="Y8" s="39">
        <f t="shared" si="2"/>
        <v>7.9531988457217153</v>
      </c>
      <c r="Z8" s="40">
        <f t="shared" si="4"/>
        <v>8.3682752596864045</v>
      </c>
      <c r="AA8" s="6"/>
    </row>
    <row r="9" spans="1:27" s="7" customFormat="1">
      <c r="A9" s="310" t="s">
        <v>26</v>
      </c>
      <c r="B9" s="308">
        <v>45.509</v>
      </c>
      <c r="C9" s="308">
        <v>62.887999999999998</v>
      </c>
      <c r="D9" s="308">
        <v>53.313000000000002</v>
      </c>
      <c r="E9" s="309">
        <v>73.010999999999996</v>
      </c>
      <c r="F9" s="309">
        <v>70.09</v>
      </c>
      <c r="G9" s="307">
        <v>74.643000000000001</v>
      </c>
      <c r="H9" s="32">
        <f t="shared" si="0"/>
        <v>57.866561124041056</v>
      </c>
      <c r="I9" s="33">
        <f t="shared" si="0"/>
        <v>76.265782387464967</v>
      </c>
      <c r="J9" s="33">
        <f t="shared" si="0"/>
        <v>61.881652733869799</v>
      </c>
      <c r="K9" s="33">
        <f t="shared" si="0"/>
        <v>80.183162573999994</v>
      </c>
      <c r="L9" s="33">
        <f t="shared" si="0"/>
        <v>71.491800000000012</v>
      </c>
      <c r="M9" s="34">
        <f t="shared" si="0"/>
        <v>74.643000000000001</v>
      </c>
      <c r="N9" s="35">
        <f t="shared" si="1"/>
        <v>31.795947272525638</v>
      </c>
      <c r="O9" s="36">
        <f t="shared" si="1"/>
        <v>-18.860528540200672</v>
      </c>
      <c r="P9" s="36">
        <f t="shared" si="1"/>
        <v>29.575017847112541</v>
      </c>
      <c r="Q9" s="36">
        <f t="shared" si="1"/>
        <v>-10.839386094279879</v>
      </c>
      <c r="R9" s="36">
        <f t="shared" si="1"/>
        <v>4.4077782347066163</v>
      </c>
      <c r="S9" s="37">
        <f t="shared" si="3"/>
        <v>7.2157657439728498</v>
      </c>
      <c r="T9" s="38">
        <f t="shared" si="2"/>
        <v>1.5419456725805814</v>
      </c>
      <c r="U9" s="39">
        <f t="shared" si="2"/>
        <v>1.7979300755929617</v>
      </c>
      <c r="V9" s="39">
        <f t="shared" si="2"/>
        <v>1.2338161863131174</v>
      </c>
      <c r="W9" s="39">
        <f t="shared" si="2"/>
        <v>1.4964159065131015</v>
      </c>
      <c r="X9" s="39">
        <f t="shared" si="2"/>
        <v>1.4504693382701854</v>
      </c>
      <c r="Y9" s="39">
        <f t="shared" si="2"/>
        <v>1.4250544826605291</v>
      </c>
      <c r="Z9" s="40">
        <f t="shared" si="4"/>
        <v>1.4909386103217461</v>
      </c>
      <c r="AA9" s="6"/>
    </row>
    <row r="10" spans="1:27" s="7" customFormat="1">
      <c r="A10" s="310" t="s">
        <v>27</v>
      </c>
      <c r="B10" s="308">
        <v>22.791</v>
      </c>
      <c r="C10" s="308">
        <v>33.811</v>
      </c>
      <c r="D10" s="308">
        <v>72.518000000000001</v>
      </c>
      <c r="E10" s="309">
        <v>37.695</v>
      </c>
      <c r="F10" s="309">
        <v>34.046999999999997</v>
      </c>
      <c r="G10" s="307">
        <v>41.146000000000001</v>
      </c>
      <c r="H10" s="32">
        <f t="shared" si="0"/>
        <v>28.979691809928138</v>
      </c>
      <c r="I10" s="33">
        <f t="shared" si="0"/>
        <v>41.003408731436494</v>
      </c>
      <c r="J10" s="33">
        <f t="shared" si="0"/>
        <v>84.173347831762797</v>
      </c>
      <c r="K10" s="33">
        <f t="shared" si="0"/>
        <v>41.397930629999998</v>
      </c>
      <c r="L10" s="33">
        <f t="shared" si="0"/>
        <v>34.727939999999997</v>
      </c>
      <c r="M10" s="34">
        <f t="shared" si="0"/>
        <v>41.146000000000001</v>
      </c>
      <c r="N10" s="35">
        <f t="shared" si="1"/>
        <v>41.490147653637763</v>
      </c>
      <c r="O10" s="36">
        <f t="shared" si="1"/>
        <v>105.2837811194677</v>
      </c>
      <c r="P10" s="36">
        <f t="shared" si="1"/>
        <v>-50.818243902164838</v>
      </c>
      <c r="Q10" s="36">
        <f t="shared" si="1"/>
        <v>-16.111893827771272</v>
      </c>
      <c r="R10" s="36">
        <f t="shared" si="1"/>
        <v>18.480969501790213</v>
      </c>
      <c r="S10" s="37">
        <f t="shared" si="3"/>
        <v>19.664952108991915</v>
      </c>
      <c r="T10" s="38">
        <f t="shared" si="2"/>
        <v>0.77220953709780549</v>
      </c>
      <c r="U10" s="39">
        <f t="shared" si="2"/>
        <v>0.96663614339577708</v>
      </c>
      <c r="V10" s="39">
        <f t="shared" si="2"/>
        <v>1.6782751336269701</v>
      </c>
      <c r="W10" s="39">
        <f t="shared" si="2"/>
        <v>0.77258765933915929</v>
      </c>
      <c r="X10" s="39">
        <f t="shared" si="2"/>
        <v>0.70458167441981734</v>
      </c>
      <c r="Y10" s="39">
        <f t="shared" si="2"/>
        <v>0.78554307495076747</v>
      </c>
      <c r="Z10" s="40">
        <f t="shared" si="4"/>
        <v>0.94663887047171613</v>
      </c>
      <c r="AA10" s="6"/>
    </row>
    <row r="11" spans="1:27" s="7" customFormat="1">
      <c r="A11" s="311" t="s">
        <v>28</v>
      </c>
      <c r="B11" s="308">
        <v>100.626</v>
      </c>
      <c r="C11" s="308">
        <v>120.289</v>
      </c>
      <c r="D11" s="308">
        <v>135.40899999999999</v>
      </c>
      <c r="E11" s="309">
        <v>156.589</v>
      </c>
      <c r="F11" s="309">
        <v>118.072</v>
      </c>
      <c r="G11" s="307">
        <v>118.122</v>
      </c>
      <c r="H11" s="32">
        <f t="shared" si="0"/>
        <v>127.95008854661178</v>
      </c>
      <c r="I11" s="33">
        <f t="shared" si="0"/>
        <v>145.87734858169722</v>
      </c>
      <c r="J11" s="33">
        <f t="shared" si="0"/>
        <v>157.17241038847138</v>
      </c>
      <c r="K11" s="33">
        <f t="shared" si="0"/>
        <v>171.97136382599999</v>
      </c>
      <c r="L11" s="33">
        <f t="shared" si="0"/>
        <v>120.43344</v>
      </c>
      <c r="M11" s="34">
        <f t="shared" si="0"/>
        <v>118.122</v>
      </c>
      <c r="N11" s="35">
        <f t="shared" si="1"/>
        <v>14.011135309652101</v>
      </c>
      <c r="O11" s="36">
        <f t="shared" si="1"/>
        <v>7.7428483013923577</v>
      </c>
      <c r="P11" s="36">
        <f t="shared" si="1"/>
        <v>9.415745041353718</v>
      </c>
      <c r="Q11" s="36">
        <f t="shared" si="1"/>
        <v>-29.968898704638914</v>
      </c>
      <c r="R11" s="36">
        <f t="shared" si="1"/>
        <v>-1.9192676054092694</v>
      </c>
      <c r="S11" s="37">
        <f t="shared" si="3"/>
        <v>-0.14368753153000116</v>
      </c>
      <c r="T11" s="38">
        <f t="shared" si="2"/>
        <v>3.4094316563557445</v>
      </c>
      <c r="U11" s="39">
        <f t="shared" si="2"/>
        <v>3.4389901231236766</v>
      </c>
      <c r="V11" s="39">
        <f t="shared" si="2"/>
        <v>3.1337537931174935</v>
      </c>
      <c r="W11" s="39">
        <f t="shared" si="2"/>
        <v>3.2094105050606081</v>
      </c>
      <c r="X11" s="39">
        <f t="shared" si="2"/>
        <v>2.443427246515014</v>
      </c>
      <c r="Y11" s="39">
        <f t="shared" si="2"/>
        <v>2.2551382661579389</v>
      </c>
      <c r="Z11" s="40">
        <f t="shared" si="4"/>
        <v>2.9816919317217461</v>
      </c>
      <c r="AA11" s="6"/>
    </row>
    <row r="12" spans="1:27" s="7" customFormat="1">
      <c r="A12" s="312" t="s">
        <v>29</v>
      </c>
      <c r="B12" s="308">
        <v>58.274000000000001</v>
      </c>
      <c r="C12" s="308">
        <v>68.472999999999999</v>
      </c>
      <c r="D12" s="308">
        <v>162.44299999999998</v>
      </c>
      <c r="E12" s="309">
        <v>137.16399999999999</v>
      </c>
      <c r="F12" s="309">
        <v>178.97800000000001</v>
      </c>
      <c r="G12" s="307">
        <v>182.67</v>
      </c>
      <c r="H12" s="32">
        <f t="shared" si="0"/>
        <v>74.097782481319484</v>
      </c>
      <c r="I12" s="33">
        <f t="shared" si="0"/>
        <v>83.038845525647005</v>
      </c>
      <c r="J12" s="33">
        <f t="shared" si="0"/>
        <v>188.55140988216777</v>
      </c>
      <c r="K12" s="33">
        <f t="shared" si="0"/>
        <v>150.63816837599998</v>
      </c>
      <c r="L12" s="33">
        <f t="shared" si="0"/>
        <v>182.55756000000002</v>
      </c>
      <c r="M12" s="34">
        <f t="shared" si="0"/>
        <v>182.67</v>
      </c>
      <c r="N12" s="35">
        <f t="shared" si="1"/>
        <v>12.066573040268258</v>
      </c>
      <c r="O12" s="36">
        <f t="shared" si="1"/>
        <v>127.0641031779911</v>
      </c>
      <c r="P12" s="36">
        <f t="shared" si="1"/>
        <v>-20.107641480835959</v>
      </c>
      <c r="Q12" s="36">
        <f t="shared" si="1"/>
        <v>21.189444858575101</v>
      </c>
      <c r="R12" s="36">
        <f t="shared" si="1"/>
        <v>6.1591533103300122E-2</v>
      </c>
      <c r="S12" s="37">
        <f t="shared" si="3"/>
        <v>28.054814225820358</v>
      </c>
      <c r="T12" s="38">
        <f t="shared" si="2"/>
        <v>1.9744521330717177</v>
      </c>
      <c r="U12" s="39">
        <f t="shared" si="2"/>
        <v>1.9576018646812885</v>
      </c>
      <c r="V12" s="39">
        <f t="shared" si="2"/>
        <v>3.7593983222340088</v>
      </c>
      <c r="W12" s="39">
        <f t="shared" si="2"/>
        <v>2.8112803742033807</v>
      </c>
      <c r="X12" s="39">
        <f t="shared" si="2"/>
        <v>3.7038393668843095</v>
      </c>
      <c r="Y12" s="39">
        <f t="shared" si="2"/>
        <v>3.4874630219524785</v>
      </c>
      <c r="Z12" s="40">
        <f t="shared" si="4"/>
        <v>2.9490058471711973</v>
      </c>
      <c r="AA12" s="6"/>
    </row>
    <row r="13" spans="1:27" s="7" customFormat="1">
      <c r="A13" s="310" t="s">
        <v>30</v>
      </c>
      <c r="B13" s="308">
        <v>195.142</v>
      </c>
      <c r="C13" s="308">
        <v>174.095</v>
      </c>
      <c r="D13" s="308">
        <v>228.56899999999999</v>
      </c>
      <c r="E13" s="309">
        <v>237.70500000000001</v>
      </c>
      <c r="F13" s="309">
        <v>58.345999999999997</v>
      </c>
      <c r="G13" s="307">
        <v>37.113999999999997</v>
      </c>
      <c r="H13" s="32">
        <f t="shared" si="0"/>
        <v>248.1310613475932</v>
      </c>
      <c r="I13" s="33">
        <f t="shared" si="0"/>
        <v>211.12917225457502</v>
      </c>
      <c r="J13" s="33">
        <f t="shared" si="0"/>
        <v>265.30541300860739</v>
      </c>
      <c r="K13" s="33">
        <f t="shared" si="0"/>
        <v>261.05571297</v>
      </c>
      <c r="L13" s="33">
        <f t="shared" si="0"/>
        <v>59.512920000000001</v>
      </c>
      <c r="M13" s="34">
        <f t="shared" si="0"/>
        <v>37.113999999999997</v>
      </c>
      <c r="N13" s="35">
        <f t="shared" si="1"/>
        <v>-14.912235853126132</v>
      </c>
      <c r="O13" s="36">
        <f t="shared" si="1"/>
        <v>25.660234526334346</v>
      </c>
      <c r="P13" s="36">
        <f t="shared" si="1"/>
        <v>-1.601814297874693</v>
      </c>
      <c r="Q13" s="36">
        <f t="shared" si="1"/>
        <v>-77.20298118630366</v>
      </c>
      <c r="R13" s="36">
        <f t="shared" si="1"/>
        <v>-37.637071076330997</v>
      </c>
      <c r="S13" s="37">
        <f t="shared" si="3"/>
        <v>-21.138773577460228</v>
      </c>
      <c r="T13" s="38">
        <f t="shared" si="2"/>
        <v>6.611842985754901</v>
      </c>
      <c r="U13" s="39">
        <f t="shared" si="2"/>
        <v>4.9772712840344218</v>
      </c>
      <c r="V13" s="39">
        <f t="shared" si="2"/>
        <v>5.2897441878979414</v>
      </c>
      <c r="W13" s="39">
        <f t="shared" si="2"/>
        <v>4.8719445433934174</v>
      </c>
      <c r="X13" s="39">
        <f t="shared" si="2"/>
        <v>1.2074344986547616</v>
      </c>
      <c r="Y13" s="39">
        <f t="shared" si="2"/>
        <v>0.70856573381915078</v>
      </c>
      <c r="Z13" s="40">
        <f t="shared" si="4"/>
        <v>3.9444672055924328</v>
      </c>
      <c r="AA13" s="6"/>
    </row>
    <row r="14" spans="1:27" s="7" customFormat="1">
      <c r="A14" s="310" t="s">
        <v>31</v>
      </c>
      <c r="B14" s="308">
        <v>336.74299999999999</v>
      </c>
      <c r="C14" s="308">
        <v>352.89510100000001</v>
      </c>
      <c r="D14" s="308">
        <v>452.41199999999998</v>
      </c>
      <c r="E14" s="309">
        <v>517.88800000000003</v>
      </c>
      <c r="F14" s="309">
        <v>529.37099999999998</v>
      </c>
      <c r="G14" s="307">
        <v>599.80700000000002</v>
      </c>
      <c r="H14" s="32">
        <f t="shared" si="0"/>
        <v>428.18254394939368</v>
      </c>
      <c r="I14" s="33">
        <f t="shared" si="0"/>
        <v>427.96433307576126</v>
      </c>
      <c r="J14" s="33">
        <f t="shared" si="0"/>
        <v>525.12524668721517</v>
      </c>
      <c r="K14" s="33">
        <f t="shared" si="0"/>
        <v>568.76220979200002</v>
      </c>
      <c r="L14" s="33">
        <f t="shared" si="0"/>
        <v>539.95842000000005</v>
      </c>
      <c r="M14" s="34">
        <f t="shared" si="0"/>
        <v>599.80700000000002</v>
      </c>
      <c r="N14" s="35">
        <f t="shared" si="1"/>
        <v>-5.0962113406050058E-2</v>
      </c>
      <c r="O14" s="36">
        <f t="shared" si="1"/>
        <v>22.703039973719918</v>
      </c>
      <c r="P14" s="36">
        <f t="shared" si="1"/>
        <v>8.3098200629414301</v>
      </c>
      <c r="Q14" s="36">
        <f t="shared" si="1"/>
        <v>-5.0642938817144216</v>
      </c>
      <c r="R14" s="36">
        <f t="shared" si="1"/>
        <v>11.083923832505471</v>
      </c>
      <c r="S14" s="37">
        <f t="shared" si="3"/>
        <v>7.3963055748092685</v>
      </c>
      <c r="T14" s="38">
        <f t="shared" si="2"/>
        <v>11.409598356848155</v>
      </c>
      <c r="U14" s="39">
        <f t="shared" si="2"/>
        <v>10.089058574248122</v>
      </c>
      <c r="V14" s="39">
        <f t="shared" si="2"/>
        <v>10.470115140440232</v>
      </c>
      <c r="W14" s="39">
        <f t="shared" si="2"/>
        <v>10.614507964447236</v>
      </c>
      <c r="X14" s="39">
        <f t="shared" si="2"/>
        <v>10.955006478376749</v>
      </c>
      <c r="Y14" s="39">
        <f t="shared" si="2"/>
        <v>11.451276798643731</v>
      </c>
      <c r="Z14" s="40">
        <f t="shared" si="4"/>
        <v>10.831593885500704</v>
      </c>
      <c r="AA14" s="6"/>
    </row>
    <row r="15" spans="1:27" s="7" customFormat="1">
      <c r="A15" s="310" t="s">
        <v>32</v>
      </c>
      <c r="B15" s="308">
        <v>336.74299999999999</v>
      </c>
      <c r="C15" s="308">
        <v>352.89510100000001</v>
      </c>
      <c r="D15" s="308">
        <v>359.87299999999999</v>
      </c>
      <c r="E15" s="309">
        <v>438.23200000000003</v>
      </c>
      <c r="F15" s="309">
        <v>529.37099999999998</v>
      </c>
      <c r="G15" s="307">
        <v>599.80700000000002</v>
      </c>
      <c r="H15" s="32">
        <f t="shared" si="0"/>
        <v>428.18254394939368</v>
      </c>
      <c r="I15" s="33">
        <f t="shared" si="0"/>
        <v>427.96433307576126</v>
      </c>
      <c r="J15" s="33">
        <f t="shared" si="0"/>
        <v>417.71305336964576</v>
      </c>
      <c r="K15" s="33">
        <f t="shared" si="0"/>
        <v>481.281282288</v>
      </c>
      <c r="L15" s="33">
        <f t="shared" si="0"/>
        <v>539.95842000000005</v>
      </c>
      <c r="M15" s="34">
        <f t="shared" si="0"/>
        <v>599.80700000000002</v>
      </c>
      <c r="N15" s="35">
        <f t="shared" si="1"/>
        <v>-5.0962113406050058E-2</v>
      </c>
      <c r="O15" s="36">
        <f t="shared" si="1"/>
        <v>-2.3953584244836512</v>
      </c>
      <c r="P15" s="36">
        <f t="shared" si="1"/>
        <v>15.218157154907242</v>
      </c>
      <c r="Q15" s="36">
        <f t="shared" si="1"/>
        <v>12.191859494940328</v>
      </c>
      <c r="R15" s="36">
        <f t="shared" si="1"/>
        <v>11.083923832505471</v>
      </c>
      <c r="S15" s="37">
        <f t="shared" si="3"/>
        <v>7.2095239888926681</v>
      </c>
      <c r="T15" s="38">
        <f t="shared" si="2"/>
        <v>11.409598356848155</v>
      </c>
      <c r="U15" s="39">
        <f t="shared" si="2"/>
        <v>10.089058574248122</v>
      </c>
      <c r="V15" s="39">
        <f t="shared" si="2"/>
        <v>8.3284964720998715</v>
      </c>
      <c r="W15" s="39">
        <f t="shared" si="2"/>
        <v>8.9818977351775704</v>
      </c>
      <c r="X15" s="39">
        <f t="shared" si="2"/>
        <v>10.955006478376749</v>
      </c>
      <c r="Y15" s="39">
        <f t="shared" si="2"/>
        <v>11.451276798643731</v>
      </c>
      <c r="Z15" s="40">
        <f t="shared" si="4"/>
        <v>10.202555735899033</v>
      </c>
      <c r="AA15" s="6"/>
    </row>
    <row r="16" spans="1:27" s="7" customFormat="1">
      <c r="A16" s="310" t="s">
        <v>33</v>
      </c>
      <c r="B16" s="308">
        <v>0</v>
      </c>
      <c r="C16" s="308">
        <v>0</v>
      </c>
      <c r="D16" s="308">
        <v>92.539000000000001</v>
      </c>
      <c r="E16" s="309">
        <v>79.656000000000006</v>
      </c>
      <c r="F16" s="309">
        <v>0</v>
      </c>
      <c r="G16" s="307">
        <v>0</v>
      </c>
      <c r="H16" s="32">
        <f t="shared" si="0"/>
        <v>0</v>
      </c>
      <c r="I16" s="33">
        <f t="shared" si="0"/>
        <v>0</v>
      </c>
      <c r="J16" s="33">
        <f t="shared" si="0"/>
        <v>107.4121933175694</v>
      </c>
      <c r="K16" s="33">
        <f t="shared" si="0"/>
        <v>87.480927504000007</v>
      </c>
      <c r="L16" s="33">
        <f t="shared" si="0"/>
        <v>0</v>
      </c>
      <c r="M16" s="34">
        <f t="shared" si="0"/>
        <v>0</v>
      </c>
      <c r="N16" s="35">
        <f t="shared" si="1"/>
        <v>0</v>
      </c>
      <c r="O16" s="36">
        <f t="shared" si="1"/>
        <v>0</v>
      </c>
      <c r="P16" s="36">
        <f t="shared" si="1"/>
        <v>-18.555868936259067</v>
      </c>
      <c r="Q16" s="36">
        <f t="shared" si="1"/>
        <v>-100</v>
      </c>
      <c r="R16" s="36">
        <f t="shared" si="1"/>
        <v>0</v>
      </c>
      <c r="S16" s="37">
        <f t="shared" si="3"/>
        <v>-23.711173787251813</v>
      </c>
      <c r="T16" s="38">
        <f t="shared" si="2"/>
        <v>0</v>
      </c>
      <c r="U16" s="39">
        <f t="shared" si="2"/>
        <v>0</v>
      </c>
      <c r="V16" s="39">
        <f t="shared" si="2"/>
        <v>2.1416186683403593</v>
      </c>
      <c r="W16" s="39">
        <f t="shared" si="2"/>
        <v>1.6326102292696665</v>
      </c>
      <c r="X16" s="39">
        <f t="shared" si="2"/>
        <v>0</v>
      </c>
      <c r="Y16" s="39">
        <f t="shared" si="2"/>
        <v>0</v>
      </c>
      <c r="Z16" s="40">
        <f t="shared" si="4"/>
        <v>0.62903814960167093</v>
      </c>
      <c r="AA16" s="6"/>
    </row>
    <row r="17" spans="1:27" s="7" customFormat="1">
      <c r="A17" s="310" t="s">
        <v>201</v>
      </c>
      <c r="B17" s="308">
        <v>2897.8820000000001</v>
      </c>
      <c r="C17" s="308">
        <v>3656.3589999999999</v>
      </c>
      <c r="D17" s="308">
        <v>4444.2960000000003</v>
      </c>
      <c r="E17" s="309">
        <v>5187.3531710000007</v>
      </c>
      <c r="F17" s="309">
        <v>4867.79</v>
      </c>
      <c r="G17" s="307">
        <v>3063.8309999999997</v>
      </c>
      <c r="H17" s="23">
        <f t="shared" si="0"/>
        <v>3684.7758879179578</v>
      </c>
      <c r="I17" s="24">
        <f t="shared" si="0"/>
        <v>4434.1540488558876</v>
      </c>
      <c r="J17" s="24">
        <f t="shared" si="0"/>
        <v>5158.5988730427216</v>
      </c>
      <c r="K17" s="24">
        <f t="shared" si="0"/>
        <v>5696.927622400015</v>
      </c>
      <c r="L17" s="24">
        <f t="shared" si="0"/>
        <v>4965.1458000000002</v>
      </c>
      <c r="M17" s="25">
        <f t="shared" si="0"/>
        <v>3063.8309999999997</v>
      </c>
      <c r="N17" s="26">
        <f t="shared" si="1"/>
        <v>20.337143526016654</v>
      </c>
      <c r="O17" s="27">
        <f t="shared" si="1"/>
        <v>16.337836173593413</v>
      </c>
      <c r="P17" s="27">
        <f t="shared" si="1"/>
        <v>10.435561333726429</v>
      </c>
      <c r="Q17" s="27">
        <f t="shared" si="1"/>
        <v>-12.845201324353983</v>
      </c>
      <c r="R17" s="27">
        <f t="shared" si="1"/>
        <v>-38.29323199330824</v>
      </c>
      <c r="S17" s="28">
        <f t="shared" si="3"/>
        <v>-0.80557845686514606</v>
      </c>
      <c r="T17" s="29">
        <f t="shared" ref="T17:Y24" si="5">+B17/B$17*100</f>
        <v>100</v>
      </c>
      <c r="U17" s="30">
        <f t="shared" si="5"/>
        <v>100</v>
      </c>
      <c r="V17" s="30">
        <f t="shared" si="5"/>
        <v>100</v>
      </c>
      <c r="W17" s="30">
        <f t="shared" si="5"/>
        <v>100</v>
      </c>
      <c r="X17" s="30">
        <f t="shared" si="5"/>
        <v>100</v>
      </c>
      <c r="Y17" s="30">
        <f t="shared" si="5"/>
        <v>100</v>
      </c>
      <c r="Z17" s="31">
        <f t="shared" si="4"/>
        <v>100</v>
      </c>
      <c r="AA17" s="6"/>
    </row>
    <row r="18" spans="1:27" s="7" customFormat="1">
      <c r="A18" s="310" t="s">
        <v>203</v>
      </c>
      <c r="B18" s="308">
        <v>623.45299999999997</v>
      </c>
      <c r="C18" s="308">
        <v>729.65000000000009</v>
      </c>
      <c r="D18" s="308">
        <v>830.971</v>
      </c>
      <c r="E18" s="309">
        <v>724.48617100000001</v>
      </c>
      <c r="F18" s="309">
        <v>783.56600000000003</v>
      </c>
      <c r="G18" s="307">
        <v>708.91199999999992</v>
      </c>
      <c r="H18" s="32">
        <f t="shared" si="0"/>
        <v>792.74607511627948</v>
      </c>
      <c r="I18" s="33">
        <f t="shared" si="0"/>
        <v>884.86401410465942</v>
      </c>
      <c r="J18" s="33">
        <f t="shared" si="0"/>
        <v>964.52757965067656</v>
      </c>
      <c r="K18" s="33">
        <f t="shared" si="0"/>
        <v>795.65534552201404</v>
      </c>
      <c r="L18" s="33">
        <f t="shared" si="0"/>
        <v>799.23732000000007</v>
      </c>
      <c r="M18" s="34">
        <f t="shared" si="0"/>
        <v>708.91199999999992</v>
      </c>
      <c r="N18" s="35">
        <f t="shared" si="1"/>
        <v>11.620106599060499</v>
      </c>
      <c r="O18" s="36">
        <f t="shared" si="1"/>
        <v>9.0029161855591955</v>
      </c>
      <c r="P18" s="36">
        <f t="shared" si="1"/>
        <v>-17.508284645403617</v>
      </c>
      <c r="Q18" s="36">
        <f t="shared" si="1"/>
        <v>0.45019171908358135</v>
      </c>
      <c r="R18" s="36">
        <f t="shared" si="1"/>
        <v>-11.301439227087162</v>
      </c>
      <c r="S18" s="37">
        <f t="shared" si="3"/>
        <v>-1.5473018737575008</v>
      </c>
      <c r="T18" s="38">
        <f t="shared" si="5"/>
        <v>21.514092016169048</v>
      </c>
      <c r="U18" s="39">
        <f t="shared" si="5"/>
        <v>19.955644399250733</v>
      </c>
      <c r="V18" s="39">
        <f t="shared" si="5"/>
        <v>18.697471995564651</v>
      </c>
      <c r="W18" s="39">
        <f t="shared" si="5"/>
        <v>13.966393787302822</v>
      </c>
      <c r="X18" s="39">
        <f t="shared" si="5"/>
        <v>16.096955702690543</v>
      </c>
      <c r="Y18" s="39">
        <f t="shared" si="5"/>
        <v>23.138090841172378</v>
      </c>
      <c r="Z18" s="40">
        <f t="shared" si="4"/>
        <v>18.894774790358365</v>
      </c>
      <c r="AA18" s="41"/>
    </row>
    <row r="19" spans="1:27" s="7" customFormat="1">
      <c r="A19" s="310" t="s">
        <v>205</v>
      </c>
      <c r="B19" s="308">
        <v>570.851</v>
      </c>
      <c r="C19" s="308">
        <v>680.40600000000006</v>
      </c>
      <c r="D19" s="308">
        <v>770.98099999999999</v>
      </c>
      <c r="E19" s="309">
        <v>668.17600000000004</v>
      </c>
      <c r="F19" s="309">
        <v>685.56100000000004</v>
      </c>
      <c r="G19" s="307">
        <v>662.22299999999996</v>
      </c>
      <c r="H19" s="32">
        <f t="shared" si="0"/>
        <v>725.86047340569905</v>
      </c>
      <c r="I19" s="33">
        <f t="shared" si="0"/>
        <v>825.14463699156431</v>
      </c>
      <c r="J19" s="33">
        <f t="shared" si="0"/>
        <v>894.89577600982261</v>
      </c>
      <c r="K19" s="33">
        <f t="shared" si="0"/>
        <v>733.81360118400005</v>
      </c>
      <c r="L19" s="33">
        <f t="shared" si="0"/>
        <v>699.27222000000006</v>
      </c>
      <c r="M19" s="34">
        <f t="shared" si="0"/>
        <v>662.22299999999996</v>
      </c>
      <c r="N19" s="35">
        <f t="shared" si="1"/>
        <v>13.678133363569067</v>
      </c>
      <c r="O19" s="36">
        <f t="shared" si="1"/>
        <v>8.4532015226527424</v>
      </c>
      <c r="P19" s="36">
        <f t="shared" si="1"/>
        <v>-18.000104497538103</v>
      </c>
      <c r="Q19" s="36">
        <f t="shared" si="1"/>
        <v>-4.7071056094174164</v>
      </c>
      <c r="R19" s="36">
        <f t="shared" si="1"/>
        <v>-5.2982542335229805</v>
      </c>
      <c r="S19" s="37">
        <f t="shared" si="3"/>
        <v>-1.1748258908513385</v>
      </c>
      <c r="T19" s="38">
        <f t="shared" si="5"/>
        <v>19.698904234195872</v>
      </c>
      <c r="U19" s="39">
        <f t="shared" si="5"/>
        <v>18.608840105689843</v>
      </c>
      <c r="V19" s="39">
        <f t="shared" si="5"/>
        <v>17.347651911573845</v>
      </c>
      <c r="W19" s="39">
        <f t="shared" si="5"/>
        <v>12.880865789810708</v>
      </c>
      <c r="X19" s="39">
        <f t="shared" si="5"/>
        <v>14.083619055053731</v>
      </c>
      <c r="Y19" s="39">
        <f t="shared" si="5"/>
        <v>21.614214361040148</v>
      </c>
      <c r="Z19" s="40">
        <f t="shared" si="4"/>
        <v>17.372349242894028</v>
      </c>
      <c r="AA19" s="6"/>
    </row>
    <row r="20" spans="1:27" s="7" customFormat="1">
      <c r="A20" s="310" t="s">
        <v>207</v>
      </c>
      <c r="B20" s="308">
        <v>322.83</v>
      </c>
      <c r="C20" s="308">
        <v>438.28399999999999</v>
      </c>
      <c r="D20" s="308">
        <v>458.56799999999998</v>
      </c>
      <c r="E20" s="309">
        <v>471.93099999999998</v>
      </c>
      <c r="F20" s="309">
        <v>467.54500000000002</v>
      </c>
      <c r="G20" s="307">
        <v>461.80099999999999</v>
      </c>
      <c r="H20" s="32">
        <f t="shared" si="0"/>
        <v>410.49159347984295</v>
      </c>
      <c r="I20" s="33">
        <f t="shared" si="0"/>
        <v>531.51749408325429</v>
      </c>
      <c r="J20" s="33">
        <f t="shared" si="0"/>
        <v>532.27066064309281</v>
      </c>
      <c r="K20" s="33">
        <f t="shared" si="0"/>
        <v>518.29066985399993</v>
      </c>
      <c r="L20" s="33">
        <f t="shared" si="0"/>
        <v>476.89590000000004</v>
      </c>
      <c r="M20" s="34">
        <f t="shared" si="0"/>
        <v>461.80099999999999</v>
      </c>
      <c r="N20" s="35">
        <f t="shared" si="1"/>
        <v>29.483161781083901</v>
      </c>
      <c r="O20" s="36">
        <f t="shared" si="1"/>
        <v>0.14170117977725383</v>
      </c>
      <c r="P20" s="36">
        <f t="shared" si="1"/>
        <v>-2.6264815671414588</v>
      </c>
      <c r="Q20" s="36">
        <f t="shared" si="1"/>
        <v>-7.9867866164097805</v>
      </c>
      <c r="R20" s="36">
        <f t="shared" si="1"/>
        <v>-3.1652400450496776</v>
      </c>
      <c r="S20" s="37">
        <f t="shared" si="3"/>
        <v>3.1692709464520474</v>
      </c>
      <c r="T20" s="38">
        <f t="shared" si="5"/>
        <v>11.140205156731708</v>
      </c>
      <c r="U20" s="39">
        <f t="shared" si="5"/>
        <v>11.986897347880774</v>
      </c>
      <c r="V20" s="39">
        <f t="shared" si="5"/>
        <v>10.318124625362486</v>
      </c>
      <c r="W20" s="39">
        <f t="shared" si="5"/>
        <v>9.0977225656880165</v>
      </c>
      <c r="X20" s="39">
        <f t="shared" si="5"/>
        <v>9.6048720261145206</v>
      </c>
      <c r="Y20" s="39">
        <f t="shared" si="5"/>
        <v>15.072665561514329</v>
      </c>
      <c r="Z20" s="40">
        <f t="shared" si="4"/>
        <v>11.203414547215305</v>
      </c>
      <c r="AA20" s="42"/>
    </row>
    <row r="21" spans="1:27" s="7" customFormat="1">
      <c r="A21" s="310" t="s">
        <v>209</v>
      </c>
      <c r="B21" s="308">
        <v>143.41800000000001</v>
      </c>
      <c r="C21" s="308">
        <v>225.499</v>
      </c>
      <c r="D21" s="308">
        <v>295.37599999999998</v>
      </c>
      <c r="E21" s="309">
        <v>173.11699999999999</v>
      </c>
      <c r="F21" s="309">
        <v>163.12799999999999</v>
      </c>
      <c r="G21" s="307">
        <v>127.864</v>
      </c>
      <c r="H21" s="32">
        <f t="shared" si="0"/>
        <v>182.36187266887254</v>
      </c>
      <c r="I21" s="33">
        <f t="shared" si="0"/>
        <v>273.46803305226695</v>
      </c>
      <c r="J21" s="33">
        <f t="shared" si="0"/>
        <v>342.84986884848956</v>
      </c>
      <c r="K21" s="33">
        <f t="shared" si="0"/>
        <v>190.12297537799998</v>
      </c>
      <c r="L21" s="33">
        <f t="shared" si="0"/>
        <v>166.39055999999999</v>
      </c>
      <c r="M21" s="34">
        <f t="shared" si="0"/>
        <v>127.864</v>
      </c>
      <c r="N21" s="35">
        <f t="shared" si="1"/>
        <v>49.958995841648537</v>
      </c>
      <c r="O21" s="36">
        <f t="shared" si="1"/>
        <v>25.371095488503382</v>
      </c>
      <c r="P21" s="36">
        <f t="shared" si="1"/>
        <v>-44.546289016660488</v>
      </c>
      <c r="Q21" s="36">
        <f t="shared" si="1"/>
        <v>-12.482665669846327</v>
      </c>
      <c r="R21" s="36">
        <f t="shared" si="1"/>
        <v>-23.154294330159107</v>
      </c>
      <c r="S21" s="37">
        <f t="shared" si="3"/>
        <v>-0.97063153730280116</v>
      </c>
      <c r="T21" s="38">
        <f t="shared" si="5"/>
        <v>4.9490627982781907</v>
      </c>
      <c r="U21" s="39">
        <f t="shared" si="5"/>
        <v>6.1673101574544509</v>
      </c>
      <c r="V21" s="39">
        <f t="shared" si="5"/>
        <v>6.6461819824782138</v>
      </c>
      <c r="W21" s="39">
        <f t="shared" si="5"/>
        <v>3.3372896406555461</v>
      </c>
      <c r="X21" s="39">
        <f t="shared" si="5"/>
        <v>3.351171681604999</v>
      </c>
      <c r="Y21" s="39">
        <f t="shared" si="5"/>
        <v>4.1733372369429</v>
      </c>
      <c r="Z21" s="40">
        <f t="shared" si="4"/>
        <v>4.7707255829023829</v>
      </c>
      <c r="AA21" s="6"/>
    </row>
    <row r="22" spans="1:27" s="7" customFormat="1">
      <c r="A22" s="310" t="s">
        <v>343</v>
      </c>
      <c r="B22" s="308">
        <v>104.60299999999999</v>
      </c>
      <c r="C22" s="308">
        <v>16.623000000000001</v>
      </c>
      <c r="D22" s="308">
        <v>17.036999999999999</v>
      </c>
      <c r="E22" s="309">
        <v>23.128</v>
      </c>
      <c r="F22" s="309">
        <v>54.887999999999998</v>
      </c>
      <c r="G22" s="307">
        <v>72.558000000000007</v>
      </c>
      <c r="H22" s="32">
        <f t="shared" si="0"/>
        <v>133.00700725698357</v>
      </c>
      <c r="I22" s="33">
        <f t="shared" si="0"/>
        <v>20.159109856042971</v>
      </c>
      <c r="J22" s="33">
        <f t="shared" si="0"/>
        <v>19.775246518240198</v>
      </c>
      <c r="K22" s="33">
        <f t="shared" si="0"/>
        <v>25.399955951999999</v>
      </c>
      <c r="L22" s="33">
        <f t="shared" si="0"/>
        <v>55.985759999999999</v>
      </c>
      <c r="M22" s="34">
        <f t="shared" si="0"/>
        <v>72.558000000000007</v>
      </c>
      <c r="N22" s="35">
        <f t="shared" si="1"/>
        <v>-84.84357307800073</v>
      </c>
      <c r="O22" s="36">
        <f t="shared" si="1"/>
        <v>-1.9041680934523186</v>
      </c>
      <c r="P22" s="36">
        <f t="shared" si="1"/>
        <v>28.443182382438103</v>
      </c>
      <c r="Q22" s="36">
        <f t="shared" si="1"/>
        <v>120.41676019360051</v>
      </c>
      <c r="R22" s="36">
        <f t="shared" si="1"/>
        <v>29.600812778106445</v>
      </c>
      <c r="S22" s="37">
        <f t="shared" si="3"/>
        <v>18.342602836538401</v>
      </c>
      <c r="T22" s="38">
        <f t="shared" si="5"/>
        <v>3.6096362791859709</v>
      </c>
      <c r="U22" s="39">
        <f t="shared" si="5"/>
        <v>0.45463260035461511</v>
      </c>
      <c r="V22" s="39">
        <f t="shared" si="5"/>
        <v>0.38334530373314463</v>
      </c>
      <c r="W22" s="39">
        <f t="shared" si="5"/>
        <v>0.44585358346714349</v>
      </c>
      <c r="X22" s="39">
        <f t="shared" si="5"/>
        <v>1.1275753473342112</v>
      </c>
      <c r="Y22" s="39">
        <f t="shared" si="5"/>
        <v>2.3682115625829234</v>
      </c>
      <c r="Z22" s="40">
        <f t="shared" si="4"/>
        <v>1.3982091127763348</v>
      </c>
      <c r="AA22" s="6"/>
    </row>
    <row r="23" spans="1:27" s="7" customFormat="1">
      <c r="A23" s="310" t="s">
        <v>213</v>
      </c>
      <c r="B23" s="308">
        <v>52.601999999999997</v>
      </c>
      <c r="C23" s="308">
        <v>49.244</v>
      </c>
      <c r="D23" s="308">
        <v>59.99</v>
      </c>
      <c r="E23" s="309">
        <v>56.310170999999997</v>
      </c>
      <c r="F23" s="309">
        <v>98.004999999999995</v>
      </c>
      <c r="G23" s="307">
        <v>46.689</v>
      </c>
      <c r="H23" s="32">
        <f t="shared" si="0"/>
        <v>66.885601710580488</v>
      </c>
      <c r="I23" s="33">
        <f t="shared" si="0"/>
        <v>59.719377113095106</v>
      </c>
      <c r="J23" s="33">
        <f t="shared" si="0"/>
        <v>69.631803640854002</v>
      </c>
      <c r="K23" s="33">
        <f t="shared" si="0"/>
        <v>61.841744338013996</v>
      </c>
      <c r="L23" s="33">
        <f t="shared" si="0"/>
        <v>99.965099999999993</v>
      </c>
      <c r="M23" s="34">
        <f t="shared" si="0"/>
        <v>46.689</v>
      </c>
      <c r="N23" s="35">
        <f t="shared" si="1"/>
        <v>-10.714151348289015</v>
      </c>
      <c r="O23" s="36">
        <f t="shared" si="1"/>
        <v>16.598342124344299</v>
      </c>
      <c r="P23" s="36">
        <f t="shared" si="1"/>
        <v>-11.187501824625246</v>
      </c>
      <c r="Q23" s="36">
        <f t="shared" si="1"/>
        <v>61.646637025003258</v>
      </c>
      <c r="R23" s="36">
        <f t="shared" si="1"/>
        <v>-53.294699850247731</v>
      </c>
      <c r="S23" s="37">
        <f t="shared" si="3"/>
        <v>0.60972522523711348</v>
      </c>
      <c r="T23" s="38">
        <f t="shared" si="5"/>
        <v>1.815187781973179</v>
      </c>
      <c r="U23" s="39">
        <f t="shared" si="5"/>
        <v>1.3468042935608893</v>
      </c>
      <c r="V23" s="39">
        <f t="shared" si="5"/>
        <v>1.3498200839908052</v>
      </c>
      <c r="W23" s="39">
        <f t="shared" si="5"/>
        <v>1.0855279974921144</v>
      </c>
      <c r="X23" s="39">
        <f t="shared" si="5"/>
        <v>2.0133366476368124</v>
      </c>
      <c r="Y23" s="39">
        <f t="shared" si="5"/>
        <v>1.5238764801322267</v>
      </c>
      <c r="Z23" s="40">
        <f t="shared" si="4"/>
        <v>1.522425547464338</v>
      </c>
      <c r="AA23" s="41"/>
    </row>
    <row r="24" spans="1:27" s="7" customFormat="1">
      <c r="A24" s="310" t="s">
        <v>217</v>
      </c>
      <c r="B24" s="308">
        <v>135.63200000000006</v>
      </c>
      <c r="C24" s="308">
        <v>82.801101000000017</v>
      </c>
      <c r="D24" s="308">
        <v>273.69299999999998</v>
      </c>
      <c r="E24" s="309">
        <v>435.56582900000012</v>
      </c>
      <c r="F24" s="309">
        <v>205.33799999999997</v>
      </c>
      <c r="G24" s="307">
        <v>344.59000000000003</v>
      </c>
      <c r="H24" s="32">
        <f t="shared" si="0"/>
        <v>172.46165414260784</v>
      </c>
      <c r="I24" s="33">
        <f t="shared" si="0"/>
        <v>100.41487645192262</v>
      </c>
      <c r="J24" s="33">
        <f t="shared" si="0"/>
        <v>317.68190088141779</v>
      </c>
      <c r="K24" s="33">
        <f t="shared" si="0"/>
        <v>478.35320264598613</v>
      </c>
      <c r="L24" s="33">
        <f t="shared" si="0"/>
        <v>209.44475999999997</v>
      </c>
      <c r="M24" s="34">
        <f t="shared" si="0"/>
        <v>344.59000000000003</v>
      </c>
      <c r="N24" s="35">
        <f t="shared" si="1"/>
        <v>-41.775534421761975</v>
      </c>
      <c r="O24" s="36">
        <f t="shared" si="1"/>
        <v>216.36935891020079</v>
      </c>
      <c r="P24" s="36">
        <f t="shared" si="1"/>
        <v>50.576158515414662</v>
      </c>
      <c r="Q24" s="36">
        <f t="shared" si="1"/>
        <v>-56.215457774408726</v>
      </c>
      <c r="R24" s="36">
        <f t="shared" si="1"/>
        <v>64.525481563730722</v>
      </c>
      <c r="S24" s="37">
        <f t="shared" si="3"/>
        <v>46.696001358635094</v>
      </c>
      <c r="T24" s="38">
        <f t="shared" si="5"/>
        <v>4.6803838113491185</v>
      </c>
      <c r="U24" s="39">
        <f t="shared" si="5"/>
        <v>2.2645779859144035</v>
      </c>
      <c r="V24" s="39">
        <f t="shared" si="5"/>
        <v>6.1582981871594509</v>
      </c>
      <c r="W24" s="39">
        <f t="shared" si="5"/>
        <v>8.3966873787394967</v>
      </c>
      <c r="X24" s="39">
        <f t="shared" si="5"/>
        <v>4.2183002964384242</v>
      </c>
      <c r="Y24" s="39">
        <f t="shared" si="5"/>
        <v>11.247030270272743</v>
      </c>
      <c r="Z24" s="40">
        <f t="shared" si="4"/>
        <v>6.1608796549789391</v>
      </c>
      <c r="AA24" s="6"/>
    </row>
    <row r="25" spans="1:27" s="44" customFormat="1">
      <c r="A25" s="310" t="s">
        <v>219</v>
      </c>
      <c r="B25" s="308">
        <v>2192.3159999999998</v>
      </c>
      <c r="C25" s="308">
        <v>2685.3490000000002</v>
      </c>
      <c r="D25" s="308">
        <v>3216.32</v>
      </c>
      <c r="E25" s="309">
        <v>3719.0059999999999</v>
      </c>
      <c r="F25" s="309">
        <v>3843.3250000000003</v>
      </c>
      <c r="G25" s="307">
        <v>4184.4030000000002</v>
      </c>
      <c r="H25" s="23">
        <f t="shared" si="0"/>
        <v>2787.6197635020144</v>
      </c>
      <c r="I25" s="24">
        <f t="shared" si="0"/>
        <v>3256.5869874760956</v>
      </c>
      <c r="J25" s="24">
        <f t="shared" si="0"/>
        <v>3733.2582544782722</v>
      </c>
      <c r="K25" s="24">
        <f t="shared" si="0"/>
        <v>4084.3388354039998</v>
      </c>
      <c r="L25" s="24">
        <f t="shared" si="0"/>
        <v>3920.1915000000004</v>
      </c>
      <c r="M25" s="25">
        <f t="shared" si="0"/>
        <v>4184.4030000000002</v>
      </c>
      <c r="N25" s="26">
        <f t="shared" si="1"/>
        <v>16.823213485361777</v>
      </c>
      <c r="O25" s="27">
        <f t="shared" si="1"/>
        <v>14.637142162494609</v>
      </c>
      <c r="P25" s="27">
        <f t="shared" si="1"/>
        <v>9.4041332528920218</v>
      </c>
      <c r="Q25" s="27">
        <f t="shared" si="1"/>
        <v>-4.0189450978242114</v>
      </c>
      <c r="R25" s="27">
        <f t="shared" si="1"/>
        <v>6.7397600346819742</v>
      </c>
      <c r="S25" s="28">
        <f t="shared" si="3"/>
        <v>8.7170607675212342</v>
      </c>
      <c r="T25" s="29">
        <f t="shared" ref="T25:Y30" si="6">+B25/B$6*100</f>
        <v>74.280519658291084</v>
      </c>
      <c r="U25" s="30">
        <f t="shared" si="6"/>
        <v>76.772511934923742</v>
      </c>
      <c r="V25" s="30">
        <f t="shared" si="6"/>
        <v>74.434897236370233</v>
      </c>
      <c r="W25" s="30">
        <f t="shared" si="6"/>
        <v>76.223853047043093</v>
      </c>
      <c r="X25" s="30">
        <f t="shared" si="6"/>
        <v>79.535241396879158</v>
      </c>
      <c r="Y25" s="30">
        <f t="shared" si="6"/>
        <v>79.886958621815396</v>
      </c>
      <c r="Z25" s="31">
        <f t="shared" si="4"/>
        <v>76.855663649220446</v>
      </c>
      <c r="AA25" s="43"/>
    </row>
    <row r="26" spans="1:27" s="44" customFormat="1">
      <c r="A26" s="310" t="s">
        <v>344</v>
      </c>
      <c r="B26" s="308">
        <v>0</v>
      </c>
      <c r="C26" s="308">
        <v>0</v>
      </c>
      <c r="D26" s="308">
        <v>0</v>
      </c>
      <c r="E26" s="309">
        <v>0</v>
      </c>
      <c r="F26" s="309">
        <v>0</v>
      </c>
      <c r="G26" s="307">
        <v>371.64400000000001</v>
      </c>
      <c r="H26" s="23">
        <f t="shared" si="0"/>
        <v>0</v>
      </c>
      <c r="I26" s="24">
        <f t="shared" si="0"/>
        <v>0</v>
      </c>
      <c r="J26" s="24">
        <f t="shared" si="0"/>
        <v>0</v>
      </c>
      <c r="K26" s="24">
        <f t="shared" si="0"/>
        <v>0</v>
      </c>
      <c r="L26" s="24">
        <f t="shared" si="0"/>
        <v>0</v>
      </c>
      <c r="M26" s="25">
        <f t="shared" si="0"/>
        <v>371.64400000000001</v>
      </c>
      <c r="N26" s="26">
        <f t="shared" si="1"/>
        <v>0</v>
      </c>
      <c r="O26" s="27">
        <f t="shared" si="1"/>
        <v>0</v>
      </c>
      <c r="P26" s="27">
        <f t="shared" si="1"/>
        <v>0</v>
      </c>
      <c r="Q26" s="27">
        <f t="shared" si="1"/>
        <v>0</v>
      </c>
      <c r="R26" s="27">
        <f t="shared" si="1"/>
        <v>0</v>
      </c>
      <c r="S26" s="28">
        <f t="shared" si="3"/>
        <v>0</v>
      </c>
      <c r="T26" s="29">
        <f t="shared" si="6"/>
        <v>0</v>
      </c>
      <c r="U26" s="30">
        <f t="shared" si="6"/>
        <v>0</v>
      </c>
      <c r="V26" s="30">
        <f t="shared" si="6"/>
        <v>0</v>
      </c>
      <c r="W26" s="30">
        <f t="shared" si="6"/>
        <v>0</v>
      </c>
      <c r="X26" s="30">
        <f t="shared" si="6"/>
        <v>0</v>
      </c>
      <c r="Y26" s="30">
        <f t="shared" si="6"/>
        <v>7.0952795058329601</v>
      </c>
      <c r="Z26" s="31">
        <f t="shared" si="4"/>
        <v>1.1825465843054934</v>
      </c>
      <c r="AA26" s="43"/>
    </row>
    <row r="27" spans="1:27" s="7" customFormat="1">
      <c r="A27" s="310" t="s">
        <v>223</v>
      </c>
      <c r="B27" s="308">
        <v>2043.99</v>
      </c>
      <c r="C27" s="308">
        <v>2385.346</v>
      </c>
      <c r="D27" s="308">
        <v>2732.4780000000001</v>
      </c>
      <c r="E27" s="309">
        <v>3186.0659999999998</v>
      </c>
      <c r="F27" s="309">
        <v>3163.0140000000001</v>
      </c>
      <c r="G27" s="307">
        <v>3208.1190000000001</v>
      </c>
      <c r="H27" s="32">
        <f t="shared" si="0"/>
        <v>2599.0171674158664</v>
      </c>
      <c r="I27" s="33">
        <f t="shared" si="0"/>
        <v>2892.7661708880869</v>
      </c>
      <c r="J27" s="33">
        <f t="shared" si="0"/>
        <v>3171.6514677271789</v>
      </c>
      <c r="K27" s="33">
        <f t="shared" si="0"/>
        <v>3499.0460074439998</v>
      </c>
      <c r="L27" s="33">
        <f t="shared" si="0"/>
        <v>3226.2742800000001</v>
      </c>
      <c r="M27" s="34">
        <f t="shared" si="0"/>
        <v>3208.1190000000001</v>
      </c>
      <c r="N27" s="35">
        <f t="shared" si="1"/>
        <v>11.302311010291909</v>
      </c>
      <c r="O27" s="36">
        <f t="shared" si="1"/>
        <v>9.6407825715644879</v>
      </c>
      <c r="P27" s="36">
        <f t="shared" si="1"/>
        <v>10.322525758211176</v>
      </c>
      <c r="Q27" s="36">
        <f t="shared" si="1"/>
        <v>-7.7956027689745966</v>
      </c>
      <c r="R27" s="36">
        <f t="shared" si="1"/>
        <v>-0.56273206876881199</v>
      </c>
      <c r="S27" s="37">
        <f t="shared" si="3"/>
        <v>4.5814569004648327</v>
      </c>
      <c r="T27" s="38">
        <f t="shared" si="6"/>
        <v>69.254906398689982</v>
      </c>
      <c r="U27" s="39">
        <f t="shared" si="6"/>
        <v>68.195606699137656</v>
      </c>
      <c r="V27" s="39">
        <f t="shared" si="6"/>
        <v>63.237401480773826</v>
      </c>
      <c r="W27" s="39">
        <f t="shared" si="6"/>
        <v>65.300842908610633</v>
      </c>
      <c r="X27" s="39">
        <f t="shared" si="6"/>
        <v>65.456624675693149</v>
      </c>
      <c r="Y27" s="39">
        <f t="shared" si="6"/>
        <v>61.248132602634065</v>
      </c>
      <c r="Z27" s="40">
        <f t="shared" si="4"/>
        <v>65.448919127589889</v>
      </c>
      <c r="AA27" s="45"/>
    </row>
    <row r="28" spans="1:27" s="7" customFormat="1">
      <c r="A28" s="310" t="s">
        <v>225</v>
      </c>
      <c r="B28" s="308">
        <v>0</v>
      </c>
      <c r="C28" s="308">
        <v>0</v>
      </c>
      <c r="D28" s="308">
        <v>112.827</v>
      </c>
      <c r="E28" s="309">
        <v>0</v>
      </c>
      <c r="F28" s="309">
        <v>596.24800000000005</v>
      </c>
      <c r="G28" s="307">
        <v>426.58800000000002</v>
      </c>
      <c r="H28" s="32">
        <f t="shared" si="0"/>
        <v>0</v>
      </c>
      <c r="I28" s="33">
        <f t="shared" si="0"/>
        <v>0</v>
      </c>
      <c r="J28" s="33">
        <f t="shared" si="0"/>
        <v>130.9609519817742</v>
      </c>
      <c r="K28" s="33">
        <f t="shared" si="0"/>
        <v>0</v>
      </c>
      <c r="L28" s="33">
        <f t="shared" si="0"/>
        <v>608.1729600000001</v>
      </c>
      <c r="M28" s="34">
        <f t="shared" si="0"/>
        <v>426.58800000000002</v>
      </c>
      <c r="N28" s="35">
        <f t="shared" si="1"/>
        <v>0</v>
      </c>
      <c r="O28" s="36">
        <f t="shared" si="1"/>
        <v>0</v>
      </c>
      <c r="P28" s="36">
        <f t="shared" si="1"/>
        <v>-100</v>
      </c>
      <c r="Q28" s="36">
        <f t="shared" si="1"/>
        <v>0</v>
      </c>
      <c r="R28" s="36">
        <f t="shared" si="1"/>
        <v>-29.85745370856344</v>
      </c>
      <c r="S28" s="37">
        <f t="shared" si="3"/>
        <v>-25.971490741712689</v>
      </c>
      <c r="T28" s="38">
        <f t="shared" si="6"/>
        <v>0</v>
      </c>
      <c r="U28" s="39">
        <f t="shared" si="6"/>
        <v>0</v>
      </c>
      <c r="V28" s="39">
        <f t="shared" si="6"/>
        <v>2.611141351136685</v>
      </c>
      <c r="W28" s="39">
        <f t="shared" si="6"/>
        <v>0</v>
      </c>
      <c r="X28" s="39">
        <f t="shared" si="6"/>
        <v>12.338984762518498</v>
      </c>
      <c r="Y28" s="39">
        <f t="shared" si="6"/>
        <v>8.1442485115709431</v>
      </c>
      <c r="Z28" s="40">
        <f t="shared" si="4"/>
        <v>3.8490624375376878</v>
      </c>
      <c r="AA28" s="6"/>
    </row>
    <row r="29" spans="1:27" s="7" customFormat="1">
      <c r="A29" s="310" t="s">
        <v>227</v>
      </c>
      <c r="B29" s="308">
        <v>148.32599999999999</v>
      </c>
      <c r="C29" s="308">
        <v>300.00299999999999</v>
      </c>
      <c r="D29" s="308">
        <v>371.01499999999999</v>
      </c>
      <c r="E29" s="309">
        <v>532.94000000000005</v>
      </c>
      <c r="F29" s="309">
        <v>84.063000000000002</v>
      </c>
      <c r="G29" s="307">
        <v>178.05199999999999</v>
      </c>
      <c r="H29" s="32">
        <f t="shared" si="0"/>
        <v>188.60259608614808</v>
      </c>
      <c r="I29" s="33">
        <f t="shared" si="0"/>
        <v>363.82081658800809</v>
      </c>
      <c r="J29" s="33">
        <f t="shared" si="0"/>
        <v>430.64583476931898</v>
      </c>
      <c r="K29" s="33">
        <f t="shared" si="0"/>
        <v>585.29282796000007</v>
      </c>
      <c r="L29" s="33">
        <f t="shared" si="0"/>
        <v>85.744260000000011</v>
      </c>
      <c r="M29" s="34">
        <f t="shared" si="0"/>
        <v>178.05199999999999</v>
      </c>
      <c r="N29" s="35">
        <f t="shared" si="1"/>
        <v>92.903398011459771</v>
      </c>
      <c r="O29" s="36">
        <f t="shared" si="1"/>
        <v>18.367563133965415</v>
      </c>
      <c r="P29" s="36">
        <f t="shared" si="1"/>
        <v>35.9104815848317</v>
      </c>
      <c r="Q29" s="36">
        <f t="shared" si="1"/>
        <v>-85.350194654040777</v>
      </c>
      <c r="R29" s="36">
        <f t="shared" si="1"/>
        <v>107.65471647898059</v>
      </c>
      <c r="S29" s="37">
        <f t="shared" si="3"/>
        <v>33.89719291103934</v>
      </c>
      <c r="T29" s="38">
        <f t="shared" si="6"/>
        <v>5.0256132596011183</v>
      </c>
      <c r="U29" s="39">
        <f t="shared" si="6"/>
        <v>8.5769052357860858</v>
      </c>
      <c r="V29" s="39">
        <f t="shared" si="6"/>
        <v>8.5863544044597244</v>
      </c>
      <c r="W29" s="39">
        <f t="shared" si="6"/>
        <v>10.923010138432462</v>
      </c>
      <c r="X29" s="39">
        <f t="shared" si="6"/>
        <v>1.7396319586675215</v>
      </c>
      <c r="Y29" s="39">
        <f t="shared" si="6"/>
        <v>3.3992980017774275</v>
      </c>
      <c r="Z29" s="40">
        <f t="shared" si="4"/>
        <v>6.3751354997873895</v>
      </c>
      <c r="AA29" s="6"/>
    </row>
    <row r="30" spans="1:27" s="7" customFormat="1">
      <c r="A30" s="310" t="s">
        <v>229</v>
      </c>
      <c r="B30" s="308">
        <v>2274.4290000000001</v>
      </c>
      <c r="C30" s="308">
        <v>2926.7089999999998</v>
      </c>
      <c r="D30" s="308">
        <v>3613.3249999999998</v>
      </c>
      <c r="E30" s="309">
        <v>4462.8670000000002</v>
      </c>
      <c r="F30" s="309">
        <v>4084.2240000000002</v>
      </c>
      <c r="G30" s="307">
        <v>2354.9189999999999</v>
      </c>
      <c r="H30" s="32">
        <f t="shared" si="0"/>
        <v>2892.029812801678</v>
      </c>
      <c r="I30" s="33">
        <f t="shared" si="0"/>
        <v>3549.2900347512277</v>
      </c>
      <c r="J30" s="33">
        <f t="shared" si="0"/>
        <v>4194.0712933920449</v>
      </c>
      <c r="K30" s="33">
        <f t="shared" si="0"/>
        <v>4901.2722768780004</v>
      </c>
      <c r="L30" s="33">
        <f t="shared" si="0"/>
        <v>4165.9084800000001</v>
      </c>
      <c r="M30" s="34">
        <f t="shared" si="0"/>
        <v>2354.9189999999999</v>
      </c>
      <c r="N30" s="35">
        <f t="shared" si="1"/>
        <v>22.726606034286469</v>
      </c>
      <c r="O30" s="36">
        <f t="shared" si="1"/>
        <v>18.166485475341275</v>
      </c>
      <c r="P30" s="36">
        <f t="shared" si="1"/>
        <v>16.861920888187655</v>
      </c>
      <c r="Q30" s="36">
        <f t="shared" si="1"/>
        <v>-15.003528784701803</v>
      </c>
      <c r="R30" s="36">
        <f t="shared" si="1"/>
        <v>-43.471657831522982</v>
      </c>
      <c r="S30" s="37">
        <f t="shared" si="3"/>
        <v>-0.14403484368187805</v>
      </c>
      <c r="T30" s="38">
        <f t="shared" si="6"/>
        <v>77.062689888632562</v>
      </c>
      <c r="U30" s="39">
        <f t="shared" si="6"/>
        <v>83.672849090583284</v>
      </c>
      <c r="V30" s="39">
        <f t="shared" si="6"/>
        <v>83.622735006655873</v>
      </c>
      <c r="W30" s="39">
        <f t="shared" si="6"/>
        <v>91.469849302877734</v>
      </c>
      <c r="X30" s="39">
        <f t="shared" si="6"/>
        <v>84.520497683367239</v>
      </c>
      <c r="Y30" s="39">
        <f t="shared" si="6"/>
        <v>44.959177381033058</v>
      </c>
      <c r="Z30" s="40">
        <f t="shared" si="4"/>
        <v>77.551299725524956</v>
      </c>
      <c r="AA30" s="6"/>
    </row>
    <row r="31" spans="1:27" s="7" customFormat="1">
      <c r="A31" s="310" t="s">
        <v>345</v>
      </c>
      <c r="B31" s="308">
        <v>599.13900000000001</v>
      </c>
      <c r="C31" s="308">
        <v>940.279</v>
      </c>
      <c r="D31" s="308">
        <v>1238.0429999999999</v>
      </c>
      <c r="E31" s="309">
        <v>1375.9849999999999</v>
      </c>
      <c r="F31" s="309">
        <v>1066.6279999999999</v>
      </c>
      <c r="G31" s="307">
        <v>405.12200000000001</v>
      </c>
      <c r="H31" s="23">
        <f t="shared" si="0"/>
        <v>761.82982630461743</v>
      </c>
      <c r="I31" s="24">
        <f t="shared" si="0"/>
        <v>1140.2988423467621</v>
      </c>
      <c r="J31" s="24">
        <f t="shared" si="0"/>
        <v>1437.0256221859277</v>
      </c>
      <c r="K31" s="24">
        <f t="shared" si="0"/>
        <v>1511.1535104899999</v>
      </c>
      <c r="L31" s="24">
        <f t="shared" si="0"/>
        <v>1087.96056</v>
      </c>
      <c r="M31" s="25">
        <f t="shared" si="0"/>
        <v>405.12200000000001</v>
      </c>
      <c r="N31" s="26">
        <f t="shared" si="1"/>
        <v>49.678944427520207</v>
      </c>
      <c r="O31" s="27">
        <f t="shared" si="1"/>
        <v>26.021843469427264</v>
      </c>
      <c r="P31" s="27">
        <f t="shared" si="1"/>
        <v>5.1584249549644579</v>
      </c>
      <c r="Q31" s="27">
        <f t="shared" si="1"/>
        <v>-28.004630075787418</v>
      </c>
      <c r="R31" s="27">
        <f t="shared" si="1"/>
        <v>-62.763172223816646</v>
      </c>
      <c r="S31" s="28">
        <f t="shared" si="3"/>
        <v>-1.981717889538426</v>
      </c>
      <c r="T31" s="29">
        <f t="shared" ref="T31:Y33" si="7">+B31/B$17*100</f>
        <v>20.675065444348665</v>
      </c>
      <c r="U31" s="30">
        <f t="shared" si="7"/>
        <v>25.716265826194856</v>
      </c>
      <c r="V31" s="30">
        <f t="shared" si="7"/>
        <v>27.856897920390537</v>
      </c>
      <c r="W31" s="30">
        <f t="shared" si="7"/>
        <v>26.525762843611091</v>
      </c>
      <c r="X31" s="30">
        <f t="shared" si="7"/>
        <v>21.911955938937382</v>
      </c>
      <c r="Y31" s="30">
        <f t="shared" si="7"/>
        <v>13.222726710448457</v>
      </c>
      <c r="Z31" s="31">
        <f t="shared" si="4"/>
        <v>22.651445780655166</v>
      </c>
      <c r="AA31" s="6"/>
    </row>
    <row r="32" spans="1:27" s="7" customFormat="1">
      <c r="A32" s="310" t="s">
        <v>346</v>
      </c>
      <c r="B32" s="308">
        <v>1675.29</v>
      </c>
      <c r="C32" s="308">
        <v>1986.43</v>
      </c>
      <c r="D32" s="308">
        <v>2375.2820000000002</v>
      </c>
      <c r="E32" s="309">
        <v>3086.8820000000001</v>
      </c>
      <c r="F32" s="309">
        <v>3017.596</v>
      </c>
      <c r="G32" s="307">
        <v>1949.797</v>
      </c>
      <c r="H32" s="32">
        <f t="shared" si="0"/>
        <v>2130.1999864970608</v>
      </c>
      <c r="I32" s="33">
        <f t="shared" si="0"/>
        <v>2408.9911924044659</v>
      </c>
      <c r="J32" s="33">
        <f t="shared" si="0"/>
        <v>2757.0456712061173</v>
      </c>
      <c r="K32" s="33">
        <f t="shared" si="0"/>
        <v>3390.118766388</v>
      </c>
      <c r="L32" s="33">
        <f t="shared" si="0"/>
        <v>3077.9479200000001</v>
      </c>
      <c r="M32" s="34">
        <f t="shared" si="0"/>
        <v>1949.797</v>
      </c>
      <c r="N32" s="35">
        <f t="shared" si="1"/>
        <v>13.08756021381139</v>
      </c>
      <c r="O32" s="36">
        <f t="shared" si="1"/>
        <v>14.448142438173495</v>
      </c>
      <c r="P32" s="36">
        <f t="shared" si="1"/>
        <v>22.962009726336309</v>
      </c>
      <c r="Q32" s="36">
        <f t="shared" si="1"/>
        <v>-9.2082569343316045</v>
      </c>
      <c r="R32" s="36">
        <f t="shared" si="1"/>
        <v>-36.652696839652833</v>
      </c>
      <c r="S32" s="37">
        <f t="shared" si="3"/>
        <v>0.92735172086735251</v>
      </c>
      <c r="T32" s="38">
        <f t="shared" si="7"/>
        <v>57.81084253948228</v>
      </c>
      <c r="U32" s="39">
        <f t="shared" si="7"/>
        <v>54.328089774554414</v>
      </c>
      <c r="V32" s="39">
        <f t="shared" si="7"/>
        <v>53.445630084044801</v>
      </c>
      <c r="W32" s="39">
        <f t="shared" si="7"/>
        <v>59.507843369086075</v>
      </c>
      <c r="X32" s="39">
        <f t="shared" si="7"/>
        <v>61.991088358372068</v>
      </c>
      <c r="Y32" s="39">
        <f t="shared" si="7"/>
        <v>63.639182448379174</v>
      </c>
      <c r="Z32" s="40">
        <f t="shared" si="4"/>
        <v>58.453779428986472</v>
      </c>
      <c r="AA32" s="6"/>
    </row>
    <row r="33" spans="1:27" s="7" customFormat="1">
      <c r="A33" s="310" t="s">
        <v>235</v>
      </c>
      <c r="B33" s="308">
        <v>53.518999999999778</v>
      </c>
      <c r="C33" s="308">
        <v>-158.55889899999966</v>
      </c>
      <c r="D33" s="308">
        <v>-123.3119999999999</v>
      </c>
      <c r="E33" s="309">
        <v>-308.29517100000066</v>
      </c>
      <c r="F33" s="309">
        <v>-35.560999999999694</v>
      </c>
      <c r="G33" s="307">
        <v>2174.074000000001</v>
      </c>
      <c r="H33" s="32">
        <f t="shared" si="0"/>
        <v>68.051604842944045</v>
      </c>
      <c r="I33" s="33">
        <f t="shared" si="0"/>
        <v>-192.2881708232097</v>
      </c>
      <c r="J33" s="33">
        <f t="shared" si="0"/>
        <v>-143.13113803235507</v>
      </c>
      <c r="K33" s="33">
        <f t="shared" si="0"/>
        <v>-338.58023882801473</v>
      </c>
      <c r="L33" s="33">
        <f t="shared" si="0"/>
        <v>-36.272219999999692</v>
      </c>
      <c r="M33" s="34">
        <f t="shared" si="0"/>
        <v>2174.074000000001</v>
      </c>
      <c r="N33" s="35">
        <f t="shared" si="1"/>
        <v>-382.5622867630978</v>
      </c>
      <c r="O33" s="36">
        <f t="shared" si="1"/>
        <v>-25.564252122430219</v>
      </c>
      <c r="P33" s="36">
        <f t="shared" si="1"/>
        <v>136.55246753608429</v>
      </c>
      <c r="Q33" s="36">
        <f t="shared" si="1"/>
        <v>-89.286964848995652</v>
      </c>
      <c r="R33" s="36">
        <f t="shared" si="1"/>
        <v>-6093.7715419679844</v>
      </c>
      <c r="S33" s="37">
        <f t="shared" si="3"/>
        <v>-1290.9265156332847</v>
      </c>
      <c r="T33" s="38">
        <f t="shared" si="7"/>
        <v>1.8468315825143942</v>
      </c>
      <c r="U33" s="39">
        <f t="shared" si="7"/>
        <v>-4.3365243675470504</v>
      </c>
      <c r="V33" s="39">
        <f t="shared" si="7"/>
        <v>-2.7746126720632445</v>
      </c>
      <c r="W33" s="39">
        <f t="shared" si="7"/>
        <v>-5.9432076598048278</v>
      </c>
      <c r="X33" s="39">
        <f t="shared" si="7"/>
        <v>-0.73053685553402459</v>
      </c>
      <c r="Y33" s="39">
        <f t="shared" si="7"/>
        <v>70.959331634153486</v>
      </c>
      <c r="Z33" s="40">
        <f t="shared" si="4"/>
        <v>9.8368802769531225</v>
      </c>
      <c r="AA33" s="6"/>
    </row>
    <row r="34" spans="1:27" s="7" customFormat="1">
      <c r="A34" s="310" t="s">
        <v>347</v>
      </c>
      <c r="B34" s="308">
        <v>-53.518999999999778</v>
      </c>
      <c r="C34" s="308">
        <v>158.55889899999966</v>
      </c>
      <c r="D34" s="308">
        <v>123.3119999999999</v>
      </c>
      <c r="E34" s="309">
        <v>308.29517100000066</v>
      </c>
      <c r="F34" s="309">
        <v>35.560999999999694</v>
      </c>
      <c r="G34" s="307">
        <v>-2174.0740000000014</v>
      </c>
      <c r="H34" s="23">
        <f t="shared" si="0"/>
        <v>-68.051604842944045</v>
      </c>
      <c r="I34" s="24">
        <f t="shared" si="0"/>
        <v>192.2881708232097</v>
      </c>
      <c r="J34" s="24">
        <f t="shared" si="0"/>
        <v>143.13113803235507</v>
      </c>
      <c r="K34" s="24">
        <f t="shared" si="0"/>
        <v>338.58023882801473</v>
      </c>
      <c r="L34" s="24">
        <f t="shared" si="0"/>
        <v>36.272219999999692</v>
      </c>
      <c r="M34" s="25">
        <f t="shared" si="0"/>
        <v>-2174.0740000000014</v>
      </c>
      <c r="N34" s="26">
        <f t="shared" si="1"/>
        <v>-382.5622867630978</v>
      </c>
      <c r="O34" s="27">
        <f t="shared" si="1"/>
        <v>-25.564252122430219</v>
      </c>
      <c r="P34" s="27">
        <f t="shared" si="1"/>
        <v>136.55246753608429</v>
      </c>
      <c r="Q34" s="27">
        <f t="shared" si="1"/>
        <v>-89.286964848995652</v>
      </c>
      <c r="R34" s="27">
        <f t="shared" si="1"/>
        <v>-6093.7715419679853</v>
      </c>
      <c r="S34" s="28">
        <f t="shared" si="3"/>
        <v>-1290.9265156332849</v>
      </c>
      <c r="T34" s="29">
        <f t="shared" ref="T34:X40" si="8">+B34/B$6*100</f>
        <v>-1.8133422059557405</v>
      </c>
      <c r="U34" s="30">
        <f t="shared" si="8"/>
        <v>4.5331035056768565</v>
      </c>
      <c r="V34" s="30">
        <f t="shared" si="8"/>
        <v>2.8537944134947013</v>
      </c>
      <c r="W34" s="30">
        <f t="shared" si="8"/>
        <v>6.318743720611657</v>
      </c>
      <c r="X34" s="30">
        <f t="shared" si="8"/>
        <v>0.7359129710119221</v>
      </c>
      <c r="Y34" s="30">
        <f t="shared" ref="Y34:Y40" si="9">+G34/G$6*100</f>
        <v>-41.506556533575946</v>
      </c>
      <c r="Z34" s="31">
        <f t="shared" si="4"/>
        <v>-4.8130573547894251</v>
      </c>
      <c r="AA34" s="6"/>
    </row>
    <row r="35" spans="1:27" s="7" customFormat="1">
      <c r="A35" s="310" t="s">
        <v>348</v>
      </c>
      <c r="B35" s="308">
        <v>-126.661</v>
      </c>
      <c r="C35" s="308">
        <v>48.331999999999994</v>
      </c>
      <c r="D35" s="308">
        <v>13.109000000000009</v>
      </c>
      <c r="E35" s="309">
        <v>336.94313699999998</v>
      </c>
      <c r="F35" s="309">
        <v>-186.04599999999999</v>
      </c>
      <c r="G35" s="307">
        <v>-101.39400000000001</v>
      </c>
      <c r="H35" s="32">
        <f t="shared" si="0"/>
        <v>-161.05465948564381</v>
      </c>
      <c r="I35" s="33">
        <f t="shared" si="0"/>
        <v>58.613372890709776</v>
      </c>
      <c r="J35" s="33">
        <f t="shared" si="0"/>
        <v>15.21592455289141</v>
      </c>
      <c r="K35" s="33">
        <f t="shared" si="0"/>
        <v>370.04240912005798</v>
      </c>
      <c r="L35" s="33">
        <f t="shared" si="0"/>
        <v>-189.76692</v>
      </c>
      <c r="M35" s="34">
        <f t="shared" si="0"/>
        <v>-101.39400000000001</v>
      </c>
      <c r="N35" s="35">
        <f t="shared" si="1"/>
        <v>-136.39346609275498</v>
      </c>
      <c r="O35" s="36">
        <f t="shared" si="1"/>
        <v>-74.040182636711677</v>
      </c>
      <c r="P35" s="36">
        <f t="shared" si="1"/>
        <v>2331.9416663362767</v>
      </c>
      <c r="Q35" s="36">
        <f t="shared" si="1"/>
        <v>-151.28247879783729</v>
      </c>
      <c r="R35" s="36">
        <f t="shared" si="1"/>
        <v>-46.569191300570189</v>
      </c>
      <c r="S35" s="37">
        <f t="shared" si="3"/>
        <v>384.73126950168052</v>
      </c>
      <c r="T35" s="38">
        <f t="shared" si="8"/>
        <v>-4.2915550953597972</v>
      </c>
      <c r="U35" s="39">
        <f t="shared" si="8"/>
        <v>1.3817827950254264</v>
      </c>
      <c r="V35" s="39">
        <f t="shared" si="8"/>
        <v>0.30337997085848978</v>
      </c>
      <c r="W35" s="39">
        <f t="shared" si="8"/>
        <v>6.9059055457016489</v>
      </c>
      <c r="X35" s="39">
        <f t="shared" si="8"/>
        <v>-3.8501072693367799</v>
      </c>
      <c r="Y35" s="39">
        <f t="shared" si="9"/>
        <v>-1.9357739401535536</v>
      </c>
      <c r="Z35" s="40">
        <f t="shared" si="4"/>
        <v>-0.24772799887742772</v>
      </c>
      <c r="AA35" s="6"/>
    </row>
    <row r="36" spans="1:27" s="7" customFormat="1">
      <c r="A36" s="310" t="s">
        <v>241</v>
      </c>
      <c r="B36" s="308">
        <v>0</v>
      </c>
      <c r="C36" s="308">
        <v>187</v>
      </c>
      <c r="D36" s="308">
        <v>167.56200000000001</v>
      </c>
      <c r="E36" s="309">
        <v>600</v>
      </c>
      <c r="F36" s="309">
        <v>0</v>
      </c>
      <c r="G36" s="307">
        <v>120</v>
      </c>
      <c r="H36" s="32">
        <f t="shared" si="0"/>
        <v>0</v>
      </c>
      <c r="I36" s="33">
        <f t="shared" si="0"/>
        <v>226.77937454611293</v>
      </c>
      <c r="J36" s="33">
        <f t="shared" si="0"/>
        <v>194.49315355340522</v>
      </c>
      <c r="K36" s="33">
        <f t="shared" si="0"/>
        <v>658.94039999999995</v>
      </c>
      <c r="L36" s="33">
        <f t="shared" si="0"/>
        <v>0</v>
      </c>
      <c r="M36" s="34">
        <f t="shared" si="0"/>
        <v>120</v>
      </c>
      <c r="N36" s="35">
        <f t="shared" si="1"/>
        <v>0</v>
      </c>
      <c r="O36" s="36">
        <f t="shared" si="1"/>
        <v>-14.236841889756025</v>
      </c>
      <c r="P36" s="36">
        <f t="shared" si="1"/>
        <v>238.79876384392301</v>
      </c>
      <c r="Q36" s="36">
        <f t="shared" si="1"/>
        <v>-100</v>
      </c>
      <c r="R36" s="36">
        <f t="shared" si="1"/>
        <v>0</v>
      </c>
      <c r="S36" s="37">
        <f t="shared" si="3"/>
        <v>24.912384390833399</v>
      </c>
      <c r="T36" s="38">
        <f t="shared" si="8"/>
        <v>0</v>
      </c>
      <c r="U36" s="39">
        <f t="shared" si="8"/>
        <v>5.3462174681319787</v>
      </c>
      <c r="V36" s="39">
        <f t="shared" si="8"/>
        <v>3.8778667081387019</v>
      </c>
      <c r="W36" s="39">
        <f t="shared" si="8"/>
        <v>12.297455779373806</v>
      </c>
      <c r="X36" s="39">
        <f t="shared" si="8"/>
        <v>0</v>
      </c>
      <c r="Y36" s="39">
        <f t="shared" si="9"/>
        <v>2.290992295583826</v>
      </c>
      <c r="Z36" s="40">
        <f t="shared" si="4"/>
        <v>3.9687553752047187</v>
      </c>
      <c r="AA36" s="6"/>
    </row>
    <row r="37" spans="1:27" s="7" customFormat="1">
      <c r="A37" s="310" t="s">
        <v>243</v>
      </c>
      <c r="B37" s="308">
        <v>126.661</v>
      </c>
      <c r="C37" s="308">
        <v>138.66800000000001</v>
      </c>
      <c r="D37" s="308">
        <v>154.453</v>
      </c>
      <c r="E37" s="309">
        <v>263.05686300000002</v>
      </c>
      <c r="F37" s="309">
        <v>186.04599999999999</v>
      </c>
      <c r="G37" s="307">
        <v>221.39400000000001</v>
      </c>
      <c r="H37" s="32">
        <f t="shared" si="0"/>
        <v>161.05465948564381</v>
      </c>
      <c r="I37" s="33">
        <f t="shared" si="0"/>
        <v>168.16600165540314</v>
      </c>
      <c r="J37" s="33">
        <f t="shared" si="0"/>
        <v>179.27722900051378</v>
      </c>
      <c r="K37" s="33">
        <f t="shared" si="0"/>
        <v>288.89799087994203</v>
      </c>
      <c r="L37" s="33">
        <f t="shared" si="0"/>
        <v>189.76692</v>
      </c>
      <c r="M37" s="34">
        <f t="shared" si="0"/>
        <v>221.39400000000001</v>
      </c>
      <c r="N37" s="35">
        <f t="shared" si="1"/>
        <v>4.415483657828112</v>
      </c>
      <c r="O37" s="36">
        <f t="shared" si="1"/>
        <v>6.607297096757514</v>
      </c>
      <c r="P37" s="36">
        <f t="shared" si="1"/>
        <v>61.145948367549828</v>
      </c>
      <c r="Q37" s="36">
        <f t="shared" si="1"/>
        <v>-34.313520346058112</v>
      </c>
      <c r="R37" s="36">
        <f t="shared" si="1"/>
        <v>16.666276714613915</v>
      </c>
      <c r="S37" s="37">
        <f t="shared" si="3"/>
        <v>10.904297098138253</v>
      </c>
      <c r="T37" s="38">
        <f t="shared" si="8"/>
        <v>4.2915550953597972</v>
      </c>
      <c r="U37" s="39">
        <f t="shared" si="8"/>
        <v>3.9644346731065516</v>
      </c>
      <c r="V37" s="39">
        <f t="shared" si="8"/>
        <v>3.5744867372802114</v>
      </c>
      <c r="W37" s="39">
        <f t="shared" si="8"/>
        <v>5.3915502336721559</v>
      </c>
      <c r="X37" s="39">
        <f t="shared" si="8"/>
        <v>3.8501072693367799</v>
      </c>
      <c r="Y37" s="39">
        <f t="shared" si="9"/>
        <v>4.2267662357373794</v>
      </c>
      <c r="Z37" s="40">
        <f t="shared" si="4"/>
        <v>4.2164833740821459</v>
      </c>
      <c r="AA37" s="6"/>
    </row>
    <row r="38" spans="1:27" s="7" customFormat="1">
      <c r="A38" s="310" t="s">
        <v>349</v>
      </c>
      <c r="B38" s="308">
        <v>73.142000000000223</v>
      </c>
      <c r="C38" s="308">
        <v>110.22689899999966</v>
      </c>
      <c r="D38" s="308">
        <v>110.20299999999989</v>
      </c>
      <c r="E38" s="309">
        <v>-28.647965999999315</v>
      </c>
      <c r="F38" s="309">
        <v>221.60699999999969</v>
      </c>
      <c r="G38" s="307">
        <v>-2072.6800000000012</v>
      </c>
      <c r="H38" s="32">
        <f t="shared" si="0"/>
        <v>93.003054642699766</v>
      </c>
      <c r="I38" s="33">
        <f t="shared" si="0"/>
        <v>133.6747979324999</v>
      </c>
      <c r="J38" s="33">
        <f t="shared" si="0"/>
        <v>127.91521347946367</v>
      </c>
      <c r="K38" s="33">
        <f t="shared" si="0"/>
        <v>-31.462170292043247</v>
      </c>
      <c r="L38" s="33">
        <f t="shared" si="0"/>
        <v>226.03913999999969</v>
      </c>
      <c r="M38" s="34">
        <f t="shared" si="0"/>
        <v>-2072.6800000000012</v>
      </c>
      <c r="N38" s="35">
        <f t="shared" si="1"/>
        <v>43.731620908639314</v>
      </c>
      <c r="O38" s="36">
        <f t="shared" si="1"/>
        <v>-4.3086539438380704</v>
      </c>
      <c r="P38" s="36">
        <f t="shared" si="1"/>
        <v>-124.59611287526357</v>
      </c>
      <c r="Q38" s="36">
        <f t="shared" si="1"/>
        <v>-818.44738586633594</v>
      </c>
      <c r="R38" s="36">
        <f t="shared" si="1"/>
        <v>-1016.9562404104015</v>
      </c>
      <c r="S38" s="37">
        <f t="shared" si="3"/>
        <v>-384.11535443743998</v>
      </c>
      <c r="T38" s="38">
        <f t="shared" si="8"/>
        <v>2.4782128894040567</v>
      </c>
      <c r="U38" s="39">
        <f t="shared" si="8"/>
        <v>3.1513207106514307</v>
      </c>
      <c r="V38" s="39">
        <f t="shared" si="8"/>
        <v>2.5504144426362116</v>
      </c>
      <c r="W38" s="39">
        <f t="shared" si="8"/>
        <v>-0.58716182508999304</v>
      </c>
      <c r="X38" s="39">
        <f t="shared" si="8"/>
        <v>4.5860202403487014</v>
      </c>
      <c r="Y38" s="39">
        <f t="shared" si="9"/>
        <v>-39.570782593422386</v>
      </c>
      <c r="Z38" s="40">
        <f t="shared" si="4"/>
        <v>-4.5653293559119961</v>
      </c>
      <c r="AA38" s="6"/>
    </row>
    <row r="39" spans="1:27" s="7" customFormat="1">
      <c r="A39" s="313" t="s">
        <v>350</v>
      </c>
      <c r="B39" s="308">
        <v>343.19182499999999</v>
      </c>
      <c r="C39" s="308">
        <v>352.19099999999997</v>
      </c>
      <c r="D39" s="308">
        <v>614.25699999999995</v>
      </c>
      <c r="E39" s="309">
        <v>277.83332000000001</v>
      </c>
      <c r="F39" s="309">
        <v>796.49599999999998</v>
      </c>
      <c r="G39" s="307">
        <v>478.608</v>
      </c>
      <c r="H39" s="32">
        <f t="shared" si="0"/>
        <v>436.38248958741565</v>
      </c>
      <c r="I39" s="33">
        <f t="shared" si="0"/>
        <v>427.11045294529441</v>
      </c>
      <c r="J39" s="33">
        <f t="shared" si="0"/>
        <v>712.98254390765214</v>
      </c>
      <c r="K39" s="33">
        <f t="shared" si="0"/>
        <v>305.12599835688002</v>
      </c>
      <c r="L39" s="46">
        <f t="shared" si="0"/>
        <v>812.42592000000002</v>
      </c>
      <c r="M39" s="47">
        <f t="shared" si="0"/>
        <v>478.608</v>
      </c>
      <c r="N39" s="35">
        <f t="shared" si="1"/>
        <v>-2.1247499300184214</v>
      </c>
      <c r="O39" s="36">
        <f t="shared" si="1"/>
        <v>66.931654093460708</v>
      </c>
      <c r="P39" s="36">
        <f t="shared" si="1"/>
        <v>-57.204282073362947</v>
      </c>
      <c r="Q39" s="36">
        <f t="shared" si="1"/>
        <v>166.25915994538568</v>
      </c>
      <c r="R39" s="36">
        <f t="shared" si="1"/>
        <v>-41.089028769539993</v>
      </c>
      <c r="S39" s="37">
        <f t="shared" si="3"/>
        <v>26.554550653185004</v>
      </c>
      <c r="T39" s="38">
        <f t="shared" si="8"/>
        <v>11.628098824930939</v>
      </c>
      <c r="U39" s="39">
        <f t="shared" si="8"/>
        <v>10.068928750368286</v>
      </c>
      <c r="V39" s="39">
        <f t="shared" si="8"/>
        <v>14.2156740223986</v>
      </c>
      <c r="W39" s="39">
        <f t="shared" si="8"/>
        <v>5.6944049445610201</v>
      </c>
      <c r="X39" s="39">
        <f t="shared" si="8"/>
        <v>16.482993666070044</v>
      </c>
      <c r="Y39" s="39">
        <f t="shared" si="9"/>
        <v>9.1373936717065298</v>
      </c>
      <c r="Z39" s="40">
        <f t="shared" si="4"/>
        <v>11.204582313339237</v>
      </c>
      <c r="AA39" s="6"/>
    </row>
    <row r="40" spans="1:27" s="7" customFormat="1" ht="13.5" thickBot="1">
      <c r="A40" s="48"/>
      <c r="B40" s="305"/>
      <c r="C40" s="305"/>
      <c r="D40" s="305"/>
      <c r="E40" s="306"/>
      <c r="F40" s="306"/>
      <c r="G40" s="49"/>
      <c r="H40" s="50">
        <f t="shared" si="0"/>
        <v>0</v>
      </c>
      <c r="I40" s="51">
        <f t="shared" si="0"/>
        <v>0</v>
      </c>
      <c r="J40" s="51">
        <f t="shared" si="0"/>
        <v>0</v>
      </c>
      <c r="K40" s="51">
        <f t="shared" si="0"/>
        <v>0</v>
      </c>
      <c r="L40" s="51">
        <f t="shared" si="0"/>
        <v>0</v>
      </c>
      <c r="M40" s="52">
        <f t="shared" si="0"/>
        <v>0</v>
      </c>
      <c r="N40" s="53">
        <f t="shared" si="1"/>
        <v>0</v>
      </c>
      <c r="O40" s="54">
        <f t="shared" si="1"/>
        <v>0</v>
      </c>
      <c r="P40" s="54">
        <f t="shared" si="1"/>
        <v>0</v>
      </c>
      <c r="Q40" s="54">
        <f t="shared" si="1"/>
        <v>0</v>
      </c>
      <c r="R40" s="54">
        <f t="shared" si="1"/>
        <v>0</v>
      </c>
      <c r="S40" s="55">
        <f t="shared" si="3"/>
        <v>0</v>
      </c>
      <c r="T40" s="56">
        <f t="shared" si="8"/>
        <v>0</v>
      </c>
      <c r="U40" s="57">
        <f t="shared" si="8"/>
        <v>0</v>
      </c>
      <c r="V40" s="57">
        <f t="shared" si="8"/>
        <v>0</v>
      </c>
      <c r="W40" s="57">
        <f t="shared" si="8"/>
        <v>0</v>
      </c>
      <c r="X40" s="57">
        <f t="shared" si="8"/>
        <v>0</v>
      </c>
      <c r="Y40" s="57">
        <f t="shared" si="9"/>
        <v>0</v>
      </c>
      <c r="Z40" s="58">
        <f t="shared" si="4"/>
        <v>0</v>
      </c>
      <c r="AA40" s="6"/>
    </row>
    <row r="41" spans="1:27">
      <c r="A41" s="59"/>
      <c r="B41" s="60"/>
      <c r="C41" s="60"/>
      <c r="D41" s="60"/>
      <c r="E41" s="60"/>
      <c r="F41" s="60"/>
      <c r="G41" s="60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7">
      <c r="A42" s="62" t="s">
        <v>36</v>
      </c>
      <c r="B42" s="62"/>
      <c r="C42" s="61"/>
      <c r="D42" s="63"/>
      <c r="E42" s="64"/>
      <c r="F42" s="45"/>
      <c r="G42" s="45"/>
    </row>
    <row r="43" spans="1:27">
      <c r="A43" s="296" t="s">
        <v>37</v>
      </c>
      <c r="C43" s="65"/>
      <c r="E43" s="64"/>
      <c r="F43" s="6"/>
      <c r="G43" s="6"/>
    </row>
    <row r="44" spans="1:27">
      <c r="C44" s="65"/>
      <c r="E44" s="64"/>
      <c r="F44" s="6"/>
      <c r="G44" s="6"/>
      <c r="L44" s="66"/>
      <c r="M44" s="66"/>
    </row>
    <row r="45" spans="1:27">
      <c r="C45" s="65"/>
      <c r="E45" s="64"/>
      <c r="F45" s="6"/>
      <c r="G45" s="6"/>
      <c r="M45" s="67"/>
    </row>
    <row r="46" spans="1:27">
      <c r="C46" s="65"/>
      <c r="E46" s="64"/>
      <c r="F46" s="6"/>
      <c r="G46" s="6"/>
      <c r="M46" s="67"/>
    </row>
    <row r="47" spans="1:27">
      <c r="C47" s="65"/>
      <c r="E47" s="64"/>
      <c r="F47" s="6"/>
      <c r="G47" s="6"/>
      <c r="L47" s="68"/>
      <c r="M47" s="68"/>
    </row>
    <row r="48" spans="1:27">
      <c r="C48" s="65"/>
      <c r="E48" s="64"/>
      <c r="F48" s="6"/>
      <c r="G48" s="6"/>
    </row>
    <row r="49" spans="3:7">
      <c r="C49" s="65"/>
      <c r="E49" s="64"/>
      <c r="F49" s="6"/>
      <c r="G49" s="6"/>
    </row>
    <row r="50" spans="3:7">
      <c r="C50" s="65"/>
      <c r="E50" s="64"/>
      <c r="F50" s="6"/>
      <c r="G50" s="6"/>
    </row>
    <row r="51" spans="3:7">
      <c r="C51" s="65"/>
      <c r="E51" s="64"/>
      <c r="F51" s="6"/>
      <c r="G51" s="6"/>
    </row>
    <row r="52" spans="3:7">
      <c r="C52" s="65"/>
      <c r="E52" s="64"/>
      <c r="F52" s="6"/>
      <c r="G52" s="6"/>
    </row>
    <row r="53" spans="3:7">
      <c r="C53" s="65"/>
      <c r="E53" s="64"/>
      <c r="F53" s="6"/>
      <c r="G53" s="6"/>
    </row>
    <row r="54" spans="3:7">
      <c r="C54" s="65"/>
      <c r="E54" s="64"/>
      <c r="F54" s="6"/>
      <c r="G54" s="6"/>
    </row>
    <row r="55" spans="3:7">
      <c r="C55" s="65"/>
      <c r="E55" s="64"/>
      <c r="F55" s="6"/>
      <c r="G55" s="6"/>
    </row>
    <row r="56" spans="3:7">
      <c r="C56" s="65"/>
      <c r="E56" s="64"/>
      <c r="F56" s="6"/>
      <c r="G56" s="6"/>
    </row>
    <row r="57" spans="3:7">
      <c r="C57" s="65"/>
      <c r="E57" s="64"/>
      <c r="F57" s="6"/>
      <c r="G57" s="6"/>
    </row>
    <row r="58" spans="3:7">
      <c r="C58" s="65"/>
      <c r="E58" s="64"/>
      <c r="F58" s="6"/>
      <c r="G58" s="6"/>
    </row>
    <row r="59" spans="3:7">
      <c r="C59" s="65"/>
      <c r="E59" s="64"/>
      <c r="F59" s="6"/>
      <c r="G59" s="6"/>
    </row>
    <row r="60" spans="3:7">
      <c r="C60" s="65"/>
      <c r="E60" s="64"/>
      <c r="F60" s="6"/>
      <c r="G60" s="6"/>
    </row>
    <row r="61" spans="3:7">
      <c r="C61" s="65"/>
      <c r="E61" s="64"/>
      <c r="F61" s="6"/>
      <c r="G61" s="6"/>
    </row>
    <row r="62" spans="3:7">
      <c r="C62" s="65"/>
      <c r="E62" s="64"/>
      <c r="F62" s="6"/>
      <c r="G62" s="6"/>
    </row>
    <row r="63" spans="3:7">
      <c r="C63" s="65"/>
      <c r="E63" s="64"/>
      <c r="F63" s="6"/>
      <c r="G63" s="6"/>
    </row>
    <row r="64" spans="3:7">
      <c r="E64" s="64"/>
      <c r="F64" s="6"/>
      <c r="G64" s="6"/>
    </row>
  </sheetData>
  <phoneticPr fontId="0" type="noConversion"/>
  <hyperlinks>
    <hyperlink ref="A43" r:id="rId1"/>
  </hyperlinks>
  <pageMargins left="1.6141732283464567" right="0.70866141732283472" top="0.74803149606299213" bottom="0.74803149606299213" header="0.31496062992125984" footer="0.31496062992125984"/>
  <pageSetup paperSize="5" scale="7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M79"/>
  <sheetViews>
    <sheetView tabSelected="1" topLeftCell="B1" workbookViewId="0">
      <selection activeCell="C11" sqref="C11"/>
    </sheetView>
  </sheetViews>
  <sheetFormatPr baseColWidth="10" defaultRowHeight="12.75"/>
  <cols>
    <col min="1" max="1" width="14.7109375" style="102" hidden="1" customWidth="1"/>
    <col min="2" max="2" width="61.5703125" style="102" customWidth="1"/>
    <col min="3" max="3" width="10.42578125" style="146" customWidth="1"/>
    <col min="4" max="13" width="10.42578125" style="102" customWidth="1"/>
    <col min="14" max="233" width="11.42578125" style="102"/>
    <col min="234" max="234" width="10.140625" style="102" bestFit="1" customWidth="1"/>
    <col min="235" max="235" width="54.5703125" style="102" customWidth="1"/>
    <col min="236" max="236" width="15.7109375" style="102" customWidth="1"/>
    <col min="237" max="237" width="14" style="102" customWidth="1"/>
    <col min="238" max="238" width="14.42578125" style="102" bestFit="1" customWidth="1"/>
    <col min="239" max="16384" width="11.42578125" style="102"/>
  </cols>
  <sheetData>
    <row r="1" spans="1:13" s="99" customFormat="1">
      <c r="A1" s="96"/>
      <c r="B1" s="97" t="s">
        <v>53</v>
      </c>
      <c r="C1" s="98"/>
      <c r="E1" s="100"/>
    </row>
    <row r="2" spans="1:13">
      <c r="A2" s="96"/>
      <c r="B2" s="101" t="s">
        <v>54</v>
      </c>
      <c r="C2" s="98"/>
    </row>
    <row r="3" spans="1:13">
      <c r="A3" s="103" t="s">
        <v>55</v>
      </c>
      <c r="B3" s="104" t="s">
        <v>56</v>
      </c>
      <c r="C3" s="105">
        <v>2011</v>
      </c>
      <c r="D3" s="105">
        <v>2012</v>
      </c>
      <c r="E3" s="105">
        <v>2013</v>
      </c>
      <c r="F3" s="105">
        <v>2014</v>
      </c>
      <c r="G3" s="105">
        <v>2015</v>
      </c>
      <c r="H3" s="105">
        <v>2016</v>
      </c>
      <c r="I3" s="105">
        <v>2017</v>
      </c>
      <c r="J3" s="105">
        <v>2018</v>
      </c>
      <c r="K3" s="105">
        <v>2019</v>
      </c>
      <c r="L3" s="105">
        <v>2020</v>
      </c>
      <c r="M3" s="105">
        <v>2021</v>
      </c>
    </row>
    <row r="4" spans="1:13" ht="3" customHeight="1">
      <c r="A4" s="106"/>
      <c r="B4" s="106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>
      <c r="A5" s="109">
        <v>1</v>
      </c>
      <c r="B5" s="110" t="s">
        <v>23</v>
      </c>
      <c r="C5" s="111">
        <f>+C6+C47</f>
        <v>6903.4012889999995</v>
      </c>
      <c r="D5" s="111">
        <f>+D6+D47</f>
        <v>4737</v>
      </c>
      <c r="E5" s="111">
        <f>+E6+E47</f>
        <v>4902.7949999999992</v>
      </c>
      <c r="F5" s="111">
        <f>+F6+F47</f>
        <v>5074.392824999999</v>
      </c>
      <c r="G5" s="111">
        <f t="shared" ref="G5:M5" si="0">+G6+G47</f>
        <v>5251.9965738749988</v>
      </c>
      <c r="H5" s="111">
        <f t="shared" si="0"/>
        <v>5435.8164539606241</v>
      </c>
      <c r="I5" s="111">
        <f t="shared" si="0"/>
        <v>5626.0700298492438</v>
      </c>
      <c r="J5" s="111">
        <f t="shared" si="0"/>
        <v>5822.9824808939666</v>
      </c>
      <c r="K5" s="111">
        <f t="shared" si="0"/>
        <v>6026.7868677252563</v>
      </c>
      <c r="L5" s="111">
        <f t="shared" si="0"/>
        <v>6237.7244080956398</v>
      </c>
      <c r="M5" s="111">
        <f t="shared" si="0"/>
        <v>6456.0447623789878</v>
      </c>
    </row>
    <row r="6" spans="1:13">
      <c r="A6" s="109">
        <v>11</v>
      </c>
      <c r="B6" s="112" t="s">
        <v>57</v>
      </c>
      <c r="C6" s="111">
        <f>+C7+C13+C16</f>
        <v>5425.4012889999995</v>
      </c>
      <c r="D6" s="111">
        <f>+D7+D13+D16</f>
        <v>4731</v>
      </c>
      <c r="E6" s="111">
        <f>+E7+E13+E16</f>
        <v>4896.5849999999991</v>
      </c>
      <c r="F6" s="111">
        <f>+F7+F13+F16</f>
        <v>5067.9654749999991</v>
      </c>
      <c r="G6" s="111">
        <f t="shared" ref="G6:M6" si="1">+G7+G13+G16</f>
        <v>5245.3442666249985</v>
      </c>
      <c r="H6" s="111">
        <f t="shared" si="1"/>
        <v>5428.9313159568737</v>
      </c>
      <c r="I6" s="111">
        <f t="shared" si="1"/>
        <v>5618.9439120153629</v>
      </c>
      <c r="J6" s="111">
        <f t="shared" si="1"/>
        <v>5815.6069489358997</v>
      </c>
      <c r="K6" s="111">
        <f t="shared" si="1"/>
        <v>6019.1531921486567</v>
      </c>
      <c r="L6" s="111">
        <f t="shared" si="1"/>
        <v>6229.8235538738591</v>
      </c>
      <c r="M6" s="111">
        <f t="shared" si="1"/>
        <v>6447.8673782594451</v>
      </c>
    </row>
    <row r="7" spans="1:13">
      <c r="A7" s="113">
        <v>111</v>
      </c>
      <c r="B7" s="114" t="s">
        <v>58</v>
      </c>
      <c r="C7" s="115">
        <f>SUM(C8:C12)</f>
        <v>404</v>
      </c>
      <c r="D7" s="115">
        <f t="shared" ref="D7:M7" si="2">SUM(D8:D12)</f>
        <v>416</v>
      </c>
      <c r="E7" s="115">
        <f t="shared" si="2"/>
        <v>430.55999999999995</v>
      </c>
      <c r="F7" s="115">
        <f t="shared" si="2"/>
        <v>445.62959999999993</v>
      </c>
      <c r="G7" s="115">
        <f t="shared" si="2"/>
        <v>461.22663599999987</v>
      </c>
      <c r="H7" s="115">
        <f t="shared" si="2"/>
        <v>477.36956825999982</v>
      </c>
      <c r="I7" s="115">
        <f t="shared" si="2"/>
        <v>494.07750314909981</v>
      </c>
      <c r="J7" s="115">
        <f t="shared" si="2"/>
        <v>511.37021575931823</v>
      </c>
      <c r="K7" s="115">
        <f t="shared" si="2"/>
        <v>529.26817331089433</v>
      </c>
      <c r="L7" s="115">
        <f t="shared" si="2"/>
        <v>547.79255937677567</v>
      </c>
      <c r="M7" s="115">
        <f t="shared" si="2"/>
        <v>566.96529895496269</v>
      </c>
    </row>
    <row r="8" spans="1:13">
      <c r="A8" s="116" t="s">
        <v>59</v>
      </c>
      <c r="B8" s="117" t="s">
        <v>60</v>
      </c>
      <c r="C8" s="118">
        <v>87</v>
      </c>
      <c r="D8" s="118">
        <v>100</v>
      </c>
      <c r="E8" s="118">
        <f>+D8*1.035</f>
        <v>103.49999999999999</v>
      </c>
      <c r="F8" s="118">
        <f t="shared" ref="F8:M8" si="3">+E8*1.035</f>
        <v>107.12249999999997</v>
      </c>
      <c r="G8" s="118">
        <f t="shared" si="3"/>
        <v>110.87178749999997</v>
      </c>
      <c r="H8" s="118">
        <f t="shared" si="3"/>
        <v>114.75230006249996</v>
      </c>
      <c r="I8" s="118">
        <f t="shared" si="3"/>
        <v>118.76863056468744</v>
      </c>
      <c r="J8" s="118">
        <f t="shared" si="3"/>
        <v>122.92553263445149</v>
      </c>
      <c r="K8" s="118">
        <f t="shared" si="3"/>
        <v>127.22792627665727</v>
      </c>
      <c r="L8" s="118">
        <f t="shared" si="3"/>
        <v>131.68090369634027</v>
      </c>
      <c r="M8" s="118">
        <f t="shared" si="3"/>
        <v>136.28973532571217</v>
      </c>
    </row>
    <row r="9" spans="1:13">
      <c r="A9" s="116" t="s">
        <v>61</v>
      </c>
      <c r="B9" s="117" t="s">
        <v>62</v>
      </c>
      <c r="C9" s="118">
        <v>10</v>
      </c>
      <c r="D9" s="118">
        <v>10</v>
      </c>
      <c r="E9" s="118">
        <f>+D9*1.035</f>
        <v>10.35</v>
      </c>
      <c r="F9" s="118">
        <f t="shared" ref="F9:M9" si="4">+E9*1.035</f>
        <v>10.712249999999999</v>
      </c>
      <c r="G9" s="118">
        <f t="shared" si="4"/>
        <v>11.087178749999998</v>
      </c>
      <c r="H9" s="118">
        <f t="shared" si="4"/>
        <v>11.475230006249998</v>
      </c>
      <c r="I9" s="118">
        <f t="shared" si="4"/>
        <v>11.876863056468746</v>
      </c>
      <c r="J9" s="118">
        <f t="shared" si="4"/>
        <v>12.292553263445152</v>
      </c>
      <c r="K9" s="118">
        <f t="shared" si="4"/>
        <v>12.722792627665731</v>
      </c>
      <c r="L9" s="118">
        <f t="shared" si="4"/>
        <v>13.168090369634031</v>
      </c>
      <c r="M9" s="118">
        <f t="shared" si="4"/>
        <v>13.628973532571221</v>
      </c>
    </row>
    <row r="10" spans="1:13">
      <c r="A10" s="116" t="s">
        <v>63</v>
      </c>
      <c r="B10" s="117" t="s">
        <v>64</v>
      </c>
      <c r="C10" s="118">
        <v>72</v>
      </c>
      <c r="D10" s="118">
        <v>80</v>
      </c>
      <c r="E10" s="118">
        <f>+D10*1.035</f>
        <v>82.8</v>
      </c>
      <c r="F10" s="118">
        <f t="shared" ref="F10:M10" si="5">+E10*1.035</f>
        <v>85.697999999999993</v>
      </c>
      <c r="G10" s="118">
        <f t="shared" si="5"/>
        <v>88.697429999999983</v>
      </c>
      <c r="H10" s="118">
        <f t="shared" si="5"/>
        <v>91.801840049999981</v>
      </c>
      <c r="I10" s="118">
        <f t="shared" si="5"/>
        <v>95.01490445174997</v>
      </c>
      <c r="J10" s="118">
        <f t="shared" si="5"/>
        <v>98.340426107561214</v>
      </c>
      <c r="K10" s="118">
        <f t="shared" si="5"/>
        <v>101.78234102132585</v>
      </c>
      <c r="L10" s="118">
        <f t="shared" si="5"/>
        <v>105.34472295707225</v>
      </c>
      <c r="M10" s="118">
        <f t="shared" si="5"/>
        <v>109.03178826056977</v>
      </c>
    </row>
    <row r="11" spans="1:13">
      <c r="A11" s="116" t="s">
        <v>65</v>
      </c>
      <c r="B11" s="117" t="s">
        <v>66</v>
      </c>
      <c r="C11" s="118">
        <v>100</v>
      </c>
      <c r="D11" s="118">
        <v>80</v>
      </c>
      <c r="E11" s="118">
        <f>+D11*1.035</f>
        <v>82.8</v>
      </c>
      <c r="F11" s="118">
        <f t="shared" ref="F11:M11" si="6">+E11*1.035</f>
        <v>85.697999999999993</v>
      </c>
      <c r="G11" s="118">
        <f t="shared" si="6"/>
        <v>88.697429999999983</v>
      </c>
      <c r="H11" s="118">
        <f t="shared" si="6"/>
        <v>91.801840049999981</v>
      </c>
      <c r="I11" s="118">
        <f t="shared" si="6"/>
        <v>95.01490445174997</v>
      </c>
      <c r="J11" s="118">
        <f t="shared" si="6"/>
        <v>98.340426107561214</v>
      </c>
      <c r="K11" s="118">
        <f t="shared" si="6"/>
        <v>101.78234102132585</v>
      </c>
      <c r="L11" s="118">
        <f t="shared" si="6"/>
        <v>105.34472295707225</v>
      </c>
      <c r="M11" s="118">
        <f t="shared" si="6"/>
        <v>109.03178826056977</v>
      </c>
    </row>
    <row r="12" spans="1:13">
      <c r="A12" s="116" t="s">
        <v>67</v>
      </c>
      <c r="B12" s="114" t="s">
        <v>68</v>
      </c>
      <c r="C12" s="118">
        <v>135</v>
      </c>
      <c r="D12" s="118">
        <v>146</v>
      </c>
      <c r="E12" s="118">
        <f>+D12*1.035</f>
        <v>151.10999999999999</v>
      </c>
      <c r="F12" s="118">
        <f t="shared" ref="F12:M12" si="7">+E12*1.035</f>
        <v>156.39884999999998</v>
      </c>
      <c r="G12" s="118">
        <f t="shared" si="7"/>
        <v>161.87280974999996</v>
      </c>
      <c r="H12" s="118">
        <f t="shared" si="7"/>
        <v>167.53835809124993</v>
      </c>
      <c r="I12" s="118">
        <f t="shared" si="7"/>
        <v>173.40220062444368</v>
      </c>
      <c r="J12" s="118">
        <f t="shared" si="7"/>
        <v>179.4712776462992</v>
      </c>
      <c r="K12" s="118">
        <f t="shared" si="7"/>
        <v>185.75277236391966</v>
      </c>
      <c r="L12" s="118">
        <f t="shared" si="7"/>
        <v>192.25411939665685</v>
      </c>
      <c r="M12" s="118">
        <f t="shared" si="7"/>
        <v>198.98301357553981</v>
      </c>
    </row>
    <row r="13" spans="1:13">
      <c r="A13" s="119" t="s">
        <v>69</v>
      </c>
      <c r="B13" s="120" t="s">
        <v>70</v>
      </c>
      <c r="C13" s="115">
        <f>SUM(C14:C15)</f>
        <v>1153</v>
      </c>
      <c r="D13" s="115">
        <f>SUM(D14:D15)</f>
        <v>381</v>
      </c>
      <c r="E13" s="115">
        <f>SUM(E14:E15)</f>
        <v>394.33499999999998</v>
      </c>
      <c r="F13" s="115">
        <f>SUM(F14:F15)</f>
        <v>408.13672499999996</v>
      </c>
      <c r="G13" s="115">
        <f t="shared" ref="G13:M13" si="8">SUM(G14:G15)</f>
        <v>422.42151037499991</v>
      </c>
      <c r="H13" s="115">
        <f t="shared" si="8"/>
        <v>437.20626323812485</v>
      </c>
      <c r="I13" s="115">
        <f t="shared" si="8"/>
        <v>452.5084824514592</v>
      </c>
      <c r="J13" s="115">
        <f t="shared" si="8"/>
        <v>468.34627933726017</v>
      </c>
      <c r="K13" s="115">
        <f t="shared" si="8"/>
        <v>484.73839911406429</v>
      </c>
      <c r="L13" s="115">
        <f t="shared" si="8"/>
        <v>501.7042430830565</v>
      </c>
      <c r="M13" s="115">
        <f t="shared" si="8"/>
        <v>519.26389159096345</v>
      </c>
    </row>
    <row r="14" spans="1:13">
      <c r="A14" s="121" t="s">
        <v>71</v>
      </c>
      <c r="B14" s="122" t="s">
        <v>72</v>
      </c>
      <c r="C14" s="118">
        <v>57</v>
      </c>
      <c r="D14" s="118">
        <f>39+5+10</f>
        <v>54</v>
      </c>
      <c r="E14" s="118">
        <f>+D14*1.035</f>
        <v>55.889999999999993</v>
      </c>
      <c r="F14" s="118">
        <f t="shared" ref="F14:M14" si="9">+E14*1.035</f>
        <v>57.846149999999987</v>
      </c>
      <c r="G14" s="118">
        <f t="shared" si="9"/>
        <v>59.870765249999984</v>
      </c>
      <c r="H14" s="118">
        <f t="shared" si="9"/>
        <v>61.966242033749978</v>
      </c>
      <c r="I14" s="118">
        <f t="shared" si="9"/>
        <v>64.135060504931218</v>
      </c>
      <c r="J14" s="118">
        <f t="shared" si="9"/>
        <v>66.3797876226038</v>
      </c>
      <c r="K14" s="118">
        <f t="shared" si="9"/>
        <v>68.703080189394925</v>
      </c>
      <c r="L14" s="118">
        <f t="shared" si="9"/>
        <v>71.107687996023742</v>
      </c>
      <c r="M14" s="118">
        <f t="shared" si="9"/>
        <v>73.596457075884572</v>
      </c>
    </row>
    <row r="15" spans="1:13">
      <c r="A15" s="116" t="s">
        <v>73</v>
      </c>
      <c r="B15" s="122" t="s">
        <v>74</v>
      </c>
      <c r="C15" s="118">
        <f>1096</f>
        <v>1096</v>
      </c>
      <c r="D15" s="118">
        <v>327</v>
      </c>
      <c r="E15" s="118">
        <f>+D15*1.035</f>
        <v>338.44499999999999</v>
      </c>
      <c r="F15" s="118">
        <f t="shared" ref="F15:M15" si="10">+E15*1.035</f>
        <v>350.29057499999999</v>
      </c>
      <c r="G15" s="118">
        <f t="shared" si="10"/>
        <v>362.55074512499993</v>
      </c>
      <c r="H15" s="118">
        <f t="shared" si="10"/>
        <v>375.2400212043749</v>
      </c>
      <c r="I15" s="118">
        <f t="shared" si="10"/>
        <v>388.37342194652797</v>
      </c>
      <c r="J15" s="118">
        <f t="shared" si="10"/>
        <v>401.9664917146564</v>
      </c>
      <c r="K15" s="118">
        <f t="shared" si="10"/>
        <v>416.03531892466935</v>
      </c>
      <c r="L15" s="118">
        <f t="shared" si="10"/>
        <v>430.59655508703275</v>
      </c>
      <c r="M15" s="118">
        <f t="shared" si="10"/>
        <v>445.66743451507887</v>
      </c>
    </row>
    <row r="16" spans="1:13">
      <c r="A16" s="119" t="s">
        <v>75</v>
      </c>
      <c r="B16" s="120" t="s">
        <v>76</v>
      </c>
      <c r="C16" s="115">
        <f>+C17+C18+C24</f>
        <v>3868.4012889999999</v>
      </c>
      <c r="D16" s="115">
        <f>+D17+D18+D24</f>
        <v>3934</v>
      </c>
      <c r="E16" s="115">
        <f>+E17+E18+E24</f>
        <v>4071.6899999999996</v>
      </c>
      <c r="F16" s="115">
        <f>+F17+F18+F24</f>
        <v>4214.1991499999995</v>
      </c>
      <c r="G16" s="115">
        <f t="shared" ref="G16:M16" si="11">+G17+G18+G24</f>
        <v>4361.6961202499988</v>
      </c>
      <c r="H16" s="115">
        <f t="shared" si="11"/>
        <v>4514.3554844587488</v>
      </c>
      <c r="I16" s="115">
        <f t="shared" si="11"/>
        <v>4672.3579264148038</v>
      </c>
      <c r="J16" s="115">
        <f t="shared" si="11"/>
        <v>4835.8904538393217</v>
      </c>
      <c r="K16" s="115">
        <f t="shared" si="11"/>
        <v>5005.1466197236978</v>
      </c>
      <c r="L16" s="115">
        <f t="shared" si="11"/>
        <v>5180.3267514140271</v>
      </c>
      <c r="M16" s="115">
        <f t="shared" si="11"/>
        <v>5361.6381877135191</v>
      </c>
    </row>
    <row r="17" spans="1:13">
      <c r="A17" s="113" t="s">
        <v>77</v>
      </c>
      <c r="B17" s="120" t="s">
        <v>78</v>
      </c>
      <c r="C17" s="118">
        <f>(437751842+39649447)/1000000</f>
        <v>477.40128900000002</v>
      </c>
      <c r="D17" s="118">
        <v>500</v>
      </c>
      <c r="E17" s="118">
        <f>+D17*1.035</f>
        <v>517.5</v>
      </c>
      <c r="F17" s="118">
        <f t="shared" ref="F17:M17" si="12">+E17*1.035</f>
        <v>535.61249999999995</v>
      </c>
      <c r="G17" s="118">
        <f t="shared" si="12"/>
        <v>554.35893749999991</v>
      </c>
      <c r="H17" s="118">
        <f t="shared" si="12"/>
        <v>573.76150031249983</v>
      </c>
      <c r="I17" s="118">
        <f t="shared" si="12"/>
        <v>593.84315282343732</v>
      </c>
      <c r="J17" s="118">
        <f t="shared" si="12"/>
        <v>614.6276631722576</v>
      </c>
      <c r="K17" s="118">
        <f t="shared" si="12"/>
        <v>636.13963138328654</v>
      </c>
      <c r="L17" s="118">
        <f t="shared" si="12"/>
        <v>658.40451848170153</v>
      </c>
      <c r="M17" s="118">
        <f t="shared" si="12"/>
        <v>681.44867662856097</v>
      </c>
    </row>
    <row r="18" spans="1:13">
      <c r="A18" s="119" t="s">
        <v>79</v>
      </c>
      <c r="B18" s="120" t="s">
        <v>80</v>
      </c>
      <c r="C18" s="115">
        <f>SUM(C19:C23)</f>
        <v>3264</v>
      </c>
      <c r="D18" s="115">
        <f>SUM(D19:D23)</f>
        <v>3223</v>
      </c>
      <c r="E18" s="115">
        <f>SUM(E19:E23)</f>
        <v>3335.8049999999998</v>
      </c>
      <c r="F18" s="115">
        <f>SUM(F19:F23)</f>
        <v>3452.5581749999997</v>
      </c>
      <c r="G18" s="115">
        <f t="shared" ref="G18:M18" si="13">SUM(G19:G23)</f>
        <v>3573.3977111249992</v>
      </c>
      <c r="H18" s="115">
        <f t="shared" si="13"/>
        <v>3698.4666310143743</v>
      </c>
      <c r="I18" s="115">
        <f t="shared" si="13"/>
        <v>3827.9129630998768</v>
      </c>
      <c r="J18" s="115">
        <f t="shared" si="13"/>
        <v>3961.8899168083722</v>
      </c>
      <c r="K18" s="115">
        <f t="shared" si="13"/>
        <v>4100.5560638966645</v>
      </c>
      <c r="L18" s="115">
        <f t="shared" si="13"/>
        <v>4244.0755261330478</v>
      </c>
      <c r="M18" s="115">
        <f t="shared" si="13"/>
        <v>4392.6181695477053</v>
      </c>
    </row>
    <row r="19" spans="1:13">
      <c r="A19" s="116" t="s">
        <v>81</v>
      </c>
      <c r="B19" s="122" t="s">
        <v>82</v>
      </c>
      <c r="C19" s="118">
        <v>220</v>
      </c>
      <c r="D19" s="118">
        <v>220</v>
      </c>
      <c r="E19" s="118">
        <f t="shared" ref="E19:E24" si="14">+D19*1.035</f>
        <v>227.7</v>
      </c>
      <c r="F19" s="118">
        <f t="shared" ref="F19:M19" si="15">+E19*1.035</f>
        <v>235.66949999999997</v>
      </c>
      <c r="G19" s="118">
        <f t="shared" si="15"/>
        <v>243.91793249999995</v>
      </c>
      <c r="H19" s="118">
        <f t="shared" si="15"/>
        <v>252.45506013749994</v>
      </c>
      <c r="I19" s="118">
        <f t="shared" si="15"/>
        <v>261.29098724231244</v>
      </c>
      <c r="J19" s="118">
        <f t="shared" si="15"/>
        <v>270.43617179579337</v>
      </c>
      <c r="K19" s="118">
        <f t="shared" si="15"/>
        <v>279.90143780864611</v>
      </c>
      <c r="L19" s="118">
        <f t="shared" si="15"/>
        <v>289.6979881319487</v>
      </c>
      <c r="M19" s="118">
        <f t="shared" si="15"/>
        <v>299.8374177165669</v>
      </c>
    </row>
    <row r="20" spans="1:13">
      <c r="A20" s="116" t="s">
        <v>83</v>
      </c>
      <c r="B20" s="122" t="s">
        <v>84</v>
      </c>
      <c r="C20" s="118">
        <f>1416+222+62</f>
        <v>1700</v>
      </c>
      <c r="D20" s="118">
        <v>1688</v>
      </c>
      <c r="E20" s="118">
        <f t="shared" si="14"/>
        <v>1747.08</v>
      </c>
      <c r="F20" s="118">
        <f t="shared" ref="F20:M20" si="16">+E20*1.035</f>
        <v>1808.2277999999999</v>
      </c>
      <c r="G20" s="118">
        <f t="shared" si="16"/>
        <v>1871.5157729999996</v>
      </c>
      <c r="H20" s="118">
        <f t="shared" si="16"/>
        <v>1937.0188250549995</v>
      </c>
      <c r="I20" s="118">
        <f t="shared" si="16"/>
        <v>2004.8144839319243</v>
      </c>
      <c r="J20" s="118">
        <f t="shared" si="16"/>
        <v>2074.9829908695415</v>
      </c>
      <c r="K20" s="118">
        <f t="shared" si="16"/>
        <v>2147.6073955499751</v>
      </c>
      <c r="L20" s="118">
        <f t="shared" si="16"/>
        <v>2222.7736543942242</v>
      </c>
      <c r="M20" s="118">
        <f t="shared" si="16"/>
        <v>2300.570732298022</v>
      </c>
    </row>
    <row r="21" spans="1:13">
      <c r="A21" s="124" t="s">
        <v>85</v>
      </c>
      <c r="B21" s="122" t="s">
        <v>86</v>
      </c>
      <c r="C21" s="118">
        <v>389</v>
      </c>
      <c r="D21" s="118">
        <v>389</v>
      </c>
      <c r="E21" s="118">
        <f t="shared" si="14"/>
        <v>402.61499999999995</v>
      </c>
      <c r="F21" s="118">
        <f t="shared" ref="F21:M21" si="17">+E21*1.035</f>
        <v>416.70652499999994</v>
      </c>
      <c r="G21" s="118">
        <f t="shared" si="17"/>
        <v>431.29125337499988</v>
      </c>
      <c r="H21" s="118">
        <f t="shared" si="17"/>
        <v>446.38644724312485</v>
      </c>
      <c r="I21" s="118">
        <f t="shared" si="17"/>
        <v>462.00997289663417</v>
      </c>
      <c r="J21" s="118">
        <f t="shared" si="17"/>
        <v>478.18032194801634</v>
      </c>
      <c r="K21" s="118">
        <f t="shared" si="17"/>
        <v>494.91663321619689</v>
      </c>
      <c r="L21" s="118">
        <f t="shared" si="17"/>
        <v>512.23871537876369</v>
      </c>
      <c r="M21" s="118">
        <f t="shared" si="17"/>
        <v>530.16707041702034</v>
      </c>
    </row>
    <row r="22" spans="1:13">
      <c r="A22" s="124" t="s">
        <v>87</v>
      </c>
      <c r="B22" s="122" t="s">
        <v>88</v>
      </c>
      <c r="C22" s="118">
        <f>1340-477</f>
        <v>863</v>
      </c>
      <c r="D22" s="118">
        <v>848</v>
      </c>
      <c r="E22" s="118">
        <f t="shared" si="14"/>
        <v>877.68</v>
      </c>
      <c r="F22" s="118">
        <f t="shared" ref="F22:M22" si="18">+E22*1.035</f>
        <v>908.39879999999982</v>
      </c>
      <c r="G22" s="118">
        <f t="shared" si="18"/>
        <v>940.1927579999998</v>
      </c>
      <c r="H22" s="118">
        <f t="shared" si="18"/>
        <v>973.09950452999976</v>
      </c>
      <c r="I22" s="118">
        <f t="shared" si="18"/>
        <v>1007.1579871885497</v>
      </c>
      <c r="J22" s="118">
        <f t="shared" si="18"/>
        <v>1042.4085167401488</v>
      </c>
      <c r="K22" s="118">
        <f t="shared" si="18"/>
        <v>1078.8928148260538</v>
      </c>
      <c r="L22" s="118">
        <f t="shared" si="18"/>
        <v>1116.6540633449656</v>
      </c>
      <c r="M22" s="118">
        <f t="shared" si="18"/>
        <v>1155.7369555620394</v>
      </c>
    </row>
    <row r="23" spans="1:13">
      <c r="A23" s="113" t="s">
        <v>89</v>
      </c>
      <c r="B23" s="122" t="s">
        <v>90</v>
      </c>
      <c r="C23" s="118">
        <v>92</v>
      </c>
      <c r="D23" s="118">
        <v>78</v>
      </c>
      <c r="E23" s="118">
        <f t="shared" si="14"/>
        <v>80.72999999999999</v>
      </c>
      <c r="F23" s="118">
        <f t="shared" ref="F23:M23" si="19">+E23*1.035</f>
        <v>83.555549999999982</v>
      </c>
      <c r="G23" s="118">
        <f t="shared" si="19"/>
        <v>86.479994249999976</v>
      </c>
      <c r="H23" s="118">
        <f t="shared" si="19"/>
        <v>89.506794048749967</v>
      </c>
      <c r="I23" s="118">
        <f t="shared" si="19"/>
        <v>92.639531840456215</v>
      </c>
      <c r="J23" s="118">
        <f t="shared" si="19"/>
        <v>95.881915454872171</v>
      </c>
      <c r="K23" s="118">
        <f t="shared" si="19"/>
        <v>99.237782495792686</v>
      </c>
      <c r="L23" s="118">
        <f t="shared" si="19"/>
        <v>102.71110488314542</v>
      </c>
      <c r="M23" s="118">
        <f t="shared" si="19"/>
        <v>106.3059935540555</v>
      </c>
    </row>
    <row r="24" spans="1:13">
      <c r="A24" s="113" t="s">
        <v>91</v>
      </c>
      <c r="B24" s="120" t="s">
        <v>92</v>
      </c>
      <c r="C24" s="118">
        <f>4+123</f>
        <v>127</v>
      </c>
      <c r="D24" s="118">
        <v>211</v>
      </c>
      <c r="E24" s="118">
        <f t="shared" si="14"/>
        <v>218.38499999999999</v>
      </c>
      <c r="F24" s="118">
        <f t="shared" ref="F24:M24" si="20">+E24*1.035</f>
        <v>226.02847499999999</v>
      </c>
      <c r="G24" s="118">
        <f t="shared" si="20"/>
        <v>233.93947162499995</v>
      </c>
      <c r="H24" s="118">
        <f t="shared" si="20"/>
        <v>242.12735313187494</v>
      </c>
      <c r="I24" s="118">
        <f t="shared" si="20"/>
        <v>250.60181049149054</v>
      </c>
      <c r="J24" s="118">
        <f t="shared" si="20"/>
        <v>259.37287385869269</v>
      </c>
      <c r="K24" s="118">
        <f t="shared" si="20"/>
        <v>268.45092444374689</v>
      </c>
      <c r="L24" s="118">
        <f t="shared" si="20"/>
        <v>277.84670679927802</v>
      </c>
      <c r="M24" s="118">
        <f t="shared" si="20"/>
        <v>287.57134153725275</v>
      </c>
    </row>
    <row r="25" spans="1:13">
      <c r="A25" s="109" t="s">
        <v>93</v>
      </c>
      <c r="B25" s="112" t="s">
        <v>94</v>
      </c>
      <c r="C25" s="111">
        <f>+C26+C55</f>
        <v>7205</v>
      </c>
      <c r="D25" s="111">
        <f>+D26+D55</f>
        <v>4729</v>
      </c>
      <c r="E25" s="111">
        <f>+E26+E55</f>
        <v>4874.66</v>
      </c>
      <c r="F25" s="111">
        <f>+F26+F55</f>
        <v>5028.0480999999991</v>
      </c>
      <c r="G25" s="111">
        <f t="shared" ref="G25:M25" si="21">+G26+G55</f>
        <v>5193.3647834999983</v>
      </c>
      <c r="H25" s="111">
        <f t="shared" si="21"/>
        <v>5368.8175509224975</v>
      </c>
      <c r="I25" s="111">
        <f t="shared" si="21"/>
        <v>5553.6211652047841</v>
      </c>
      <c r="J25" s="111">
        <f t="shared" si="21"/>
        <v>5747.997905986952</v>
      </c>
      <c r="K25" s="111">
        <f t="shared" si="21"/>
        <v>5949.1778326964941</v>
      </c>
      <c r="L25" s="111">
        <f t="shared" si="21"/>
        <v>6157.3990568408708</v>
      </c>
      <c r="M25" s="111">
        <f t="shared" si="21"/>
        <v>6372.9080238303013</v>
      </c>
    </row>
    <row r="26" spans="1:13">
      <c r="A26" s="125" t="s">
        <v>95</v>
      </c>
      <c r="B26" s="112" t="s">
        <v>96</v>
      </c>
      <c r="C26" s="111">
        <f>+C27+C40+C43+C44+C45</f>
        <v>7205</v>
      </c>
      <c r="D26" s="111">
        <f>+D27+D40+D43+D44+D45</f>
        <v>4729</v>
      </c>
      <c r="E26" s="111">
        <f>+E27+E40+E43+E44+E45</f>
        <v>4874.66</v>
      </c>
      <c r="F26" s="111">
        <f>+F27+F40+F43+F44+F45</f>
        <v>5028.0480999999991</v>
      </c>
      <c r="G26" s="111">
        <f t="shared" ref="G26:M26" si="22">+G27+G40+G43+G44+G45</f>
        <v>5193.3647834999983</v>
      </c>
      <c r="H26" s="111">
        <f t="shared" si="22"/>
        <v>5368.8175509224975</v>
      </c>
      <c r="I26" s="111">
        <f t="shared" si="22"/>
        <v>5553.6211652047841</v>
      </c>
      <c r="J26" s="111">
        <f t="shared" si="22"/>
        <v>5747.997905986952</v>
      </c>
      <c r="K26" s="111">
        <f t="shared" si="22"/>
        <v>5949.1778326964941</v>
      </c>
      <c r="L26" s="111">
        <f t="shared" si="22"/>
        <v>6157.3990568408708</v>
      </c>
      <c r="M26" s="111">
        <f t="shared" si="22"/>
        <v>6372.9080238303013</v>
      </c>
    </row>
    <row r="27" spans="1:13">
      <c r="A27" s="119" t="s">
        <v>97</v>
      </c>
      <c r="B27" s="120" t="s">
        <v>98</v>
      </c>
      <c r="C27" s="115">
        <f>+C28+C29+C30</f>
        <v>670</v>
      </c>
      <c r="D27" s="115">
        <f>+D28+D29+D30</f>
        <v>720</v>
      </c>
      <c r="E27" s="115">
        <f>+E28+E29+E30</f>
        <v>745.2</v>
      </c>
      <c r="F27" s="115">
        <f>+F28+F29+F30</f>
        <v>771.28199999999993</v>
      </c>
      <c r="G27" s="115">
        <f t="shared" ref="G27:M27" si="23">+G28+G29+G30</f>
        <v>798.27686999999969</v>
      </c>
      <c r="H27" s="115">
        <f t="shared" si="23"/>
        <v>826.21656044999975</v>
      </c>
      <c r="I27" s="115">
        <f t="shared" si="23"/>
        <v>855.13414006574965</v>
      </c>
      <c r="J27" s="115">
        <f t="shared" si="23"/>
        <v>885.06383496805097</v>
      </c>
      <c r="K27" s="115">
        <f t="shared" si="23"/>
        <v>916.04106919193248</v>
      </c>
      <c r="L27" s="115">
        <f t="shared" si="23"/>
        <v>948.10250661365023</v>
      </c>
      <c r="M27" s="115">
        <f t="shared" si="23"/>
        <v>981.28609434512782</v>
      </c>
    </row>
    <row r="28" spans="1:13">
      <c r="A28" s="113" t="s">
        <v>99</v>
      </c>
      <c r="B28" s="120" t="s">
        <v>100</v>
      </c>
      <c r="C28" s="118">
        <v>443</v>
      </c>
      <c r="D28" s="118">
        <v>430</v>
      </c>
      <c r="E28" s="118">
        <f>+D28*1.035</f>
        <v>445.04999999999995</v>
      </c>
      <c r="F28" s="118">
        <f t="shared" ref="F28:M28" si="24">+E28*1.035</f>
        <v>460.6267499999999</v>
      </c>
      <c r="G28" s="118">
        <f t="shared" si="24"/>
        <v>476.74868624999988</v>
      </c>
      <c r="H28" s="118">
        <f t="shared" si="24"/>
        <v>493.43489026874983</v>
      </c>
      <c r="I28" s="118">
        <f t="shared" si="24"/>
        <v>510.70511142815604</v>
      </c>
      <c r="J28" s="118">
        <f t="shared" si="24"/>
        <v>528.57979032814148</v>
      </c>
      <c r="K28" s="118">
        <f t="shared" si="24"/>
        <v>547.08008298962636</v>
      </c>
      <c r="L28" s="118">
        <f t="shared" si="24"/>
        <v>566.2278858942633</v>
      </c>
      <c r="M28" s="118">
        <f t="shared" si="24"/>
        <v>586.0458619005625</v>
      </c>
    </row>
    <row r="29" spans="1:13">
      <c r="A29" s="113" t="s">
        <v>101</v>
      </c>
      <c r="B29" s="120" t="s">
        <v>102</v>
      </c>
      <c r="C29" s="118">
        <v>162</v>
      </c>
      <c r="D29" s="118">
        <v>220</v>
      </c>
      <c r="E29" s="118">
        <f>+D29*1.035</f>
        <v>227.7</v>
      </c>
      <c r="F29" s="118">
        <f t="shared" ref="F29:M29" si="25">+E29*1.035</f>
        <v>235.66949999999997</v>
      </c>
      <c r="G29" s="118">
        <f t="shared" si="25"/>
        <v>243.91793249999995</v>
      </c>
      <c r="H29" s="118">
        <f t="shared" si="25"/>
        <v>252.45506013749994</v>
      </c>
      <c r="I29" s="118">
        <f t="shared" si="25"/>
        <v>261.29098724231244</v>
      </c>
      <c r="J29" s="118">
        <f t="shared" si="25"/>
        <v>270.43617179579337</v>
      </c>
      <c r="K29" s="118">
        <f t="shared" si="25"/>
        <v>279.90143780864611</v>
      </c>
      <c r="L29" s="118">
        <f t="shared" si="25"/>
        <v>289.6979881319487</v>
      </c>
      <c r="M29" s="118">
        <f t="shared" si="25"/>
        <v>299.8374177165669</v>
      </c>
    </row>
    <row r="30" spans="1:13" s="126" customFormat="1">
      <c r="A30" s="119" t="s">
        <v>103</v>
      </c>
      <c r="B30" s="120" t="s">
        <v>104</v>
      </c>
      <c r="C30" s="115">
        <f>SUM(C31:C39)</f>
        <v>65</v>
      </c>
      <c r="D30" s="115">
        <f>SUM(D31:D39)</f>
        <v>70</v>
      </c>
      <c r="E30" s="115">
        <f>SUM(E31:E39)</f>
        <v>72.449999999999989</v>
      </c>
      <c r="F30" s="115">
        <f>SUM(F31:F39)</f>
        <v>74.985749999999996</v>
      </c>
      <c r="G30" s="115">
        <f t="shared" ref="G30:M30" si="26">SUM(G31:G39)</f>
        <v>77.610251249999976</v>
      </c>
      <c r="H30" s="115">
        <f t="shared" si="26"/>
        <v>80.32661004374998</v>
      </c>
      <c r="I30" s="115">
        <f t="shared" si="26"/>
        <v>83.138041395281221</v>
      </c>
      <c r="J30" s="115">
        <f t="shared" si="26"/>
        <v>86.047872844116057</v>
      </c>
      <c r="K30" s="115">
        <f t="shared" si="26"/>
        <v>89.059548393660108</v>
      </c>
      <c r="L30" s="115">
        <f t="shared" si="26"/>
        <v>92.176632587438206</v>
      </c>
      <c r="M30" s="115">
        <f t="shared" si="26"/>
        <v>95.402814727998532</v>
      </c>
    </row>
    <row r="31" spans="1:13">
      <c r="A31" s="127" t="s">
        <v>105</v>
      </c>
      <c r="B31" s="122" t="s">
        <v>106</v>
      </c>
      <c r="C31" s="118">
        <f>23+24</f>
        <v>47</v>
      </c>
      <c r="D31" s="118">
        <f>24+28</f>
        <v>52</v>
      </c>
      <c r="E31" s="118">
        <f>+D31*1.035</f>
        <v>53.819999999999993</v>
      </c>
      <c r="F31" s="118">
        <f t="shared" ref="F31:M31" si="27">+E31*1.035</f>
        <v>55.703699999999991</v>
      </c>
      <c r="G31" s="118">
        <f t="shared" si="27"/>
        <v>57.653329499999984</v>
      </c>
      <c r="H31" s="118">
        <f t="shared" si="27"/>
        <v>59.671196032499978</v>
      </c>
      <c r="I31" s="118">
        <f t="shared" si="27"/>
        <v>61.759687893637469</v>
      </c>
      <c r="J31" s="118">
        <f t="shared" si="27"/>
        <v>63.921276969914778</v>
      </c>
      <c r="K31" s="118">
        <f t="shared" si="27"/>
        <v>66.158521663861791</v>
      </c>
      <c r="L31" s="118">
        <f t="shared" si="27"/>
        <v>68.474069922096945</v>
      </c>
      <c r="M31" s="118">
        <f t="shared" si="27"/>
        <v>70.870662369370336</v>
      </c>
    </row>
    <row r="32" spans="1:13">
      <c r="A32" s="121" t="s">
        <v>107</v>
      </c>
      <c r="B32" s="122" t="s">
        <v>108</v>
      </c>
      <c r="C32" s="118">
        <v>18</v>
      </c>
      <c r="D32" s="118">
        <v>18</v>
      </c>
      <c r="E32" s="118">
        <f>+D32*1.035</f>
        <v>18.63</v>
      </c>
      <c r="F32" s="118">
        <f t="shared" ref="F32:M32" si="28">+E32*1.035</f>
        <v>19.282049999999998</v>
      </c>
      <c r="G32" s="118">
        <f t="shared" si="28"/>
        <v>19.956921749999996</v>
      </c>
      <c r="H32" s="118">
        <f t="shared" si="28"/>
        <v>20.655414011249995</v>
      </c>
      <c r="I32" s="118">
        <f t="shared" si="28"/>
        <v>21.378353501643744</v>
      </c>
      <c r="J32" s="118">
        <f t="shared" si="28"/>
        <v>22.126595874201275</v>
      </c>
      <c r="K32" s="118">
        <f t="shared" si="28"/>
        <v>22.901026729798318</v>
      </c>
      <c r="L32" s="118">
        <f t="shared" si="28"/>
        <v>23.702562665341258</v>
      </c>
      <c r="M32" s="118">
        <f t="shared" si="28"/>
        <v>24.532152358628199</v>
      </c>
    </row>
    <row r="33" spans="1:13">
      <c r="A33" s="113" t="s">
        <v>109</v>
      </c>
      <c r="B33" s="122" t="s">
        <v>110</v>
      </c>
      <c r="C33" s="118">
        <v>0</v>
      </c>
      <c r="D33" s="300">
        <f>+C33*1.035</f>
        <v>0</v>
      </c>
      <c r="E33" s="118">
        <f>+D33*1.035</f>
        <v>0</v>
      </c>
      <c r="F33" s="118">
        <f t="shared" ref="F33:M33" si="29">+E33*1.035</f>
        <v>0</v>
      </c>
      <c r="G33" s="118">
        <f t="shared" si="29"/>
        <v>0</v>
      </c>
      <c r="H33" s="118">
        <f t="shared" si="29"/>
        <v>0</v>
      </c>
      <c r="I33" s="118">
        <f t="shared" si="29"/>
        <v>0</v>
      </c>
      <c r="J33" s="118">
        <f t="shared" si="29"/>
        <v>0</v>
      </c>
      <c r="K33" s="118">
        <f t="shared" si="29"/>
        <v>0</v>
      </c>
      <c r="L33" s="118">
        <f t="shared" si="29"/>
        <v>0</v>
      </c>
      <c r="M33" s="118">
        <f t="shared" si="29"/>
        <v>0</v>
      </c>
    </row>
    <row r="34" spans="1:13">
      <c r="A34" s="113" t="s">
        <v>111</v>
      </c>
      <c r="B34" s="122" t="s">
        <v>112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0</v>
      </c>
      <c r="M34" s="118">
        <v>0</v>
      </c>
    </row>
    <row r="35" spans="1:13">
      <c r="A35" s="128" t="s">
        <v>113</v>
      </c>
      <c r="B35" s="122" t="s">
        <v>114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</row>
    <row r="36" spans="1:13">
      <c r="A36" s="113" t="s">
        <v>115</v>
      </c>
      <c r="B36" s="122" t="s">
        <v>116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0</v>
      </c>
      <c r="M36" s="118">
        <v>0</v>
      </c>
    </row>
    <row r="37" spans="1:13">
      <c r="A37" s="113" t="s">
        <v>117</v>
      </c>
      <c r="B37" s="122" t="s">
        <v>118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</row>
    <row r="38" spans="1:13">
      <c r="A38" s="113" t="s">
        <v>119</v>
      </c>
      <c r="B38" s="122" t="s">
        <v>120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</row>
    <row r="39" spans="1:13">
      <c r="A39" s="113" t="s">
        <v>121</v>
      </c>
      <c r="B39" s="122" t="s">
        <v>122</v>
      </c>
      <c r="C39" s="118">
        <v>0</v>
      </c>
      <c r="D39" s="118">
        <v>0</v>
      </c>
      <c r="E39" s="118">
        <v>0</v>
      </c>
      <c r="F39" s="118">
        <v>0</v>
      </c>
      <c r="G39" s="118">
        <v>0</v>
      </c>
      <c r="H39" s="118">
        <v>0</v>
      </c>
      <c r="I39" s="118">
        <v>0</v>
      </c>
      <c r="J39" s="118">
        <v>0</v>
      </c>
      <c r="K39" s="118">
        <v>0</v>
      </c>
      <c r="L39" s="118">
        <v>0</v>
      </c>
      <c r="M39" s="118">
        <v>0</v>
      </c>
    </row>
    <row r="40" spans="1:13">
      <c r="A40" s="119" t="s">
        <v>123</v>
      </c>
      <c r="B40" s="120" t="s">
        <v>124</v>
      </c>
      <c r="C40" s="123">
        <f>+C41+C42</f>
        <v>38</v>
      </c>
      <c r="D40" s="115">
        <f>+D41+D42</f>
        <v>53</v>
      </c>
      <c r="E40" s="115">
        <f>+E41+E42</f>
        <v>35</v>
      </c>
      <c r="F40" s="115">
        <f>+F41+F42</f>
        <v>19</v>
      </c>
      <c r="G40" s="115">
        <f t="shared" ref="G40:M40" si="30">+G41+G42</f>
        <v>9</v>
      </c>
      <c r="H40" s="115">
        <f t="shared" si="30"/>
        <v>3</v>
      </c>
      <c r="I40" s="115">
        <f t="shared" si="30"/>
        <v>0</v>
      </c>
      <c r="J40" s="115">
        <f t="shared" si="30"/>
        <v>0</v>
      </c>
      <c r="K40" s="115">
        <f t="shared" si="30"/>
        <v>0</v>
      </c>
      <c r="L40" s="115">
        <f t="shared" si="30"/>
        <v>0</v>
      </c>
      <c r="M40" s="115">
        <f t="shared" si="30"/>
        <v>0</v>
      </c>
    </row>
    <row r="41" spans="1:13">
      <c r="A41" s="121" t="s">
        <v>125</v>
      </c>
      <c r="B41" s="122" t="s">
        <v>126</v>
      </c>
      <c r="C41" s="118">
        <v>38</v>
      </c>
      <c r="D41" s="118">
        <v>53</v>
      </c>
      <c r="E41" s="118">
        <v>35</v>
      </c>
      <c r="F41" s="118">
        <v>19</v>
      </c>
      <c r="G41" s="118">
        <v>9</v>
      </c>
      <c r="H41" s="118">
        <v>3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</row>
    <row r="42" spans="1:13">
      <c r="A42" s="121" t="s">
        <v>127</v>
      </c>
      <c r="B42" s="122" t="s">
        <v>128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v>0</v>
      </c>
      <c r="I42" s="118">
        <v>0</v>
      </c>
      <c r="J42" s="118">
        <v>0</v>
      </c>
      <c r="K42" s="118">
        <v>0</v>
      </c>
      <c r="L42" s="118">
        <v>0</v>
      </c>
      <c r="M42" s="118">
        <v>0</v>
      </c>
    </row>
    <row r="43" spans="1:13" ht="36">
      <c r="A43" s="121" t="s">
        <v>129</v>
      </c>
      <c r="B43" s="129" t="s">
        <v>130</v>
      </c>
      <c r="C43" s="118">
        <f>6327+8-42</f>
        <v>6293</v>
      </c>
      <c r="D43" s="118">
        <f>3793-49</f>
        <v>3744</v>
      </c>
      <c r="E43" s="118">
        <f>+D43*1.035</f>
        <v>3875.0399999999995</v>
      </c>
      <c r="F43" s="118">
        <f t="shared" ref="F43:M43" si="31">+E43*1.035</f>
        <v>4010.6663999999992</v>
      </c>
      <c r="G43" s="118">
        <f t="shared" si="31"/>
        <v>4151.0397239999984</v>
      </c>
      <c r="H43" s="118">
        <f t="shared" si="31"/>
        <v>4296.3261143399977</v>
      </c>
      <c r="I43" s="118">
        <f t="shared" si="31"/>
        <v>4446.6975283418969</v>
      </c>
      <c r="J43" s="118">
        <f t="shared" si="31"/>
        <v>4602.3319418338633</v>
      </c>
      <c r="K43" s="118">
        <f t="shared" si="31"/>
        <v>4763.4135597980485</v>
      </c>
      <c r="L43" s="118">
        <f t="shared" si="31"/>
        <v>4930.1330343909794</v>
      </c>
      <c r="M43" s="118">
        <f t="shared" si="31"/>
        <v>5102.6876905946638</v>
      </c>
    </row>
    <row r="44" spans="1:13">
      <c r="A44" s="113" t="s">
        <v>131</v>
      </c>
      <c r="B44" s="120" t="s">
        <v>132</v>
      </c>
      <c r="C44" s="118">
        <v>0</v>
      </c>
      <c r="D44" s="118">
        <v>0</v>
      </c>
      <c r="E44" s="123">
        <v>0</v>
      </c>
      <c r="F44" s="123">
        <v>0</v>
      </c>
      <c r="G44" s="123">
        <v>0</v>
      </c>
      <c r="H44" s="123">
        <v>0</v>
      </c>
      <c r="I44" s="123">
        <v>0</v>
      </c>
      <c r="J44" s="123">
        <v>0</v>
      </c>
      <c r="K44" s="123">
        <v>0</v>
      </c>
      <c r="L44" s="123">
        <v>0</v>
      </c>
      <c r="M44" s="123">
        <v>0</v>
      </c>
    </row>
    <row r="45" spans="1:13">
      <c r="A45" s="113" t="s">
        <v>133</v>
      </c>
      <c r="B45" s="120" t="s">
        <v>134</v>
      </c>
      <c r="C45" s="118">
        <v>204</v>
      </c>
      <c r="D45" s="118">
        <v>212</v>
      </c>
      <c r="E45" s="118">
        <f t="shared" ref="E45:M45" si="32">+D45*1.035</f>
        <v>219.42</v>
      </c>
      <c r="F45" s="118">
        <f t="shared" si="32"/>
        <v>227.09969999999996</v>
      </c>
      <c r="G45" s="118">
        <f t="shared" si="32"/>
        <v>235.04818949999995</v>
      </c>
      <c r="H45" s="118">
        <f t="shared" si="32"/>
        <v>243.27487613249994</v>
      </c>
      <c r="I45" s="118">
        <f t="shared" si="32"/>
        <v>251.78949679713742</v>
      </c>
      <c r="J45" s="118">
        <f t="shared" si="32"/>
        <v>260.6021291850372</v>
      </c>
      <c r="K45" s="118">
        <f t="shared" si="32"/>
        <v>269.72320370651346</v>
      </c>
      <c r="L45" s="118">
        <f t="shared" si="32"/>
        <v>279.1635158362414</v>
      </c>
      <c r="M45" s="118">
        <f t="shared" si="32"/>
        <v>288.93423889050985</v>
      </c>
    </row>
    <row r="46" spans="1:13">
      <c r="A46" s="125" t="s">
        <v>135</v>
      </c>
      <c r="B46" s="112" t="s">
        <v>136</v>
      </c>
      <c r="C46" s="111">
        <f>+C6-C26</f>
        <v>-1779.5987110000005</v>
      </c>
      <c r="D46" s="111">
        <f>+D6-D26</f>
        <v>2</v>
      </c>
      <c r="E46" s="111">
        <f>+E6-E26</f>
        <v>21.924999999999272</v>
      </c>
      <c r="F46" s="111">
        <f>+F6-F26</f>
        <v>39.917374999999993</v>
      </c>
      <c r="G46" s="111">
        <f t="shared" ref="G46:M46" si="33">+G6-G26</f>
        <v>51.979483125000115</v>
      </c>
      <c r="H46" s="111">
        <f t="shared" si="33"/>
        <v>60.113765034376229</v>
      </c>
      <c r="I46" s="111">
        <f t="shared" si="33"/>
        <v>65.322746810578792</v>
      </c>
      <c r="J46" s="111">
        <f t="shared" si="33"/>
        <v>67.609042948947717</v>
      </c>
      <c r="K46" s="111">
        <f t="shared" si="33"/>
        <v>69.975359452162593</v>
      </c>
      <c r="L46" s="111">
        <f t="shared" si="33"/>
        <v>72.424497032988256</v>
      </c>
      <c r="M46" s="111">
        <f t="shared" si="33"/>
        <v>74.959354429143787</v>
      </c>
    </row>
    <row r="47" spans="1:13">
      <c r="A47" s="109" t="s">
        <v>137</v>
      </c>
      <c r="B47" s="112" t="s">
        <v>138</v>
      </c>
      <c r="C47" s="111">
        <f>SUM(C48:C54)</f>
        <v>1478</v>
      </c>
      <c r="D47" s="111">
        <f>SUM(D48:D54)</f>
        <v>6</v>
      </c>
      <c r="E47" s="111">
        <f>SUM(E48:E54)</f>
        <v>6.2099999999999991</v>
      </c>
      <c r="F47" s="111">
        <f>SUM(F48:F54)</f>
        <v>6.4273499999999988</v>
      </c>
      <c r="G47" s="111">
        <f t="shared" ref="G47:M47" si="34">SUM(G48:G54)</f>
        <v>6.652307249999998</v>
      </c>
      <c r="H47" s="111">
        <f t="shared" si="34"/>
        <v>6.8851380037499972</v>
      </c>
      <c r="I47" s="111">
        <f t="shared" si="34"/>
        <v>7.1261178338812465</v>
      </c>
      <c r="J47" s="111">
        <f t="shared" si="34"/>
        <v>7.3755319580670893</v>
      </c>
      <c r="K47" s="111">
        <f t="shared" si="34"/>
        <v>7.6336755765994369</v>
      </c>
      <c r="L47" s="111">
        <f t="shared" si="34"/>
        <v>7.900854221780417</v>
      </c>
      <c r="M47" s="111">
        <f t="shared" si="34"/>
        <v>8.1773841195427313</v>
      </c>
    </row>
    <row r="48" spans="1:13">
      <c r="A48" s="116" t="s">
        <v>139</v>
      </c>
      <c r="B48" s="122" t="s">
        <v>140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</row>
    <row r="49" spans="1:13">
      <c r="A49" s="116" t="s">
        <v>141</v>
      </c>
      <c r="B49" s="122" t="s">
        <v>142</v>
      </c>
      <c r="C49" s="118">
        <v>0</v>
      </c>
      <c r="D49" s="118">
        <v>0</v>
      </c>
      <c r="E49" s="118">
        <f>+D49*1.035</f>
        <v>0</v>
      </c>
      <c r="F49" s="118">
        <f t="shared" ref="F49:M49" si="35">+E49*1.035</f>
        <v>0</v>
      </c>
      <c r="G49" s="118">
        <f t="shared" si="35"/>
        <v>0</v>
      </c>
      <c r="H49" s="118">
        <f t="shared" si="35"/>
        <v>0</v>
      </c>
      <c r="I49" s="118">
        <f t="shared" si="35"/>
        <v>0</v>
      </c>
      <c r="J49" s="118">
        <f t="shared" si="35"/>
        <v>0</v>
      </c>
      <c r="K49" s="118">
        <f t="shared" si="35"/>
        <v>0</v>
      </c>
      <c r="L49" s="118">
        <f t="shared" si="35"/>
        <v>0</v>
      </c>
      <c r="M49" s="118">
        <f t="shared" si="35"/>
        <v>0</v>
      </c>
    </row>
    <row r="50" spans="1:13">
      <c r="A50" s="116" t="s">
        <v>143</v>
      </c>
      <c r="B50" s="122" t="s">
        <v>144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0</v>
      </c>
      <c r="M50" s="118">
        <v>0</v>
      </c>
    </row>
    <row r="51" spans="1:13">
      <c r="A51" s="116" t="s">
        <v>145</v>
      </c>
      <c r="B51" s="122" t="s">
        <v>146</v>
      </c>
      <c r="C51" s="118">
        <v>0</v>
      </c>
      <c r="D51" s="118">
        <v>6</v>
      </c>
      <c r="E51" s="118">
        <f>+D51*1.035</f>
        <v>6.2099999999999991</v>
      </c>
      <c r="F51" s="118">
        <f t="shared" ref="F51:M51" si="36">+E51*1.035</f>
        <v>6.4273499999999988</v>
      </c>
      <c r="G51" s="118">
        <f t="shared" si="36"/>
        <v>6.652307249999998</v>
      </c>
      <c r="H51" s="118">
        <f t="shared" si="36"/>
        <v>6.8851380037499972</v>
      </c>
      <c r="I51" s="118">
        <f t="shared" si="36"/>
        <v>7.1261178338812465</v>
      </c>
      <c r="J51" s="118">
        <f t="shared" si="36"/>
        <v>7.3755319580670893</v>
      </c>
      <c r="K51" s="118">
        <f t="shared" si="36"/>
        <v>7.6336755765994369</v>
      </c>
      <c r="L51" s="118">
        <f t="shared" si="36"/>
        <v>7.900854221780417</v>
      </c>
      <c r="M51" s="118">
        <f t="shared" si="36"/>
        <v>8.1773841195427313</v>
      </c>
    </row>
    <row r="52" spans="1:13">
      <c r="A52" s="116" t="s">
        <v>147</v>
      </c>
      <c r="B52" s="122" t="s">
        <v>148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v>0</v>
      </c>
      <c r="I52" s="118">
        <v>0</v>
      </c>
      <c r="J52" s="118">
        <v>0</v>
      </c>
      <c r="K52" s="118">
        <v>0</v>
      </c>
      <c r="L52" s="118">
        <v>0</v>
      </c>
      <c r="M52" s="118">
        <v>0</v>
      </c>
    </row>
    <row r="53" spans="1:13">
      <c r="A53" s="116" t="s">
        <v>149</v>
      </c>
      <c r="B53" s="122" t="s">
        <v>150</v>
      </c>
      <c r="C53" s="118">
        <v>1436</v>
      </c>
      <c r="D53" s="118">
        <v>0</v>
      </c>
      <c r="E53" s="118">
        <f>+D53*1.035</f>
        <v>0</v>
      </c>
      <c r="F53" s="118">
        <f t="shared" ref="F53:M53" si="37">+E53*1.035</f>
        <v>0</v>
      </c>
      <c r="G53" s="118">
        <f t="shared" si="37"/>
        <v>0</v>
      </c>
      <c r="H53" s="118">
        <f t="shared" si="37"/>
        <v>0</v>
      </c>
      <c r="I53" s="118">
        <f t="shared" si="37"/>
        <v>0</v>
      </c>
      <c r="J53" s="118">
        <f t="shared" si="37"/>
        <v>0</v>
      </c>
      <c r="K53" s="118">
        <f t="shared" si="37"/>
        <v>0</v>
      </c>
      <c r="L53" s="118">
        <f t="shared" si="37"/>
        <v>0</v>
      </c>
      <c r="M53" s="118">
        <f t="shared" si="37"/>
        <v>0</v>
      </c>
    </row>
    <row r="54" spans="1:13">
      <c r="A54" s="116" t="s">
        <v>151</v>
      </c>
      <c r="B54" s="122" t="s">
        <v>152</v>
      </c>
      <c r="C54" s="118">
        <v>42</v>
      </c>
      <c r="D54" s="118">
        <v>0</v>
      </c>
      <c r="E54" s="118">
        <f>+D54*1.035</f>
        <v>0</v>
      </c>
      <c r="F54" s="118">
        <f t="shared" ref="F54:M54" si="38">+E54*1.035</f>
        <v>0</v>
      </c>
      <c r="G54" s="118">
        <f t="shared" si="38"/>
        <v>0</v>
      </c>
      <c r="H54" s="118">
        <f t="shared" si="38"/>
        <v>0</v>
      </c>
      <c r="I54" s="118">
        <f t="shared" si="38"/>
        <v>0</v>
      </c>
      <c r="J54" s="118">
        <f t="shared" si="38"/>
        <v>0</v>
      </c>
      <c r="K54" s="118">
        <f t="shared" si="38"/>
        <v>0</v>
      </c>
      <c r="L54" s="118">
        <f t="shared" si="38"/>
        <v>0</v>
      </c>
      <c r="M54" s="118">
        <f t="shared" si="38"/>
        <v>0</v>
      </c>
    </row>
    <row r="55" spans="1:13">
      <c r="A55" s="130" t="s">
        <v>153</v>
      </c>
      <c r="B55" s="112" t="s">
        <v>154</v>
      </c>
      <c r="C55" s="111">
        <f>SUM(C56:C57)</f>
        <v>0</v>
      </c>
      <c r="D55" s="111">
        <f>SUM(D56:D57)</f>
        <v>0</v>
      </c>
      <c r="E55" s="111">
        <f>SUM(E56:E57)</f>
        <v>0</v>
      </c>
      <c r="F55" s="111">
        <f>SUM(F56:F57)</f>
        <v>0</v>
      </c>
      <c r="G55" s="111">
        <f t="shared" ref="G55:M55" si="39">SUM(G56:G57)</f>
        <v>0</v>
      </c>
      <c r="H55" s="111">
        <f t="shared" si="39"/>
        <v>0</v>
      </c>
      <c r="I55" s="111">
        <f t="shared" si="39"/>
        <v>0</v>
      </c>
      <c r="J55" s="111">
        <f t="shared" si="39"/>
        <v>0</v>
      </c>
      <c r="K55" s="111">
        <f t="shared" si="39"/>
        <v>0</v>
      </c>
      <c r="L55" s="111">
        <f t="shared" si="39"/>
        <v>0</v>
      </c>
      <c r="M55" s="111">
        <f t="shared" si="39"/>
        <v>0</v>
      </c>
    </row>
    <row r="56" spans="1:13">
      <c r="A56" s="121" t="s">
        <v>155</v>
      </c>
      <c r="B56" s="122" t="s">
        <v>156</v>
      </c>
      <c r="C56" s="118">
        <v>0</v>
      </c>
      <c r="D56" s="118">
        <v>0</v>
      </c>
      <c r="E56" s="118">
        <f>+D56*1.035</f>
        <v>0</v>
      </c>
      <c r="F56" s="118">
        <f t="shared" ref="F56:M56" si="40">+E56*1.035</f>
        <v>0</v>
      </c>
      <c r="G56" s="118">
        <f t="shared" si="40"/>
        <v>0</v>
      </c>
      <c r="H56" s="118">
        <f t="shared" si="40"/>
        <v>0</v>
      </c>
      <c r="I56" s="118">
        <f t="shared" si="40"/>
        <v>0</v>
      </c>
      <c r="J56" s="118">
        <f t="shared" si="40"/>
        <v>0</v>
      </c>
      <c r="K56" s="118">
        <f t="shared" si="40"/>
        <v>0</v>
      </c>
      <c r="L56" s="118">
        <f t="shared" si="40"/>
        <v>0</v>
      </c>
      <c r="M56" s="118">
        <f t="shared" si="40"/>
        <v>0</v>
      </c>
    </row>
    <row r="57" spans="1:13">
      <c r="A57" s="127" t="s">
        <v>157</v>
      </c>
      <c r="B57" s="122" t="s">
        <v>158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</row>
    <row r="58" spans="1:13">
      <c r="A58" s="125" t="s">
        <v>159</v>
      </c>
      <c r="B58" s="112" t="s">
        <v>160</v>
      </c>
      <c r="C58" s="111">
        <f>+C47-C55</f>
        <v>1478</v>
      </c>
      <c r="D58" s="111">
        <f>+D47-D55</f>
        <v>6</v>
      </c>
      <c r="E58" s="111">
        <f>+E47-E55</f>
        <v>6.2099999999999991</v>
      </c>
      <c r="F58" s="111">
        <f>+F47-F55</f>
        <v>6.4273499999999988</v>
      </c>
      <c r="G58" s="111">
        <f t="shared" ref="G58:M58" si="41">+G47-G55</f>
        <v>6.652307249999998</v>
      </c>
      <c r="H58" s="111">
        <f t="shared" si="41"/>
        <v>6.8851380037499972</v>
      </c>
      <c r="I58" s="111">
        <f t="shared" si="41"/>
        <v>7.1261178338812465</v>
      </c>
      <c r="J58" s="111">
        <f t="shared" si="41"/>
        <v>7.3755319580670893</v>
      </c>
      <c r="K58" s="111">
        <f t="shared" si="41"/>
        <v>7.6336755765994369</v>
      </c>
      <c r="L58" s="111">
        <f t="shared" si="41"/>
        <v>7.900854221780417</v>
      </c>
      <c r="M58" s="111">
        <f t="shared" si="41"/>
        <v>8.1773841195427313</v>
      </c>
    </row>
    <row r="59" spans="1:13">
      <c r="A59" s="125" t="s">
        <v>161</v>
      </c>
      <c r="B59" s="112" t="s">
        <v>162</v>
      </c>
      <c r="C59" s="111">
        <f>+C46+C47-C55</f>
        <v>-301.59871100000055</v>
      </c>
      <c r="D59" s="111">
        <f>+D46+D47-D55</f>
        <v>8</v>
      </c>
      <c r="E59" s="111">
        <f>+E46+E47-E55</f>
        <v>28.134999999999273</v>
      </c>
      <c r="F59" s="111">
        <f>+F46+F47-F55</f>
        <v>46.34472499999999</v>
      </c>
      <c r="G59" s="111">
        <f t="shared" ref="G59:M59" si="42">+G46+G47-G55</f>
        <v>58.631790375000115</v>
      </c>
      <c r="H59" s="111">
        <f t="shared" si="42"/>
        <v>66.99890303812623</v>
      </c>
      <c r="I59" s="111">
        <f t="shared" si="42"/>
        <v>72.448864644460045</v>
      </c>
      <c r="J59" s="111">
        <f t="shared" si="42"/>
        <v>74.984574907014803</v>
      </c>
      <c r="K59" s="111">
        <f t="shared" si="42"/>
        <v>77.609035028762037</v>
      </c>
      <c r="L59" s="111">
        <f t="shared" si="42"/>
        <v>80.325351254768677</v>
      </c>
      <c r="M59" s="111">
        <f t="shared" si="42"/>
        <v>83.136738548686523</v>
      </c>
    </row>
    <row r="60" spans="1:13">
      <c r="A60" s="121" t="s">
        <v>163</v>
      </c>
      <c r="B60" s="120" t="s">
        <v>164</v>
      </c>
      <c r="C60" s="115">
        <f>+C61</f>
        <v>140</v>
      </c>
      <c r="D60" s="115">
        <f>+D61</f>
        <v>-171</v>
      </c>
      <c r="E60" s="115">
        <f t="shared" ref="E60:M60" si="43">+E61</f>
        <v>-164</v>
      </c>
      <c r="F60" s="115">
        <f t="shared" si="43"/>
        <v>-141</v>
      </c>
      <c r="G60" s="115">
        <f t="shared" si="43"/>
        <v>-57</v>
      </c>
      <c r="H60" s="115">
        <f t="shared" si="43"/>
        <v>-48</v>
      </c>
      <c r="I60" s="115">
        <f t="shared" si="43"/>
        <v>0</v>
      </c>
      <c r="J60" s="115">
        <f t="shared" si="43"/>
        <v>0</v>
      </c>
      <c r="K60" s="115">
        <f t="shared" si="43"/>
        <v>0</v>
      </c>
      <c r="L60" s="115">
        <f t="shared" si="43"/>
        <v>0</v>
      </c>
      <c r="M60" s="115">
        <f t="shared" si="43"/>
        <v>0</v>
      </c>
    </row>
    <row r="61" spans="1:13">
      <c r="A61" s="119" t="s">
        <v>165</v>
      </c>
      <c r="B61" s="120" t="s">
        <v>166</v>
      </c>
      <c r="C61" s="115">
        <f>+C62+C65</f>
        <v>140</v>
      </c>
      <c r="D61" s="115">
        <f>+D62+D65</f>
        <v>-171</v>
      </c>
      <c r="E61" s="115">
        <f>+E62+E65</f>
        <v>-164</v>
      </c>
      <c r="F61" s="115">
        <f>+F62+F65</f>
        <v>-141</v>
      </c>
      <c r="G61" s="115">
        <f t="shared" ref="G61:M61" si="44">+G62+G65</f>
        <v>-57</v>
      </c>
      <c r="H61" s="115">
        <f t="shared" si="44"/>
        <v>-48</v>
      </c>
      <c r="I61" s="115">
        <f t="shared" si="44"/>
        <v>0</v>
      </c>
      <c r="J61" s="115">
        <f t="shared" si="44"/>
        <v>0</v>
      </c>
      <c r="K61" s="115">
        <f t="shared" si="44"/>
        <v>0</v>
      </c>
      <c r="L61" s="115">
        <f t="shared" si="44"/>
        <v>0</v>
      </c>
      <c r="M61" s="115">
        <f t="shared" si="44"/>
        <v>0</v>
      </c>
    </row>
    <row r="62" spans="1:13">
      <c r="A62" s="119" t="s">
        <v>167</v>
      </c>
      <c r="B62" s="120" t="s">
        <v>168</v>
      </c>
      <c r="C62" s="115">
        <f>+C63-C64</f>
        <v>140</v>
      </c>
      <c r="D62" s="115">
        <f>+D63-D64</f>
        <v>-171</v>
      </c>
      <c r="E62" s="115">
        <f>+E63-E64</f>
        <v>-164</v>
      </c>
      <c r="F62" s="115">
        <f>+F63-F64</f>
        <v>-141</v>
      </c>
      <c r="G62" s="115">
        <f t="shared" ref="G62:M62" si="45">+G63-G64</f>
        <v>-57</v>
      </c>
      <c r="H62" s="115">
        <f t="shared" si="45"/>
        <v>-48</v>
      </c>
      <c r="I62" s="115">
        <f t="shared" si="45"/>
        <v>0</v>
      </c>
      <c r="J62" s="115">
        <f t="shared" si="45"/>
        <v>0</v>
      </c>
      <c r="K62" s="115">
        <f t="shared" si="45"/>
        <v>0</v>
      </c>
      <c r="L62" s="115">
        <f t="shared" si="45"/>
        <v>0</v>
      </c>
      <c r="M62" s="115">
        <f t="shared" si="45"/>
        <v>0</v>
      </c>
    </row>
    <row r="63" spans="1:13">
      <c r="A63" s="113" t="s">
        <v>169</v>
      </c>
      <c r="B63" s="122" t="s">
        <v>170</v>
      </c>
      <c r="C63" s="118">
        <v>280</v>
      </c>
      <c r="D63" s="118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</row>
    <row r="64" spans="1:13">
      <c r="A64" s="131" t="s">
        <v>171</v>
      </c>
      <c r="B64" s="132" t="s">
        <v>172</v>
      </c>
      <c r="C64" s="133">
        <v>140</v>
      </c>
      <c r="D64" s="133">
        <v>171</v>
      </c>
      <c r="E64" s="133">
        <v>164</v>
      </c>
      <c r="F64" s="133">
        <v>141</v>
      </c>
      <c r="G64" s="133">
        <v>57</v>
      </c>
      <c r="H64" s="133">
        <v>48</v>
      </c>
      <c r="I64" s="133">
        <v>0</v>
      </c>
      <c r="J64" s="133">
        <v>0</v>
      </c>
      <c r="K64" s="133">
        <v>0</v>
      </c>
      <c r="L64" s="133">
        <v>0</v>
      </c>
      <c r="M64" s="133">
        <v>0</v>
      </c>
    </row>
    <row r="65" spans="1:13">
      <c r="A65" s="119" t="s">
        <v>173</v>
      </c>
      <c r="B65" s="134" t="s">
        <v>174</v>
      </c>
      <c r="C65" s="115">
        <f>+C66-C67</f>
        <v>0</v>
      </c>
      <c r="D65" s="115">
        <f>+D66-D67</f>
        <v>0</v>
      </c>
      <c r="E65" s="115">
        <f>+E66-E67</f>
        <v>0</v>
      </c>
      <c r="F65" s="115">
        <f>+F66-F67</f>
        <v>0</v>
      </c>
      <c r="G65" s="115">
        <f t="shared" ref="G65:M65" si="46">+G66-G67</f>
        <v>0</v>
      </c>
      <c r="H65" s="115">
        <f t="shared" si="46"/>
        <v>0</v>
      </c>
      <c r="I65" s="115">
        <f t="shared" si="46"/>
        <v>0</v>
      </c>
      <c r="J65" s="115">
        <f t="shared" si="46"/>
        <v>0</v>
      </c>
      <c r="K65" s="115">
        <f t="shared" si="46"/>
        <v>0</v>
      </c>
      <c r="L65" s="115">
        <f t="shared" si="46"/>
        <v>0</v>
      </c>
      <c r="M65" s="115">
        <f t="shared" si="46"/>
        <v>0</v>
      </c>
    </row>
    <row r="66" spans="1:13">
      <c r="A66" s="113" t="s">
        <v>175</v>
      </c>
      <c r="B66" s="135" t="s">
        <v>170</v>
      </c>
      <c r="C66" s="118">
        <v>0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</row>
    <row r="67" spans="1:13">
      <c r="A67" s="131" t="s">
        <v>176</v>
      </c>
      <c r="B67" s="135" t="s">
        <v>172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</row>
    <row r="68" spans="1:13">
      <c r="A68" s="136"/>
      <c r="B68" s="112" t="s">
        <v>177</v>
      </c>
      <c r="C68" s="137">
        <v>581</v>
      </c>
      <c r="D68" s="137">
        <f>267+143</f>
        <v>410</v>
      </c>
      <c r="E68" s="137">
        <v>246</v>
      </c>
      <c r="F68" s="137">
        <v>105</v>
      </c>
      <c r="G68" s="137">
        <v>48</v>
      </c>
      <c r="H68" s="137">
        <v>0</v>
      </c>
      <c r="I68" s="137">
        <v>0</v>
      </c>
      <c r="J68" s="137">
        <v>0</v>
      </c>
      <c r="K68" s="137">
        <v>0</v>
      </c>
      <c r="L68" s="137">
        <v>0</v>
      </c>
      <c r="M68" s="137">
        <v>0</v>
      </c>
    </row>
    <row r="69" spans="1:13">
      <c r="A69" s="138"/>
      <c r="B69" s="138"/>
      <c r="C69" s="98"/>
    </row>
    <row r="70" spans="1:13">
      <c r="A70" s="139" t="s">
        <v>178</v>
      </c>
      <c r="B70" s="140" t="s">
        <v>179</v>
      </c>
      <c r="C70" s="141">
        <f>+C3</f>
        <v>2011</v>
      </c>
      <c r="D70" s="141">
        <f t="shared" ref="D70:M70" si="47">+D3</f>
        <v>2012</v>
      </c>
      <c r="E70" s="141">
        <f t="shared" si="47"/>
        <v>2013</v>
      </c>
      <c r="F70" s="141">
        <f t="shared" si="47"/>
        <v>2014</v>
      </c>
      <c r="G70" s="141">
        <f t="shared" si="47"/>
        <v>2015</v>
      </c>
      <c r="H70" s="141">
        <f t="shared" si="47"/>
        <v>2016</v>
      </c>
      <c r="I70" s="141">
        <f t="shared" si="47"/>
        <v>2017</v>
      </c>
      <c r="J70" s="141">
        <f t="shared" si="47"/>
        <v>2018</v>
      </c>
      <c r="K70" s="141">
        <f t="shared" si="47"/>
        <v>2019</v>
      </c>
      <c r="L70" s="141">
        <f t="shared" si="47"/>
        <v>2020</v>
      </c>
      <c r="M70" s="141">
        <f t="shared" si="47"/>
        <v>2021</v>
      </c>
    </row>
    <row r="71" spans="1:13">
      <c r="A71" s="139" t="s">
        <v>180</v>
      </c>
      <c r="B71" s="140" t="s">
        <v>23</v>
      </c>
      <c r="C71" s="142">
        <f>+C5+C63+C66</f>
        <v>7183.4012889999995</v>
      </c>
      <c r="D71" s="142">
        <f t="shared" ref="D71:M71" si="48">+D5+D63+D66</f>
        <v>4737</v>
      </c>
      <c r="E71" s="142">
        <f t="shared" si="48"/>
        <v>4902.7949999999992</v>
      </c>
      <c r="F71" s="142">
        <f t="shared" si="48"/>
        <v>5074.392824999999</v>
      </c>
      <c r="G71" s="142">
        <f t="shared" si="48"/>
        <v>5251.9965738749988</v>
      </c>
      <c r="H71" s="142">
        <f t="shared" si="48"/>
        <v>5435.8164539606241</v>
      </c>
      <c r="I71" s="142">
        <f t="shared" si="48"/>
        <v>5626.0700298492438</v>
      </c>
      <c r="J71" s="142">
        <f t="shared" si="48"/>
        <v>5822.9824808939666</v>
      </c>
      <c r="K71" s="142">
        <f t="shared" si="48"/>
        <v>6026.7868677252563</v>
      </c>
      <c r="L71" s="142">
        <f t="shared" si="48"/>
        <v>6237.7244080956398</v>
      </c>
      <c r="M71" s="142">
        <f t="shared" si="48"/>
        <v>6456.0447623789878</v>
      </c>
    </row>
    <row r="72" spans="1:13">
      <c r="A72" s="139" t="s">
        <v>181</v>
      </c>
      <c r="B72" s="140" t="s">
        <v>34</v>
      </c>
      <c r="C72" s="142">
        <f t="shared" ref="C72:M72" si="49">+C25+C64+C67</f>
        <v>7345</v>
      </c>
      <c r="D72" s="142">
        <f t="shared" si="49"/>
        <v>4900</v>
      </c>
      <c r="E72" s="142">
        <f t="shared" si="49"/>
        <v>5038.66</v>
      </c>
      <c r="F72" s="142">
        <f t="shared" si="49"/>
        <v>5169.0480999999991</v>
      </c>
      <c r="G72" s="142">
        <f t="shared" si="49"/>
        <v>5250.3647834999983</v>
      </c>
      <c r="H72" s="142">
        <f t="shared" si="49"/>
        <v>5416.8175509224975</v>
      </c>
      <c r="I72" s="142">
        <f t="shared" si="49"/>
        <v>5553.6211652047841</v>
      </c>
      <c r="J72" s="142">
        <f t="shared" si="49"/>
        <v>5747.997905986952</v>
      </c>
      <c r="K72" s="142">
        <f t="shared" si="49"/>
        <v>5949.1778326964941</v>
      </c>
      <c r="L72" s="142">
        <f t="shared" si="49"/>
        <v>6157.3990568408708</v>
      </c>
      <c r="M72" s="142">
        <f t="shared" si="49"/>
        <v>6372.9080238303013</v>
      </c>
    </row>
    <row r="73" spans="1:13" ht="13.5" thickBot="1">
      <c r="A73" s="139" t="s">
        <v>182</v>
      </c>
      <c r="B73" s="143" t="s">
        <v>183</v>
      </c>
      <c r="C73" s="144">
        <f t="shared" ref="C73:M73" si="50">+C71-C72</f>
        <v>-161.59871100000055</v>
      </c>
      <c r="D73" s="144">
        <f t="shared" si="50"/>
        <v>-163</v>
      </c>
      <c r="E73" s="144">
        <f t="shared" si="50"/>
        <v>-135.86500000000069</v>
      </c>
      <c r="F73" s="144">
        <f t="shared" si="50"/>
        <v>-94.655275000000074</v>
      </c>
      <c r="G73" s="144">
        <f t="shared" si="50"/>
        <v>1.6317903750004916</v>
      </c>
      <c r="H73" s="144">
        <f t="shared" si="50"/>
        <v>18.998903038126628</v>
      </c>
      <c r="I73" s="144">
        <f t="shared" si="50"/>
        <v>72.448864644459718</v>
      </c>
      <c r="J73" s="144">
        <f t="shared" si="50"/>
        <v>74.984574907014576</v>
      </c>
      <c r="K73" s="144">
        <f t="shared" si="50"/>
        <v>77.609035028762264</v>
      </c>
      <c r="L73" s="144">
        <f t="shared" si="50"/>
        <v>80.325351254768975</v>
      </c>
      <c r="M73" s="144">
        <f t="shared" si="50"/>
        <v>83.13673854868648</v>
      </c>
    </row>
    <row r="74" spans="1:13" ht="13.5" thickBot="1">
      <c r="A74" s="138"/>
      <c r="B74" s="145" t="s">
        <v>184</v>
      </c>
      <c r="C74" s="299">
        <v>3.5000000000000003E-2</v>
      </c>
      <c r="D74" s="299">
        <v>3.5000000000000003E-2</v>
      </c>
      <c r="E74" s="299">
        <v>3.5000000000000003E-2</v>
      </c>
      <c r="F74" s="299">
        <v>3.5000000000000003E-2</v>
      </c>
      <c r="G74" s="299">
        <v>3.5000000000000003E-2</v>
      </c>
      <c r="H74" s="299">
        <v>3.5000000000000003E-2</v>
      </c>
      <c r="I74" s="299">
        <v>3.5000000000000003E-2</v>
      </c>
      <c r="J74" s="299">
        <v>3.5000000000000003E-2</v>
      </c>
      <c r="K74" s="299">
        <v>3.5000000000000003E-2</v>
      </c>
      <c r="L74" s="299">
        <v>3.5000000000000003E-2</v>
      </c>
      <c r="M74" s="299">
        <v>3.5000000000000003E-2</v>
      </c>
    </row>
    <row r="75" spans="1:13">
      <c r="D75" s="147"/>
      <c r="E75" s="148"/>
      <c r="F75" s="148"/>
      <c r="G75" s="148"/>
      <c r="H75" s="148"/>
      <c r="I75" s="148"/>
      <c r="J75" s="148"/>
      <c r="K75" s="148"/>
      <c r="L75" s="148"/>
      <c r="M75" s="148"/>
    </row>
    <row r="76" spans="1:13">
      <c r="D76" s="147"/>
      <c r="E76" s="149"/>
      <c r="F76" s="146"/>
    </row>
    <row r="77" spans="1:13">
      <c r="D77" s="147"/>
      <c r="E77" s="149"/>
    </row>
    <row r="78" spans="1:13">
      <c r="D78" s="149"/>
      <c r="E78" s="149"/>
    </row>
    <row r="79" spans="1:13">
      <c r="D79" s="149"/>
      <c r="E79" s="149"/>
    </row>
  </sheetData>
  <sheetProtection sheet="1"/>
  <protectedRanges>
    <protectedRange sqref="C74:M74" name="Rango2_1_1"/>
  </protectedRanges>
  <phoneticPr fontId="0" type="noConversion"/>
  <pageMargins left="1.4566929133858268" right="0.70866141732283472" top="0.74803149606299213" bottom="0.74803149606299213" header="0.31496062992125984" footer="0.31496062992125984"/>
  <pageSetup paperSize="5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O51"/>
  <sheetViews>
    <sheetView topLeftCell="A15" zoomScale="110" zoomScaleNormal="110" workbookViewId="0">
      <selection sqref="A1:M46"/>
    </sheetView>
  </sheetViews>
  <sheetFormatPr baseColWidth="10" defaultColWidth="10.140625" defaultRowHeight="11.25"/>
  <cols>
    <col min="1" max="1" width="10.42578125" style="152" customWidth="1"/>
    <col min="2" max="2" width="32.140625" style="152" bestFit="1" customWidth="1"/>
    <col min="3" max="3" width="9.5703125" style="152" customWidth="1"/>
    <col min="4" max="4" width="9.5703125" style="187" customWidth="1"/>
    <col min="5" max="5" width="9.42578125" style="188" customWidth="1"/>
    <col min="6" max="13" width="9.42578125" style="152" customWidth="1"/>
    <col min="14" max="255" width="11.42578125" style="152" customWidth="1"/>
    <col min="256" max="16384" width="10.140625" style="152"/>
  </cols>
  <sheetData>
    <row r="1" spans="1:15">
      <c r="A1" s="316" t="s">
        <v>185</v>
      </c>
      <c r="B1" s="316"/>
      <c r="C1" s="316"/>
      <c r="D1" s="150"/>
      <c r="E1" s="151"/>
    </row>
    <row r="2" spans="1:15">
      <c r="A2" s="153" t="s">
        <v>186</v>
      </c>
      <c r="B2" s="153" t="s">
        <v>12</v>
      </c>
      <c r="C2" s="154">
        <v>2011</v>
      </c>
      <c r="D2" s="154">
        <v>2012</v>
      </c>
      <c r="E2" s="154">
        <v>2013</v>
      </c>
      <c r="F2" s="154">
        <v>2014</v>
      </c>
      <c r="G2" s="154">
        <v>2015</v>
      </c>
      <c r="H2" s="154">
        <v>2016</v>
      </c>
      <c r="I2" s="154">
        <v>2017</v>
      </c>
      <c r="J2" s="154">
        <v>2018</v>
      </c>
      <c r="K2" s="154">
        <v>2019</v>
      </c>
      <c r="L2" s="154">
        <v>2020</v>
      </c>
      <c r="M2" s="154">
        <v>2021</v>
      </c>
    </row>
    <row r="3" spans="1:15">
      <c r="A3" s="155" t="s">
        <v>187</v>
      </c>
      <c r="B3" s="156" t="s">
        <v>188</v>
      </c>
      <c r="C3" s="157">
        <f>+C4+C23</f>
        <v>5467.4012889999995</v>
      </c>
      <c r="D3" s="157">
        <f t="shared" ref="D3:M3" si="0">+D4+D23</f>
        <v>4737</v>
      </c>
      <c r="E3" s="157">
        <f t="shared" si="0"/>
        <v>4902.7949999999992</v>
      </c>
      <c r="F3" s="157">
        <f t="shared" si="0"/>
        <v>5074.392824999999</v>
      </c>
      <c r="G3" s="157">
        <f t="shared" si="0"/>
        <v>5251.9965738749988</v>
      </c>
      <c r="H3" s="157">
        <f t="shared" si="0"/>
        <v>5435.8164539606241</v>
      </c>
      <c r="I3" s="157">
        <f t="shared" si="0"/>
        <v>5626.0700298492447</v>
      </c>
      <c r="J3" s="157">
        <f t="shared" si="0"/>
        <v>5822.9824808939684</v>
      </c>
      <c r="K3" s="157">
        <f t="shared" si="0"/>
        <v>6026.7868677252563</v>
      </c>
      <c r="L3" s="157">
        <f t="shared" si="0"/>
        <v>6237.7244080956398</v>
      </c>
      <c r="M3" s="157">
        <f t="shared" si="0"/>
        <v>6456.0447623789878</v>
      </c>
    </row>
    <row r="4" spans="1:15">
      <c r="A4" s="158" t="s">
        <v>189</v>
      </c>
      <c r="B4" s="159" t="s">
        <v>24</v>
      </c>
      <c r="C4" s="157">
        <f>+C5+C10+C11</f>
        <v>5425.4012889999995</v>
      </c>
      <c r="D4" s="157">
        <f t="shared" ref="D4:M4" si="1">+D5+D10+D11</f>
        <v>4731</v>
      </c>
      <c r="E4" s="157">
        <f t="shared" si="1"/>
        <v>4896.5849999999991</v>
      </c>
      <c r="F4" s="157">
        <f t="shared" si="1"/>
        <v>5067.9654749999991</v>
      </c>
      <c r="G4" s="157">
        <f t="shared" si="1"/>
        <v>5245.3442666249985</v>
      </c>
      <c r="H4" s="157">
        <f t="shared" si="1"/>
        <v>5428.9313159568737</v>
      </c>
      <c r="I4" s="157">
        <f t="shared" si="1"/>
        <v>5618.9439120153638</v>
      </c>
      <c r="J4" s="157">
        <f t="shared" si="1"/>
        <v>5815.6069489359015</v>
      </c>
      <c r="K4" s="157">
        <f t="shared" si="1"/>
        <v>6019.1531921486567</v>
      </c>
      <c r="L4" s="157">
        <f t="shared" si="1"/>
        <v>6229.8235538738591</v>
      </c>
      <c r="M4" s="157">
        <f t="shared" si="1"/>
        <v>6447.8673782594451</v>
      </c>
    </row>
    <row r="5" spans="1:15">
      <c r="A5" s="158" t="s">
        <v>190</v>
      </c>
      <c r="B5" s="159" t="s">
        <v>25</v>
      </c>
      <c r="C5" s="157">
        <f>+SUM(C6:C9)</f>
        <v>404</v>
      </c>
      <c r="D5" s="157">
        <f t="shared" ref="D5:M5" si="2">+SUM(D6:D9)</f>
        <v>416</v>
      </c>
      <c r="E5" s="157">
        <f t="shared" si="2"/>
        <v>430.55999999999995</v>
      </c>
      <c r="F5" s="157">
        <f t="shared" si="2"/>
        <v>445.62959999999998</v>
      </c>
      <c r="G5" s="157">
        <f t="shared" si="2"/>
        <v>461.22663599999987</v>
      </c>
      <c r="H5" s="157">
        <f t="shared" si="2"/>
        <v>477.36956825999982</v>
      </c>
      <c r="I5" s="157">
        <f t="shared" si="2"/>
        <v>494.07750314909981</v>
      </c>
      <c r="J5" s="157">
        <f t="shared" si="2"/>
        <v>511.37021575931823</v>
      </c>
      <c r="K5" s="157">
        <f t="shared" si="2"/>
        <v>529.26817331089433</v>
      </c>
      <c r="L5" s="157">
        <f t="shared" si="2"/>
        <v>547.79255937677567</v>
      </c>
      <c r="M5" s="157">
        <f t="shared" si="2"/>
        <v>566.9652989549628</v>
      </c>
    </row>
    <row r="6" spans="1:15">
      <c r="A6" s="158" t="s">
        <v>191</v>
      </c>
      <c r="B6" s="160" t="s">
        <v>26</v>
      </c>
      <c r="C6" s="161">
        <f>+'Plan Financiero Minhacienda'!C8</f>
        <v>87</v>
      </c>
      <c r="D6" s="161">
        <f>+'Plan Financiero Minhacienda'!D8</f>
        <v>100</v>
      </c>
      <c r="E6" s="161">
        <f>+'Plan Financiero Minhacienda'!E8</f>
        <v>103.49999999999999</v>
      </c>
      <c r="F6" s="161">
        <f>+'Plan Financiero Minhacienda'!F8</f>
        <v>107.12249999999997</v>
      </c>
      <c r="G6" s="161">
        <f>+'Plan Financiero Minhacienda'!G8</f>
        <v>110.87178749999997</v>
      </c>
      <c r="H6" s="161">
        <f>+'Plan Financiero Minhacienda'!H8</f>
        <v>114.75230006249996</v>
      </c>
      <c r="I6" s="161">
        <f>+'Plan Financiero Minhacienda'!I8</f>
        <v>118.76863056468744</v>
      </c>
      <c r="J6" s="161">
        <f>+'Plan Financiero Minhacienda'!J8</f>
        <v>122.92553263445149</v>
      </c>
      <c r="K6" s="161">
        <f>+'Plan Financiero Minhacienda'!K8</f>
        <v>127.22792627665727</v>
      </c>
      <c r="L6" s="161">
        <f>+'Plan Financiero Minhacienda'!L8</f>
        <v>131.68090369634027</v>
      </c>
      <c r="M6" s="161">
        <f>+'Plan Financiero Minhacienda'!M8</f>
        <v>136.28973532571217</v>
      </c>
    </row>
    <row r="7" spans="1:15">
      <c r="A7" s="158" t="s">
        <v>192</v>
      </c>
      <c r="B7" s="160" t="s">
        <v>27</v>
      </c>
      <c r="C7" s="161">
        <f>+'Plan Financiero Minhacienda'!C10</f>
        <v>72</v>
      </c>
      <c r="D7" s="161">
        <f>+'Plan Financiero Minhacienda'!D10</f>
        <v>80</v>
      </c>
      <c r="E7" s="161">
        <f>+'Plan Financiero Minhacienda'!E10</f>
        <v>82.8</v>
      </c>
      <c r="F7" s="161">
        <f>+'Plan Financiero Minhacienda'!F10</f>
        <v>85.697999999999993</v>
      </c>
      <c r="G7" s="161">
        <f>+'Plan Financiero Minhacienda'!G10</f>
        <v>88.697429999999983</v>
      </c>
      <c r="H7" s="161">
        <f>+'Plan Financiero Minhacienda'!H10</f>
        <v>91.801840049999981</v>
      </c>
      <c r="I7" s="161">
        <f>+'Plan Financiero Minhacienda'!I10</f>
        <v>95.01490445174997</v>
      </c>
      <c r="J7" s="161">
        <f>+'Plan Financiero Minhacienda'!J10</f>
        <v>98.340426107561214</v>
      </c>
      <c r="K7" s="161">
        <f>+'Plan Financiero Minhacienda'!K10</f>
        <v>101.78234102132585</v>
      </c>
      <c r="L7" s="161">
        <f>+'Plan Financiero Minhacienda'!L10</f>
        <v>105.34472295707225</v>
      </c>
      <c r="M7" s="161">
        <f>+'Plan Financiero Minhacienda'!M10</f>
        <v>109.03178826056977</v>
      </c>
    </row>
    <row r="8" spans="1:15">
      <c r="A8" s="162" t="s">
        <v>193</v>
      </c>
      <c r="B8" s="163" t="s">
        <v>194</v>
      </c>
      <c r="C8" s="161">
        <f>+'Plan Financiero Minhacienda'!C11</f>
        <v>100</v>
      </c>
      <c r="D8" s="161">
        <f>+'Plan Financiero Minhacienda'!D11</f>
        <v>80</v>
      </c>
      <c r="E8" s="161">
        <f>+'Plan Financiero Minhacienda'!E11</f>
        <v>82.8</v>
      </c>
      <c r="F8" s="161">
        <f>+'Plan Financiero Minhacienda'!F11</f>
        <v>85.697999999999993</v>
      </c>
      <c r="G8" s="161">
        <f>+'Plan Financiero Minhacienda'!G11</f>
        <v>88.697429999999983</v>
      </c>
      <c r="H8" s="161">
        <f>+'Plan Financiero Minhacienda'!H11</f>
        <v>91.801840049999981</v>
      </c>
      <c r="I8" s="161">
        <f>+'Plan Financiero Minhacienda'!I11</f>
        <v>95.01490445174997</v>
      </c>
      <c r="J8" s="161">
        <f>+'Plan Financiero Minhacienda'!J11</f>
        <v>98.340426107561214</v>
      </c>
      <c r="K8" s="161">
        <f>+'Plan Financiero Minhacienda'!K11</f>
        <v>101.78234102132585</v>
      </c>
      <c r="L8" s="161">
        <f>+'Plan Financiero Minhacienda'!L11</f>
        <v>105.34472295707225</v>
      </c>
      <c r="M8" s="161">
        <f>+'Plan Financiero Minhacienda'!M11</f>
        <v>109.03178826056977</v>
      </c>
    </row>
    <row r="9" spans="1:15">
      <c r="A9" s="162" t="s">
        <v>195</v>
      </c>
      <c r="B9" s="163" t="s">
        <v>29</v>
      </c>
      <c r="C9" s="161">
        <f>+'Plan Financiero Minhacienda'!C9+'Plan Financiero Minhacienda'!C12</f>
        <v>145</v>
      </c>
      <c r="D9" s="161">
        <f>+'Plan Financiero Minhacienda'!D9+'Plan Financiero Minhacienda'!D12</f>
        <v>156</v>
      </c>
      <c r="E9" s="161">
        <f>+'Plan Financiero Minhacienda'!E9+'Plan Financiero Minhacienda'!E12</f>
        <v>161.45999999999998</v>
      </c>
      <c r="F9" s="161">
        <f>+'Plan Financiero Minhacienda'!F9+'Plan Financiero Minhacienda'!F12</f>
        <v>167.11109999999999</v>
      </c>
      <c r="G9" s="161">
        <f>+'Plan Financiero Minhacienda'!G9+'Plan Financiero Minhacienda'!G12</f>
        <v>172.95998849999995</v>
      </c>
      <c r="H9" s="161">
        <f>+'Plan Financiero Minhacienda'!H9+'Plan Financiero Minhacienda'!H12</f>
        <v>179.01358809749993</v>
      </c>
      <c r="I9" s="161">
        <f>+'Plan Financiero Minhacienda'!I9+'Plan Financiero Minhacienda'!I12</f>
        <v>185.27906368091243</v>
      </c>
      <c r="J9" s="161">
        <f>+'Plan Financiero Minhacienda'!J9+'Plan Financiero Minhacienda'!J12</f>
        <v>191.76383090974434</v>
      </c>
      <c r="K9" s="161">
        <f>+'Plan Financiero Minhacienda'!K9+'Plan Financiero Minhacienda'!K12</f>
        <v>198.4755649915854</v>
      </c>
      <c r="L9" s="161">
        <f>+'Plan Financiero Minhacienda'!L9+'Plan Financiero Minhacienda'!L12</f>
        <v>205.42220976629088</v>
      </c>
      <c r="M9" s="161">
        <f>+'Plan Financiero Minhacienda'!M9+'Plan Financiero Minhacienda'!M12</f>
        <v>212.61198710811104</v>
      </c>
    </row>
    <row r="10" spans="1:15">
      <c r="A10" s="158" t="s">
        <v>196</v>
      </c>
      <c r="B10" s="160" t="s">
        <v>30</v>
      </c>
      <c r="C10" s="161">
        <f>+'Plan Financiero Minhacienda'!C13</f>
        <v>1153</v>
      </c>
      <c r="D10" s="161">
        <f>+'Plan Financiero Minhacienda'!D13</f>
        <v>381</v>
      </c>
      <c r="E10" s="161">
        <f>+'Plan Financiero Minhacienda'!E13</f>
        <v>394.33499999999998</v>
      </c>
      <c r="F10" s="161">
        <f>+'Plan Financiero Minhacienda'!F13</f>
        <v>408.13672499999996</v>
      </c>
      <c r="G10" s="161">
        <f>+'Plan Financiero Minhacienda'!G13</f>
        <v>422.42151037499991</v>
      </c>
      <c r="H10" s="161">
        <f>+'Plan Financiero Minhacienda'!H13</f>
        <v>437.20626323812485</v>
      </c>
      <c r="I10" s="161">
        <f>+'Plan Financiero Minhacienda'!I13</f>
        <v>452.5084824514592</v>
      </c>
      <c r="J10" s="161">
        <f>+'Plan Financiero Minhacienda'!J13</f>
        <v>468.34627933726017</v>
      </c>
      <c r="K10" s="161">
        <f>+'Plan Financiero Minhacienda'!K13</f>
        <v>484.73839911406429</v>
      </c>
      <c r="L10" s="161">
        <f>+'Plan Financiero Minhacienda'!L13</f>
        <v>501.7042430830565</v>
      </c>
      <c r="M10" s="161">
        <f>+'Plan Financiero Minhacienda'!M13</f>
        <v>519.26389159096345</v>
      </c>
    </row>
    <row r="11" spans="1:15">
      <c r="A11" s="158" t="s">
        <v>197</v>
      </c>
      <c r="B11" s="159" t="s">
        <v>31</v>
      </c>
      <c r="C11" s="157">
        <f>+SUM(C12:C13)</f>
        <v>3868.4012889999999</v>
      </c>
      <c r="D11" s="157">
        <f t="shared" ref="D11:M11" si="3">+SUM(D12:D13)</f>
        <v>3934</v>
      </c>
      <c r="E11" s="157">
        <f t="shared" si="3"/>
        <v>4071.6899999999996</v>
      </c>
      <c r="F11" s="157">
        <f t="shared" si="3"/>
        <v>4214.1991499999995</v>
      </c>
      <c r="G11" s="157">
        <f t="shared" si="3"/>
        <v>4361.6961202499988</v>
      </c>
      <c r="H11" s="157">
        <f t="shared" si="3"/>
        <v>4514.3554844587488</v>
      </c>
      <c r="I11" s="157">
        <f t="shared" si="3"/>
        <v>4672.3579264148048</v>
      </c>
      <c r="J11" s="157">
        <f t="shared" si="3"/>
        <v>4835.8904538393226</v>
      </c>
      <c r="K11" s="157">
        <f t="shared" si="3"/>
        <v>5005.1466197236978</v>
      </c>
      <c r="L11" s="157">
        <f t="shared" si="3"/>
        <v>5180.3267514140271</v>
      </c>
      <c r="M11" s="157">
        <f t="shared" si="3"/>
        <v>5361.6381877135191</v>
      </c>
      <c r="O11" s="298"/>
    </row>
    <row r="12" spans="1:15">
      <c r="A12" s="158" t="s">
        <v>198</v>
      </c>
      <c r="B12" s="160" t="s">
        <v>32</v>
      </c>
      <c r="C12" s="161">
        <f>+'Plan Financiero Minhacienda'!C18</f>
        <v>3264</v>
      </c>
      <c r="D12" s="161">
        <f>+'Plan Financiero Minhacienda'!D18</f>
        <v>3223</v>
      </c>
      <c r="E12" s="161">
        <f>+'Plan Financiero Minhacienda'!E18</f>
        <v>3335.8049999999998</v>
      </c>
      <c r="F12" s="161">
        <f>+'Plan Financiero Minhacienda'!F18</f>
        <v>3452.5581749999997</v>
      </c>
      <c r="G12" s="161">
        <f>+'Plan Financiero Minhacienda'!G18</f>
        <v>3573.3977111249992</v>
      </c>
      <c r="H12" s="161">
        <f>+'Plan Financiero Minhacienda'!H18</f>
        <v>3698.4666310143743</v>
      </c>
      <c r="I12" s="161">
        <f>+'Plan Financiero Minhacienda'!I18</f>
        <v>3827.9129630998768</v>
      </c>
      <c r="J12" s="161">
        <f>+'Plan Financiero Minhacienda'!J18</f>
        <v>3961.8899168083722</v>
      </c>
      <c r="K12" s="161">
        <f>+'Plan Financiero Minhacienda'!K18</f>
        <v>4100.5560638966645</v>
      </c>
      <c r="L12" s="161">
        <f>+'Plan Financiero Minhacienda'!L18</f>
        <v>4244.0755261330478</v>
      </c>
      <c r="M12" s="161">
        <f>+'Plan Financiero Minhacienda'!M18</f>
        <v>4392.6181695477053</v>
      </c>
    </row>
    <row r="13" spans="1:15">
      <c r="A13" s="158" t="s">
        <v>199</v>
      </c>
      <c r="B13" s="160" t="s">
        <v>33</v>
      </c>
      <c r="C13" s="161">
        <f>+'Plan Financiero Minhacienda'!C17+'Plan Financiero Minhacienda'!C24</f>
        <v>604.40128900000002</v>
      </c>
      <c r="D13" s="161">
        <f>+'Plan Financiero Minhacienda'!D17+'Plan Financiero Minhacienda'!D24</f>
        <v>711</v>
      </c>
      <c r="E13" s="161">
        <f>+'Plan Financiero Minhacienda'!E17+'Plan Financiero Minhacienda'!E24</f>
        <v>735.88499999999999</v>
      </c>
      <c r="F13" s="161">
        <f>+'Plan Financiero Minhacienda'!F17+'Plan Financiero Minhacienda'!F24</f>
        <v>761.64097499999991</v>
      </c>
      <c r="G13" s="161">
        <f>+'Plan Financiero Minhacienda'!G17+'Plan Financiero Minhacienda'!G24</f>
        <v>788.29840912499981</v>
      </c>
      <c r="H13" s="161">
        <f>+'Plan Financiero Minhacienda'!H17+'Plan Financiero Minhacienda'!H24</f>
        <v>815.88885344437472</v>
      </c>
      <c r="I13" s="161">
        <f>+'Plan Financiero Minhacienda'!I17+'Plan Financiero Minhacienda'!I24</f>
        <v>844.44496331492792</v>
      </c>
      <c r="J13" s="161">
        <f>+'Plan Financiero Minhacienda'!J17+'Plan Financiero Minhacienda'!J24</f>
        <v>874.00053703095023</v>
      </c>
      <c r="K13" s="161">
        <f>+'Plan Financiero Minhacienda'!K17+'Plan Financiero Minhacienda'!K24</f>
        <v>904.59055582703343</v>
      </c>
      <c r="L13" s="161">
        <f>+'Plan Financiero Minhacienda'!L17+'Plan Financiero Minhacienda'!L24</f>
        <v>936.2512252809795</v>
      </c>
      <c r="M13" s="161">
        <f>+'Plan Financiero Minhacienda'!M17+'Plan Financiero Minhacienda'!M24</f>
        <v>969.02001816581378</v>
      </c>
    </row>
    <row r="14" spans="1:15">
      <c r="A14" s="155" t="s">
        <v>200</v>
      </c>
      <c r="B14" s="156" t="s">
        <v>201</v>
      </c>
      <c r="C14" s="157">
        <f>+C15+C30</f>
        <v>7001</v>
      </c>
      <c r="D14" s="157">
        <f t="shared" ref="D14:M14" si="4">+D15+D30</f>
        <v>4517</v>
      </c>
      <c r="E14" s="157">
        <f t="shared" si="4"/>
        <v>4655.24</v>
      </c>
      <c r="F14" s="157">
        <f t="shared" si="4"/>
        <v>4800.9483999999993</v>
      </c>
      <c r="G14" s="157">
        <f t="shared" si="4"/>
        <v>4958.3165939999981</v>
      </c>
      <c r="H14" s="157">
        <f t="shared" si="4"/>
        <v>5125.5426747899974</v>
      </c>
      <c r="I14" s="157">
        <f t="shared" si="4"/>
        <v>5301.8316684076462</v>
      </c>
      <c r="J14" s="157">
        <f t="shared" si="4"/>
        <v>5487.3957768019145</v>
      </c>
      <c r="K14" s="157">
        <f t="shared" si="4"/>
        <v>5679.4546289899808</v>
      </c>
      <c r="L14" s="157">
        <f t="shared" si="4"/>
        <v>5878.2355410046293</v>
      </c>
      <c r="M14" s="157">
        <f t="shared" si="4"/>
        <v>6083.9737849397916</v>
      </c>
    </row>
    <row r="15" spans="1:15">
      <c r="A15" s="158" t="s">
        <v>202</v>
      </c>
      <c r="B15" s="160" t="s">
        <v>203</v>
      </c>
      <c r="C15" s="164">
        <f>+C16+C20+C29</f>
        <v>7001</v>
      </c>
      <c r="D15" s="164">
        <f t="shared" ref="D15:M15" si="5">+D16+D20+D29</f>
        <v>4517</v>
      </c>
      <c r="E15" s="164">
        <f t="shared" si="5"/>
        <v>4655.24</v>
      </c>
      <c r="F15" s="164">
        <f t="shared" si="5"/>
        <v>4800.9483999999993</v>
      </c>
      <c r="G15" s="164">
        <f t="shared" si="5"/>
        <v>4958.3165939999981</v>
      </c>
      <c r="H15" s="164">
        <f t="shared" si="5"/>
        <v>5125.5426747899974</v>
      </c>
      <c r="I15" s="164">
        <f t="shared" si="5"/>
        <v>5301.8316684076462</v>
      </c>
      <c r="J15" s="164">
        <f t="shared" si="5"/>
        <v>5487.3957768019145</v>
      </c>
      <c r="K15" s="164">
        <f t="shared" si="5"/>
        <v>5679.4546289899808</v>
      </c>
      <c r="L15" s="164">
        <f t="shared" si="5"/>
        <v>5878.2355410046293</v>
      </c>
      <c r="M15" s="164">
        <f t="shared" si="5"/>
        <v>6083.9737849397916</v>
      </c>
    </row>
    <row r="16" spans="1:15">
      <c r="A16" s="158" t="s">
        <v>204</v>
      </c>
      <c r="B16" s="160" t="s">
        <v>205</v>
      </c>
      <c r="C16" s="164">
        <f>+SUM(C17:C19)</f>
        <v>670</v>
      </c>
      <c r="D16" s="164">
        <f t="shared" ref="D16:M16" si="6">+SUM(D17:D19)</f>
        <v>720</v>
      </c>
      <c r="E16" s="164">
        <f t="shared" si="6"/>
        <v>745.2</v>
      </c>
      <c r="F16" s="164">
        <f t="shared" si="6"/>
        <v>771.28199999999993</v>
      </c>
      <c r="G16" s="164">
        <f t="shared" si="6"/>
        <v>798.27686999999969</v>
      </c>
      <c r="H16" s="164">
        <f t="shared" si="6"/>
        <v>826.21656044999975</v>
      </c>
      <c r="I16" s="164">
        <f t="shared" si="6"/>
        <v>855.13414006574965</v>
      </c>
      <c r="J16" s="164">
        <f t="shared" si="6"/>
        <v>885.06383496805097</v>
      </c>
      <c r="K16" s="164">
        <f t="shared" si="6"/>
        <v>916.04106919193248</v>
      </c>
      <c r="L16" s="164">
        <f t="shared" si="6"/>
        <v>948.10250661365023</v>
      </c>
      <c r="M16" s="164">
        <f t="shared" si="6"/>
        <v>981.28609434512782</v>
      </c>
    </row>
    <row r="17" spans="1:13">
      <c r="A17" s="158" t="s">
        <v>206</v>
      </c>
      <c r="B17" s="160" t="s">
        <v>207</v>
      </c>
      <c r="C17" s="161">
        <f>+'Plan Financiero Minhacienda'!C28</f>
        <v>443</v>
      </c>
      <c r="D17" s="161">
        <f>+'Plan Financiero Minhacienda'!D28</f>
        <v>430</v>
      </c>
      <c r="E17" s="161">
        <f>+'Plan Financiero Minhacienda'!E28</f>
        <v>445.04999999999995</v>
      </c>
      <c r="F17" s="161">
        <f>+'Plan Financiero Minhacienda'!F28</f>
        <v>460.6267499999999</v>
      </c>
      <c r="G17" s="161">
        <f>+'Plan Financiero Minhacienda'!G28</f>
        <v>476.74868624999988</v>
      </c>
      <c r="H17" s="161">
        <f>+'Plan Financiero Minhacienda'!H28</f>
        <v>493.43489026874983</v>
      </c>
      <c r="I17" s="161">
        <f>+'Plan Financiero Minhacienda'!I28</f>
        <v>510.70511142815604</v>
      </c>
      <c r="J17" s="161">
        <f>+'Plan Financiero Minhacienda'!J28</f>
        <v>528.57979032814148</v>
      </c>
      <c r="K17" s="161">
        <f>+'Plan Financiero Minhacienda'!K28</f>
        <v>547.08008298962636</v>
      </c>
      <c r="L17" s="161">
        <f>+'Plan Financiero Minhacienda'!L28</f>
        <v>566.2278858942633</v>
      </c>
      <c r="M17" s="161">
        <f>+'Plan Financiero Minhacienda'!M28</f>
        <v>586.0458619005625</v>
      </c>
    </row>
    <row r="18" spans="1:13">
      <c r="A18" s="158" t="s">
        <v>208</v>
      </c>
      <c r="B18" s="160" t="s">
        <v>209</v>
      </c>
      <c r="C18" s="161">
        <f>+'Plan Financiero Minhacienda'!C29</f>
        <v>162</v>
      </c>
      <c r="D18" s="161">
        <f>+'Plan Financiero Minhacienda'!D29</f>
        <v>220</v>
      </c>
      <c r="E18" s="161">
        <f>+'Plan Financiero Minhacienda'!E29</f>
        <v>227.7</v>
      </c>
      <c r="F18" s="161">
        <f>+'Plan Financiero Minhacienda'!F29</f>
        <v>235.66949999999997</v>
      </c>
      <c r="G18" s="161">
        <f>+'Plan Financiero Minhacienda'!G29</f>
        <v>243.91793249999995</v>
      </c>
      <c r="H18" s="161">
        <f>+'Plan Financiero Minhacienda'!H29</f>
        <v>252.45506013749994</v>
      </c>
      <c r="I18" s="161">
        <f>+'Plan Financiero Minhacienda'!I29</f>
        <v>261.29098724231244</v>
      </c>
      <c r="J18" s="161">
        <f>+'Plan Financiero Minhacienda'!J29</f>
        <v>270.43617179579337</v>
      </c>
      <c r="K18" s="161">
        <f>+'Plan Financiero Minhacienda'!K29</f>
        <v>279.90143780864611</v>
      </c>
      <c r="L18" s="161">
        <f>+'Plan Financiero Minhacienda'!L29</f>
        <v>289.6979881319487</v>
      </c>
      <c r="M18" s="161">
        <f>+'Plan Financiero Minhacienda'!M29</f>
        <v>299.8374177165669</v>
      </c>
    </row>
    <row r="19" spans="1:13">
      <c r="A19" s="158" t="s">
        <v>210</v>
      </c>
      <c r="B19" s="160" t="s">
        <v>211</v>
      </c>
      <c r="C19" s="161">
        <f>+'Plan Financiero Minhacienda'!C30</f>
        <v>65</v>
      </c>
      <c r="D19" s="161">
        <f>+'Plan Financiero Minhacienda'!D30</f>
        <v>70</v>
      </c>
      <c r="E19" s="161">
        <f>+'Plan Financiero Minhacienda'!E30</f>
        <v>72.449999999999989</v>
      </c>
      <c r="F19" s="161">
        <f>+'Plan Financiero Minhacienda'!F30</f>
        <v>74.985749999999996</v>
      </c>
      <c r="G19" s="161">
        <f>+'Plan Financiero Minhacienda'!G30</f>
        <v>77.610251249999976</v>
      </c>
      <c r="H19" s="161">
        <f>+'Plan Financiero Minhacienda'!H30</f>
        <v>80.32661004374998</v>
      </c>
      <c r="I19" s="161">
        <f>+'Plan Financiero Minhacienda'!I30</f>
        <v>83.138041395281221</v>
      </c>
      <c r="J19" s="161">
        <f>+'Plan Financiero Minhacienda'!J30</f>
        <v>86.047872844116057</v>
      </c>
      <c r="K19" s="161">
        <f>+'Plan Financiero Minhacienda'!K30</f>
        <v>89.059548393660108</v>
      </c>
      <c r="L19" s="161">
        <f>+'Plan Financiero Minhacienda'!L30</f>
        <v>92.176632587438206</v>
      </c>
      <c r="M19" s="161">
        <f>+'Plan Financiero Minhacienda'!M30</f>
        <v>95.402814727998532</v>
      </c>
    </row>
    <row r="20" spans="1:13">
      <c r="A20" s="158" t="s">
        <v>212</v>
      </c>
      <c r="B20" s="160" t="s">
        <v>213</v>
      </c>
      <c r="C20" s="164">
        <f>+'Plan Financiero Minhacienda'!C40</f>
        <v>38</v>
      </c>
      <c r="D20" s="164">
        <f>+'Plan Financiero Minhacienda'!D40</f>
        <v>53</v>
      </c>
      <c r="E20" s="164">
        <f>+'Plan Financiero Minhacienda'!E40</f>
        <v>35</v>
      </c>
      <c r="F20" s="164">
        <f>+'Plan Financiero Minhacienda'!F40</f>
        <v>19</v>
      </c>
      <c r="G20" s="164">
        <f>+'Plan Financiero Minhacienda'!G40</f>
        <v>9</v>
      </c>
      <c r="H20" s="164">
        <f>+'Plan Financiero Minhacienda'!H40</f>
        <v>3</v>
      </c>
      <c r="I20" s="164">
        <f>+'Plan Financiero Minhacienda'!I40</f>
        <v>0</v>
      </c>
      <c r="J20" s="164">
        <f>+'Plan Financiero Minhacienda'!J40</f>
        <v>0</v>
      </c>
      <c r="K20" s="164">
        <f>+'Plan Financiero Minhacienda'!K40</f>
        <v>0</v>
      </c>
      <c r="L20" s="164">
        <f>+'Plan Financiero Minhacienda'!L40</f>
        <v>0</v>
      </c>
      <c r="M20" s="164">
        <f>+'Plan Financiero Minhacienda'!M40</f>
        <v>0</v>
      </c>
    </row>
    <row r="21" spans="1:13">
      <c r="A21" s="158" t="s">
        <v>214</v>
      </c>
      <c r="B21" s="163" t="s">
        <v>215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</row>
    <row r="22" spans="1:13">
      <c r="A22" s="155" t="s">
        <v>216</v>
      </c>
      <c r="B22" s="156" t="s">
        <v>217</v>
      </c>
      <c r="C22" s="157">
        <f>+C4-C15</f>
        <v>-1575.5987110000005</v>
      </c>
      <c r="D22" s="157">
        <f t="shared" ref="D22:M22" si="7">+D4-D15</f>
        <v>214</v>
      </c>
      <c r="E22" s="157">
        <f t="shared" si="7"/>
        <v>241.34499999999935</v>
      </c>
      <c r="F22" s="157">
        <f t="shared" si="7"/>
        <v>267.01707499999975</v>
      </c>
      <c r="G22" s="157">
        <f t="shared" si="7"/>
        <v>287.02767262500038</v>
      </c>
      <c r="H22" s="157">
        <f t="shared" si="7"/>
        <v>303.38864116687637</v>
      </c>
      <c r="I22" s="157">
        <f t="shared" si="7"/>
        <v>317.11224360771757</v>
      </c>
      <c r="J22" s="157">
        <f t="shared" si="7"/>
        <v>328.21117213398702</v>
      </c>
      <c r="K22" s="157">
        <f t="shared" si="7"/>
        <v>339.69856315867582</v>
      </c>
      <c r="L22" s="157">
        <f t="shared" si="7"/>
        <v>351.58801286922971</v>
      </c>
      <c r="M22" s="157">
        <f t="shared" si="7"/>
        <v>363.89359331965352</v>
      </c>
    </row>
    <row r="23" spans="1:13">
      <c r="A23" s="155" t="s">
        <v>218</v>
      </c>
      <c r="B23" s="156" t="s">
        <v>219</v>
      </c>
      <c r="C23" s="157">
        <f>+SUM(C24:C27)</f>
        <v>42</v>
      </c>
      <c r="D23" s="157">
        <f t="shared" ref="D23:M23" si="8">+SUM(D24:D27)</f>
        <v>6</v>
      </c>
      <c r="E23" s="157">
        <f t="shared" si="8"/>
        <v>6.2099999999999991</v>
      </c>
      <c r="F23" s="157">
        <f t="shared" si="8"/>
        <v>6.4273499999999988</v>
      </c>
      <c r="G23" s="157">
        <f t="shared" si="8"/>
        <v>6.652307249999998</v>
      </c>
      <c r="H23" s="157">
        <f t="shared" si="8"/>
        <v>6.8851380037499972</v>
      </c>
      <c r="I23" s="157">
        <f t="shared" si="8"/>
        <v>7.1261178338812465</v>
      </c>
      <c r="J23" s="157">
        <f t="shared" si="8"/>
        <v>7.3755319580670893</v>
      </c>
      <c r="K23" s="157">
        <f t="shared" si="8"/>
        <v>7.6336755765994369</v>
      </c>
      <c r="L23" s="157">
        <f t="shared" si="8"/>
        <v>7.900854221780417</v>
      </c>
      <c r="M23" s="157">
        <f t="shared" si="8"/>
        <v>8.1773841195427313</v>
      </c>
    </row>
    <row r="24" spans="1:13">
      <c r="A24" s="158" t="s">
        <v>220</v>
      </c>
      <c r="B24" s="163" t="s">
        <v>221</v>
      </c>
      <c r="C24" s="161">
        <f>+'Plan Financiero Minhacienda'!C49</f>
        <v>0</v>
      </c>
      <c r="D24" s="161">
        <f>+'Plan Financiero Minhacienda'!D49</f>
        <v>0</v>
      </c>
      <c r="E24" s="161">
        <f>+'Plan Financiero Minhacienda'!E49</f>
        <v>0</v>
      </c>
      <c r="F24" s="161">
        <f>+'Plan Financiero Minhacienda'!F49</f>
        <v>0</v>
      </c>
      <c r="G24" s="161">
        <f>+'Plan Financiero Minhacienda'!G49</f>
        <v>0</v>
      </c>
      <c r="H24" s="161">
        <f>+'Plan Financiero Minhacienda'!H49</f>
        <v>0</v>
      </c>
      <c r="I24" s="161">
        <f>+'Plan Financiero Minhacienda'!I49</f>
        <v>0</v>
      </c>
      <c r="J24" s="161">
        <f>+'Plan Financiero Minhacienda'!J49</f>
        <v>0</v>
      </c>
      <c r="K24" s="161">
        <f>+'Plan Financiero Minhacienda'!K49</f>
        <v>0</v>
      </c>
      <c r="L24" s="161">
        <f>+'Plan Financiero Minhacienda'!L49</f>
        <v>0</v>
      </c>
      <c r="M24" s="161">
        <f>+'Plan Financiero Minhacienda'!M49</f>
        <v>0</v>
      </c>
    </row>
    <row r="25" spans="1:13">
      <c r="A25" s="162" t="s">
        <v>222</v>
      </c>
      <c r="B25" s="163" t="s">
        <v>223</v>
      </c>
      <c r="C25" s="161">
        <v>0</v>
      </c>
      <c r="D25" s="161">
        <v>0</v>
      </c>
      <c r="E25" s="161">
        <v>0</v>
      </c>
      <c r="F25" s="161">
        <v>0</v>
      </c>
      <c r="G25" s="161">
        <v>0</v>
      </c>
      <c r="H25" s="161">
        <v>0</v>
      </c>
      <c r="I25" s="161">
        <v>0</v>
      </c>
      <c r="J25" s="161">
        <v>0</v>
      </c>
      <c r="K25" s="161">
        <v>0</v>
      </c>
      <c r="L25" s="161">
        <v>0</v>
      </c>
      <c r="M25" s="161">
        <v>0</v>
      </c>
    </row>
    <row r="26" spans="1:13">
      <c r="A26" s="158" t="s">
        <v>224</v>
      </c>
      <c r="B26" s="163" t="s">
        <v>225</v>
      </c>
      <c r="C26" s="161">
        <v>0</v>
      </c>
      <c r="D26" s="161">
        <v>0</v>
      </c>
      <c r="E26" s="161">
        <v>0</v>
      </c>
      <c r="F26" s="161">
        <v>0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</row>
    <row r="27" spans="1:13">
      <c r="A27" s="158" t="s">
        <v>226</v>
      </c>
      <c r="B27" s="163" t="s">
        <v>227</v>
      </c>
      <c r="C27" s="161">
        <f>+'Plan Financiero Minhacienda'!C51+'Plan Financiero Minhacienda'!C54</f>
        <v>42</v>
      </c>
      <c r="D27" s="161">
        <f>+'Plan Financiero Minhacienda'!D51+'Plan Financiero Minhacienda'!D54</f>
        <v>6</v>
      </c>
      <c r="E27" s="161">
        <f>+'Plan Financiero Minhacienda'!E51+'Plan Financiero Minhacienda'!E54</f>
        <v>6.2099999999999991</v>
      </c>
      <c r="F27" s="161">
        <f>+'Plan Financiero Minhacienda'!F51+'Plan Financiero Minhacienda'!F54</f>
        <v>6.4273499999999988</v>
      </c>
      <c r="G27" s="161">
        <f>+'Plan Financiero Minhacienda'!G51+'Plan Financiero Minhacienda'!G54</f>
        <v>6.652307249999998</v>
      </c>
      <c r="H27" s="161">
        <f>+'Plan Financiero Minhacienda'!H51+'Plan Financiero Minhacienda'!H54</f>
        <v>6.8851380037499972</v>
      </c>
      <c r="I27" s="161">
        <f>+'Plan Financiero Minhacienda'!I51+'Plan Financiero Minhacienda'!I54</f>
        <v>7.1261178338812465</v>
      </c>
      <c r="J27" s="161">
        <f>+'Plan Financiero Minhacienda'!J51+'Plan Financiero Minhacienda'!J54</f>
        <v>7.3755319580670893</v>
      </c>
      <c r="K27" s="161">
        <f>+'Plan Financiero Minhacienda'!K51+'Plan Financiero Minhacienda'!K54</f>
        <v>7.6336755765994369</v>
      </c>
      <c r="L27" s="161">
        <f>+'Plan Financiero Minhacienda'!L51+'Plan Financiero Minhacienda'!L54</f>
        <v>7.900854221780417</v>
      </c>
      <c r="M27" s="161">
        <f>+'Plan Financiero Minhacienda'!M51+'Plan Financiero Minhacienda'!M54</f>
        <v>8.1773841195427313</v>
      </c>
    </row>
    <row r="28" spans="1:13">
      <c r="A28" s="155" t="s">
        <v>228</v>
      </c>
      <c r="B28" s="156" t="s">
        <v>229</v>
      </c>
      <c r="C28" s="157">
        <f>+SUM(C29:C30)</f>
        <v>6293</v>
      </c>
      <c r="D28" s="157">
        <f t="shared" ref="D28:M28" si="9">+SUM(D29:D30)</f>
        <v>3744</v>
      </c>
      <c r="E28" s="157">
        <f t="shared" si="9"/>
        <v>3875.0399999999995</v>
      </c>
      <c r="F28" s="157">
        <f t="shared" si="9"/>
        <v>4010.6663999999992</v>
      </c>
      <c r="G28" s="157">
        <f t="shared" si="9"/>
        <v>4151.0397239999984</v>
      </c>
      <c r="H28" s="157">
        <f t="shared" si="9"/>
        <v>4296.3261143399977</v>
      </c>
      <c r="I28" s="157">
        <f t="shared" si="9"/>
        <v>4446.6975283418969</v>
      </c>
      <c r="J28" s="157">
        <f t="shared" si="9"/>
        <v>4602.3319418338633</v>
      </c>
      <c r="K28" s="157">
        <f t="shared" si="9"/>
        <v>4763.4135597980485</v>
      </c>
      <c r="L28" s="157">
        <f t="shared" si="9"/>
        <v>4930.1330343909794</v>
      </c>
      <c r="M28" s="157">
        <f t="shared" si="9"/>
        <v>5102.6876905946638</v>
      </c>
    </row>
    <row r="29" spans="1:13">
      <c r="A29" s="165" t="s">
        <v>230</v>
      </c>
      <c r="B29" s="163" t="s">
        <v>231</v>
      </c>
      <c r="C29" s="161">
        <f>+'Plan Financiero Minhacienda'!C43</f>
        <v>6293</v>
      </c>
      <c r="D29" s="161">
        <f>+'Plan Financiero Minhacienda'!D43</f>
        <v>3744</v>
      </c>
      <c r="E29" s="161">
        <f>+'Plan Financiero Minhacienda'!E43</f>
        <v>3875.0399999999995</v>
      </c>
      <c r="F29" s="161">
        <f>+'Plan Financiero Minhacienda'!F43</f>
        <v>4010.6663999999992</v>
      </c>
      <c r="G29" s="161">
        <f>+'Plan Financiero Minhacienda'!G43</f>
        <v>4151.0397239999984</v>
      </c>
      <c r="H29" s="161">
        <f>+'Plan Financiero Minhacienda'!H43</f>
        <v>4296.3261143399977</v>
      </c>
      <c r="I29" s="161">
        <f>+'Plan Financiero Minhacienda'!I43</f>
        <v>4446.6975283418969</v>
      </c>
      <c r="J29" s="161">
        <f>+'Plan Financiero Minhacienda'!J43</f>
        <v>4602.3319418338633</v>
      </c>
      <c r="K29" s="161">
        <f>+'Plan Financiero Minhacienda'!K43</f>
        <v>4763.4135597980485</v>
      </c>
      <c r="L29" s="161">
        <f>+'Plan Financiero Minhacienda'!L43</f>
        <v>4930.1330343909794</v>
      </c>
      <c r="M29" s="161">
        <f>+'Plan Financiero Minhacienda'!M43</f>
        <v>5102.6876905946638</v>
      </c>
    </row>
    <row r="30" spans="1:13">
      <c r="A30" s="162" t="s">
        <v>232</v>
      </c>
      <c r="B30" s="163" t="s">
        <v>233</v>
      </c>
      <c r="C30" s="161">
        <f>+'Plan Financiero Minhacienda'!C56</f>
        <v>0</v>
      </c>
      <c r="D30" s="161">
        <f>+'Plan Financiero Minhacienda'!D56</f>
        <v>0</v>
      </c>
      <c r="E30" s="161">
        <f>+'Plan Financiero Minhacienda'!E56</f>
        <v>0</v>
      </c>
      <c r="F30" s="161">
        <f>+'Plan Financiero Minhacienda'!F56</f>
        <v>0</v>
      </c>
      <c r="G30" s="161">
        <f>+'Plan Financiero Minhacienda'!G56</f>
        <v>0</v>
      </c>
      <c r="H30" s="161">
        <f>+'Plan Financiero Minhacienda'!H56</f>
        <v>0</v>
      </c>
      <c r="I30" s="161">
        <f>+'Plan Financiero Minhacienda'!I56</f>
        <v>0</v>
      </c>
      <c r="J30" s="161">
        <f>+'Plan Financiero Minhacienda'!J56</f>
        <v>0</v>
      </c>
      <c r="K30" s="161">
        <f>+'Plan Financiero Minhacienda'!K56</f>
        <v>0</v>
      </c>
      <c r="L30" s="161">
        <f>+'Plan Financiero Minhacienda'!L56</f>
        <v>0</v>
      </c>
      <c r="M30" s="161">
        <f>+'Plan Financiero Minhacienda'!M56</f>
        <v>0</v>
      </c>
    </row>
    <row r="31" spans="1:13">
      <c r="A31" s="155" t="s">
        <v>234</v>
      </c>
      <c r="B31" s="156" t="s">
        <v>235</v>
      </c>
      <c r="C31" s="157">
        <f>+C22+C23+C41-C30</f>
        <v>-97.598711000000549</v>
      </c>
      <c r="D31" s="157">
        <f t="shared" ref="D31:M31" si="10">+D22+D23+D41-D30</f>
        <v>220</v>
      </c>
      <c r="E31" s="157">
        <f t="shared" si="10"/>
        <v>247.55499999999935</v>
      </c>
      <c r="F31" s="157">
        <f t="shared" si="10"/>
        <v>273.44442499999974</v>
      </c>
      <c r="G31" s="157">
        <f t="shared" si="10"/>
        <v>293.67997987500036</v>
      </c>
      <c r="H31" s="157">
        <f t="shared" si="10"/>
        <v>310.27377917062637</v>
      </c>
      <c r="I31" s="157">
        <f t="shared" si="10"/>
        <v>324.23836144159884</v>
      </c>
      <c r="J31" s="157">
        <f t="shared" si="10"/>
        <v>335.58670409205411</v>
      </c>
      <c r="K31" s="157">
        <f t="shared" si="10"/>
        <v>347.33223873527527</v>
      </c>
      <c r="L31" s="157">
        <f t="shared" si="10"/>
        <v>359.48886709101015</v>
      </c>
      <c r="M31" s="157">
        <f t="shared" si="10"/>
        <v>372.07097743919627</v>
      </c>
    </row>
    <row r="32" spans="1:13">
      <c r="A32" s="158" t="s">
        <v>236</v>
      </c>
      <c r="B32" s="166" t="s">
        <v>237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</row>
    <row r="33" spans="1:13">
      <c r="A33" s="158" t="s">
        <v>238</v>
      </c>
      <c r="B33" s="166" t="s">
        <v>239</v>
      </c>
      <c r="C33" s="167">
        <v>0</v>
      </c>
      <c r="D33" s="167">
        <v>0</v>
      </c>
      <c r="E33" s="167"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</row>
    <row r="34" spans="1:13">
      <c r="A34" s="158" t="s">
        <v>240</v>
      </c>
      <c r="B34" s="160" t="s">
        <v>241</v>
      </c>
      <c r="C34" s="161">
        <v>280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</row>
    <row r="35" spans="1:13">
      <c r="A35" s="162" t="s">
        <v>242</v>
      </c>
      <c r="B35" s="160" t="s">
        <v>243</v>
      </c>
      <c r="C35" s="161">
        <v>140</v>
      </c>
      <c r="D35" s="161">
        <v>171</v>
      </c>
      <c r="E35" s="161">
        <v>164</v>
      </c>
      <c r="F35" s="161">
        <v>141</v>
      </c>
      <c r="G35" s="161">
        <v>57</v>
      </c>
      <c r="H35" s="161">
        <v>48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</row>
    <row r="36" spans="1:13">
      <c r="A36" s="162" t="s">
        <v>244</v>
      </c>
      <c r="B36" s="166" t="s">
        <v>245</v>
      </c>
      <c r="C36" s="167">
        <v>0</v>
      </c>
      <c r="D36" s="167">
        <v>0</v>
      </c>
      <c r="E36" s="167">
        <v>0</v>
      </c>
      <c r="F36" s="167">
        <v>0</v>
      </c>
      <c r="G36" s="167">
        <v>0</v>
      </c>
      <c r="H36" s="167">
        <v>0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</row>
    <row r="37" spans="1:13">
      <c r="A37" s="168"/>
      <c r="B37" s="169" t="s">
        <v>35</v>
      </c>
      <c r="C37" s="170">
        <f>+'Plan Financiero Minhacienda'!C68</f>
        <v>581</v>
      </c>
      <c r="D37" s="170">
        <f>+'Plan Financiero Minhacienda'!D68</f>
        <v>410</v>
      </c>
      <c r="E37" s="170">
        <f>+'Plan Financiero Minhacienda'!E68</f>
        <v>246</v>
      </c>
      <c r="F37" s="170">
        <f>+'Plan Financiero Minhacienda'!F68</f>
        <v>105</v>
      </c>
      <c r="G37" s="170">
        <f>+'Plan Financiero Minhacienda'!G68</f>
        <v>48</v>
      </c>
      <c r="H37" s="170">
        <f>+'Plan Financiero Minhacienda'!H68</f>
        <v>0</v>
      </c>
      <c r="I37" s="170">
        <f>+'Plan Financiero Minhacienda'!I68</f>
        <v>0</v>
      </c>
      <c r="J37" s="170">
        <f>+'Plan Financiero Minhacienda'!J68</f>
        <v>0</v>
      </c>
      <c r="K37" s="170">
        <f>+'Plan Financiero Minhacienda'!K68</f>
        <v>0</v>
      </c>
      <c r="L37" s="170">
        <f>+'Plan Financiero Minhacienda'!L68</f>
        <v>0</v>
      </c>
      <c r="M37" s="170">
        <f>+'Plan Financiero Minhacienda'!M68</f>
        <v>0</v>
      </c>
    </row>
    <row r="38" spans="1:13" s="175" customFormat="1" ht="7.5" customHeight="1">
      <c r="A38" s="171"/>
      <c r="B38" s="172"/>
      <c r="C38" s="173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1:13" s="175" customFormat="1">
      <c r="A39" s="171"/>
      <c r="B39" s="176" t="s">
        <v>246</v>
      </c>
      <c r="C39" s="154">
        <v>2011</v>
      </c>
      <c r="D39" s="154">
        <v>2012</v>
      </c>
      <c r="E39" s="154">
        <v>2013</v>
      </c>
      <c r="F39" s="154">
        <v>2014</v>
      </c>
      <c r="G39" s="154">
        <v>2015</v>
      </c>
      <c r="H39" s="154">
        <v>2016</v>
      </c>
      <c r="I39" s="154">
        <v>2017</v>
      </c>
      <c r="J39" s="154">
        <v>2018</v>
      </c>
      <c r="K39" s="154">
        <v>2019</v>
      </c>
      <c r="L39" s="154">
        <v>2020</v>
      </c>
      <c r="M39" s="154">
        <v>2021</v>
      </c>
    </row>
    <row r="40" spans="1:13" s="175" customFormat="1">
      <c r="A40" s="171"/>
      <c r="B40" s="177" t="s">
        <v>247</v>
      </c>
      <c r="C40" s="178">
        <f>+C34</f>
        <v>280</v>
      </c>
      <c r="D40" s="178">
        <f>+D34</f>
        <v>0</v>
      </c>
      <c r="E40" s="178">
        <f t="shared" ref="E40:M40" si="11">+E34</f>
        <v>0</v>
      </c>
      <c r="F40" s="178">
        <f t="shared" si="11"/>
        <v>0</v>
      </c>
      <c r="G40" s="178">
        <f t="shared" si="11"/>
        <v>0</v>
      </c>
      <c r="H40" s="178">
        <f t="shared" si="11"/>
        <v>0</v>
      </c>
      <c r="I40" s="178">
        <f t="shared" si="11"/>
        <v>0</v>
      </c>
      <c r="J40" s="178">
        <f t="shared" si="11"/>
        <v>0</v>
      </c>
      <c r="K40" s="178">
        <f t="shared" si="11"/>
        <v>0</v>
      </c>
      <c r="L40" s="178">
        <f t="shared" si="11"/>
        <v>0</v>
      </c>
      <c r="M40" s="178">
        <f t="shared" si="11"/>
        <v>0</v>
      </c>
    </row>
    <row r="41" spans="1:13" s="175" customFormat="1">
      <c r="A41" s="171"/>
      <c r="B41" s="179" t="s">
        <v>248</v>
      </c>
      <c r="C41" s="180">
        <f>+'Plan Financiero Minhacienda'!C53</f>
        <v>1436</v>
      </c>
      <c r="D41" s="180">
        <f>+'Plan Financiero Minhacienda'!D53</f>
        <v>0</v>
      </c>
      <c r="E41" s="180">
        <f>+'Plan Financiero Minhacienda'!E53</f>
        <v>0</v>
      </c>
      <c r="F41" s="180">
        <f>+'Plan Financiero Minhacienda'!F53</f>
        <v>0</v>
      </c>
      <c r="G41" s="180">
        <f>+'Plan Financiero Minhacienda'!G53</f>
        <v>0</v>
      </c>
      <c r="H41" s="180">
        <f>+'Plan Financiero Minhacienda'!H53</f>
        <v>0</v>
      </c>
      <c r="I41" s="180">
        <f>+'Plan Financiero Minhacienda'!I53</f>
        <v>0</v>
      </c>
      <c r="J41" s="180">
        <f>+'Plan Financiero Minhacienda'!J53</f>
        <v>0</v>
      </c>
      <c r="K41" s="180">
        <f>+'Plan Financiero Minhacienda'!K53</f>
        <v>0</v>
      </c>
      <c r="L41" s="180">
        <f>+'Plan Financiero Minhacienda'!L53</f>
        <v>0</v>
      </c>
      <c r="M41" s="180">
        <f>+'Plan Financiero Minhacienda'!M53</f>
        <v>0</v>
      </c>
    </row>
    <row r="42" spans="1:13" s="175" customFormat="1" ht="6" customHeight="1">
      <c r="A42" s="171"/>
      <c r="B42" s="181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</row>
    <row r="43" spans="1:13" s="175" customFormat="1">
      <c r="A43" s="171"/>
      <c r="B43" s="176" t="s">
        <v>179</v>
      </c>
      <c r="C43" s="154">
        <v>2011</v>
      </c>
      <c r="D43" s="154">
        <v>2012</v>
      </c>
      <c r="E43" s="154">
        <v>2013</v>
      </c>
      <c r="F43" s="154">
        <v>2014</v>
      </c>
      <c r="G43" s="154">
        <v>2015</v>
      </c>
      <c r="H43" s="154">
        <v>2016</v>
      </c>
      <c r="I43" s="154">
        <v>2017</v>
      </c>
      <c r="J43" s="154">
        <v>2018</v>
      </c>
      <c r="K43" s="154">
        <v>2019</v>
      </c>
      <c r="L43" s="154">
        <v>2020</v>
      </c>
      <c r="M43" s="154">
        <v>2021</v>
      </c>
    </row>
    <row r="44" spans="1:13" s="175" customFormat="1">
      <c r="A44" s="171"/>
      <c r="B44" s="183" t="s">
        <v>23</v>
      </c>
      <c r="C44" s="184">
        <f t="shared" ref="C44:M44" si="12">+C3+C40+C41</f>
        <v>7183.4012889999995</v>
      </c>
      <c r="D44" s="184">
        <f t="shared" si="12"/>
        <v>4737</v>
      </c>
      <c r="E44" s="184">
        <f t="shared" si="12"/>
        <v>4902.7949999999992</v>
      </c>
      <c r="F44" s="184">
        <f t="shared" si="12"/>
        <v>5074.392824999999</v>
      </c>
      <c r="G44" s="184">
        <f t="shared" si="12"/>
        <v>5251.9965738749988</v>
      </c>
      <c r="H44" s="184">
        <f t="shared" si="12"/>
        <v>5435.8164539606241</v>
      </c>
      <c r="I44" s="184">
        <f t="shared" si="12"/>
        <v>5626.0700298492447</v>
      </c>
      <c r="J44" s="184">
        <f t="shared" si="12"/>
        <v>5822.9824808939684</v>
      </c>
      <c r="K44" s="184">
        <f t="shared" si="12"/>
        <v>6026.7868677252563</v>
      </c>
      <c r="L44" s="184">
        <f t="shared" si="12"/>
        <v>6237.7244080956398</v>
      </c>
      <c r="M44" s="184">
        <f t="shared" si="12"/>
        <v>6456.0447623789878</v>
      </c>
    </row>
    <row r="45" spans="1:13" s="175" customFormat="1">
      <c r="A45" s="171"/>
      <c r="B45" s="183" t="s">
        <v>34</v>
      </c>
      <c r="C45" s="184">
        <f>+C14+C35</f>
        <v>7141</v>
      </c>
      <c r="D45" s="184">
        <f t="shared" ref="D45:M45" si="13">+D14+D35</f>
        <v>4688</v>
      </c>
      <c r="E45" s="184">
        <f t="shared" si="13"/>
        <v>4819.24</v>
      </c>
      <c r="F45" s="184">
        <f t="shared" si="13"/>
        <v>4941.9483999999993</v>
      </c>
      <c r="G45" s="184">
        <f t="shared" si="13"/>
        <v>5015.3165939999981</v>
      </c>
      <c r="H45" s="184">
        <f t="shared" si="13"/>
        <v>5173.5426747899974</v>
      </c>
      <c r="I45" s="184">
        <f t="shared" si="13"/>
        <v>5301.8316684076462</v>
      </c>
      <c r="J45" s="184">
        <f t="shared" si="13"/>
        <v>5487.3957768019145</v>
      </c>
      <c r="K45" s="184">
        <f t="shared" si="13"/>
        <v>5679.4546289899808</v>
      </c>
      <c r="L45" s="184">
        <f t="shared" si="13"/>
        <v>5878.2355410046293</v>
      </c>
      <c r="M45" s="184">
        <f t="shared" si="13"/>
        <v>6083.9737849397916</v>
      </c>
    </row>
    <row r="46" spans="1:13" s="175" customFormat="1">
      <c r="A46" s="171"/>
      <c r="B46" s="183" t="s">
        <v>183</v>
      </c>
      <c r="C46" s="184">
        <f>+C44-C45</f>
        <v>42.401288999999451</v>
      </c>
      <c r="D46" s="184">
        <f>+D44-D45</f>
        <v>49</v>
      </c>
      <c r="E46" s="184">
        <f>+E44-E45</f>
        <v>83.554999999999382</v>
      </c>
      <c r="F46" s="184">
        <f t="shared" ref="F46:M46" si="14">+F44-F45</f>
        <v>132.44442499999968</v>
      </c>
      <c r="G46" s="184">
        <f t="shared" si="14"/>
        <v>236.67997987500075</v>
      </c>
      <c r="H46" s="184">
        <f t="shared" si="14"/>
        <v>262.27377917062677</v>
      </c>
      <c r="I46" s="184">
        <f t="shared" si="14"/>
        <v>324.2383614415985</v>
      </c>
      <c r="J46" s="184">
        <f t="shared" si="14"/>
        <v>335.58670409205388</v>
      </c>
      <c r="K46" s="184">
        <f t="shared" si="14"/>
        <v>347.3322387352755</v>
      </c>
      <c r="L46" s="184">
        <f t="shared" si="14"/>
        <v>359.48886709101043</v>
      </c>
      <c r="M46" s="184">
        <f t="shared" si="14"/>
        <v>372.07097743919621</v>
      </c>
    </row>
    <row r="47" spans="1:13" s="175" customFormat="1">
      <c r="A47" s="171"/>
      <c r="B47" s="172"/>
      <c r="C47" s="173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1:13" s="175" customFormat="1">
      <c r="A48" s="171"/>
      <c r="B48" s="172"/>
      <c r="C48" s="185"/>
      <c r="D48" s="174"/>
      <c r="E48" s="174"/>
      <c r="F48" s="174"/>
      <c r="G48" s="174"/>
      <c r="H48" s="174"/>
      <c r="I48" s="174"/>
      <c r="J48" s="174"/>
      <c r="K48" s="174"/>
      <c r="L48" s="174"/>
      <c r="M48" s="174"/>
    </row>
    <row r="49" spans="3:3">
      <c r="C49" s="186"/>
    </row>
    <row r="50" spans="3:3">
      <c r="C50" s="297"/>
    </row>
    <row r="51" spans="3:3">
      <c r="C51" s="189"/>
    </row>
  </sheetData>
  <mergeCells count="1">
    <mergeCell ref="A1:C1"/>
  </mergeCells>
  <phoneticPr fontId="0" type="noConversion"/>
  <pageMargins left="1.99" right="0.70866141732283472" top="0.74803149606299213" bottom="0.74803149606299213" header="0.31496062992125984" footer="0.31496062992125984"/>
  <pageSetup paperSize="5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M42"/>
  <sheetViews>
    <sheetView zoomScale="90" zoomScaleNormal="90" workbookViewId="0">
      <selection activeCell="D58" sqref="D58"/>
    </sheetView>
  </sheetViews>
  <sheetFormatPr baseColWidth="10" defaultRowHeight="15"/>
  <cols>
    <col min="1" max="1" width="6.42578125" customWidth="1"/>
    <col min="2" max="2" width="61.85546875" customWidth="1"/>
    <col min="3" max="13" width="11.140625" customWidth="1"/>
  </cols>
  <sheetData>
    <row r="1" spans="1:13">
      <c r="A1" s="190" t="s">
        <v>342</v>
      </c>
      <c r="B1" s="191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>
      <c r="A2" s="192" t="s">
        <v>6</v>
      </c>
      <c r="B2" s="191"/>
      <c r="C2" s="193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5.75" thickBot="1">
      <c r="A3" s="194"/>
      <c r="B3" s="195"/>
      <c r="C3" s="196"/>
      <c r="D3" s="197"/>
      <c r="E3" s="198"/>
      <c r="F3" s="198"/>
      <c r="G3" s="102"/>
      <c r="H3" s="102"/>
      <c r="I3" s="102"/>
      <c r="J3" s="102"/>
      <c r="K3" s="102"/>
      <c r="L3" s="102"/>
      <c r="M3" s="102"/>
    </row>
    <row r="4" spans="1:13" ht="15.75" thickBot="1">
      <c r="A4" s="199" t="s">
        <v>12</v>
      </c>
      <c r="B4" s="200" t="s">
        <v>249</v>
      </c>
      <c r="C4" s="201">
        <v>2011</v>
      </c>
      <c r="D4" s="201">
        <v>2012</v>
      </c>
      <c r="E4" s="201">
        <v>2013</v>
      </c>
      <c r="F4" s="201">
        <v>2014</v>
      </c>
      <c r="G4" s="201">
        <v>2015</v>
      </c>
      <c r="H4" s="201">
        <v>2016</v>
      </c>
      <c r="I4" s="201">
        <v>2017</v>
      </c>
      <c r="J4" s="201">
        <v>2018</v>
      </c>
      <c r="K4" s="201">
        <v>2019</v>
      </c>
      <c r="L4" s="201">
        <v>2020</v>
      </c>
      <c r="M4" s="201">
        <v>2021</v>
      </c>
    </row>
    <row r="5" spans="1:13" ht="15.75" thickBot="1">
      <c r="A5" s="202" t="s">
        <v>250</v>
      </c>
      <c r="B5" s="203" t="s">
        <v>251</v>
      </c>
      <c r="C5" s="204">
        <f>+SUM(C6:C11)-SUM(C12:C14)</f>
        <v>4722.4012889999995</v>
      </c>
      <c r="D5" s="204">
        <f t="shared" ref="D5:L5" si="0">+SUM(D6:D11)-SUM(D12:D14)</f>
        <v>2540</v>
      </c>
      <c r="E5" s="204">
        <f t="shared" si="0"/>
        <v>2628.9</v>
      </c>
      <c r="F5" s="204">
        <f t="shared" si="0"/>
        <v>2720.9114999999993</v>
      </c>
      <c r="G5" s="204">
        <f t="shared" si="0"/>
        <v>2816.1434024999994</v>
      </c>
      <c r="H5" s="204">
        <f t="shared" si="0"/>
        <v>2914.7084215874988</v>
      </c>
      <c r="I5" s="204">
        <f t="shared" si="0"/>
        <v>3016.7232163430617</v>
      </c>
      <c r="J5" s="204">
        <f t="shared" si="0"/>
        <v>3122.3085289150686</v>
      </c>
      <c r="K5" s="204">
        <f t="shared" si="0"/>
        <v>3231.5893274270952</v>
      </c>
      <c r="L5" s="204">
        <f t="shared" si="0"/>
        <v>3344.6949538870435</v>
      </c>
      <c r="M5" s="204">
        <f>+SUM(M6:M11)-SUM(M12:M14)</f>
        <v>3461.7592772730895</v>
      </c>
    </row>
    <row r="6" spans="1:13">
      <c r="A6" s="205" t="s">
        <v>252</v>
      </c>
      <c r="B6" s="206" t="s">
        <v>253</v>
      </c>
      <c r="C6" s="207">
        <f>+'Plan Financiero Minhacienda'!C7</f>
        <v>404</v>
      </c>
      <c r="D6" s="207">
        <f>+'Plan Financiero Minhacienda'!D7</f>
        <v>416</v>
      </c>
      <c r="E6" s="207">
        <f>+'Plan Financiero Minhacienda'!E7</f>
        <v>430.55999999999995</v>
      </c>
      <c r="F6" s="207">
        <f>+'Plan Financiero Minhacienda'!F7</f>
        <v>445.62959999999993</v>
      </c>
      <c r="G6" s="207">
        <f>+'Plan Financiero Minhacienda'!G7</f>
        <v>461.22663599999987</v>
      </c>
      <c r="H6" s="207">
        <f>+'Plan Financiero Minhacienda'!H7</f>
        <v>477.36956825999982</v>
      </c>
      <c r="I6" s="207">
        <f>+'Plan Financiero Minhacienda'!I7</f>
        <v>494.07750314909981</v>
      </c>
      <c r="J6" s="207">
        <f>+'Plan Financiero Minhacienda'!J7</f>
        <v>511.37021575931823</v>
      </c>
      <c r="K6" s="207">
        <f>+'Plan Financiero Minhacienda'!K7</f>
        <v>529.26817331089433</v>
      </c>
      <c r="L6" s="207">
        <f>+'Plan Financiero Minhacienda'!L7</f>
        <v>547.79255937677567</v>
      </c>
      <c r="M6" s="207">
        <f>+'Plan Financiero Minhacienda'!M7</f>
        <v>566.96529895496269</v>
      </c>
    </row>
    <row r="7" spans="1:13">
      <c r="A7" s="208" t="s">
        <v>254</v>
      </c>
      <c r="B7" s="209" t="s">
        <v>255</v>
      </c>
      <c r="C7" s="207">
        <f>+'Plan Financiero Minhacienda'!C13</f>
        <v>1153</v>
      </c>
      <c r="D7" s="207">
        <f>+'Plan Financiero Minhacienda'!D13</f>
        <v>381</v>
      </c>
      <c r="E7" s="207">
        <f>+'Plan Financiero Minhacienda'!E13</f>
        <v>394.33499999999998</v>
      </c>
      <c r="F7" s="207">
        <f>+'Plan Financiero Minhacienda'!F13</f>
        <v>408.13672499999996</v>
      </c>
      <c r="G7" s="207">
        <f>+'Plan Financiero Minhacienda'!G13</f>
        <v>422.42151037499991</v>
      </c>
      <c r="H7" s="207">
        <f>+'Plan Financiero Minhacienda'!H13</f>
        <v>437.20626323812485</v>
      </c>
      <c r="I7" s="207">
        <f>+'Plan Financiero Minhacienda'!I13</f>
        <v>452.5084824514592</v>
      </c>
      <c r="J7" s="207">
        <f>+'Plan Financiero Minhacienda'!J13</f>
        <v>468.34627933726017</v>
      </c>
      <c r="K7" s="207">
        <f>+'Plan Financiero Minhacienda'!K13</f>
        <v>484.73839911406429</v>
      </c>
      <c r="L7" s="207">
        <f>+'Plan Financiero Minhacienda'!L13</f>
        <v>501.7042430830565</v>
      </c>
      <c r="M7" s="207">
        <f>+'Plan Financiero Minhacienda'!M13</f>
        <v>519.26389159096345</v>
      </c>
    </row>
    <row r="8" spans="1:13">
      <c r="A8" s="205" t="s">
        <v>256</v>
      </c>
      <c r="B8" s="210" t="s">
        <v>257</v>
      </c>
      <c r="C8" s="207">
        <f>+'Plan Financiero Minhacienda'!C49*0.15</f>
        <v>0</v>
      </c>
      <c r="D8" s="207">
        <f>+'Plan Financiero Minhacienda'!D49*0.15</f>
        <v>0</v>
      </c>
      <c r="E8" s="207">
        <f>+'Plan Financiero Minhacienda'!E49*0.15</f>
        <v>0</v>
      </c>
      <c r="F8" s="207">
        <f>+'Plan Financiero Minhacienda'!F49*0.15</f>
        <v>0</v>
      </c>
      <c r="G8" s="207">
        <f>+'Plan Financiero Minhacienda'!G49*0.15</f>
        <v>0</v>
      </c>
      <c r="H8" s="207">
        <f>+'Plan Financiero Minhacienda'!H49*0.15</f>
        <v>0</v>
      </c>
      <c r="I8" s="207">
        <f>+'Plan Financiero Minhacienda'!I49*0.15</f>
        <v>0</v>
      </c>
      <c r="J8" s="207">
        <f>+'Plan Financiero Minhacienda'!J49*0.15</f>
        <v>0</v>
      </c>
      <c r="K8" s="207">
        <f>+'Plan Financiero Minhacienda'!K49*0.15</f>
        <v>0</v>
      </c>
      <c r="L8" s="207">
        <f>+'Plan Financiero Minhacienda'!L49*0.15</f>
        <v>0</v>
      </c>
      <c r="M8" s="207">
        <f>+'Plan Financiero Minhacienda'!M49*0.15</f>
        <v>0</v>
      </c>
    </row>
    <row r="9" spans="1:13" ht="14.25" customHeight="1">
      <c r="A9" s="208" t="s">
        <v>258</v>
      </c>
      <c r="B9" s="210" t="s">
        <v>259</v>
      </c>
      <c r="C9" s="207">
        <f>+'Plan Financiero Minhacienda'!C17+'Plan Financiero Minhacienda'!C21+'Plan Financiero Minhacienda'!C22</f>
        <v>1729.4012889999999</v>
      </c>
      <c r="D9" s="207">
        <f>+'Plan Financiero Minhacienda'!D17+'Plan Financiero Minhacienda'!D21+'Plan Financiero Minhacienda'!D22</f>
        <v>1737</v>
      </c>
      <c r="E9" s="207">
        <f>+'Plan Financiero Minhacienda'!E17+'Plan Financiero Minhacienda'!E21+'Plan Financiero Minhacienda'!E22</f>
        <v>1797.7950000000001</v>
      </c>
      <c r="F9" s="207">
        <f>+'Plan Financiero Minhacienda'!F17+'Plan Financiero Minhacienda'!F21+'Plan Financiero Minhacienda'!F22</f>
        <v>1860.7178249999997</v>
      </c>
      <c r="G9" s="207">
        <f>+'Plan Financiero Minhacienda'!G17+'Plan Financiero Minhacienda'!G21+'Plan Financiero Minhacienda'!G22</f>
        <v>1925.8429488749996</v>
      </c>
      <c r="H9" s="207">
        <f>+'Plan Financiero Minhacienda'!H17+'Plan Financiero Minhacienda'!H21+'Plan Financiero Minhacienda'!H22</f>
        <v>1993.2474520856244</v>
      </c>
      <c r="I9" s="207">
        <f>+'Plan Financiero Minhacienda'!I17+'Plan Financiero Minhacienda'!I21+'Plan Financiero Minhacienda'!I22</f>
        <v>2063.0111129086213</v>
      </c>
      <c r="J9" s="207">
        <f>+'Plan Financiero Minhacienda'!J17+'Plan Financiero Minhacienda'!J21+'Plan Financiero Minhacienda'!J22</f>
        <v>2135.2165018604228</v>
      </c>
      <c r="K9" s="207">
        <f>+'Plan Financiero Minhacienda'!K17+'Plan Financiero Minhacienda'!K21+'Plan Financiero Minhacienda'!K22</f>
        <v>2209.9490794255371</v>
      </c>
      <c r="L9" s="207">
        <f>+'Plan Financiero Minhacienda'!L17+'Plan Financiero Minhacienda'!L21+'Plan Financiero Minhacienda'!L22</f>
        <v>2287.2972972054308</v>
      </c>
      <c r="M9" s="207">
        <f>+'Plan Financiero Minhacienda'!M17+'Plan Financiero Minhacienda'!M21+'Plan Financiero Minhacienda'!M22</f>
        <v>2367.3527026076208</v>
      </c>
    </row>
    <row r="10" spans="1:13">
      <c r="A10" s="205" t="s">
        <v>260</v>
      </c>
      <c r="B10" s="210" t="s">
        <v>261</v>
      </c>
      <c r="C10" s="207">
        <f>+'Plan Financiero Minhacienda'!C53</f>
        <v>1436</v>
      </c>
      <c r="D10" s="207">
        <f>+'Plan Financiero Minhacienda'!D53</f>
        <v>0</v>
      </c>
      <c r="E10" s="207">
        <f>+'Plan Financiero Minhacienda'!E53</f>
        <v>0</v>
      </c>
      <c r="F10" s="207">
        <f>+'Plan Financiero Minhacienda'!F53</f>
        <v>0</v>
      </c>
      <c r="G10" s="207">
        <f>+'Plan Financiero Minhacienda'!G53</f>
        <v>0</v>
      </c>
      <c r="H10" s="207">
        <f>+'Plan Financiero Minhacienda'!H53</f>
        <v>0</v>
      </c>
      <c r="I10" s="207">
        <f>+'Plan Financiero Minhacienda'!I53</f>
        <v>0</v>
      </c>
      <c r="J10" s="207">
        <f>+'Plan Financiero Minhacienda'!J53</f>
        <v>0</v>
      </c>
      <c r="K10" s="207">
        <f>+'Plan Financiero Minhacienda'!K53</f>
        <v>0</v>
      </c>
      <c r="L10" s="207">
        <f>+'Plan Financiero Minhacienda'!L53</f>
        <v>0</v>
      </c>
      <c r="M10" s="207">
        <f>+'Plan Financiero Minhacienda'!M53</f>
        <v>0</v>
      </c>
    </row>
    <row r="11" spans="1:13">
      <c r="A11" s="208" t="s">
        <v>262</v>
      </c>
      <c r="B11" s="210" t="s">
        <v>263</v>
      </c>
      <c r="C11" s="207">
        <f>+'Plan Financiero Minhacienda'!C51</f>
        <v>0</v>
      </c>
      <c r="D11" s="207">
        <f>+'Plan Financiero Minhacienda'!D51</f>
        <v>6</v>
      </c>
      <c r="E11" s="207">
        <f>+'Plan Financiero Minhacienda'!E51</f>
        <v>6.2099999999999991</v>
      </c>
      <c r="F11" s="207">
        <f>+'Plan Financiero Minhacienda'!F51</f>
        <v>6.4273499999999988</v>
      </c>
      <c r="G11" s="207">
        <f>+'Plan Financiero Minhacienda'!G51</f>
        <v>6.652307249999998</v>
      </c>
      <c r="H11" s="207">
        <f>+'Plan Financiero Minhacienda'!H51</f>
        <v>6.8851380037499972</v>
      </c>
      <c r="I11" s="207">
        <f>+'Plan Financiero Minhacienda'!I51</f>
        <v>7.1261178338812465</v>
      </c>
      <c r="J11" s="207">
        <f>+'Plan Financiero Minhacienda'!J51</f>
        <v>7.3755319580670893</v>
      </c>
      <c r="K11" s="207">
        <f>+'Plan Financiero Minhacienda'!K51</f>
        <v>7.6336755765994369</v>
      </c>
      <c r="L11" s="207">
        <f>+'Plan Financiero Minhacienda'!L51</f>
        <v>7.900854221780417</v>
      </c>
      <c r="M11" s="207">
        <f>+'Plan Financiero Minhacienda'!M51</f>
        <v>8.1773841195427313</v>
      </c>
    </row>
    <row r="12" spans="1:13">
      <c r="A12" s="205" t="s">
        <v>264</v>
      </c>
      <c r="B12" s="210" t="s">
        <v>265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</row>
    <row r="13" spans="1:13">
      <c r="A13" s="208" t="s">
        <v>266</v>
      </c>
      <c r="B13" s="210" t="s">
        <v>267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 ht="15.75" thickBot="1">
      <c r="A14" s="205" t="s">
        <v>268</v>
      </c>
      <c r="B14" s="210" t="s">
        <v>269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 ht="15.75" thickBot="1">
      <c r="A15" s="202" t="s">
        <v>270</v>
      </c>
      <c r="B15" s="212" t="s">
        <v>271</v>
      </c>
      <c r="C15" s="213">
        <f>+SUM(C16:C20)-SUM(C21:C22)</f>
        <v>670</v>
      </c>
      <c r="D15" s="213">
        <f t="shared" ref="D15:M15" si="1">+SUM(D16:D20)-SUM(D21:D22)</f>
        <v>720</v>
      </c>
      <c r="E15" s="213">
        <f t="shared" si="1"/>
        <v>745.2</v>
      </c>
      <c r="F15" s="213">
        <f t="shared" si="1"/>
        <v>771.28199999999993</v>
      </c>
      <c r="G15" s="213">
        <f t="shared" si="1"/>
        <v>798.27686999999969</v>
      </c>
      <c r="H15" s="213">
        <f t="shared" si="1"/>
        <v>826.21656044999975</v>
      </c>
      <c r="I15" s="213">
        <f t="shared" si="1"/>
        <v>855.13414006574965</v>
      </c>
      <c r="J15" s="213">
        <f t="shared" si="1"/>
        <v>885.06383496805097</v>
      </c>
      <c r="K15" s="213">
        <f t="shared" si="1"/>
        <v>916.04106919193248</v>
      </c>
      <c r="L15" s="213">
        <f t="shared" si="1"/>
        <v>948.10250661365023</v>
      </c>
      <c r="M15" s="213">
        <f t="shared" si="1"/>
        <v>981.28609434512782</v>
      </c>
    </row>
    <row r="16" spans="1:13">
      <c r="A16" s="214" t="s">
        <v>272</v>
      </c>
      <c r="B16" s="215" t="s">
        <v>273</v>
      </c>
      <c r="C16" s="216">
        <f>+'Plan Financiero Minhacienda'!C28</f>
        <v>443</v>
      </c>
      <c r="D16" s="216">
        <f>+'Plan Financiero Minhacienda'!D28</f>
        <v>430</v>
      </c>
      <c r="E16" s="216">
        <f>+'Plan Financiero Minhacienda'!E28</f>
        <v>445.04999999999995</v>
      </c>
      <c r="F16" s="216">
        <f>+'Plan Financiero Minhacienda'!F28</f>
        <v>460.6267499999999</v>
      </c>
      <c r="G16" s="216">
        <f>+'Plan Financiero Minhacienda'!G28</f>
        <v>476.74868624999988</v>
      </c>
      <c r="H16" s="216">
        <f>+'Plan Financiero Minhacienda'!H28</f>
        <v>493.43489026874983</v>
      </c>
      <c r="I16" s="216">
        <f>+'Plan Financiero Minhacienda'!I28</f>
        <v>510.70511142815604</v>
      </c>
      <c r="J16" s="216">
        <f>+'Plan Financiero Minhacienda'!J28</f>
        <v>528.57979032814148</v>
      </c>
      <c r="K16" s="216">
        <f>+'Plan Financiero Minhacienda'!K28</f>
        <v>547.08008298962636</v>
      </c>
      <c r="L16" s="216">
        <f>+'Plan Financiero Minhacienda'!L28</f>
        <v>566.2278858942633</v>
      </c>
      <c r="M16" s="216">
        <f>+'Plan Financiero Minhacienda'!M28</f>
        <v>586.0458619005625</v>
      </c>
    </row>
    <row r="17" spans="1:13">
      <c r="A17" s="217" t="s">
        <v>274</v>
      </c>
      <c r="B17" s="218" t="s">
        <v>275</v>
      </c>
      <c r="C17" s="207">
        <f>+'Plan Financiero Minhacienda'!C29</f>
        <v>162</v>
      </c>
      <c r="D17" s="207">
        <f>+'Plan Financiero Minhacienda'!D29</f>
        <v>220</v>
      </c>
      <c r="E17" s="207">
        <f>+'Plan Financiero Minhacienda'!E29</f>
        <v>227.7</v>
      </c>
      <c r="F17" s="207">
        <f>+'Plan Financiero Minhacienda'!F29</f>
        <v>235.66949999999997</v>
      </c>
      <c r="G17" s="207">
        <f>+'Plan Financiero Minhacienda'!G29</f>
        <v>243.91793249999995</v>
      </c>
      <c r="H17" s="207">
        <f>+'Plan Financiero Minhacienda'!H29</f>
        <v>252.45506013749994</v>
      </c>
      <c r="I17" s="207">
        <f>+'Plan Financiero Minhacienda'!I29</f>
        <v>261.29098724231244</v>
      </c>
      <c r="J17" s="207">
        <f>+'Plan Financiero Minhacienda'!J29</f>
        <v>270.43617179579337</v>
      </c>
      <c r="K17" s="207">
        <f>+'Plan Financiero Minhacienda'!K29</f>
        <v>279.90143780864611</v>
      </c>
      <c r="L17" s="207">
        <f>+'Plan Financiero Minhacienda'!L29</f>
        <v>289.6979881319487</v>
      </c>
      <c r="M17" s="207">
        <f>+'Plan Financiero Minhacienda'!M29</f>
        <v>299.8374177165669</v>
      </c>
    </row>
    <row r="18" spans="1:13">
      <c r="A18" s="217" t="s">
        <v>276</v>
      </c>
      <c r="B18" s="219" t="s">
        <v>277</v>
      </c>
      <c r="C18" s="207">
        <f>+'Plan Financiero Minhacienda'!C30</f>
        <v>65</v>
      </c>
      <c r="D18" s="207">
        <f>+'Plan Financiero Minhacienda'!D30</f>
        <v>70</v>
      </c>
      <c r="E18" s="207">
        <f>+'Plan Financiero Minhacienda'!E30</f>
        <v>72.449999999999989</v>
      </c>
      <c r="F18" s="207">
        <f>+'Plan Financiero Minhacienda'!F30</f>
        <v>74.985749999999996</v>
      </c>
      <c r="G18" s="207">
        <f>+'Plan Financiero Minhacienda'!G30</f>
        <v>77.610251249999976</v>
      </c>
      <c r="H18" s="207">
        <f>+'Plan Financiero Minhacienda'!H30</f>
        <v>80.32661004374998</v>
      </c>
      <c r="I18" s="207">
        <f>+'Plan Financiero Minhacienda'!I30</f>
        <v>83.138041395281221</v>
      </c>
      <c r="J18" s="207">
        <f>+'Plan Financiero Minhacienda'!J30</f>
        <v>86.047872844116057</v>
      </c>
      <c r="K18" s="207">
        <f>+'Plan Financiero Minhacienda'!K30</f>
        <v>89.059548393660108</v>
      </c>
      <c r="L18" s="207">
        <f>+'Plan Financiero Minhacienda'!L30</f>
        <v>92.176632587438206</v>
      </c>
      <c r="M18" s="207">
        <f>+'Plan Financiero Minhacienda'!M30</f>
        <v>95.402814727998532</v>
      </c>
    </row>
    <row r="19" spans="1:13">
      <c r="A19" s="217" t="s">
        <v>278</v>
      </c>
      <c r="B19" s="218" t="s">
        <v>279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1:13">
      <c r="A20" s="217" t="s">
        <v>280</v>
      </c>
      <c r="B20" s="218" t="s">
        <v>281</v>
      </c>
      <c r="C20" s="220">
        <v>0</v>
      </c>
      <c r="D20" s="220">
        <v>0</v>
      </c>
      <c r="E20" s="220">
        <v>0</v>
      </c>
      <c r="F20" s="220">
        <v>0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</row>
    <row r="21" spans="1:13">
      <c r="A21" s="221" t="s">
        <v>282</v>
      </c>
      <c r="B21" s="218" t="s">
        <v>283</v>
      </c>
      <c r="C21" s="207">
        <f>+'Plan Financiero Minhacienda'!C37</f>
        <v>0</v>
      </c>
      <c r="D21" s="207">
        <f>+'Plan Financiero Minhacienda'!D37</f>
        <v>0</v>
      </c>
      <c r="E21" s="207">
        <f>+'Plan Financiero Minhacienda'!E37</f>
        <v>0</v>
      </c>
      <c r="F21" s="207">
        <f>+'Plan Financiero Minhacienda'!F37</f>
        <v>0</v>
      </c>
      <c r="G21" s="207">
        <f>+'Plan Financiero Minhacienda'!G37</f>
        <v>0</v>
      </c>
      <c r="H21" s="207">
        <f>+'Plan Financiero Minhacienda'!H37</f>
        <v>0</v>
      </c>
      <c r="I21" s="207">
        <f>+'Plan Financiero Minhacienda'!I37</f>
        <v>0</v>
      </c>
      <c r="J21" s="207">
        <f>+'Plan Financiero Minhacienda'!J37</f>
        <v>0</v>
      </c>
      <c r="K21" s="207">
        <f>+'Plan Financiero Minhacienda'!K37</f>
        <v>0</v>
      </c>
      <c r="L21" s="207">
        <f>+'Plan Financiero Minhacienda'!L37</f>
        <v>0</v>
      </c>
      <c r="M21" s="207">
        <f>+'Plan Financiero Minhacienda'!M37</f>
        <v>0</v>
      </c>
    </row>
    <row r="22" spans="1:13" ht="15.75" thickBot="1">
      <c r="A22" s="222" t="s">
        <v>284</v>
      </c>
      <c r="B22" s="223" t="s">
        <v>285</v>
      </c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</row>
    <row r="23" spans="1:13" ht="15.75" thickBot="1">
      <c r="A23" s="202" t="s">
        <v>286</v>
      </c>
      <c r="B23" s="225" t="s">
        <v>287</v>
      </c>
      <c r="C23" s="213">
        <f t="shared" ref="C23:M23" si="2">+C5-C15</f>
        <v>4052.4012889999995</v>
      </c>
      <c r="D23" s="213">
        <f t="shared" si="2"/>
        <v>1820</v>
      </c>
      <c r="E23" s="213">
        <f t="shared" si="2"/>
        <v>1883.7</v>
      </c>
      <c r="F23" s="213">
        <f t="shared" si="2"/>
        <v>1949.6294999999993</v>
      </c>
      <c r="G23" s="213">
        <f t="shared" si="2"/>
        <v>2017.8665324999997</v>
      </c>
      <c r="H23" s="213">
        <f t="shared" si="2"/>
        <v>2088.4918611374992</v>
      </c>
      <c r="I23" s="213">
        <f t="shared" si="2"/>
        <v>2161.589076277312</v>
      </c>
      <c r="J23" s="213">
        <f t="shared" si="2"/>
        <v>2237.2446939470174</v>
      </c>
      <c r="K23" s="213">
        <f t="shared" si="2"/>
        <v>2315.5482582351628</v>
      </c>
      <c r="L23" s="213">
        <f t="shared" si="2"/>
        <v>2396.5924472733932</v>
      </c>
      <c r="M23" s="213">
        <f t="shared" si="2"/>
        <v>2480.4731829279617</v>
      </c>
    </row>
    <row r="24" spans="1:13" ht="15.75" thickBot="1">
      <c r="A24" s="226" t="s">
        <v>288</v>
      </c>
      <c r="B24" s="227" t="s">
        <v>289</v>
      </c>
      <c r="C24" s="228">
        <v>3.5000000000000003E-2</v>
      </c>
      <c r="D24" s="228">
        <v>3.5000000000000003E-2</v>
      </c>
      <c r="E24" s="228">
        <v>3.5000000000000003E-2</v>
      </c>
      <c r="F24" s="228">
        <v>3.5000000000000003E-2</v>
      </c>
      <c r="G24" s="228">
        <v>3.5000000000000003E-2</v>
      </c>
      <c r="H24" s="228">
        <v>3.5000000000000003E-2</v>
      </c>
      <c r="I24" s="228">
        <v>3.5000000000000003E-2</v>
      </c>
      <c r="J24" s="228">
        <v>3.5000000000000003E-2</v>
      </c>
      <c r="K24" s="228">
        <v>3.5000000000000003E-2</v>
      </c>
      <c r="L24" s="228">
        <v>3.5000000000000003E-2</v>
      </c>
      <c r="M24" s="228">
        <v>3.5000000000000003E-2</v>
      </c>
    </row>
    <row r="25" spans="1:13" ht="15.75" thickBot="1">
      <c r="A25" s="226" t="s">
        <v>290</v>
      </c>
      <c r="B25" s="229" t="s">
        <v>291</v>
      </c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3" ht="15.75" thickBot="1">
      <c r="A26" s="231" t="s">
        <v>292</v>
      </c>
      <c r="B26" s="232" t="s">
        <v>293</v>
      </c>
      <c r="C26" s="213">
        <f>SUM(C27:C28)</f>
        <v>38</v>
      </c>
      <c r="D26" s="213">
        <f>SUM(D27:D28)</f>
        <v>53</v>
      </c>
      <c r="E26" s="213">
        <f t="shared" ref="E26:M26" si="3">SUM(E27:E28)</f>
        <v>35</v>
      </c>
      <c r="F26" s="213">
        <f t="shared" si="3"/>
        <v>19</v>
      </c>
      <c r="G26" s="213">
        <f t="shared" si="3"/>
        <v>9</v>
      </c>
      <c r="H26" s="213">
        <f t="shared" si="3"/>
        <v>3</v>
      </c>
      <c r="I26" s="213">
        <f t="shared" si="3"/>
        <v>0</v>
      </c>
      <c r="J26" s="213">
        <f t="shared" si="3"/>
        <v>0</v>
      </c>
      <c r="K26" s="213">
        <f t="shared" si="3"/>
        <v>0</v>
      </c>
      <c r="L26" s="213">
        <f t="shared" si="3"/>
        <v>0</v>
      </c>
      <c r="M26" s="213">
        <f t="shared" si="3"/>
        <v>0</v>
      </c>
    </row>
    <row r="27" spans="1:13">
      <c r="A27" s="233" t="s">
        <v>294</v>
      </c>
      <c r="B27" s="234" t="s">
        <v>295</v>
      </c>
      <c r="C27" s="301">
        <f>+'Plan Financiero Minhacienda'!C41</f>
        <v>38</v>
      </c>
      <c r="D27" s="301">
        <f>+'Plan Financiero Minhacienda'!D41</f>
        <v>53</v>
      </c>
      <c r="E27" s="301">
        <f>+'Plan Financiero Minhacienda'!E41</f>
        <v>35</v>
      </c>
      <c r="F27" s="301">
        <f>+'Plan Financiero Minhacienda'!F41</f>
        <v>19</v>
      </c>
      <c r="G27" s="301">
        <f>+'Plan Financiero Minhacienda'!G41</f>
        <v>9</v>
      </c>
      <c r="H27" s="301">
        <f>+'Plan Financiero Minhacienda'!H41</f>
        <v>3</v>
      </c>
      <c r="I27" s="301">
        <f>+'Plan Financiero Minhacienda'!I41</f>
        <v>0</v>
      </c>
      <c r="J27" s="301">
        <f>+'Plan Financiero Minhacienda'!J41</f>
        <v>0</v>
      </c>
      <c r="K27" s="301">
        <f>+'Plan Financiero Minhacienda'!K41</f>
        <v>0</v>
      </c>
      <c r="L27" s="301">
        <f>+'Plan Financiero Minhacienda'!L41</f>
        <v>0</v>
      </c>
      <c r="M27" s="301">
        <f>+'Plan Financiero Minhacienda'!M41</f>
        <v>0</v>
      </c>
    </row>
    <row r="28" spans="1:13" ht="15.75" thickBot="1">
      <c r="A28" s="235" t="s">
        <v>296</v>
      </c>
      <c r="B28" s="236" t="s">
        <v>297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</row>
    <row r="29" spans="1:13" ht="15.75" thickBot="1">
      <c r="A29" s="238" t="s">
        <v>298</v>
      </c>
      <c r="B29" s="229" t="s">
        <v>299</v>
      </c>
      <c r="C29" s="239">
        <f>'Plan Financiero Minhacienda'!C64</f>
        <v>140</v>
      </c>
      <c r="D29" s="239">
        <f>'Plan Financiero Minhacienda'!D64</f>
        <v>171</v>
      </c>
      <c r="E29" s="239">
        <f>'Plan Financiero Minhacienda'!E64</f>
        <v>164</v>
      </c>
      <c r="F29" s="239">
        <f>'Plan Financiero Minhacienda'!F64</f>
        <v>141</v>
      </c>
      <c r="G29" s="239">
        <f>'Plan Financiero Minhacienda'!G64</f>
        <v>57</v>
      </c>
      <c r="H29" s="239">
        <f>'Plan Financiero Minhacienda'!H64</f>
        <v>48</v>
      </c>
      <c r="I29" s="239">
        <f>'Plan Financiero Minhacienda'!I64</f>
        <v>0</v>
      </c>
      <c r="J29" s="239">
        <f>'Plan Financiero Minhacienda'!J64</f>
        <v>0</v>
      </c>
      <c r="K29" s="239">
        <f>'Plan Financiero Minhacienda'!K64</f>
        <v>0</v>
      </c>
      <c r="L29" s="239">
        <f>'Plan Financiero Minhacienda'!L64</f>
        <v>0</v>
      </c>
      <c r="M29" s="239">
        <f>'Plan Financiero Minhacienda'!M64</f>
        <v>0</v>
      </c>
    </row>
    <row r="30" spans="1:13" ht="15.75" thickBot="1">
      <c r="A30" s="240" t="s">
        <v>300</v>
      </c>
      <c r="B30" s="241" t="s">
        <v>301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</row>
    <row r="31" spans="1:13">
      <c r="A31" s="233" t="s">
        <v>302</v>
      </c>
      <c r="B31" s="242" t="s">
        <v>303</v>
      </c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</row>
    <row r="32" spans="1:13">
      <c r="A32" s="233" t="s">
        <v>304</v>
      </c>
      <c r="B32" s="234" t="s">
        <v>305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</row>
    <row r="33" spans="1:13">
      <c r="A33" s="244" t="s">
        <v>306</v>
      </c>
      <c r="B33" s="245" t="s">
        <v>307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</row>
    <row r="34" spans="1:13" ht="15.75" thickBot="1">
      <c r="A34" s="247" t="s">
        <v>308</v>
      </c>
      <c r="B34" s="248" t="s">
        <v>309</v>
      </c>
      <c r="C34" s="302">
        <f>+C31-C32</f>
        <v>0</v>
      </c>
      <c r="D34" s="302">
        <f>+C34-D32</f>
        <v>0</v>
      </c>
      <c r="E34" s="302">
        <f t="shared" ref="E34:M34" si="4">+D34-E32</f>
        <v>0</v>
      </c>
      <c r="F34" s="302">
        <f t="shared" si="4"/>
        <v>0</v>
      </c>
      <c r="G34" s="302">
        <f t="shared" si="4"/>
        <v>0</v>
      </c>
      <c r="H34" s="302">
        <f t="shared" si="4"/>
        <v>0</v>
      </c>
      <c r="I34" s="302">
        <f t="shared" si="4"/>
        <v>0</v>
      </c>
      <c r="J34" s="302">
        <f t="shared" si="4"/>
        <v>0</v>
      </c>
      <c r="K34" s="302">
        <f t="shared" si="4"/>
        <v>0</v>
      </c>
      <c r="L34" s="302">
        <f t="shared" si="4"/>
        <v>0</v>
      </c>
      <c r="M34" s="302">
        <f t="shared" si="4"/>
        <v>0</v>
      </c>
    </row>
    <row r="35" spans="1:13" ht="15.75" thickBot="1">
      <c r="A35" s="231" t="s">
        <v>310</v>
      </c>
      <c r="B35" s="249" t="s">
        <v>311</v>
      </c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</row>
    <row r="36" spans="1:13">
      <c r="A36" s="233" t="s">
        <v>312</v>
      </c>
      <c r="B36" s="251" t="s">
        <v>313</v>
      </c>
      <c r="C36" s="303">
        <f>+C26+C33</f>
        <v>38</v>
      </c>
      <c r="D36" s="303">
        <f t="shared" ref="D36:M36" si="5">+D26+D33</f>
        <v>53</v>
      </c>
      <c r="E36" s="303">
        <f t="shared" si="5"/>
        <v>35</v>
      </c>
      <c r="F36" s="303">
        <f t="shared" si="5"/>
        <v>19</v>
      </c>
      <c r="G36" s="303">
        <f t="shared" si="5"/>
        <v>9</v>
      </c>
      <c r="H36" s="303">
        <f t="shared" si="5"/>
        <v>3</v>
      </c>
      <c r="I36" s="303">
        <f t="shared" si="5"/>
        <v>0</v>
      </c>
      <c r="J36" s="303">
        <f t="shared" si="5"/>
        <v>0</v>
      </c>
      <c r="K36" s="303">
        <f t="shared" si="5"/>
        <v>0</v>
      </c>
      <c r="L36" s="303">
        <f t="shared" si="5"/>
        <v>0</v>
      </c>
      <c r="M36" s="303">
        <f t="shared" si="5"/>
        <v>0</v>
      </c>
    </row>
    <row r="37" spans="1:13">
      <c r="A37" s="252" t="s">
        <v>314</v>
      </c>
      <c r="B37" s="253" t="s">
        <v>315</v>
      </c>
      <c r="C37" s="304">
        <f>+'Plan Financiero Minhacienda'!C68</f>
        <v>581</v>
      </c>
      <c r="D37" s="304">
        <f>+'Plan Financiero Minhacienda'!D68</f>
        <v>410</v>
      </c>
      <c r="E37" s="304">
        <f>+'Plan Financiero Minhacienda'!E68</f>
        <v>246</v>
      </c>
      <c r="F37" s="304">
        <f>+'Plan Financiero Minhacienda'!F68</f>
        <v>105</v>
      </c>
      <c r="G37" s="304">
        <f>+'Plan Financiero Minhacienda'!G68</f>
        <v>48</v>
      </c>
      <c r="H37" s="304">
        <f>+'Plan Financiero Minhacienda'!H68</f>
        <v>0</v>
      </c>
      <c r="I37" s="304">
        <f>+'Plan Financiero Minhacienda'!I68</f>
        <v>0</v>
      </c>
      <c r="J37" s="304">
        <f>+'Plan Financiero Minhacienda'!J68</f>
        <v>0</v>
      </c>
      <c r="K37" s="304">
        <f>+'Plan Financiero Minhacienda'!K68</f>
        <v>0</v>
      </c>
      <c r="L37" s="304">
        <f>+'Plan Financiero Minhacienda'!L68</f>
        <v>0</v>
      </c>
      <c r="M37" s="304">
        <f>+'Plan Financiero Minhacienda'!M68</f>
        <v>0</v>
      </c>
    </row>
    <row r="38" spans="1:13" ht="24.75">
      <c r="A38" s="252" t="s">
        <v>316</v>
      </c>
      <c r="B38" s="254" t="s">
        <v>317</v>
      </c>
      <c r="C38" s="255">
        <f t="shared" ref="C38:M38" si="6">C36/C23</f>
        <v>9.3771562315777372E-3</v>
      </c>
      <c r="D38" s="255">
        <f t="shared" si="6"/>
        <v>2.9120879120879122E-2</v>
      </c>
      <c r="E38" s="255">
        <f t="shared" si="6"/>
        <v>1.858045336306206E-2</v>
      </c>
      <c r="F38" s="255">
        <f t="shared" si="6"/>
        <v>9.745441377451463E-3</v>
      </c>
      <c r="G38" s="255">
        <f t="shared" si="6"/>
        <v>4.4601562368198908E-3</v>
      </c>
      <c r="H38" s="255">
        <f t="shared" si="6"/>
        <v>1.4364432324701743E-3</v>
      </c>
      <c r="I38" s="255">
        <f t="shared" si="6"/>
        <v>0</v>
      </c>
      <c r="J38" s="255">
        <f t="shared" si="6"/>
        <v>0</v>
      </c>
      <c r="K38" s="255">
        <f t="shared" si="6"/>
        <v>0</v>
      </c>
      <c r="L38" s="255">
        <f t="shared" si="6"/>
        <v>0</v>
      </c>
      <c r="M38" s="255">
        <f t="shared" si="6"/>
        <v>0</v>
      </c>
    </row>
    <row r="39" spans="1:13" ht="24.75">
      <c r="A39" s="252" t="s">
        <v>318</v>
      </c>
      <c r="B39" s="256" t="s">
        <v>319</v>
      </c>
      <c r="C39" s="255">
        <f t="shared" ref="C39:M39" si="7">C37/C5</f>
        <v>0.12303062879330839</v>
      </c>
      <c r="D39" s="255">
        <f t="shared" si="7"/>
        <v>0.16141732283464566</v>
      </c>
      <c r="E39" s="255">
        <f t="shared" si="7"/>
        <v>9.3575259614287337E-2</v>
      </c>
      <c r="F39" s="255">
        <f t="shared" si="7"/>
        <v>3.8590009267115095E-2</v>
      </c>
      <c r="G39" s="255">
        <f t="shared" si="7"/>
        <v>1.7044586563805145E-2</v>
      </c>
      <c r="H39" s="255">
        <f t="shared" si="7"/>
        <v>0</v>
      </c>
      <c r="I39" s="255">
        <f t="shared" si="7"/>
        <v>0</v>
      </c>
      <c r="J39" s="255">
        <f t="shared" si="7"/>
        <v>0</v>
      </c>
      <c r="K39" s="255">
        <f t="shared" si="7"/>
        <v>0</v>
      </c>
      <c r="L39" s="255">
        <f t="shared" si="7"/>
        <v>0</v>
      </c>
      <c r="M39" s="255">
        <f t="shared" si="7"/>
        <v>0</v>
      </c>
    </row>
    <row r="40" spans="1:13">
      <c r="A40" s="252" t="s">
        <v>320</v>
      </c>
      <c r="B40" s="253" t="s">
        <v>321</v>
      </c>
      <c r="C40" s="257" t="str">
        <f t="shared" ref="C40:M40" si="8">IF(AND(C38&gt;=0%,C38&lt;=40%),"VERDE","ROJO")</f>
        <v>VERDE</v>
      </c>
      <c r="D40" s="257" t="str">
        <f t="shared" si="8"/>
        <v>VERDE</v>
      </c>
      <c r="E40" s="257" t="str">
        <f t="shared" si="8"/>
        <v>VERDE</v>
      </c>
      <c r="F40" s="257" t="str">
        <f t="shared" si="8"/>
        <v>VERDE</v>
      </c>
      <c r="G40" s="257" t="str">
        <f t="shared" si="8"/>
        <v>VERDE</v>
      </c>
      <c r="H40" s="257" t="str">
        <f t="shared" si="8"/>
        <v>VERDE</v>
      </c>
      <c r="I40" s="257" t="str">
        <f t="shared" si="8"/>
        <v>VERDE</v>
      </c>
      <c r="J40" s="257" t="str">
        <f t="shared" si="8"/>
        <v>VERDE</v>
      </c>
      <c r="K40" s="257" t="str">
        <f t="shared" si="8"/>
        <v>VERDE</v>
      </c>
      <c r="L40" s="257" t="str">
        <f t="shared" si="8"/>
        <v>VERDE</v>
      </c>
      <c r="M40" s="257" t="str">
        <f t="shared" si="8"/>
        <v>VERDE</v>
      </c>
    </row>
    <row r="41" spans="1:13">
      <c r="A41" s="252" t="s">
        <v>322</v>
      </c>
      <c r="B41" s="258" t="s">
        <v>323</v>
      </c>
      <c r="C41" s="259" t="str">
        <f t="shared" ref="C41:M41" si="9">IF(C39&lt;=80%,"VERDE","ROJO")</f>
        <v>VERDE</v>
      </c>
      <c r="D41" s="259" t="str">
        <f t="shared" si="9"/>
        <v>VERDE</v>
      </c>
      <c r="E41" s="259" t="str">
        <f t="shared" si="9"/>
        <v>VERDE</v>
      </c>
      <c r="F41" s="259" t="str">
        <f t="shared" si="9"/>
        <v>VERDE</v>
      </c>
      <c r="G41" s="259" t="str">
        <f t="shared" si="9"/>
        <v>VERDE</v>
      </c>
      <c r="H41" s="259" t="str">
        <f t="shared" si="9"/>
        <v>VERDE</v>
      </c>
      <c r="I41" s="259" t="str">
        <f t="shared" si="9"/>
        <v>VERDE</v>
      </c>
      <c r="J41" s="259" t="str">
        <f t="shared" si="9"/>
        <v>VERDE</v>
      </c>
      <c r="K41" s="259" t="str">
        <f t="shared" si="9"/>
        <v>VERDE</v>
      </c>
      <c r="L41" s="259" t="str">
        <f t="shared" si="9"/>
        <v>VERDE</v>
      </c>
      <c r="M41" s="259" t="str">
        <f t="shared" si="9"/>
        <v>VERDE</v>
      </c>
    </row>
    <row r="42" spans="1:13" ht="15.75" thickBot="1">
      <c r="A42" s="260" t="s">
        <v>324</v>
      </c>
      <c r="B42" s="261" t="s">
        <v>325</v>
      </c>
      <c r="C42" s="262" t="str">
        <f>IF(AND(C40="VERDE",C41="VERDE",+'Superávit Primario'!B10="SOSTENIBLE"),"VERDE","ROJO")</f>
        <v>ROJO</v>
      </c>
      <c r="D42" s="262" t="str">
        <f>IF(AND(D40="VERDE",D41="VERDE",+'Superávit Primario'!C10="SOSTENIBLE"),"VERDE","ROJO")</f>
        <v>VERDE</v>
      </c>
      <c r="E42" s="262" t="str">
        <f>IF(AND(E40="VERDE",E41="VERDE",+'Superávit Primario'!D10="SOSTENIBLE"),"VERDE","ROJO")</f>
        <v>VERDE</v>
      </c>
      <c r="F42" s="262" t="str">
        <f>IF(AND(F40="VERDE",F41="VERDE",+'Superávit Primario'!E10="SOSTENIBLE"),"VERDE","ROJO")</f>
        <v>VERDE</v>
      </c>
      <c r="G42" s="262" t="str">
        <f>IF(AND(G40="VERDE",G41="VERDE",+'Superávit Primario'!F10="SOSTENIBLE"),"VERDE","ROJO")</f>
        <v>VERDE</v>
      </c>
      <c r="H42" s="262" t="str">
        <f>IF(AND(H40="VERDE",H41="VERDE",+'Superávit Primario'!G10="SOSTENIBLE"),"VERDE","ROJO")</f>
        <v>VERDE</v>
      </c>
      <c r="I42" s="262" t="str">
        <f>IF(AND(I40="VERDE",I41="VERDE",+'Superávit Primario'!H10="SOSTENIBLE"),"VERDE","ROJO")</f>
        <v>VERDE</v>
      </c>
      <c r="J42" s="262" t="str">
        <f>IF(AND(J40="VERDE",J41="VERDE",+'Superávit Primario'!I10="SOSTENIBLE"),"VERDE","ROJO")</f>
        <v>VERDE</v>
      </c>
      <c r="K42" s="262" t="str">
        <f>IF(AND(K40="VERDE",K41="VERDE",+'Superávit Primario'!J10="SOSTENIBLE"),"VERDE","ROJO")</f>
        <v>VERDE</v>
      </c>
      <c r="L42" s="262" t="str">
        <f>IF(AND(L40="VERDE",L41="VERDE",+'Superávit Primario'!K10="SOSTENIBLE"),"VERDE","ROJO")</f>
        <v>VERDE</v>
      </c>
      <c r="M42" s="262" t="str">
        <f>IF(AND(M40="VERDE",M41="VERDE",+'Superávit Primario'!L10="SOSTENIBLE"),"VERDE","ROJO")</f>
        <v>VERDE</v>
      </c>
    </row>
  </sheetData>
  <protectedRanges>
    <protectedRange sqref="A2:D3 A1:B1 D1" name="Rango1_1"/>
    <protectedRange sqref="D31:M33" name="Rango5_1_1"/>
    <protectedRange sqref="C24:M24" name="Rango2_1_1"/>
  </protectedRanges>
  <phoneticPr fontId="0" type="noConversion"/>
  <conditionalFormatting sqref="C41:M41">
    <cfRule type="expression" dxfId="9" priority="5" stopIfTrue="1">
      <formula>$D$39&lt;=80%</formula>
    </cfRule>
    <cfRule type="expression" dxfId="8" priority="6" stopIfTrue="1">
      <formula>$D$39&gt;80%</formula>
    </cfRule>
  </conditionalFormatting>
  <conditionalFormatting sqref="C42:M42">
    <cfRule type="expression" dxfId="7" priority="3" stopIfTrue="1">
      <formula>OR($D$38&lt;0%,$D$38&gt;40%,$D$39&gt;80%)</formula>
    </cfRule>
    <cfRule type="expression" dxfId="6" priority="4" stopIfTrue="1">
      <formula>OR($D$39&lt;=80%,$D$38&lt;=40%)</formula>
    </cfRule>
  </conditionalFormatting>
  <conditionalFormatting sqref="C40:M40">
    <cfRule type="expression" dxfId="5" priority="1" stopIfTrue="1">
      <formula>OR($D$38&lt;0%,$D$38&gt;40%)</formula>
    </cfRule>
    <cfRule type="expression" dxfId="4" priority="2" stopIfTrue="1">
      <formula>$D$38&lt;=40%</formula>
    </cfRule>
  </conditionalFormatting>
  <pageMargins left="1.61" right="0.3" top="0.53" bottom="0.74803149606299213" header="0.31496062992125984" footer="0.31496062992125984"/>
  <pageSetup paperSize="5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M13"/>
  <sheetViews>
    <sheetView workbookViewId="0">
      <selection sqref="A1:M13"/>
    </sheetView>
  </sheetViews>
  <sheetFormatPr baseColWidth="10" defaultRowHeight="15"/>
  <cols>
    <col min="1" max="1" width="30.42578125" customWidth="1"/>
    <col min="2" max="13" width="11.7109375" customWidth="1"/>
  </cols>
  <sheetData>
    <row r="1" spans="1:13">
      <c r="A1" s="263" t="s">
        <v>326</v>
      </c>
      <c r="B1" s="264"/>
      <c r="C1" s="265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13">
      <c r="A2" s="266" t="s">
        <v>6</v>
      </c>
      <c r="B2" s="264"/>
      <c r="C2" s="267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>
      <c r="A3" s="268" t="s">
        <v>327</v>
      </c>
      <c r="B3" s="269">
        <v>2011</v>
      </c>
      <c r="C3" s="269">
        <v>2012</v>
      </c>
      <c r="D3" s="269">
        <v>2013</v>
      </c>
      <c r="E3" s="269">
        <v>2014</v>
      </c>
      <c r="F3" s="269">
        <v>2015</v>
      </c>
      <c r="G3" s="269">
        <v>2016</v>
      </c>
      <c r="H3" s="269">
        <v>2017</v>
      </c>
      <c r="I3" s="269">
        <v>2018</v>
      </c>
      <c r="J3" s="269">
        <v>2019</v>
      </c>
      <c r="K3" s="269">
        <v>2020</v>
      </c>
      <c r="L3" s="269">
        <v>2020</v>
      </c>
      <c r="M3" s="269">
        <v>2021</v>
      </c>
    </row>
    <row r="4" spans="1:13">
      <c r="A4" s="270" t="s">
        <v>57</v>
      </c>
      <c r="B4" s="271">
        <f>+'Plan Financiero Minhacienda'!C6</f>
        <v>5425.4012889999995</v>
      </c>
      <c r="C4" s="271">
        <f>+'Plan Financiero Minhacienda'!D6</f>
        <v>4731</v>
      </c>
      <c r="D4" s="271">
        <f>+'Plan Financiero Minhacienda'!E6</f>
        <v>4896.5849999999991</v>
      </c>
      <c r="E4" s="271">
        <f>+'Plan Financiero Minhacienda'!F6</f>
        <v>5067.9654749999991</v>
      </c>
      <c r="F4" s="271">
        <f>+'Plan Financiero Minhacienda'!G6</f>
        <v>5245.3442666249985</v>
      </c>
      <c r="G4" s="271">
        <f>+'Plan Financiero Minhacienda'!H6</f>
        <v>5428.9313159568737</v>
      </c>
      <c r="H4" s="271">
        <f>+'Plan Financiero Minhacienda'!I6</f>
        <v>5618.9439120153629</v>
      </c>
      <c r="I4" s="271">
        <f>+'Plan Financiero Minhacienda'!J6</f>
        <v>5815.6069489358997</v>
      </c>
      <c r="J4" s="271">
        <f>+'Plan Financiero Minhacienda'!K6</f>
        <v>6019.1531921486567</v>
      </c>
      <c r="K4" s="271">
        <f>+'Plan Financiero Minhacienda'!L6</f>
        <v>6229.8235538738591</v>
      </c>
      <c r="L4" s="271">
        <f>+'Plan Financiero Minhacienda'!M6</f>
        <v>6447.8673782594451</v>
      </c>
      <c r="M4" s="271">
        <f>+'Plan Financiero Minhacienda'!N6</f>
        <v>0</v>
      </c>
    </row>
    <row r="5" spans="1:13">
      <c r="A5" s="270" t="s">
        <v>328</v>
      </c>
      <c r="B5" s="271">
        <f>+'Plan Financiero Minhacienda'!C47</f>
        <v>1478</v>
      </c>
      <c r="C5" s="271">
        <f>+'Plan Financiero Minhacienda'!D47</f>
        <v>6</v>
      </c>
      <c r="D5" s="271">
        <f>+'Plan Financiero Minhacienda'!E47</f>
        <v>6.2099999999999991</v>
      </c>
      <c r="E5" s="271">
        <f>+'Plan Financiero Minhacienda'!F47</f>
        <v>6.4273499999999988</v>
      </c>
      <c r="F5" s="271">
        <f>+'Plan Financiero Minhacienda'!G47</f>
        <v>6.652307249999998</v>
      </c>
      <c r="G5" s="271">
        <f>+'Plan Financiero Minhacienda'!H47</f>
        <v>6.8851380037499972</v>
      </c>
      <c r="H5" s="271">
        <f>+'Plan Financiero Minhacienda'!I47</f>
        <v>7.1261178338812465</v>
      </c>
      <c r="I5" s="271">
        <f>+'Plan Financiero Minhacienda'!J47</f>
        <v>7.3755319580670893</v>
      </c>
      <c r="J5" s="271">
        <f>+'Plan Financiero Minhacienda'!K47</f>
        <v>7.6336755765994369</v>
      </c>
      <c r="K5" s="271">
        <f>+'Plan Financiero Minhacienda'!L47</f>
        <v>7.900854221780417</v>
      </c>
      <c r="L5" s="271">
        <f>+'Plan Financiero Minhacienda'!M47</f>
        <v>8.1773841195427313</v>
      </c>
      <c r="M5" s="271">
        <f>+'Plan Financiero Minhacienda'!N47</f>
        <v>0</v>
      </c>
    </row>
    <row r="6" spans="1:13">
      <c r="A6" s="270" t="s">
        <v>271</v>
      </c>
      <c r="B6" s="271">
        <f>+'Plan Financiero Minhacienda'!C27</f>
        <v>670</v>
      </c>
      <c r="C6" s="271">
        <f>+'Plan Financiero Minhacienda'!D27</f>
        <v>720</v>
      </c>
      <c r="D6" s="271">
        <f>+'Plan Financiero Minhacienda'!E27</f>
        <v>745.2</v>
      </c>
      <c r="E6" s="271">
        <f>+'Plan Financiero Minhacienda'!F27</f>
        <v>771.28199999999993</v>
      </c>
      <c r="F6" s="271">
        <f>+'Plan Financiero Minhacienda'!G27</f>
        <v>798.27686999999969</v>
      </c>
      <c r="G6" s="271">
        <f>+'Plan Financiero Minhacienda'!H27</f>
        <v>826.21656044999975</v>
      </c>
      <c r="H6" s="271">
        <f>+'Plan Financiero Minhacienda'!I27</f>
        <v>855.13414006574965</v>
      </c>
      <c r="I6" s="271">
        <f>+'Plan Financiero Minhacienda'!J27</f>
        <v>885.06383496805097</v>
      </c>
      <c r="J6" s="271">
        <f>+'Plan Financiero Minhacienda'!K27</f>
        <v>916.04106919193248</v>
      </c>
      <c r="K6" s="271">
        <f>+'Plan Financiero Minhacienda'!L27</f>
        <v>948.10250661365023</v>
      </c>
      <c r="L6" s="271">
        <f>+'Plan Financiero Minhacienda'!M27</f>
        <v>981.28609434512782</v>
      </c>
      <c r="M6" s="271">
        <f>+'Plan Financiero Minhacienda'!N27</f>
        <v>0</v>
      </c>
    </row>
    <row r="7" spans="1:13">
      <c r="A7" s="270" t="s">
        <v>329</v>
      </c>
      <c r="B7" s="271">
        <f>+'Plan Financiero Minhacienda'!C55+'Plan Financiero Minhacienda'!C43</f>
        <v>6293</v>
      </c>
      <c r="C7" s="271">
        <f>+'Plan Financiero Minhacienda'!D55+'Plan Financiero Minhacienda'!D43</f>
        <v>3744</v>
      </c>
      <c r="D7" s="271">
        <f>+'Plan Financiero Minhacienda'!E55+'Plan Financiero Minhacienda'!E43</f>
        <v>3875.0399999999995</v>
      </c>
      <c r="E7" s="271">
        <f>+'Plan Financiero Minhacienda'!F55+'Plan Financiero Minhacienda'!F43</f>
        <v>4010.6663999999992</v>
      </c>
      <c r="F7" s="271">
        <f>+'Plan Financiero Minhacienda'!G55+'Plan Financiero Minhacienda'!G43</f>
        <v>4151.0397239999984</v>
      </c>
      <c r="G7" s="271">
        <f>+'Plan Financiero Minhacienda'!H55+'Plan Financiero Minhacienda'!H43</f>
        <v>4296.3261143399977</v>
      </c>
      <c r="H7" s="271">
        <f>+'Plan Financiero Minhacienda'!I55+'Plan Financiero Minhacienda'!I43</f>
        <v>4446.6975283418969</v>
      </c>
      <c r="I7" s="271">
        <f>+'Plan Financiero Minhacienda'!J55+'Plan Financiero Minhacienda'!J43</f>
        <v>4602.3319418338633</v>
      </c>
      <c r="J7" s="271">
        <f>+'Plan Financiero Minhacienda'!K55+'Plan Financiero Minhacienda'!K43</f>
        <v>4763.4135597980485</v>
      </c>
      <c r="K7" s="271">
        <f>+'Plan Financiero Minhacienda'!L55+'Plan Financiero Minhacienda'!L43</f>
        <v>4930.1330343909794</v>
      </c>
      <c r="L7" s="271">
        <f>+'Plan Financiero Minhacienda'!M55+'Plan Financiero Minhacienda'!M43</f>
        <v>5102.6876905946638</v>
      </c>
      <c r="M7" s="271">
        <f>+'Plan Financiero Minhacienda'!N55+'Plan Financiero Minhacienda'!N43</f>
        <v>0</v>
      </c>
    </row>
    <row r="8" spans="1:13">
      <c r="A8" s="270" t="s">
        <v>327</v>
      </c>
      <c r="B8" s="271">
        <f>+B4+B5-B6-B7</f>
        <v>-59.598711000000549</v>
      </c>
      <c r="C8" s="271">
        <f t="shared" ref="C8:M8" si="0">+C4+C5-C6-C7</f>
        <v>273</v>
      </c>
      <c r="D8" s="271">
        <f t="shared" si="0"/>
        <v>282.55499999999984</v>
      </c>
      <c r="E8" s="271">
        <f t="shared" si="0"/>
        <v>292.44442499999968</v>
      </c>
      <c r="F8" s="271">
        <f t="shared" si="0"/>
        <v>302.67997987500075</v>
      </c>
      <c r="G8" s="271">
        <f t="shared" si="0"/>
        <v>313.27377917062677</v>
      </c>
      <c r="H8" s="271">
        <f t="shared" si="0"/>
        <v>324.23836144159759</v>
      </c>
      <c r="I8" s="271">
        <f t="shared" si="0"/>
        <v>335.58670409205206</v>
      </c>
      <c r="J8" s="271">
        <f t="shared" si="0"/>
        <v>347.3322387352755</v>
      </c>
      <c r="K8" s="271">
        <f t="shared" si="0"/>
        <v>359.48886709101043</v>
      </c>
      <c r="L8" s="271">
        <f t="shared" si="0"/>
        <v>372.07097743919621</v>
      </c>
      <c r="M8" s="271">
        <f t="shared" si="0"/>
        <v>0</v>
      </c>
    </row>
    <row r="9" spans="1:13" ht="26.25">
      <c r="A9" s="268" t="s">
        <v>330</v>
      </c>
      <c r="B9" s="272">
        <f>IF(B13&lt;&gt;0,B8/(B13)*100,IF(AND(B13=0,B8&lt;0),0,100))</f>
        <v>-156.83871315789617</v>
      </c>
      <c r="C9" s="272">
        <f t="shared" ref="C9:M9" si="1">IF(C13&lt;&gt;0,C8/(C13)*100,IF(AND(C13=0,C8&lt;0),0,100))</f>
        <v>515.09433962264154</v>
      </c>
      <c r="D9" s="272">
        <f t="shared" si="1"/>
        <v>807.2999999999995</v>
      </c>
      <c r="E9" s="272">
        <f t="shared" si="1"/>
        <v>1539.1811842105246</v>
      </c>
      <c r="F9" s="272">
        <f t="shared" si="1"/>
        <v>3363.1108875000082</v>
      </c>
      <c r="G9" s="272">
        <f t="shared" si="1"/>
        <v>10442.45930568756</v>
      </c>
      <c r="H9" s="272">
        <f t="shared" si="1"/>
        <v>100</v>
      </c>
      <c r="I9" s="272">
        <f t="shared" si="1"/>
        <v>100</v>
      </c>
      <c r="J9" s="272">
        <f t="shared" si="1"/>
        <v>100</v>
      </c>
      <c r="K9" s="272">
        <f t="shared" si="1"/>
        <v>100</v>
      </c>
      <c r="L9" s="272">
        <f t="shared" si="1"/>
        <v>100</v>
      </c>
      <c r="M9" s="272">
        <f t="shared" si="1"/>
        <v>100</v>
      </c>
    </row>
    <row r="10" spans="1:13">
      <c r="A10" s="273"/>
      <c r="B10" s="274" t="str">
        <f t="shared" ref="B10:M10" si="2">IF(B9&lt;100,"INSOSTENIBLE","SOSTENIBLE")</f>
        <v>INSOSTENIBLE</v>
      </c>
      <c r="C10" s="274" t="str">
        <f t="shared" si="2"/>
        <v>SOSTENIBLE</v>
      </c>
      <c r="D10" s="274" t="str">
        <f t="shared" si="2"/>
        <v>SOSTENIBLE</v>
      </c>
      <c r="E10" s="274" t="str">
        <f t="shared" si="2"/>
        <v>SOSTENIBLE</v>
      </c>
      <c r="F10" s="274" t="str">
        <f t="shared" si="2"/>
        <v>SOSTENIBLE</v>
      </c>
      <c r="G10" s="274" t="str">
        <f t="shared" si="2"/>
        <v>SOSTENIBLE</v>
      </c>
      <c r="H10" s="274" t="str">
        <f t="shared" si="2"/>
        <v>SOSTENIBLE</v>
      </c>
      <c r="I10" s="274" t="str">
        <f t="shared" si="2"/>
        <v>SOSTENIBLE</v>
      </c>
      <c r="J10" s="274" t="str">
        <f t="shared" si="2"/>
        <v>SOSTENIBLE</v>
      </c>
      <c r="K10" s="274" t="str">
        <f t="shared" si="2"/>
        <v>SOSTENIBLE</v>
      </c>
      <c r="L10" s="274" t="str">
        <f t="shared" si="2"/>
        <v>SOSTENIBLE</v>
      </c>
      <c r="M10" s="274" t="str">
        <f t="shared" si="2"/>
        <v>SOSTENIBLE</v>
      </c>
    </row>
    <row r="11" spans="1:13">
      <c r="A11" s="266" t="s">
        <v>6</v>
      </c>
      <c r="B11" s="267"/>
      <c r="C11" s="267"/>
      <c r="D11" s="267"/>
      <c r="E11" s="267"/>
      <c r="F11" s="267"/>
      <c r="G11" s="267"/>
      <c r="H11" s="267"/>
      <c r="I11" s="275"/>
      <c r="J11" s="267"/>
      <c r="K11" s="267"/>
      <c r="L11" s="267"/>
      <c r="M11" s="267"/>
    </row>
    <row r="12" spans="1:13">
      <c r="A12" s="276" t="s">
        <v>331</v>
      </c>
      <c r="B12" s="269">
        <f>+B3</f>
        <v>2011</v>
      </c>
      <c r="C12" s="269">
        <f t="shared" ref="C12:M12" si="3">+C3</f>
        <v>2012</v>
      </c>
      <c r="D12" s="269">
        <f t="shared" si="3"/>
        <v>2013</v>
      </c>
      <c r="E12" s="269">
        <f t="shared" si="3"/>
        <v>2014</v>
      </c>
      <c r="F12" s="269">
        <f t="shared" si="3"/>
        <v>2015</v>
      </c>
      <c r="G12" s="269">
        <f t="shared" si="3"/>
        <v>2016</v>
      </c>
      <c r="H12" s="269">
        <f t="shared" si="3"/>
        <v>2017</v>
      </c>
      <c r="I12" s="269">
        <f t="shared" si="3"/>
        <v>2018</v>
      </c>
      <c r="J12" s="269">
        <f t="shared" si="3"/>
        <v>2019</v>
      </c>
      <c r="K12" s="269">
        <f t="shared" si="3"/>
        <v>2020</v>
      </c>
      <c r="L12" s="269">
        <f t="shared" si="3"/>
        <v>2020</v>
      </c>
      <c r="M12" s="269">
        <f t="shared" si="3"/>
        <v>2021</v>
      </c>
    </row>
    <row r="13" spans="1:13">
      <c r="A13" s="277" t="s">
        <v>332</v>
      </c>
      <c r="B13" s="278">
        <f>+'Plan Financiero Minhacienda'!C40</f>
        <v>38</v>
      </c>
      <c r="C13" s="278">
        <f>+'Plan Financiero Minhacienda'!D40</f>
        <v>53</v>
      </c>
      <c r="D13" s="278">
        <f>+'Plan Financiero Minhacienda'!E40</f>
        <v>35</v>
      </c>
      <c r="E13" s="278">
        <f>+'Plan Financiero Minhacienda'!F40</f>
        <v>19</v>
      </c>
      <c r="F13" s="278">
        <f>+'Plan Financiero Minhacienda'!G40</f>
        <v>9</v>
      </c>
      <c r="G13" s="278">
        <f>+'Plan Financiero Minhacienda'!H40</f>
        <v>3</v>
      </c>
      <c r="H13" s="278">
        <f>+'Plan Financiero Minhacienda'!I40</f>
        <v>0</v>
      </c>
      <c r="I13" s="278">
        <f>+'Plan Financiero Minhacienda'!J40</f>
        <v>0</v>
      </c>
      <c r="J13" s="278">
        <f>+'Plan Financiero Minhacienda'!K40</f>
        <v>0</v>
      </c>
      <c r="K13" s="278">
        <f>+'Plan Financiero Minhacienda'!L40</f>
        <v>0</v>
      </c>
      <c r="L13" s="278">
        <f>+'Plan Financiero Minhacienda'!M40</f>
        <v>0</v>
      </c>
      <c r="M13" s="278">
        <f>+'Plan Financiero Minhacienda'!N40</f>
        <v>0</v>
      </c>
    </row>
  </sheetData>
  <phoneticPr fontId="0" type="noConversion"/>
  <conditionalFormatting sqref="B9:M9">
    <cfRule type="cellIs" dxfId="3" priority="3" stopIfTrue="1" operator="greaterThanOrEqual">
      <formula>100</formula>
    </cfRule>
    <cfRule type="cellIs" dxfId="2" priority="4" stopIfTrue="1" operator="lessThan">
      <formula>99.99</formula>
    </cfRule>
  </conditionalFormatting>
  <conditionalFormatting sqref="B10:M10">
    <cfRule type="expression" dxfId="1" priority="1" stopIfTrue="1">
      <formula>$C$48&gt;=100</formula>
    </cfRule>
    <cfRule type="expression" dxfId="0" priority="2" stopIfTrue="1">
      <formula>$C$48&lt;=99.99</formula>
    </cfRule>
  </conditionalFormatting>
  <pageMargins left="1.76" right="0.70866141732283472" top="0.74803149606299213" bottom="0.74803149606299213" header="0.31496062992125984" footer="0.31496062992125984"/>
  <pageSetup paperSize="5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L10"/>
  <sheetViews>
    <sheetView workbookViewId="0">
      <selection sqref="A1:L10"/>
    </sheetView>
  </sheetViews>
  <sheetFormatPr baseColWidth="10" defaultRowHeight="15"/>
  <cols>
    <col min="1" max="1" width="49.5703125" customWidth="1"/>
  </cols>
  <sheetData>
    <row r="1" spans="1:12">
      <c r="A1" s="102"/>
      <c r="B1" s="102"/>
      <c r="C1" s="102"/>
      <c r="D1" s="279"/>
      <c r="E1" s="279"/>
      <c r="F1" s="279"/>
      <c r="G1" s="279"/>
      <c r="H1" s="279"/>
      <c r="I1" s="279"/>
      <c r="J1" s="152"/>
      <c r="K1" s="280"/>
      <c r="L1" s="280"/>
    </row>
    <row r="2" spans="1:12" ht="16.5">
      <c r="A2" s="281" t="s">
        <v>333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>
      <c r="A4" s="282" t="s">
        <v>334</v>
      </c>
      <c r="B4" s="283">
        <v>2011</v>
      </c>
      <c r="C4" s="283">
        <v>2012</v>
      </c>
      <c r="D4" s="283">
        <v>2013</v>
      </c>
      <c r="E4" s="283">
        <v>2014</v>
      </c>
      <c r="F4" s="283">
        <v>2015</v>
      </c>
      <c r="G4" s="283">
        <v>2016</v>
      </c>
      <c r="H4" s="283">
        <v>2017</v>
      </c>
      <c r="I4" s="283">
        <v>2018</v>
      </c>
      <c r="J4" s="283">
        <v>2019</v>
      </c>
      <c r="K4" s="284">
        <v>2020</v>
      </c>
      <c r="L4" s="284">
        <v>2021</v>
      </c>
    </row>
    <row r="5" spans="1:12" ht="17.25" customHeight="1">
      <c r="A5" s="285" t="s">
        <v>335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</row>
    <row r="6" spans="1:12" ht="17.25" customHeight="1">
      <c r="A6" s="287" t="s">
        <v>336</v>
      </c>
      <c r="B6" s="288">
        <f>+'Plan Financiero DNP'!C37/'Plan Financiero DNP'!C3*100</f>
        <v>10.62662075251232</v>
      </c>
      <c r="C6" s="288">
        <f>+'Plan Financiero DNP'!D37/'Plan Financiero DNP'!D3*100</f>
        <v>8.655267046654</v>
      </c>
      <c r="D6" s="288">
        <f>+'Plan Financiero DNP'!E37/'Plan Financiero DNP'!E3*100</f>
        <v>5.0175461140023199</v>
      </c>
      <c r="E6" s="288">
        <f>+'Plan Financiero DNP'!F37/'Plan Financiero DNP'!F3*100</f>
        <v>2.0692130787095699</v>
      </c>
      <c r="F6" s="288">
        <f>+'Plan Financiero DNP'!G37/'Plan Financiero DNP'!G3*100</f>
        <v>0.91393814380546923</v>
      </c>
      <c r="G6" s="288">
        <f>+'Plan Financiero DNP'!H37/'Plan Financiero DNP'!H3*100</f>
        <v>0</v>
      </c>
      <c r="H6" s="288">
        <f>+'Plan Financiero DNP'!I37/'Plan Financiero DNP'!I3*100</f>
        <v>0</v>
      </c>
      <c r="I6" s="288">
        <f>+'Plan Financiero DNP'!J37/'Plan Financiero DNP'!J3*100</f>
        <v>0</v>
      </c>
      <c r="J6" s="288">
        <f>+'Plan Financiero DNP'!K37/'Plan Financiero DNP'!K3*100</f>
        <v>0</v>
      </c>
      <c r="K6" s="288">
        <f>+'Plan Financiero DNP'!L37/'Plan Financiero DNP'!L3*100</f>
        <v>0</v>
      </c>
      <c r="L6" s="288">
        <f>+'Plan Financiero DNP'!M37/'Plan Financiero DNP'!M3*100</f>
        <v>0</v>
      </c>
    </row>
    <row r="7" spans="1:12" ht="17.25" customHeight="1">
      <c r="A7" s="287" t="s">
        <v>337</v>
      </c>
      <c r="B7" s="288">
        <f>+('Plan Financiero DNP'!C11+'Plan Financiero DNP'!C24+'Plan Financiero DNP'!C25)/'Plan Financiero DNP'!C3*100</f>
        <v>70.753930149281942</v>
      </c>
      <c r="C7" s="288">
        <f>+('Plan Financiero DNP'!D11+'Plan Financiero DNP'!D24+'Plan Financiero DNP'!D25)/'Plan Financiero DNP'!D3*100</f>
        <v>83.048342833016676</v>
      </c>
      <c r="D7" s="288">
        <f>+('Plan Financiero DNP'!E11+'Plan Financiero DNP'!E24+'Plan Financiero DNP'!E25)/'Plan Financiero DNP'!E3*100</f>
        <v>83.04834283301669</v>
      </c>
      <c r="E7" s="288">
        <f>+('Plan Financiero DNP'!F11+'Plan Financiero DNP'!F24+'Plan Financiero DNP'!F25)/'Plan Financiero DNP'!F3*100</f>
        <v>83.04834283301669</v>
      </c>
      <c r="F7" s="288">
        <f>+('Plan Financiero DNP'!G11+'Plan Financiero DNP'!G24+'Plan Financiero DNP'!G25)/'Plan Financiero DNP'!G3*100</f>
        <v>83.048342833016676</v>
      </c>
      <c r="G7" s="288">
        <f>+('Plan Financiero DNP'!H11+'Plan Financiero DNP'!H24+'Plan Financiero DNP'!H25)/'Plan Financiero DNP'!H3*100</f>
        <v>83.048342833016662</v>
      </c>
      <c r="H7" s="288">
        <f>+('Plan Financiero DNP'!I11+'Plan Financiero DNP'!I24+'Plan Financiero DNP'!I25)/'Plan Financiero DNP'!I3*100</f>
        <v>83.04834283301669</v>
      </c>
      <c r="I7" s="288">
        <f>+('Plan Financiero DNP'!J11+'Plan Financiero DNP'!J24+'Plan Financiero DNP'!J25)/'Plan Financiero DNP'!J3*100</f>
        <v>83.048342833016676</v>
      </c>
      <c r="J7" s="288">
        <f>+('Plan Financiero DNP'!K11+'Plan Financiero DNP'!K24+'Plan Financiero DNP'!K25)/'Plan Financiero DNP'!K3*100</f>
        <v>83.048342833016676</v>
      </c>
      <c r="K7" s="288">
        <f>+('Plan Financiero DNP'!L11+'Plan Financiero DNP'!L24+'Plan Financiero DNP'!L25)/'Plan Financiero DNP'!L3*100</f>
        <v>83.048342833016676</v>
      </c>
      <c r="L7" s="288">
        <f>+('Plan Financiero DNP'!M11+'Plan Financiero DNP'!M24+'Plan Financiero DNP'!M25)/'Plan Financiero DNP'!M3*100</f>
        <v>83.04834283301669</v>
      </c>
    </row>
    <row r="8" spans="1:12" ht="17.25" customHeight="1">
      <c r="A8" s="287" t="s">
        <v>338</v>
      </c>
      <c r="B8" s="288">
        <f>+'Plan Financiero DNP'!C5/'Plan Financiero DNP'!C3*100</f>
        <v>7.3892509191307703</v>
      </c>
      <c r="C8" s="288">
        <f>+'Plan Financiero DNP'!D5/'Plan Financiero DNP'!D3*100</f>
        <v>8.7819294912391808</v>
      </c>
      <c r="D8" s="288">
        <f>+'Plan Financiero DNP'!E5/'Plan Financiero DNP'!E3*100</f>
        <v>8.7819294912391808</v>
      </c>
      <c r="E8" s="288">
        <f>+'Plan Financiero DNP'!F5/'Plan Financiero DNP'!F3*100</f>
        <v>8.7819294912391825</v>
      </c>
      <c r="F8" s="288">
        <f>+'Plan Financiero DNP'!G5/'Plan Financiero DNP'!G3*100</f>
        <v>8.7819294912391808</v>
      </c>
      <c r="G8" s="288">
        <f>+'Plan Financiero DNP'!H5/'Plan Financiero DNP'!H3*100</f>
        <v>8.781929491239179</v>
      </c>
      <c r="H8" s="288">
        <f>+'Plan Financiero DNP'!I5/'Plan Financiero DNP'!I3*100</f>
        <v>8.7819294912391808</v>
      </c>
      <c r="I8" s="288">
        <f>+'Plan Financiero DNP'!J5/'Plan Financiero DNP'!J3*100</f>
        <v>8.781929491239179</v>
      </c>
      <c r="J8" s="288">
        <f>+'Plan Financiero DNP'!K5/'Plan Financiero DNP'!K3*100</f>
        <v>8.7819294912391808</v>
      </c>
      <c r="K8" s="288">
        <f>+'Plan Financiero DNP'!L5/'Plan Financiero DNP'!L3*100</f>
        <v>8.7819294912391825</v>
      </c>
      <c r="L8" s="288">
        <f>+'Plan Financiero DNP'!M5/'Plan Financiero DNP'!M3*100</f>
        <v>8.7819294912391808</v>
      </c>
    </row>
    <row r="9" spans="1:12" ht="17.25" customHeight="1">
      <c r="A9" s="285" t="s">
        <v>339</v>
      </c>
      <c r="B9" s="288">
        <f>+'Plan Financiero DNP'!C28/'Plan Financiero DNP'!C14*100</f>
        <v>89.887158977288962</v>
      </c>
      <c r="C9" s="288">
        <f>+'Plan Financiero DNP'!D28/'Plan Financiero DNP'!D14*100</f>
        <v>82.88687181757804</v>
      </c>
      <c r="D9" s="288">
        <f>+'Plan Financiero DNP'!E28/'Plan Financiero DNP'!E14*100</f>
        <v>83.240391472834901</v>
      </c>
      <c r="E9" s="288">
        <f>+'Plan Financiero DNP'!F28/'Plan Financiero DNP'!F14*100</f>
        <v>83.539044077207734</v>
      </c>
      <c r="F9" s="288">
        <f>+'Plan Financiero DNP'!G28/'Plan Financiero DNP'!G14*100</f>
        <v>83.718730849561396</v>
      </c>
      <c r="G9" s="288">
        <f>+'Plan Financiero DNP'!H28/'Plan Financiero DNP'!H14*100</f>
        <v>83.821877739336657</v>
      </c>
      <c r="H9" s="288">
        <f>+'Plan Financiero DNP'!I28/'Plan Financiero DNP'!I14*100</f>
        <v>83.870967741935488</v>
      </c>
      <c r="I9" s="288">
        <f>+'Plan Financiero DNP'!J28/'Plan Financiero DNP'!J14*100</f>
        <v>83.870967741935473</v>
      </c>
      <c r="J9" s="288">
        <f>+'Plan Financiero DNP'!K28/'Plan Financiero DNP'!K14*100</f>
        <v>83.870967741935488</v>
      </c>
      <c r="K9" s="288">
        <f>+'Plan Financiero DNP'!L28/'Plan Financiero DNP'!L14*100</f>
        <v>83.870967741935488</v>
      </c>
      <c r="L9" s="288">
        <f>+'Plan Financiero DNP'!M28/'Plan Financiero DNP'!M14*100</f>
        <v>83.870967741935473</v>
      </c>
    </row>
    <row r="10" spans="1:12" ht="17.25" customHeight="1">
      <c r="A10" s="285" t="s">
        <v>340</v>
      </c>
      <c r="B10" s="288">
        <f>+'Plan Financiero DNP'!C22/'Plan Financiero DNP'!C4*100</f>
        <v>-29.041146029041698</v>
      </c>
      <c r="C10" s="288">
        <f>+'Plan Financiero DNP'!D22/'Plan Financiero DNP'!D4*100</f>
        <v>4.5233565842316636</v>
      </c>
      <c r="D10" s="288">
        <f>+'Plan Financiero DNP'!E22/'Plan Financiero DNP'!E4*100</f>
        <v>4.9288432652552627</v>
      </c>
      <c r="E10" s="288">
        <f>+'Plan Financiero DNP'!F22/'Plan Financiero DNP'!F4*100</f>
        <v>5.2687232444100225</v>
      </c>
      <c r="F10" s="288">
        <f>+'Plan Financiero DNP'!G22/'Plan Financiero DNP'!G4*100</f>
        <v>5.4720464098285397</v>
      </c>
      <c r="G10" s="288">
        <f>+'Plan Financiero DNP'!H22/'Plan Financiero DNP'!H4*100</f>
        <v>5.5883676456754499</v>
      </c>
      <c r="H10" s="288">
        <f>+'Plan Financiero DNP'!I22/'Plan Financiero DNP'!I4*100</f>
        <v>5.6436271401395421</v>
      </c>
      <c r="I10" s="288">
        <f>+'Plan Financiero DNP'!J22/'Plan Financiero DNP'!J4*100</f>
        <v>5.6436271401395306</v>
      </c>
      <c r="J10" s="288">
        <f>+'Plan Financiero DNP'!K22/'Plan Financiero DNP'!K4*100</f>
        <v>5.643627140139519</v>
      </c>
      <c r="K10" s="288">
        <f>+'Plan Financiero DNP'!L22/'Plan Financiero DNP'!L4*100</f>
        <v>5.6436271401395244</v>
      </c>
      <c r="L10" s="288">
        <f>+'Plan Financiero DNP'!M22/'Plan Financiero DNP'!M4*100</f>
        <v>5.643627140139535</v>
      </c>
    </row>
  </sheetData>
  <protectedRanges>
    <protectedRange sqref="A2:B2" name="Rango1"/>
    <protectedRange sqref="A1:B1" name="Rango1_1"/>
  </protectedRanges>
  <phoneticPr fontId="0" type="noConversion"/>
  <pageMargins left="2.04" right="0.70866141732283472" top="0.74803149606299213" bottom="0.74803149606299213" header="0.31496062992125984" footer="0.31496062992125984"/>
  <pageSetup paperSize="5" scale="8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9:G113"/>
  <sheetViews>
    <sheetView topLeftCell="A50" zoomScale="80" zoomScaleNormal="80" workbookViewId="0">
      <selection activeCell="C89" sqref="C89"/>
    </sheetView>
  </sheetViews>
  <sheetFormatPr baseColWidth="10" defaultRowHeight="12.75"/>
  <cols>
    <col min="1" max="1" width="3.42578125" style="102" customWidth="1"/>
    <col min="2" max="2" width="13.7109375" style="102" bestFit="1" customWidth="1"/>
    <col min="3" max="7" width="11.42578125" style="102"/>
    <col min="8" max="8" width="13.42578125" style="102" customWidth="1"/>
    <col min="9" max="9" width="6.5703125" style="102" customWidth="1"/>
    <col min="10" max="10" width="3.42578125" style="102" customWidth="1"/>
    <col min="11" max="16" width="11.42578125" style="102"/>
    <col min="17" max="17" width="15.5703125" style="102" customWidth="1"/>
    <col min="18" max="18" width="9.7109375" style="102" customWidth="1"/>
    <col min="19" max="16384" width="11.42578125" style="102"/>
  </cols>
  <sheetData>
    <row r="9" spans="1:1">
      <c r="A9" s="146"/>
    </row>
    <row r="63" spans="2:2" ht="13.5" customHeight="1">
      <c r="B63" s="289" t="s">
        <v>341</v>
      </c>
    </row>
    <row r="80" spans="2:7">
      <c r="B80" s="146"/>
      <c r="D80" s="290"/>
      <c r="G80" s="291"/>
    </row>
    <row r="81" spans="2:7">
      <c r="B81" s="146"/>
      <c r="G81" s="291"/>
    </row>
    <row r="82" spans="2:7">
      <c r="G82" s="292"/>
    </row>
    <row r="88" spans="2:7">
      <c r="B88" s="293"/>
    </row>
    <row r="91" spans="2:7" hidden="1"/>
    <row r="113" spans="1:1">
      <c r="A113" s="294"/>
    </row>
  </sheetData>
  <phoneticPr fontId="0" type="noConversion"/>
  <pageMargins left="1.52" right="0.22" top="0.76" bottom="1.5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 Generales</vt:lpstr>
      <vt:lpstr>Análisis Histórico</vt:lpstr>
      <vt:lpstr>Plan Financiero Minhacienda</vt:lpstr>
      <vt:lpstr>Plan Financiero DNP</vt:lpstr>
      <vt:lpstr>Capacidad de Endeudamiento</vt:lpstr>
      <vt:lpstr>Superávit Primario</vt:lpstr>
      <vt:lpstr>Indicadores</vt:lpstr>
      <vt:lpstr>Graficos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sergio.ramirez</dc:creator>
  <cp:lastModifiedBy>rubiurre</cp:lastModifiedBy>
  <cp:lastPrinted>2011-12-12T03:07:48Z</cp:lastPrinted>
  <dcterms:created xsi:type="dcterms:W3CDTF">2011-10-26T14:56:22Z</dcterms:created>
  <dcterms:modified xsi:type="dcterms:W3CDTF">2012-06-07T16:05:46Z</dcterms:modified>
</cp:coreProperties>
</file>