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1430" windowHeight="4965" tabRatio="900" firstSheet="1" activeTab="1"/>
  </bookViews>
  <sheets>
    <sheet name="PROYECTO DE ACUERDO" sheetId="21" r:id="rId1"/>
    <sheet name="POAI" sheetId="13" r:id="rId2"/>
    <sheet name="ANEXO1. GASTOS FUNCIONAMIENTO" sheetId="7" r:id="rId3"/>
    <sheet name="ANEXO X. PROYECCION DE NOMINA" sheetId="11" r:id="rId4"/>
    <sheet name="GASTOS CONCEJO" sheetId="12" r:id="rId5"/>
    <sheet name="Hoja1" sheetId="10" r:id="rId6"/>
    <sheet name="PROYECTO 11" sheetId="22" r:id="rId7"/>
    <sheet name="POA 12" sheetId="23" r:id="rId8"/>
  </sheets>
  <externalReferences>
    <externalReference r:id="rId9"/>
    <externalReference r:id="rId10"/>
    <externalReference r:id="rId11"/>
    <externalReference r:id="rId12"/>
  </externalReferences>
  <definedNames>
    <definedName name="_CumplimientoLey617" localSheetId="4">#REF!</definedName>
    <definedName name="_CumplimientoLey617">#REF!</definedName>
    <definedName name="_xlnm._FilterDatabase" localSheetId="7" hidden="1">'POA 12'!$A$218:$H$448</definedName>
    <definedName name="_xlnm._FilterDatabase" localSheetId="1" hidden="1">POAI!$A$218:$H$448</definedName>
    <definedName name="_Ley617" localSheetId="4">#REF!</definedName>
    <definedName name="_Ley617">#REF!</definedName>
    <definedName name="_Ley617Gastos" localSheetId="4">#REF!</definedName>
    <definedName name="_Ley617Gastos">#REF!</definedName>
    <definedName name="_xlnm.Print_Area" localSheetId="3">'ANEXO X. PROYECCION DE NOMINA'!$A$1:$AA$39</definedName>
    <definedName name="_xlnm.Print_Area" localSheetId="4">#REF!</definedName>
    <definedName name="_xlnm.Print_Area" localSheetId="7">'POA 12'!$A$213:$P$460</definedName>
    <definedName name="_xlnm.Print_Area" localSheetId="1">POAI!$A$213:$O$460</definedName>
    <definedName name="_xlnm.Print_Area" localSheetId="6">'PROYECTO 11'!$A$1:$S$490</definedName>
    <definedName name="_xlnm.Print_Area" localSheetId="0">'PROYECTO DE ACUERDO'!$A$1:$G$489</definedName>
    <definedName name="_xlnm.Print_Area">#REF!</definedName>
    <definedName name="BalanceFinanciero" localSheetId="4">#REF!</definedName>
    <definedName name="BalanceFinanciero">#REF!</definedName>
    <definedName name="CapacidadDeEndeudamiento" localSheetId="4">#REF!</definedName>
    <definedName name="CapacidadDeEndeudamiento">#REF!</definedName>
    <definedName name="CapacidadDePago" localSheetId="4">#REF!</definedName>
    <definedName name="CapacidadDePago">#REF!</definedName>
    <definedName name="CCCCCCCCC" localSheetId="4">'[1]Gastos Proyecciones'!$A$24:$Q$214</definedName>
    <definedName name="CCCCCCCCC">'[1]Gastos Proyecciones'!$A$24:$Q$214</definedName>
    <definedName name="codigo" localSheetId="4">#REF!</definedName>
    <definedName name="codigo">#REF!</definedName>
    <definedName name="CODIGO_DIVIPOLA" localSheetId="4">#REF!</definedName>
    <definedName name="CODIGO_DIVIPOLA">#REF!</definedName>
    <definedName name="DboREGISTRO_LEY_617" localSheetId="4">#REF!</definedName>
    <definedName name="DboREGISTRO_LEY_617">#REF!</definedName>
    <definedName name="depto" localSheetId="4">#REF!</definedName>
    <definedName name="depto">#REF!</definedName>
    <definedName name="Gastos" localSheetId="4">#REF!</definedName>
    <definedName name="Gastos">#REF!</definedName>
    <definedName name="GastosDeFuncionamiento" localSheetId="4">#REF!</definedName>
    <definedName name="GastosDeFuncionamiento">#REF!</definedName>
    <definedName name="GastosProyecciones" localSheetId="4">#REF!</definedName>
    <definedName name="GastosProyecciones">#REF!</definedName>
    <definedName name="Ingresos" localSheetId="4">'[4]Datos Generales'!#REF!</definedName>
    <definedName name="Ingresos" localSheetId="7">'[2]Datos Generales'!#REF!</definedName>
    <definedName name="Ingresos" localSheetId="6">'[2]Datos Generales'!#REF!</definedName>
    <definedName name="Ingresos" localSheetId="0">'[2]Datos Generales'!#REF!</definedName>
    <definedName name="Ingresos">'[2]Datos Generales'!#REF!</definedName>
    <definedName name="IngresosProyecciones" localSheetId="4">#REF!</definedName>
    <definedName name="IngresosProyecciones">#REF!</definedName>
    <definedName name="PasivoACancelarYDeuda" localSheetId="4">#REF!</definedName>
    <definedName name="PasivoACancelarYDeuda">#REF!</definedName>
    <definedName name="ProyeccionesFuentesYUsos" localSheetId="4">#REF!</definedName>
    <definedName name="ProyeccionesFuentesYUsos">#REF!</definedName>
    <definedName name="SegumientoFuentesYUsos" localSheetId="4">#REF!</definedName>
    <definedName name="SegumientoFuentesYUsos">#REF!</definedName>
    <definedName name="_xlnm.Print_Titles" localSheetId="2">'ANEXO1. GASTOS FUNCIONAMIENTO'!$3:$3</definedName>
    <definedName name="TransferenciasAlConcejo" localSheetId="4">#REF!</definedName>
    <definedName name="TransferenciasAlConcejo">#REF!</definedName>
    <definedName name="TransferenciasAPersoneria" localSheetId="4">#REF!</definedName>
    <definedName name="TransferenciasAPersoneria">#REF!</definedName>
    <definedName name="TransferenciasContraloria" localSheetId="4">#REF!</definedName>
    <definedName name="TransferenciasContraloria">#REF!</definedName>
  </definedNames>
  <calcPr calcId="125725" fullCalcOnLoad="1"/>
</workbook>
</file>

<file path=xl/calcChain.xml><?xml version="1.0" encoding="utf-8"?>
<calcChain xmlns="http://schemas.openxmlformats.org/spreadsheetml/2006/main">
  <c r="D205" i="23"/>
  <c r="E205"/>
  <c r="F205"/>
  <c r="D203"/>
  <c r="E203"/>
  <c r="F203"/>
  <c r="C447"/>
  <c r="G446"/>
  <c r="F446"/>
  <c r="E446"/>
  <c r="D446"/>
  <c r="H445"/>
  <c r="H444"/>
  <c r="H443"/>
  <c r="H442"/>
  <c r="H440"/>
  <c r="H437"/>
  <c r="H436"/>
  <c r="C435"/>
  <c r="H435"/>
  <c r="C434"/>
  <c r="H434"/>
  <c r="H433"/>
  <c r="H432"/>
  <c r="H431"/>
  <c r="H430"/>
  <c r="H429"/>
  <c r="H428"/>
  <c r="H427"/>
  <c r="H425"/>
  <c r="H424"/>
  <c r="H423"/>
  <c r="H422"/>
  <c r="H421"/>
  <c r="H420"/>
  <c r="H419"/>
  <c r="H418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8"/>
  <c r="H397"/>
  <c r="H396"/>
  <c r="H395"/>
  <c r="H394"/>
  <c r="H393"/>
  <c r="H392"/>
  <c r="H391"/>
  <c r="H389"/>
  <c r="H388"/>
  <c r="H387"/>
  <c r="H385"/>
  <c r="H384"/>
  <c r="H383"/>
  <c r="H382"/>
  <c r="H380"/>
  <c r="H379"/>
  <c r="C378"/>
  <c r="H378"/>
  <c r="C377"/>
  <c r="H377"/>
  <c r="H376"/>
  <c r="H375"/>
  <c r="H374"/>
  <c r="H373"/>
  <c r="O372"/>
  <c r="N372"/>
  <c r="H372"/>
  <c r="H371"/>
  <c r="H370"/>
  <c r="O369"/>
  <c r="N369"/>
  <c r="H369"/>
  <c r="H368"/>
  <c r="H367"/>
  <c r="G365"/>
  <c r="F365"/>
  <c r="E365"/>
  <c r="D365"/>
  <c r="C359"/>
  <c r="G358"/>
  <c r="F358"/>
  <c r="E358"/>
  <c r="D358"/>
  <c r="C358"/>
  <c r="H357"/>
  <c r="H356"/>
  <c r="H355"/>
  <c r="H354"/>
  <c r="H353"/>
  <c r="H352"/>
  <c r="H351"/>
  <c r="H350"/>
  <c r="H349"/>
  <c r="H348"/>
  <c r="H347"/>
  <c r="H346"/>
  <c r="G344"/>
  <c r="F344"/>
  <c r="E344"/>
  <c r="D344"/>
  <c r="C344"/>
  <c r="C338"/>
  <c r="G337"/>
  <c r="F337"/>
  <c r="E337"/>
  <c r="D337"/>
  <c r="C337"/>
  <c r="H336"/>
  <c r="H335"/>
  <c r="H334"/>
  <c r="H333"/>
  <c r="H332"/>
  <c r="H331"/>
  <c r="H330"/>
  <c r="H329"/>
  <c r="H328"/>
  <c r="H327"/>
  <c r="H326"/>
  <c r="G324"/>
  <c r="F324"/>
  <c r="E324"/>
  <c r="D324"/>
  <c r="C324"/>
  <c r="C318"/>
  <c r="G317"/>
  <c r="F317"/>
  <c r="E317"/>
  <c r="C317"/>
  <c r="H316"/>
  <c r="H315"/>
  <c r="H314"/>
  <c r="H312"/>
  <c r="H311"/>
  <c r="H310"/>
  <c r="H309"/>
  <c r="H307"/>
  <c r="H306"/>
  <c r="H305"/>
  <c r="H304"/>
  <c r="H303"/>
  <c r="H302"/>
  <c r="H301"/>
  <c r="H300"/>
  <c r="H299"/>
  <c r="D298"/>
  <c r="D317"/>
  <c r="H297"/>
  <c r="H296"/>
  <c r="G294"/>
  <c r="F294"/>
  <c r="E294"/>
  <c r="C294"/>
  <c r="C288"/>
  <c r="F287"/>
  <c r="E287"/>
  <c r="D287"/>
  <c r="H286"/>
  <c r="H285"/>
  <c r="C284"/>
  <c r="H284"/>
  <c r="H283"/>
  <c r="H281"/>
  <c r="H280"/>
  <c r="H279"/>
  <c r="G278"/>
  <c r="H278"/>
  <c r="H277"/>
  <c r="H276"/>
  <c r="H275"/>
  <c r="C274"/>
  <c r="H274"/>
  <c r="H273"/>
  <c r="G271"/>
  <c r="F271"/>
  <c r="E271"/>
  <c r="D271"/>
  <c r="G263"/>
  <c r="F263"/>
  <c r="E263"/>
  <c r="D263"/>
  <c r="C263"/>
  <c r="H262"/>
  <c r="O261"/>
  <c r="N261"/>
  <c r="H261"/>
  <c r="H260"/>
  <c r="H259"/>
  <c r="G250"/>
  <c r="F250"/>
  <c r="E250"/>
  <c r="D250"/>
  <c r="C250"/>
  <c r="H249"/>
  <c r="H248"/>
  <c r="G246"/>
  <c r="F246"/>
  <c r="E246"/>
  <c r="D246"/>
  <c r="G239"/>
  <c r="F239"/>
  <c r="E239"/>
  <c r="D239"/>
  <c r="H238"/>
  <c r="H237"/>
  <c r="H236"/>
  <c r="H234"/>
  <c r="H233"/>
  <c r="H232"/>
  <c r="H230"/>
  <c r="H229"/>
  <c r="H228"/>
  <c r="H227"/>
  <c r="N226"/>
  <c r="H226"/>
  <c r="C225"/>
  <c r="C239"/>
  <c r="H224"/>
  <c r="G223"/>
  <c r="F223"/>
  <c r="E223"/>
  <c r="D223"/>
  <c r="C223"/>
  <c r="G209"/>
  <c r="F209"/>
  <c r="C209"/>
  <c r="S205"/>
  <c r="C126"/>
  <c r="S203"/>
  <c r="C125"/>
  <c r="C201"/>
  <c r="D201" s="1"/>
  <c r="E201" s="1"/>
  <c r="F201" s="1"/>
  <c r="B201"/>
  <c r="C200"/>
  <c r="D200"/>
  <c r="E200" s="1"/>
  <c r="F200" s="1"/>
  <c r="B200"/>
  <c r="A200"/>
  <c r="C199"/>
  <c r="D199"/>
  <c r="E199" s="1"/>
  <c r="F199"/>
  <c r="B199"/>
  <c r="A199"/>
  <c r="C198"/>
  <c r="D198"/>
  <c r="E198" s="1"/>
  <c r="F198" s="1"/>
  <c r="B198"/>
  <c r="A198"/>
  <c r="B197"/>
  <c r="A197"/>
  <c r="C195"/>
  <c r="D195"/>
  <c r="E195" s="1"/>
  <c r="F195"/>
  <c r="B195"/>
  <c r="C194"/>
  <c r="D194" s="1"/>
  <c r="E194" s="1"/>
  <c r="F194" s="1"/>
  <c r="B194"/>
  <c r="C193"/>
  <c r="D193"/>
  <c r="E193" s="1"/>
  <c r="F193" s="1"/>
  <c r="B193"/>
  <c r="A193"/>
  <c r="C192"/>
  <c r="D192"/>
  <c r="E192" s="1"/>
  <c r="F192"/>
  <c r="B192"/>
  <c r="A192"/>
  <c r="C191"/>
  <c r="D191"/>
  <c r="E191" s="1"/>
  <c r="F191" s="1"/>
  <c r="B191"/>
  <c r="A191"/>
  <c r="C190"/>
  <c r="D190"/>
  <c r="E190" s="1"/>
  <c r="F190"/>
  <c r="B190"/>
  <c r="A190"/>
  <c r="C189"/>
  <c r="D189"/>
  <c r="E189" s="1"/>
  <c r="F189" s="1"/>
  <c r="B189"/>
  <c r="A189"/>
  <c r="C188"/>
  <c r="D188"/>
  <c r="E188" s="1"/>
  <c r="F188"/>
  <c r="B188"/>
  <c r="A188"/>
  <c r="C187"/>
  <c r="D187"/>
  <c r="E187" s="1"/>
  <c r="F187" s="1"/>
  <c r="B187"/>
  <c r="A187"/>
  <c r="C186"/>
  <c r="D186"/>
  <c r="E186" s="1"/>
  <c r="F186"/>
  <c r="B186"/>
  <c r="A186"/>
  <c r="C185"/>
  <c r="D185"/>
  <c r="E185" s="1"/>
  <c r="F185" s="1"/>
  <c r="B185"/>
  <c r="A185"/>
  <c r="C184"/>
  <c r="D184"/>
  <c r="E184" s="1"/>
  <c r="F184"/>
  <c r="B184"/>
  <c r="A184"/>
  <c r="C183"/>
  <c r="D183"/>
  <c r="E183" s="1"/>
  <c r="F183" s="1"/>
  <c r="B183"/>
  <c r="A183"/>
  <c r="C182"/>
  <c r="D182"/>
  <c r="E182" s="1"/>
  <c r="F182"/>
  <c r="B182"/>
  <c r="A182"/>
  <c r="C181"/>
  <c r="D181"/>
  <c r="E181" s="1"/>
  <c r="F181" s="1"/>
  <c r="B181"/>
  <c r="A181"/>
  <c r="C180"/>
  <c r="D180"/>
  <c r="E180" s="1"/>
  <c r="F180"/>
  <c r="B180"/>
  <c r="A180"/>
  <c r="C179"/>
  <c r="D179"/>
  <c r="E179" s="1"/>
  <c r="F179" s="1"/>
  <c r="B179"/>
  <c r="A179"/>
  <c r="C178"/>
  <c r="D178"/>
  <c r="E178" s="1"/>
  <c r="F178"/>
  <c r="B178"/>
  <c r="A178"/>
  <c r="C177"/>
  <c r="D177"/>
  <c r="E177" s="1"/>
  <c r="F177" s="1"/>
  <c r="B177"/>
  <c r="A177"/>
  <c r="C176"/>
  <c r="D176"/>
  <c r="E176" s="1"/>
  <c r="F176"/>
  <c r="B176"/>
  <c r="A176"/>
  <c r="B175"/>
  <c r="A175"/>
  <c r="C174"/>
  <c r="D174"/>
  <c r="E174" s="1"/>
  <c r="F174" s="1"/>
  <c r="B174"/>
  <c r="A174"/>
  <c r="C173"/>
  <c r="D173"/>
  <c r="E173" s="1"/>
  <c r="F173"/>
  <c r="B173"/>
  <c r="A173"/>
  <c r="B172"/>
  <c r="A172"/>
  <c r="B171"/>
  <c r="A171"/>
  <c r="C169"/>
  <c r="D169"/>
  <c r="E169" s="1"/>
  <c r="F169" s="1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C155"/>
  <c r="D155"/>
  <c r="E155" s="1"/>
  <c r="F155"/>
  <c r="B155"/>
  <c r="A155"/>
  <c r="C154"/>
  <c r="D154"/>
  <c r="E154" s="1"/>
  <c r="F154" s="1"/>
  <c r="B154"/>
  <c r="A154"/>
  <c r="C153"/>
  <c r="D153"/>
  <c r="E153" s="1"/>
  <c r="F153"/>
  <c r="B153"/>
  <c r="A153"/>
  <c r="B152"/>
  <c r="A152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D117"/>
  <c r="F115"/>
  <c r="D109"/>
  <c r="D100"/>
  <c r="E96"/>
  <c r="E93"/>
  <c r="E90"/>
  <c r="E87"/>
  <c r="E83"/>
  <c r="E80"/>
  <c r="C78"/>
  <c r="E77"/>
  <c r="E71"/>
  <c r="E69"/>
  <c r="E67"/>
  <c r="C251"/>
  <c r="E64"/>
  <c r="C240"/>
  <c r="D60"/>
  <c r="E59"/>
  <c r="D55"/>
  <c r="D50"/>
  <c r="D46"/>
  <c r="D43"/>
  <c r="D39"/>
  <c r="A31"/>
  <c r="A32"/>
  <c r="A33"/>
  <c r="A34"/>
  <c r="A35"/>
  <c r="D29"/>
  <c r="D24"/>
  <c r="I36" i="22"/>
  <c r="J36"/>
  <c r="H37"/>
  <c r="I37"/>
  <c r="J37"/>
  <c r="H38"/>
  <c r="I38"/>
  <c r="J38"/>
  <c r="H39"/>
  <c r="I39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3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I74"/>
  <c r="J74"/>
  <c r="H75"/>
  <c r="I75"/>
  <c r="J75"/>
  <c r="H76"/>
  <c r="I76"/>
  <c r="J76"/>
  <c r="H77"/>
  <c r="I77"/>
  <c r="J77"/>
  <c r="H78"/>
  <c r="I78"/>
  <c r="J78"/>
  <c r="H79"/>
  <c r="I79"/>
  <c r="J79"/>
  <c r="H80"/>
  <c r="I80"/>
  <c r="J80"/>
  <c r="H81"/>
  <c r="I81"/>
  <c r="J81"/>
  <c r="H82"/>
  <c r="I82"/>
  <c r="J82"/>
  <c r="H83"/>
  <c r="I83"/>
  <c r="J83"/>
  <c r="H84"/>
  <c r="I84"/>
  <c r="J84"/>
  <c r="H85"/>
  <c r="I85"/>
  <c r="J85"/>
  <c r="H86"/>
  <c r="I86"/>
  <c r="J86"/>
  <c r="H88"/>
  <c r="I88"/>
  <c r="J88"/>
  <c r="H89"/>
  <c r="I89"/>
  <c r="J89"/>
  <c r="H90"/>
  <c r="I90"/>
  <c r="J90"/>
  <c r="I91"/>
  <c r="J91"/>
  <c r="I92"/>
  <c r="J92"/>
  <c r="I93"/>
  <c r="J93"/>
  <c r="I94"/>
  <c r="H98"/>
  <c r="I98"/>
  <c r="J98"/>
  <c r="H31"/>
  <c r="I31"/>
  <c r="J31"/>
  <c r="D305"/>
  <c r="E305"/>
  <c r="F305"/>
  <c r="D306"/>
  <c r="E306"/>
  <c r="F306"/>
  <c r="D307"/>
  <c r="E307"/>
  <c r="F307"/>
  <c r="D308"/>
  <c r="E308"/>
  <c r="F308"/>
  <c r="D311"/>
  <c r="E311"/>
  <c r="F311"/>
  <c r="D312"/>
  <c r="E312"/>
  <c r="F312"/>
  <c r="D316"/>
  <c r="E316"/>
  <c r="F316"/>
  <c r="D317"/>
  <c r="E317"/>
  <c r="F317"/>
  <c r="D322"/>
  <c r="E322"/>
  <c r="F322"/>
  <c r="D323"/>
  <c r="E323"/>
  <c r="F323"/>
  <c r="D327"/>
  <c r="E327"/>
  <c r="F327"/>
  <c r="D328"/>
  <c r="E328"/>
  <c r="F328"/>
  <c r="D331"/>
  <c r="E331"/>
  <c r="F331"/>
  <c r="D332"/>
  <c r="E332"/>
  <c r="F332"/>
  <c r="D337"/>
  <c r="E337"/>
  <c r="F337"/>
  <c r="D338"/>
  <c r="E338"/>
  <c r="F338"/>
  <c r="D340"/>
  <c r="E340"/>
  <c r="F340"/>
  <c r="D341"/>
  <c r="E341"/>
  <c r="F341"/>
  <c r="D358"/>
  <c r="E358"/>
  <c r="F358"/>
  <c r="D359"/>
  <c r="E359"/>
  <c r="F359"/>
  <c r="D367"/>
  <c r="E367"/>
  <c r="F367"/>
  <c r="D368"/>
  <c r="E368"/>
  <c r="F368"/>
  <c r="D370"/>
  <c r="E370"/>
  <c r="F370"/>
  <c r="D371"/>
  <c r="E371"/>
  <c r="F371"/>
  <c r="D377"/>
  <c r="E377"/>
  <c r="F377"/>
  <c r="D378"/>
  <c r="E378"/>
  <c r="F378"/>
  <c r="D382"/>
  <c r="E382"/>
  <c r="F382"/>
  <c r="D383"/>
  <c r="E383"/>
  <c r="F383"/>
  <c r="D384"/>
  <c r="E384"/>
  <c r="F384"/>
  <c r="D385"/>
  <c r="E385"/>
  <c r="F385"/>
  <c r="D386"/>
  <c r="E386"/>
  <c r="F386"/>
  <c r="D387"/>
  <c r="E387"/>
  <c r="F387"/>
  <c r="D389"/>
  <c r="E389"/>
  <c r="F389"/>
  <c r="D391"/>
  <c r="E391"/>
  <c r="F391"/>
  <c r="D394"/>
  <c r="E394"/>
  <c r="F394"/>
  <c r="D395"/>
  <c r="E395"/>
  <c r="F395"/>
  <c r="D396"/>
  <c r="E396"/>
  <c r="F396"/>
  <c r="D397"/>
  <c r="E397"/>
  <c r="F397"/>
  <c r="D400"/>
  <c r="E400"/>
  <c r="F400"/>
  <c r="D401"/>
  <c r="E401"/>
  <c r="F401"/>
  <c r="D402"/>
  <c r="E402"/>
  <c r="F402"/>
  <c r="D403"/>
  <c r="E403"/>
  <c r="F403"/>
  <c r="D404"/>
  <c r="E404"/>
  <c r="F404"/>
  <c r="D405"/>
  <c r="E405"/>
  <c r="F405"/>
  <c r="D406"/>
  <c r="E406"/>
  <c r="F406"/>
  <c r="D407"/>
  <c r="E407"/>
  <c r="F407"/>
  <c r="D409"/>
  <c r="E409"/>
  <c r="F409"/>
  <c r="D410"/>
  <c r="E410"/>
  <c r="F410"/>
  <c r="D415"/>
  <c r="E415"/>
  <c r="F415"/>
  <c r="D416"/>
  <c r="E416"/>
  <c r="F416"/>
  <c r="D417"/>
  <c r="E417"/>
  <c r="F417"/>
  <c r="D419"/>
  <c r="E419"/>
  <c r="F419"/>
  <c r="D422"/>
  <c r="E422"/>
  <c r="F422"/>
  <c r="D423"/>
  <c r="E423"/>
  <c r="F423"/>
  <c r="D424"/>
  <c r="E424"/>
  <c r="F424"/>
  <c r="D425"/>
  <c r="E425"/>
  <c r="F425"/>
  <c r="D427"/>
  <c r="E427"/>
  <c r="F427"/>
  <c r="D430"/>
  <c r="E430"/>
  <c r="F430"/>
  <c r="D432"/>
  <c r="E432"/>
  <c r="F432"/>
  <c r="D438"/>
  <c r="E438"/>
  <c r="F438"/>
  <c r="D439"/>
  <c r="E439"/>
  <c r="F439"/>
  <c r="D440"/>
  <c r="E440"/>
  <c r="F440"/>
  <c r="D441"/>
  <c r="E441"/>
  <c r="F441"/>
  <c r="D442"/>
  <c r="E442"/>
  <c r="F442"/>
  <c r="D443"/>
  <c r="E443"/>
  <c r="F443"/>
  <c r="D444"/>
  <c r="E444"/>
  <c r="F444"/>
  <c r="D445"/>
  <c r="E445"/>
  <c r="F445"/>
  <c r="D446"/>
  <c r="E446"/>
  <c r="F446"/>
  <c r="D448"/>
  <c r="E448"/>
  <c r="F448"/>
  <c r="D449"/>
  <c r="E449"/>
  <c r="F449"/>
  <c r="D450"/>
  <c r="E450"/>
  <c r="F450"/>
  <c r="D451"/>
  <c r="E451"/>
  <c r="F451"/>
  <c r="D453"/>
  <c r="E453"/>
  <c r="F453"/>
  <c r="D454"/>
  <c r="E454"/>
  <c r="F454"/>
  <c r="D455"/>
  <c r="E455"/>
  <c r="F455"/>
  <c r="D456"/>
  <c r="E456"/>
  <c r="F456"/>
  <c r="D457"/>
  <c r="E457"/>
  <c r="F457"/>
  <c r="D458"/>
  <c r="E458"/>
  <c r="F458"/>
  <c r="D459"/>
  <c r="E459"/>
  <c r="F459"/>
  <c r="D274"/>
  <c r="E274"/>
  <c r="F274"/>
  <c r="D275"/>
  <c r="E275"/>
  <c r="F275"/>
  <c r="D276"/>
  <c r="E276"/>
  <c r="F276"/>
  <c r="D277"/>
  <c r="E277"/>
  <c r="F277"/>
  <c r="D278"/>
  <c r="E278"/>
  <c r="F278"/>
  <c r="D279"/>
  <c r="E279"/>
  <c r="F279"/>
  <c r="D282"/>
  <c r="E282"/>
  <c r="F282"/>
  <c r="D283"/>
  <c r="E283"/>
  <c r="F283"/>
  <c r="D284"/>
  <c r="E284"/>
  <c r="F284"/>
  <c r="D285"/>
  <c r="E285"/>
  <c r="F285"/>
  <c r="D288"/>
  <c r="E288"/>
  <c r="F288"/>
  <c r="D289"/>
  <c r="E289"/>
  <c r="F289"/>
  <c r="D290"/>
  <c r="E290"/>
  <c r="F290"/>
  <c r="D291"/>
  <c r="E291"/>
  <c r="F291"/>
  <c r="D295"/>
  <c r="E295"/>
  <c r="F295"/>
  <c r="D296"/>
  <c r="E296"/>
  <c r="F296"/>
  <c r="D297"/>
  <c r="E297"/>
  <c r="F297"/>
  <c r="D298"/>
  <c r="E298"/>
  <c r="F298"/>
  <c r="D259"/>
  <c r="E259"/>
  <c r="F259"/>
  <c r="D260"/>
  <c r="E260"/>
  <c r="F260"/>
  <c r="D262"/>
  <c r="E262"/>
  <c r="F262"/>
  <c r="D263"/>
  <c r="E263"/>
  <c r="F263"/>
  <c r="D269"/>
  <c r="E269"/>
  <c r="F269"/>
  <c r="D270"/>
  <c r="E270"/>
  <c r="F270"/>
  <c r="D250"/>
  <c r="E250"/>
  <c r="F250"/>
  <c r="D251"/>
  <c r="E251"/>
  <c r="F251"/>
  <c r="D229"/>
  <c r="E229"/>
  <c r="F229"/>
  <c r="D230"/>
  <c r="E230"/>
  <c r="F230"/>
  <c r="D232"/>
  <c r="E232"/>
  <c r="F232"/>
  <c r="D233"/>
  <c r="E233"/>
  <c r="F233"/>
  <c r="D208"/>
  <c r="E208"/>
  <c r="F208"/>
  <c r="D209"/>
  <c r="E209"/>
  <c r="F209"/>
  <c r="D213"/>
  <c r="E213"/>
  <c r="F213"/>
  <c r="D214"/>
  <c r="E214"/>
  <c r="F214"/>
  <c r="D215"/>
  <c r="E215"/>
  <c r="F215"/>
  <c r="D219"/>
  <c r="E219"/>
  <c r="F219"/>
  <c r="D220"/>
  <c r="E220"/>
  <c r="F220"/>
  <c r="D223"/>
  <c r="E223"/>
  <c r="F223"/>
  <c r="D224"/>
  <c r="E224"/>
  <c r="F224"/>
  <c r="D197"/>
  <c r="E197"/>
  <c r="F197"/>
  <c r="D198"/>
  <c r="E198"/>
  <c r="F198"/>
  <c r="D199"/>
  <c r="E199"/>
  <c r="F199"/>
  <c r="D200"/>
  <c r="E200"/>
  <c r="F200"/>
  <c r="D203"/>
  <c r="E203"/>
  <c r="F203"/>
  <c r="D189"/>
  <c r="E189"/>
  <c r="F189"/>
  <c r="D190"/>
  <c r="E190"/>
  <c r="F190"/>
  <c r="D172"/>
  <c r="E172"/>
  <c r="F172"/>
  <c r="D177"/>
  <c r="E177"/>
  <c r="F177"/>
  <c r="D178"/>
  <c r="E178"/>
  <c r="F178"/>
  <c r="D182"/>
  <c r="E182"/>
  <c r="F182"/>
  <c r="D183"/>
  <c r="E183"/>
  <c r="F183"/>
  <c r="D184"/>
  <c r="E184"/>
  <c r="F184"/>
  <c r="D185"/>
  <c r="E185"/>
  <c r="F185"/>
  <c r="D166"/>
  <c r="E166"/>
  <c r="F166"/>
  <c r="D167"/>
  <c r="E167"/>
  <c r="F167"/>
  <c r="D170"/>
  <c r="E170"/>
  <c r="F170"/>
  <c r="D158"/>
  <c r="E158"/>
  <c r="F158"/>
  <c r="D97"/>
  <c r="E97"/>
  <c r="F97"/>
  <c r="D99"/>
  <c r="E99"/>
  <c r="F99"/>
  <c r="D100"/>
  <c r="E100"/>
  <c r="F100"/>
  <c r="D58"/>
  <c r="E58"/>
  <c r="F58"/>
  <c r="D59"/>
  <c r="E59"/>
  <c r="F59"/>
  <c r="D62"/>
  <c r="E62"/>
  <c r="F62"/>
  <c r="D64"/>
  <c r="E64"/>
  <c r="F64"/>
  <c r="D66"/>
  <c r="E66"/>
  <c r="F66"/>
  <c r="D70"/>
  <c r="E70"/>
  <c r="F70"/>
  <c r="D71"/>
  <c r="E71"/>
  <c r="F71"/>
  <c r="D73"/>
  <c r="E73"/>
  <c r="F73"/>
  <c r="D75"/>
  <c r="E75"/>
  <c r="F75"/>
  <c r="D77"/>
  <c r="E77"/>
  <c r="F77"/>
  <c r="D78"/>
  <c r="E78"/>
  <c r="F78"/>
  <c r="D80"/>
  <c r="E80"/>
  <c r="F80"/>
  <c r="D82"/>
  <c r="E82"/>
  <c r="F82"/>
  <c r="D84"/>
  <c r="E84"/>
  <c r="F84"/>
  <c r="D86"/>
  <c r="E86"/>
  <c r="F86"/>
  <c r="D87"/>
  <c r="E87"/>
  <c r="F87"/>
  <c r="D93"/>
  <c r="E93"/>
  <c r="F93"/>
  <c r="D95"/>
  <c r="E95"/>
  <c r="F95"/>
  <c r="D31"/>
  <c r="E31"/>
  <c r="F31"/>
  <c r="K456"/>
  <c r="O454"/>
  <c r="C452"/>
  <c r="D452"/>
  <c r="E452" s="1"/>
  <c r="F452" s="1"/>
  <c r="B452"/>
  <c r="B451"/>
  <c r="C447"/>
  <c r="D447"/>
  <c r="E447" s="1"/>
  <c r="F447"/>
  <c r="B447"/>
  <c r="G446"/>
  <c r="H446" s="1"/>
  <c r="I446" s="1"/>
  <c r="J446" s="1"/>
  <c r="B446"/>
  <c r="B442"/>
  <c r="G441"/>
  <c r="H441"/>
  <c r="I441"/>
  <c r="J441"/>
  <c r="B441"/>
  <c r="C437"/>
  <c r="D437"/>
  <c r="E437" s="1"/>
  <c r="F437" s="1"/>
  <c r="B437"/>
  <c r="C436"/>
  <c r="D436" s="1"/>
  <c r="E436"/>
  <c r="F436" s="1"/>
  <c r="B436"/>
  <c r="C435"/>
  <c r="D435"/>
  <c r="E435" s="1"/>
  <c r="F435"/>
  <c r="B435"/>
  <c r="C434"/>
  <c r="D434" s="1"/>
  <c r="E434" s="1"/>
  <c r="F434" s="1"/>
  <c r="B434"/>
  <c r="B433"/>
  <c r="B429"/>
  <c r="B428"/>
  <c r="B426"/>
  <c r="B424"/>
  <c r="G423"/>
  <c r="C421"/>
  <c r="D421"/>
  <c r="E421" s="1"/>
  <c r="F421" s="1"/>
  <c r="B421"/>
  <c r="G420"/>
  <c r="H420" s="1"/>
  <c r="I420"/>
  <c r="J420" s="1"/>
  <c r="C418"/>
  <c r="G416" s="1"/>
  <c r="H416"/>
  <c r="I416" s="1"/>
  <c r="J416" s="1"/>
  <c r="B418"/>
  <c r="B417"/>
  <c r="C414"/>
  <c r="D414"/>
  <c r="E414" s="1"/>
  <c r="F414"/>
  <c r="B414"/>
  <c r="C413"/>
  <c r="D413" s="1"/>
  <c r="E413" s="1"/>
  <c r="F413" s="1"/>
  <c r="B413"/>
  <c r="C412"/>
  <c r="D412"/>
  <c r="E412" s="1"/>
  <c r="F412" s="1"/>
  <c r="B412"/>
  <c r="C411"/>
  <c r="B411"/>
  <c r="B408"/>
  <c r="C399"/>
  <c r="D399"/>
  <c r="E399" s="1"/>
  <c r="F399"/>
  <c r="B399"/>
  <c r="C398"/>
  <c r="D398" s="1"/>
  <c r="E398" s="1"/>
  <c r="F398" s="1"/>
  <c r="B398"/>
  <c r="B397"/>
  <c r="C393"/>
  <c r="D393" s="1"/>
  <c r="E393" s="1"/>
  <c r="F393" s="1"/>
  <c r="B393"/>
  <c r="B392"/>
  <c r="C388"/>
  <c r="D388" s="1"/>
  <c r="E388" s="1"/>
  <c r="F388" s="1"/>
  <c r="B388"/>
  <c r="B387"/>
  <c r="C381"/>
  <c r="D381" s="1"/>
  <c r="E381" s="1"/>
  <c r="F381" s="1"/>
  <c r="B381"/>
  <c r="C380"/>
  <c r="D380"/>
  <c r="E380" s="1"/>
  <c r="F380" s="1"/>
  <c r="B380"/>
  <c r="C379"/>
  <c r="D379" s="1"/>
  <c r="E379"/>
  <c r="F379" s="1"/>
  <c r="B379"/>
  <c r="B378"/>
  <c r="C376"/>
  <c r="D376" s="1"/>
  <c r="E376"/>
  <c r="F376" s="1"/>
  <c r="B376"/>
  <c r="C375"/>
  <c r="D375"/>
  <c r="E375" s="1"/>
  <c r="F375"/>
  <c r="B375"/>
  <c r="C374"/>
  <c r="D374" s="1"/>
  <c r="E374" s="1"/>
  <c r="F374" s="1"/>
  <c r="B374"/>
  <c r="C373"/>
  <c r="D373"/>
  <c r="E373" s="1"/>
  <c r="F373" s="1"/>
  <c r="B373"/>
  <c r="C372"/>
  <c r="D372" s="1"/>
  <c r="E372"/>
  <c r="F372" s="1"/>
  <c r="B372"/>
  <c r="B371"/>
  <c r="C369"/>
  <c r="D369" s="1"/>
  <c r="E369"/>
  <c r="F369" s="1"/>
  <c r="B369"/>
  <c r="B368"/>
  <c r="C366"/>
  <c r="D366" s="1"/>
  <c r="E366"/>
  <c r="F366" s="1"/>
  <c r="B366"/>
  <c r="C365"/>
  <c r="D365"/>
  <c r="E365" s="1"/>
  <c r="F365"/>
  <c r="B365"/>
  <c r="C364"/>
  <c r="D364" s="1"/>
  <c r="E364" s="1"/>
  <c r="F364" s="1"/>
  <c r="B364"/>
  <c r="C363"/>
  <c r="D363"/>
  <c r="E363" s="1"/>
  <c r="F363" s="1"/>
  <c r="B363"/>
  <c r="C362"/>
  <c r="D362" s="1"/>
  <c r="E362"/>
  <c r="F362" s="1"/>
  <c r="B362"/>
  <c r="C361"/>
  <c r="D361"/>
  <c r="E361" s="1"/>
  <c r="F361"/>
  <c r="B361"/>
  <c r="C360"/>
  <c r="D360" s="1"/>
  <c r="E360" s="1"/>
  <c r="F360" s="1"/>
  <c r="B360"/>
  <c r="B359"/>
  <c r="C357"/>
  <c r="D357" s="1"/>
  <c r="E357" s="1"/>
  <c r="F357" s="1"/>
  <c r="B357"/>
  <c r="C356"/>
  <c r="D356"/>
  <c r="E356" s="1"/>
  <c r="F356" s="1"/>
  <c r="B356"/>
  <c r="C355"/>
  <c r="D355" s="1"/>
  <c r="E355"/>
  <c r="F355" s="1"/>
  <c r="B355"/>
  <c r="C354"/>
  <c r="D354"/>
  <c r="E354" s="1"/>
  <c r="F354"/>
  <c r="B354"/>
  <c r="C353"/>
  <c r="D353" s="1"/>
  <c r="E353" s="1"/>
  <c r="F353" s="1"/>
  <c r="B353"/>
  <c r="C352"/>
  <c r="D352"/>
  <c r="E352" s="1"/>
  <c r="F352" s="1"/>
  <c r="B352"/>
  <c r="C351"/>
  <c r="D351" s="1"/>
  <c r="E351"/>
  <c r="F351" s="1"/>
  <c r="B351"/>
  <c r="C350"/>
  <c r="D350"/>
  <c r="E350" s="1"/>
  <c r="F350"/>
  <c r="B350"/>
  <c r="C349"/>
  <c r="D349" s="1"/>
  <c r="E349" s="1"/>
  <c r="F349" s="1"/>
  <c r="B349"/>
  <c r="C348"/>
  <c r="D348"/>
  <c r="E348" s="1"/>
  <c r="F348" s="1"/>
  <c r="B348"/>
  <c r="C347"/>
  <c r="D347" s="1"/>
  <c r="E347"/>
  <c r="F347" s="1"/>
  <c r="B347"/>
  <c r="C346"/>
  <c r="D346"/>
  <c r="E346" s="1"/>
  <c r="F346"/>
  <c r="B346"/>
  <c r="C345"/>
  <c r="D345" s="1"/>
  <c r="E345" s="1"/>
  <c r="F345" s="1"/>
  <c r="B345"/>
  <c r="C344"/>
  <c r="D344"/>
  <c r="E344" s="1"/>
  <c r="F344" s="1"/>
  <c r="B344"/>
  <c r="C343"/>
  <c r="D343" s="1"/>
  <c r="E343"/>
  <c r="F343" s="1"/>
  <c r="B343"/>
  <c r="C342"/>
  <c r="D342"/>
  <c r="E342" s="1"/>
  <c r="F342"/>
  <c r="B342"/>
  <c r="B341"/>
  <c r="C339"/>
  <c r="B339"/>
  <c r="B338"/>
  <c r="C336"/>
  <c r="D336" s="1"/>
  <c r="E336" s="1"/>
  <c r="F336" s="1"/>
  <c r="B336"/>
  <c r="C335"/>
  <c r="D335"/>
  <c r="E335" s="1"/>
  <c r="F335" s="1"/>
  <c r="B335"/>
  <c r="C334"/>
  <c r="D334" s="1"/>
  <c r="E334"/>
  <c r="F334" s="1"/>
  <c r="B334"/>
  <c r="C333"/>
  <c r="D333"/>
  <c r="E333" s="1"/>
  <c r="F333"/>
  <c r="B333"/>
  <c r="B332"/>
  <c r="C330"/>
  <c r="D330"/>
  <c r="E330" s="1"/>
  <c r="F330" s="1"/>
  <c r="B330"/>
  <c r="C329"/>
  <c r="D329" s="1"/>
  <c r="E329"/>
  <c r="F329" s="1"/>
  <c r="B329"/>
  <c r="B328"/>
  <c r="C326"/>
  <c r="D326" s="1"/>
  <c r="E326"/>
  <c r="F326" s="1"/>
  <c r="B326"/>
  <c r="C325"/>
  <c r="D325"/>
  <c r="E325" s="1"/>
  <c r="F325"/>
  <c r="B325"/>
  <c r="C324"/>
  <c r="B324"/>
  <c r="B323"/>
  <c r="C321"/>
  <c r="D321"/>
  <c r="E321" s="1"/>
  <c r="F321"/>
  <c r="B321"/>
  <c r="C320"/>
  <c r="D320" s="1"/>
  <c r="E320" s="1"/>
  <c r="F320" s="1"/>
  <c r="B320"/>
  <c r="C319"/>
  <c r="D319"/>
  <c r="E319" s="1"/>
  <c r="F319" s="1"/>
  <c r="B319"/>
  <c r="C318"/>
  <c r="D318" s="1"/>
  <c r="E318"/>
  <c r="F318" s="1"/>
  <c r="B318"/>
  <c r="B317"/>
  <c r="C315"/>
  <c r="D315" s="1"/>
  <c r="E315"/>
  <c r="F315" s="1"/>
  <c r="B315"/>
  <c r="C314"/>
  <c r="D314"/>
  <c r="E314" s="1"/>
  <c r="F314"/>
  <c r="B314"/>
  <c r="C313"/>
  <c r="B313"/>
  <c r="B312"/>
  <c r="C310"/>
  <c r="D310"/>
  <c r="E310" s="1"/>
  <c r="F310"/>
  <c r="B310"/>
  <c r="C309"/>
  <c r="D309" s="1"/>
  <c r="E309" s="1"/>
  <c r="F309" s="1"/>
  <c r="B309"/>
  <c r="B308"/>
  <c r="C304"/>
  <c r="D304" s="1"/>
  <c r="E304" s="1"/>
  <c r="F304" s="1"/>
  <c r="B304"/>
  <c r="C303"/>
  <c r="D303"/>
  <c r="E303" s="1"/>
  <c r="F303" s="1"/>
  <c r="B303"/>
  <c r="C302"/>
  <c r="D302" s="1"/>
  <c r="E302"/>
  <c r="F302" s="1"/>
  <c r="B302"/>
  <c r="C301"/>
  <c r="D301"/>
  <c r="E301" s="1"/>
  <c r="F301"/>
  <c r="B301"/>
  <c r="C300"/>
  <c r="B300"/>
  <c r="C299"/>
  <c r="D299"/>
  <c r="E299" s="1"/>
  <c r="F299" s="1"/>
  <c r="B299"/>
  <c r="B298"/>
  <c r="B296"/>
  <c r="C294"/>
  <c r="D294" s="1"/>
  <c r="E294"/>
  <c r="F294" s="1"/>
  <c r="B294"/>
  <c r="C293"/>
  <c r="D293"/>
  <c r="E293" s="1"/>
  <c r="F293"/>
  <c r="B293"/>
  <c r="C292"/>
  <c r="D292" s="1"/>
  <c r="E292" s="1"/>
  <c r="F292" s="1"/>
  <c r="B292"/>
  <c r="B291"/>
  <c r="B289"/>
  <c r="C287"/>
  <c r="D287"/>
  <c r="E287" s="1"/>
  <c r="F287" s="1"/>
  <c r="B287"/>
  <c r="C286"/>
  <c r="D286" s="1"/>
  <c r="E286"/>
  <c r="F286" s="1"/>
  <c r="B286"/>
  <c r="B285"/>
  <c r="B283"/>
  <c r="C281"/>
  <c r="D281"/>
  <c r="E281" s="1"/>
  <c r="F281"/>
  <c r="B281"/>
  <c r="C280"/>
  <c r="D280" s="1"/>
  <c r="E280" s="1"/>
  <c r="F280" s="1"/>
  <c r="B280"/>
  <c r="B279"/>
  <c r="B277"/>
  <c r="C273"/>
  <c r="D273"/>
  <c r="E273" s="1"/>
  <c r="F273" s="1"/>
  <c r="B273"/>
  <c r="B272"/>
  <c r="B271"/>
  <c r="B270"/>
  <c r="B268"/>
  <c r="B267"/>
  <c r="C266"/>
  <c r="D266"/>
  <c r="E266" s="1"/>
  <c r="F266"/>
  <c r="B266"/>
  <c r="C265"/>
  <c r="D265" s="1"/>
  <c r="E265" s="1"/>
  <c r="F265" s="1"/>
  <c r="B265"/>
  <c r="A265"/>
  <c r="A266"/>
  <c r="A267"/>
  <c r="A268"/>
  <c r="C264"/>
  <c r="D264" s="1"/>
  <c r="E264" s="1"/>
  <c r="F264" s="1"/>
  <c r="B264"/>
  <c r="B263"/>
  <c r="C261"/>
  <c r="D261" s="1"/>
  <c r="E261" s="1"/>
  <c r="F261" s="1"/>
  <c r="B261"/>
  <c r="B260"/>
  <c r="C258"/>
  <c r="D258" s="1"/>
  <c r="E258" s="1"/>
  <c r="F258" s="1"/>
  <c r="B258"/>
  <c r="C257"/>
  <c r="D257"/>
  <c r="E257" s="1"/>
  <c r="F257" s="1"/>
  <c r="B257"/>
  <c r="C256"/>
  <c r="D256" s="1"/>
  <c r="E256"/>
  <c r="F256" s="1"/>
  <c r="B256"/>
  <c r="C255"/>
  <c r="D255"/>
  <c r="E255" s="1"/>
  <c r="F255"/>
  <c r="B255"/>
  <c r="C254"/>
  <c r="D254" s="1"/>
  <c r="E254" s="1"/>
  <c r="F254" s="1"/>
  <c r="B254"/>
  <c r="A254"/>
  <c r="A255"/>
  <c r="A256"/>
  <c r="A257"/>
  <c r="A258"/>
  <c r="C253"/>
  <c r="D253" s="1"/>
  <c r="E253" s="1"/>
  <c r="F253" s="1"/>
  <c r="B253"/>
  <c r="C252"/>
  <c r="D252"/>
  <c r="E252" s="1"/>
  <c r="F252" s="1"/>
  <c r="B252"/>
  <c r="B251"/>
  <c r="C249"/>
  <c r="D249"/>
  <c r="E249" s="1"/>
  <c r="F249"/>
  <c r="B249"/>
  <c r="C248"/>
  <c r="D248" s="1"/>
  <c r="E248" s="1"/>
  <c r="F248" s="1"/>
  <c r="B248"/>
  <c r="C247"/>
  <c r="D247"/>
  <c r="E247" s="1"/>
  <c r="F247" s="1"/>
  <c r="B247"/>
  <c r="C246"/>
  <c r="D246" s="1"/>
  <c r="E246"/>
  <c r="F246" s="1"/>
  <c r="B246"/>
  <c r="C245"/>
  <c r="D245"/>
  <c r="E245" s="1"/>
  <c r="F245"/>
  <c r="B245"/>
  <c r="C244"/>
  <c r="D244" s="1"/>
  <c r="E244" s="1"/>
  <c r="F244" s="1"/>
  <c r="B244"/>
  <c r="C243"/>
  <c r="D243"/>
  <c r="E243" s="1"/>
  <c r="F243" s="1"/>
  <c r="B243"/>
  <c r="C242"/>
  <c r="D242" s="1"/>
  <c r="E242"/>
  <c r="F242" s="1"/>
  <c r="B242"/>
  <c r="C241"/>
  <c r="D241"/>
  <c r="E241" s="1"/>
  <c r="F241"/>
  <c r="B241"/>
  <c r="C240"/>
  <c r="D240" s="1"/>
  <c r="E240" s="1"/>
  <c r="F240" s="1"/>
  <c r="B240"/>
  <c r="C239"/>
  <c r="D239"/>
  <c r="E239" s="1"/>
  <c r="F239" s="1"/>
  <c r="B239"/>
  <c r="C238"/>
  <c r="D238" s="1"/>
  <c r="E238"/>
  <c r="F238" s="1"/>
  <c r="B238"/>
  <c r="C237"/>
  <c r="D237"/>
  <c r="E237" s="1"/>
  <c r="F237"/>
  <c r="B237"/>
  <c r="C236"/>
  <c r="D236" s="1"/>
  <c r="E236" s="1"/>
  <c r="F236" s="1"/>
  <c r="B236"/>
  <c r="C235"/>
  <c r="D235"/>
  <c r="E235" s="1"/>
  <c r="F235" s="1"/>
  <c r="B235"/>
  <c r="A235"/>
  <c r="A236"/>
  <c r="A237"/>
  <c r="A238"/>
  <c r="A239"/>
  <c r="A240"/>
  <c r="A241"/>
  <c r="A242"/>
  <c r="A243"/>
  <c r="A244"/>
  <c r="A245"/>
  <c r="A246"/>
  <c r="A247"/>
  <c r="A248"/>
  <c r="A249"/>
  <c r="C234"/>
  <c r="D234"/>
  <c r="E234" s="1"/>
  <c r="F234"/>
  <c r="B234"/>
  <c r="B233"/>
  <c r="C231"/>
  <c r="D231"/>
  <c r="E231" s="1"/>
  <c r="F231" s="1"/>
  <c r="B231"/>
  <c r="G230"/>
  <c r="H230" s="1"/>
  <c r="I230"/>
  <c r="J230" s="1"/>
  <c r="B230"/>
  <c r="C228"/>
  <c r="D228"/>
  <c r="E228" s="1"/>
  <c r="F228"/>
  <c r="B228"/>
  <c r="C227"/>
  <c r="D227" s="1"/>
  <c r="E227" s="1"/>
  <c r="F227" s="1"/>
  <c r="B227"/>
  <c r="C226"/>
  <c r="D226"/>
  <c r="E226" s="1"/>
  <c r="F226" s="1"/>
  <c r="B226"/>
  <c r="C225"/>
  <c r="D225" s="1"/>
  <c r="E225"/>
  <c r="F225" s="1"/>
  <c r="B225"/>
  <c r="B224"/>
  <c r="C222"/>
  <c r="D222" s="1"/>
  <c r="E222"/>
  <c r="F222" s="1"/>
  <c r="B222"/>
  <c r="C221"/>
  <c r="D221"/>
  <c r="E221" s="1"/>
  <c r="F221"/>
  <c r="B221"/>
  <c r="B220"/>
  <c r="C218"/>
  <c r="D218"/>
  <c r="E218" s="1"/>
  <c r="F218" s="1"/>
  <c r="B218"/>
  <c r="C217"/>
  <c r="D217" s="1"/>
  <c r="E217"/>
  <c r="F217" s="1"/>
  <c r="B217"/>
  <c r="C216"/>
  <c r="D216"/>
  <c r="E216" s="1"/>
  <c r="F216"/>
  <c r="B216"/>
  <c r="B215"/>
  <c r="B213"/>
  <c r="C212"/>
  <c r="D212" s="1"/>
  <c r="E212" s="1"/>
  <c r="F212" s="1"/>
  <c r="B212"/>
  <c r="B211"/>
  <c r="B210"/>
  <c r="B209"/>
  <c r="C207"/>
  <c r="D207" s="1"/>
  <c r="E207" s="1"/>
  <c r="F207" s="1"/>
  <c r="B207"/>
  <c r="C206"/>
  <c r="D206"/>
  <c r="E206" s="1"/>
  <c r="F206" s="1"/>
  <c r="B206"/>
  <c r="C205"/>
  <c r="D205" s="1"/>
  <c r="E205"/>
  <c r="F205" s="1"/>
  <c r="B205"/>
  <c r="B204"/>
  <c r="C202"/>
  <c r="D202" s="1"/>
  <c r="E202"/>
  <c r="F202" s="1"/>
  <c r="B202"/>
  <c r="C201"/>
  <c r="D201"/>
  <c r="E201" s="1"/>
  <c r="F201"/>
  <c r="B201"/>
  <c r="B200"/>
  <c r="B198"/>
  <c r="C196"/>
  <c r="D196" s="1"/>
  <c r="E196" s="1"/>
  <c r="F196" s="1"/>
  <c r="B196"/>
  <c r="C195"/>
  <c r="D195"/>
  <c r="E195" s="1"/>
  <c r="F195" s="1"/>
  <c r="B195"/>
  <c r="C194"/>
  <c r="D194" s="1"/>
  <c r="E194"/>
  <c r="F194" s="1"/>
  <c r="B194"/>
  <c r="C193"/>
  <c r="D193"/>
  <c r="E193" s="1"/>
  <c r="F193"/>
  <c r="B193"/>
  <c r="C192"/>
  <c r="B192"/>
  <c r="C191"/>
  <c r="D191"/>
  <c r="E191" s="1"/>
  <c r="F191" s="1"/>
  <c r="B191"/>
  <c r="B190"/>
  <c r="C188"/>
  <c r="D188"/>
  <c r="E188" s="1"/>
  <c r="F188"/>
  <c r="B188"/>
  <c r="C187"/>
  <c r="B187"/>
  <c r="C186"/>
  <c r="D186"/>
  <c r="E186" s="1"/>
  <c r="F186" s="1"/>
  <c r="B186"/>
  <c r="B185"/>
  <c r="B183"/>
  <c r="C181"/>
  <c r="D181" s="1"/>
  <c r="E181"/>
  <c r="F181" s="1"/>
  <c r="B181"/>
  <c r="C180"/>
  <c r="D180"/>
  <c r="E180" s="1"/>
  <c r="F180"/>
  <c r="B180"/>
  <c r="C179"/>
  <c r="D179" s="1"/>
  <c r="E179" s="1"/>
  <c r="F179" s="1"/>
  <c r="B179"/>
  <c r="B178"/>
  <c r="C176"/>
  <c r="D176" s="1"/>
  <c r="E176" s="1"/>
  <c r="F176" s="1"/>
  <c r="B176"/>
  <c r="C175"/>
  <c r="D175"/>
  <c r="E175" s="1"/>
  <c r="F175" s="1"/>
  <c r="B175"/>
  <c r="C174"/>
  <c r="B174"/>
  <c r="B173"/>
  <c r="B171"/>
  <c r="C169"/>
  <c r="D169" s="1"/>
  <c r="E169"/>
  <c r="F169" s="1"/>
  <c r="B169"/>
  <c r="C168"/>
  <c r="B168"/>
  <c r="B167"/>
  <c r="C165"/>
  <c r="D165" s="1"/>
  <c r="E165"/>
  <c r="F165" s="1"/>
  <c r="B165"/>
  <c r="C164"/>
  <c r="D164"/>
  <c r="E164" s="1"/>
  <c r="F164"/>
  <c r="B164"/>
  <c r="C163"/>
  <c r="D163" s="1"/>
  <c r="E163"/>
  <c r="F163" s="1"/>
  <c r="B163"/>
  <c r="B162"/>
  <c r="C161"/>
  <c r="D161" s="1"/>
  <c r="E161"/>
  <c r="F161" s="1"/>
  <c r="B161"/>
  <c r="C160"/>
  <c r="D160"/>
  <c r="E160" s="1"/>
  <c r="F160"/>
  <c r="B160"/>
  <c r="C159"/>
  <c r="D159" s="1"/>
  <c r="E159" s="1"/>
  <c r="F159" s="1"/>
  <c r="B159"/>
  <c r="B158"/>
  <c r="C157"/>
  <c r="D157" s="1"/>
  <c r="E157" s="1"/>
  <c r="F157" s="1"/>
  <c r="B157"/>
  <c r="C156"/>
  <c r="D156"/>
  <c r="E156" s="1"/>
  <c r="F156" s="1"/>
  <c r="B156"/>
  <c r="B155"/>
  <c r="B154"/>
  <c r="B153"/>
  <c r="B152"/>
  <c r="C151"/>
  <c r="D151" s="1"/>
  <c r="E151"/>
  <c r="F151" s="1"/>
  <c r="B151"/>
  <c r="B150"/>
  <c r="B149"/>
  <c r="B148"/>
  <c r="C147"/>
  <c r="D147" s="1"/>
  <c r="E147"/>
  <c r="F147" s="1"/>
  <c r="B147"/>
  <c r="B146"/>
  <c r="B145"/>
  <c r="B144"/>
  <c r="C143"/>
  <c r="D143" s="1"/>
  <c r="E143"/>
  <c r="F143" s="1"/>
  <c r="B143"/>
  <c r="B142"/>
  <c r="C141"/>
  <c r="D141" s="1"/>
  <c r="E141"/>
  <c r="F141" s="1"/>
  <c r="B141"/>
  <c r="C140"/>
  <c r="D140"/>
  <c r="E140" s="1"/>
  <c r="F140"/>
  <c r="B140"/>
  <c r="G139"/>
  <c r="H139" s="1"/>
  <c r="I139" s="1"/>
  <c r="J139" s="1"/>
  <c r="B139"/>
  <c r="C138"/>
  <c r="D138"/>
  <c r="E138" s="1"/>
  <c r="F138" s="1"/>
  <c r="B138"/>
  <c r="C137"/>
  <c r="D137" s="1"/>
  <c r="E137"/>
  <c r="F137" s="1"/>
  <c r="B137"/>
  <c r="B136"/>
  <c r="B135"/>
  <c r="C134"/>
  <c r="D134"/>
  <c r="E134" s="1"/>
  <c r="F134"/>
  <c r="B134"/>
  <c r="A134"/>
  <c r="A135"/>
  <c r="A136"/>
  <c r="A137"/>
  <c r="A138"/>
  <c r="B133"/>
  <c r="B132"/>
  <c r="B131"/>
  <c r="C128"/>
  <c r="D128" s="1"/>
  <c r="E128" s="1"/>
  <c r="F128" s="1"/>
  <c r="B128"/>
  <c r="C127"/>
  <c r="D127"/>
  <c r="E127" s="1"/>
  <c r="F127" s="1"/>
  <c r="B127"/>
  <c r="B122"/>
  <c r="A122"/>
  <c r="A118"/>
  <c r="C102"/>
  <c r="D102"/>
  <c r="E102" s="1"/>
  <c r="F102" s="1"/>
  <c r="B102"/>
  <c r="A102"/>
  <c r="C101"/>
  <c r="D101"/>
  <c r="E101" s="1"/>
  <c r="F101"/>
  <c r="B101"/>
  <c r="A101"/>
  <c r="K100"/>
  <c r="B100"/>
  <c r="A100"/>
  <c r="K99"/>
  <c r="B99"/>
  <c r="A99"/>
  <c r="C98"/>
  <c r="D98"/>
  <c r="E98" s="1"/>
  <c r="F98" s="1"/>
  <c r="B98"/>
  <c r="A98"/>
  <c r="G97"/>
  <c r="H97"/>
  <c r="I97" s="1"/>
  <c r="J97"/>
  <c r="B97"/>
  <c r="A97"/>
  <c r="C96"/>
  <c r="D96"/>
  <c r="E96" s="1"/>
  <c r="F96" s="1"/>
  <c r="B96"/>
  <c r="A96"/>
  <c r="B95"/>
  <c r="A95"/>
  <c r="C94"/>
  <c r="D94"/>
  <c r="E94" s="1"/>
  <c r="F94"/>
  <c r="B94"/>
  <c r="A94"/>
  <c r="B93"/>
  <c r="A93"/>
  <c r="C92"/>
  <c r="D92"/>
  <c r="E92" s="1"/>
  <c r="F92" s="1"/>
  <c r="B92"/>
  <c r="A92"/>
  <c r="C91"/>
  <c r="D91"/>
  <c r="E91" s="1"/>
  <c r="F91"/>
  <c r="B91"/>
  <c r="A91"/>
  <c r="C90"/>
  <c r="D90"/>
  <c r="E90" s="1"/>
  <c r="F90" s="1"/>
  <c r="B90"/>
  <c r="A90"/>
  <c r="C89"/>
  <c r="D89"/>
  <c r="E89" s="1"/>
  <c r="F89"/>
  <c r="B89"/>
  <c r="A89"/>
  <c r="C88"/>
  <c r="D88"/>
  <c r="E88" s="1"/>
  <c r="F88" s="1"/>
  <c r="B88"/>
  <c r="A88"/>
  <c r="B87"/>
  <c r="A87"/>
  <c r="B86"/>
  <c r="A86"/>
  <c r="C85"/>
  <c r="D85"/>
  <c r="E85" s="1"/>
  <c r="F85"/>
  <c r="B85"/>
  <c r="A85"/>
  <c r="B84"/>
  <c r="A84"/>
  <c r="C83"/>
  <c r="D83"/>
  <c r="E83" s="1"/>
  <c r="F83" s="1"/>
  <c r="B83"/>
  <c r="A83"/>
  <c r="B82"/>
  <c r="A82"/>
  <c r="C81"/>
  <c r="D81"/>
  <c r="E81" s="1"/>
  <c r="F81"/>
  <c r="B81"/>
  <c r="A81"/>
  <c r="B80"/>
  <c r="A80"/>
  <c r="C79"/>
  <c r="D79"/>
  <c r="E79" s="1"/>
  <c r="F79" s="1"/>
  <c r="B79"/>
  <c r="A79"/>
  <c r="B78"/>
  <c r="A78"/>
  <c r="B77"/>
  <c r="A77"/>
  <c r="C76"/>
  <c r="D76"/>
  <c r="E76" s="1"/>
  <c r="F76"/>
  <c r="B76"/>
  <c r="A76"/>
  <c r="B75"/>
  <c r="A75"/>
  <c r="C74"/>
  <c r="D74"/>
  <c r="E74" s="1"/>
  <c r="F74" s="1"/>
  <c r="B74"/>
  <c r="A74"/>
  <c r="B73"/>
  <c r="A73"/>
  <c r="B72"/>
  <c r="A72"/>
  <c r="B71"/>
  <c r="A71"/>
  <c r="B70"/>
  <c r="A70"/>
  <c r="C69"/>
  <c r="D69"/>
  <c r="E69" s="1"/>
  <c r="F69"/>
  <c r="B69"/>
  <c r="A69"/>
  <c r="C68"/>
  <c r="D68"/>
  <c r="E68" s="1"/>
  <c r="F68" s="1"/>
  <c r="B68"/>
  <c r="A68"/>
  <c r="C67"/>
  <c r="D67"/>
  <c r="E67" s="1"/>
  <c r="F67"/>
  <c r="B67"/>
  <c r="A67"/>
  <c r="B66"/>
  <c r="A66"/>
  <c r="C65"/>
  <c r="D65"/>
  <c r="E65" s="1"/>
  <c r="F65" s="1"/>
  <c r="B65"/>
  <c r="A65"/>
  <c r="B64"/>
  <c r="A64"/>
  <c r="C63"/>
  <c r="D63"/>
  <c r="E63" s="1"/>
  <c r="F63"/>
  <c r="B63"/>
  <c r="A63"/>
  <c r="B62"/>
  <c r="A62"/>
  <c r="C61"/>
  <c r="D61"/>
  <c r="E61" s="1"/>
  <c r="F61" s="1"/>
  <c r="B61"/>
  <c r="A61"/>
  <c r="C60"/>
  <c r="D60"/>
  <c r="E60" s="1"/>
  <c r="F60"/>
  <c r="B60"/>
  <c r="A60"/>
  <c r="B59"/>
  <c r="A59"/>
  <c r="B58"/>
  <c r="A58"/>
  <c r="C57"/>
  <c r="D57"/>
  <c r="E57" s="1"/>
  <c r="F57" s="1"/>
  <c r="B57"/>
  <c r="A57"/>
  <c r="B56"/>
  <c r="A56"/>
  <c r="B55"/>
  <c r="A55"/>
  <c r="C54"/>
  <c r="D54"/>
  <c r="E54" s="1"/>
  <c r="F54"/>
  <c r="B54"/>
  <c r="A54"/>
  <c r="C53"/>
  <c r="D53"/>
  <c r="E53" s="1"/>
  <c r="F53" s="1"/>
  <c r="B53"/>
  <c r="A53"/>
  <c r="B52"/>
  <c r="A52"/>
  <c r="C51"/>
  <c r="D51"/>
  <c r="E51" s="1"/>
  <c r="F51"/>
  <c r="B51"/>
  <c r="A51"/>
  <c r="C50"/>
  <c r="D50"/>
  <c r="E50" s="1"/>
  <c r="F50" s="1"/>
  <c r="B50"/>
  <c r="A50"/>
  <c r="C49"/>
  <c r="D49"/>
  <c r="E49" s="1"/>
  <c r="F49"/>
  <c r="B49"/>
  <c r="A49"/>
  <c r="B48"/>
  <c r="A48"/>
  <c r="C47"/>
  <c r="D47"/>
  <c r="E47" s="1"/>
  <c r="F47" s="1"/>
  <c r="B47"/>
  <c r="A47"/>
  <c r="C46"/>
  <c r="D46"/>
  <c r="E46" s="1"/>
  <c r="F46"/>
  <c r="B46"/>
  <c r="A46"/>
  <c r="B45"/>
  <c r="A45"/>
  <c r="C44"/>
  <c r="D44"/>
  <c r="E44" s="1"/>
  <c r="F44" s="1"/>
  <c r="B44"/>
  <c r="A44"/>
  <c r="B43"/>
  <c r="A43"/>
  <c r="C42"/>
  <c r="D42"/>
  <c r="E42" s="1"/>
  <c r="F42"/>
  <c r="B42"/>
  <c r="A42"/>
  <c r="C41"/>
  <c r="D41"/>
  <c r="E41" s="1"/>
  <c r="F41" s="1"/>
  <c r="B41"/>
  <c r="A41"/>
  <c r="B40"/>
  <c r="A40"/>
  <c r="B39"/>
  <c r="A39"/>
  <c r="C38"/>
  <c r="D38"/>
  <c r="E38" s="1"/>
  <c r="F38"/>
  <c r="B38"/>
  <c r="C37"/>
  <c r="D37" s="1"/>
  <c r="E37" s="1"/>
  <c r="F37" s="1"/>
  <c r="B37"/>
  <c r="C36"/>
  <c r="D36"/>
  <c r="E36" s="1"/>
  <c r="F36" s="1"/>
  <c r="B36"/>
  <c r="C35"/>
  <c r="D35" s="1"/>
  <c r="E35"/>
  <c r="F35" s="1"/>
  <c r="B35"/>
  <c r="C34"/>
  <c r="D34"/>
  <c r="E34" s="1"/>
  <c r="F34"/>
  <c r="B34"/>
  <c r="C33"/>
  <c r="D33" s="1"/>
  <c r="E33" s="1"/>
  <c r="F33" s="1"/>
  <c r="B33"/>
  <c r="A33"/>
  <c r="B32"/>
  <c r="A32"/>
  <c r="C30"/>
  <c r="D30" s="1"/>
  <c r="E30" s="1"/>
  <c r="F30" s="1"/>
  <c r="B30"/>
  <c r="A30"/>
  <c r="C29"/>
  <c r="D29" s="1"/>
  <c r="E29" s="1"/>
  <c r="F29" s="1"/>
  <c r="B29"/>
  <c r="A29"/>
  <c r="C28"/>
  <c r="D28" s="1"/>
  <c r="E28" s="1"/>
  <c r="F28" s="1"/>
  <c r="B28"/>
  <c r="A28"/>
  <c r="B27"/>
  <c r="A27"/>
  <c r="B25"/>
  <c r="A25"/>
  <c r="B23"/>
  <c r="A23"/>
  <c r="B21"/>
  <c r="A21"/>
  <c r="A18"/>
  <c r="A16"/>
  <c r="A15"/>
  <c r="A14"/>
  <c r="A13"/>
  <c r="A12"/>
  <c r="A11"/>
  <c r="A10"/>
  <c r="A9"/>
  <c r="A7"/>
  <c r="A5"/>
  <c r="A4"/>
  <c r="A2"/>
  <c r="A1"/>
  <c r="C199" i="13"/>
  <c r="D298"/>
  <c r="H298"/>
  <c r="A1" i="21"/>
  <c r="C150"/>
  <c r="D149" s="1"/>
  <c r="C126"/>
  <c r="C127"/>
  <c r="D125" s="1"/>
  <c r="G124" s="1"/>
  <c r="C133"/>
  <c r="C136"/>
  <c r="C137"/>
  <c r="C139"/>
  <c r="C140"/>
  <c r="C142"/>
  <c r="C146"/>
  <c r="C147"/>
  <c r="C155"/>
  <c r="C156"/>
  <c r="C158"/>
  <c r="C159"/>
  <c r="C160"/>
  <c r="C162"/>
  <c r="D161" s="1"/>
  <c r="C163"/>
  <c r="C164"/>
  <c r="C167"/>
  <c r="C168"/>
  <c r="D166" s="1"/>
  <c r="C173"/>
  <c r="C174"/>
  <c r="C175"/>
  <c r="C178"/>
  <c r="C179"/>
  <c r="C180"/>
  <c r="C185"/>
  <c r="C186"/>
  <c r="C187"/>
  <c r="C190"/>
  <c r="C191"/>
  <c r="C192"/>
  <c r="C193"/>
  <c r="C194"/>
  <c r="C195"/>
  <c r="C200"/>
  <c r="C201"/>
  <c r="C204"/>
  <c r="C205"/>
  <c r="C206"/>
  <c r="D203"/>
  <c r="C211"/>
  <c r="C215"/>
  <c r="C216"/>
  <c r="D214" s="1"/>
  <c r="C217"/>
  <c r="C220"/>
  <c r="D219" s="1"/>
  <c r="C221"/>
  <c r="C224"/>
  <c r="C225"/>
  <c r="C226"/>
  <c r="C227"/>
  <c r="C230"/>
  <c r="D229" s="1"/>
  <c r="C233"/>
  <c r="C234"/>
  <c r="C235"/>
  <c r="C236"/>
  <c r="C237"/>
  <c r="C238"/>
  <c r="C239"/>
  <c r="C240"/>
  <c r="C241"/>
  <c r="C242"/>
  <c r="C243"/>
  <c r="C244"/>
  <c r="C245"/>
  <c r="C246"/>
  <c r="C247"/>
  <c r="C248"/>
  <c r="C251"/>
  <c r="C252"/>
  <c r="C253"/>
  <c r="C254"/>
  <c r="C255"/>
  <c r="C256"/>
  <c r="C257"/>
  <c r="C260"/>
  <c r="D259"/>
  <c r="C263"/>
  <c r="C264"/>
  <c r="C265"/>
  <c r="C272"/>
  <c r="C279"/>
  <c r="C280"/>
  <c r="D278" s="1"/>
  <c r="C285"/>
  <c r="C286"/>
  <c r="D284" s="1"/>
  <c r="C291"/>
  <c r="C292"/>
  <c r="D290" s="1"/>
  <c r="C293"/>
  <c r="C298"/>
  <c r="C299"/>
  <c r="C300"/>
  <c r="C301"/>
  <c r="C302"/>
  <c r="C303"/>
  <c r="C308"/>
  <c r="C309"/>
  <c r="C312"/>
  <c r="C313"/>
  <c r="C314"/>
  <c r="C318"/>
  <c r="C319"/>
  <c r="C320"/>
  <c r="C323"/>
  <c r="C324"/>
  <c r="C325"/>
  <c r="C328"/>
  <c r="C329"/>
  <c r="D327" s="1"/>
  <c r="C332"/>
  <c r="C333"/>
  <c r="C334"/>
  <c r="C335"/>
  <c r="C338"/>
  <c r="D337"/>
  <c r="C341"/>
  <c r="D340" s="1"/>
  <c r="C342"/>
  <c r="C343"/>
  <c r="C344"/>
  <c r="C345"/>
  <c r="C346"/>
  <c r="C347"/>
  <c r="C348"/>
  <c r="C349"/>
  <c r="C350"/>
  <c r="C351"/>
  <c r="C352"/>
  <c r="C353"/>
  <c r="C354"/>
  <c r="C355"/>
  <c r="C356"/>
  <c r="C359"/>
  <c r="C360"/>
  <c r="C361"/>
  <c r="C362"/>
  <c r="C363"/>
  <c r="C364"/>
  <c r="C365"/>
  <c r="C368"/>
  <c r="C371"/>
  <c r="C372"/>
  <c r="C373"/>
  <c r="C374"/>
  <c r="C375"/>
  <c r="C378"/>
  <c r="C379"/>
  <c r="D377" s="1"/>
  <c r="C380"/>
  <c r="C387"/>
  <c r="D386" s="1"/>
  <c r="E384" s="1"/>
  <c r="F382" s="1"/>
  <c r="C392"/>
  <c r="D391" s="1"/>
  <c r="E389" s="1"/>
  <c r="C397"/>
  <c r="C398"/>
  <c r="D396" s="1"/>
  <c r="C410"/>
  <c r="C411"/>
  <c r="C412"/>
  <c r="C413"/>
  <c r="C417"/>
  <c r="C420"/>
  <c r="D419" s="1"/>
  <c r="C433"/>
  <c r="C434"/>
  <c r="C435"/>
  <c r="C436"/>
  <c r="C446"/>
  <c r="D445" s="1"/>
  <c r="E443" s="1"/>
  <c r="C451"/>
  <c r="D450"/>
  <c r="E448" s="1"/>
  <c r="A121"/>
  <c r="B121"/>
  <c r="A117"/>
  <c r="C78" i="13"/>
  <c r="C72" i="22"/>
  <c r="D72" s="1"/>
  <c r="E72" s="1"/>
  <c r="F72" s="1"/>
  <c r="F209" i="13"/>
  <c r="E455" i="21"/>
  <c r="F453"/>
  <c r="C225" i="13"/>
  <c r="C133" i="22"/>
  <c r="D133" s="1"/>
  <c r="E133" s="1"/>
  <c r="F133" s="1"/>
  <c r="C132" i="21"/>
  <c r="D131" s="1"/>
  <c r="E130" s="1"/>
  <c r="C377" i="13"/>
  <c r="C210" i="22"/>
  <c r="G209" s="1"/>
  <c r="C378" i="13"/>
  <c r="C211" i="22"/>
  <c r="D211" s="1"/>
  <c r="E211" s="1"/>
  <c r="F211" s="1"/>
  <c r="C434" i="13"/>
  <c r="C267" i="22"/>
  <c r="C435" i="13"/>
  <c r="C268" i="22"/>
  <c r="D268"/>
  <c r="E268" s="1"/>
  <c r="F268" s="1"/>
  <c r="C317" i="21"/>
  <c r="C274" i="13"/>
  <c r="C408" i="22"/>
  <c r="C407" i="21"/>
  <c r="D406" s="1"/>
  <c r="G278" i="13"/>
  <c r="H278"/>
  <c r="D422" i="21"/>
  <c r="C284" i="13"/>
  <c r="C429" i="22"/>
  <c r="D440" i="21"/>
  <c r="E438"/>
  <c r="H273" i="13"/>
  <c r="H274"/>
  <c r="H275"/>
  <c r="H276"/>
  <c r="H277"/>
  <c r="H279"/>
  <c r="H280"/>
  <c r="H281"/>
  <c r="H283"/>
  <c r="H285"/>
  <c r="H286"/>
  <c r="D96" i="21"/>
  <c r="E98"/>
  <c r="D117" i="13"/>
  <c r="G100" i="22"/>
  <c r="D99" i="21"/>
  <c r="E99"/>
  <c r="E87" i="13"/>
  <c r="K78" i="22"/>
  <c r="L78" s="1"/>
  <c r="M78"/>
  <c r="N78" s="1"/>
  <c r="C101" i="21"/>
  <c r="B101"/>
  <c r="A101"/>
  <c r="C100"/>
  <c r="B100"/>
  <c r="A100"/>
  <c r="B99"/>
  <c r="A99"/>
  <c r="B98"/>
  <c r="A98"/>
  <c r="C97"/>
  <c r="B97"/>
  <c r="A97"/>
  <c r="B96"/>
  <c r="A96"/>
  <c r="C95"/>
  <c r="B95"/>
  <c r="A95"/>
  <c r="D109" i="13"/>
  <c r="G95" i="22"/>
  <c r="H95"/>
  <c r="I95" s="1"/>
  <c r="J95"/>
  <c r="B94" i="21"/>
  <c r="A94"/>
  <c r="C93"/>
  <c r="B93"/>
  <c r="A93"/>
  <c r="B92"/>
  <c r="A92"/>
  <c r="C91"/>
  <c r="B91"/>
  <c r="A91"/>
  <c r="C90"/>
  <c r="B90"/>
  <c r="A90"/>
  <c r="C89"/>
  <c r="B89"/>
  <c r="A89"/>
  <c r="C88"/>
  <c r="B88"/>
  <c r="A88"/>
  <c r="C87"/>
  <c r="B87"/>
  <c r="A87"/>
  <c r="D100" i="13"/>
  <c r="G87" i="22"/>
  <c r="H87" s="1"/>
  <c r="I87" s="1"/>
  <c r="J87" s="1"/>
  <c r="B86" i="21"/>
  <c r="A86"/>
  <c r="E99" i="13"/>
  <c r="K86" i="22"/>
  <c r="L86"/>
  <c r="M86" s="1"/>
  <c r="N86" s="1"/>
  <c r="B85" i="21"/>
  <c r="A85"/>
  <c r="C84"/>
  <c r="B84"/>
  <c r="A84"/>
  <c r="E96" i="13"/>
  <c r="K84" i="22"/>
  <c r="L84"/>
  <c r="M84" s="1"/>
  <c r="N84"/>
  <c r="B83" i="21"/>
  <c r="A83"/>
  <c r="C82"/>
  <c r="B82"/>
  <c r="A82"/>
  <c r="E93" i="13"/>
  <c r="K82" i="22"/>
  <c r="L82"/>
  <c r="M82" s="1"/>
  <c r="N82" s="1"/>
  <c r="E81" i="21"/>
  <c r="B81"/>
  <c r="A81"/>
  <c r="C80"/>
  <c r="B80"/>
  <c r="A80"/>
  <c r="E90" i="13"/>
  <c r="K80" i="22"/>
  <c r="L80" s="1"/>
  <c r="M80"/>
  <c r="N80" s="1"/>
  <c r="B79" i="21"/>
  <c r="A79"/>
  <c r="C78"/>
  <c r="B78"/>
  <c r="A78"/>
  <c r="B77"/>
  <c r="A77"/>
  <c r="B76"/>
  <c r="A76"/>
  <c r="C75"/>
  <c r="B75"/>
  <c r="A75"/>
  <c r="E83" i="13"/>
  <c r="K75" i="22"/>
  <c r="L75"/>
  <c r="M75" s="1"/>
  <c r="N75"/>
  <c r="B74" i="21"/>
  <c r="A74"/>
  <c r="C73"/>
  <c r="B73"/>
  <c r="A73"/>
  <c r="E80" i="13"/>
  <c r="K73" i="22"/>
  <c r="L73"/>
  <c r="M73" s="1"/>
  <c r="N73" s="1"/>
  <c r="E72" i="21"/>
  <c r="B72"/>
  <c r="A72"/>
  <c r="C71"/>
  <c r="B71"/>
  <c r="A71"/>
  <c r="E77" i="13"/>
  <c r="K71" i="22"/>
  <c r="L71" s="1"/>
  <c r="M71"/>
  <c r="N71" s="1"/>
  <c r="B70" i="21"/>
  <c r="A70"/>
  <c r="B69"/>
  <c r="A69"/>
  <c r="C68"/>
  <c r="B68"/>
  <c r="A68"/>
  <c r="C67"/>
  <c r="B67"/>
  <c r="A67"/>
  <c r="C66"/>
  <c r="B66"/>
  <c r="A66"/>
  <c r="E71" i="13"/>
  <c r="K66" i="22"/>
  <c r="L66" s="1"/>
  <c r="M66"/>
  <c r="N66" s="1"/>
  <c r="E65" i="21"/>
  <c r="B65"/>
  <c r="A65"/>
  <c r="C64"/>
  <c r="B64"/>
  <c r="A64"/>
  <c r="E69" i="13"/>
  <c r="K64" i="22"/>
  <c r="L64"/>
  <c r="M64" s="1"/>
  <c r="N64"/>
  <c r="B63" i="21"/>
  <c r="A63"/>
  <c r="C62"/>
  <c r="B62"/>
  <c r="A62"/>
  <c r="E67" i="13"/>
  <c r="K62" i="22"/>
  <c r="L62"/>
  <c r="M62" s="1"/>
  <c r="N62" s="1"/>
  <c r="B61" i="21"/>
  <c r="A61"/>
  <c r="C60"/>
  <c r="B60"/>
  <c r="A60"/>
  <c r="C59"/>
  <c r="B59"/>
  <c r="A59"/>
  <c r="E64" i="13"/>
  <c r="K59" i="22"/>
  <c r="L59" s="1"/>
  <c r="M59"/>
  <c r="N59" s="1"/>
  <c r="B58" i="21"/>
  <c r="A58"/>
  <c r="F63" i="13"/>
  <c r="O58" i="22"/>
  <c r="P58"/>
  <c r="Q58" s="1"/>
  <c r="R58"/>
  <c r="B57" i="21"/>
  <c r="A57"/>
  <c r="C56"/>
  <c r="B56"/>
  <c r="A56"/>
  <c r="D60" i="13"/>
  <c r="G56" i="22"/>
  <c r="H56"/>
  <c r="I56" s="1"/>
  <c r="J56" s="1"/>
  <c r="B55" i="21"/>
  <c r="A55"/>
  <c r="E59" i="13"/>
  <c r="K55" i="22"/>
  <c r="L55" s="1"/>
  <c r="M55"/>
  <c r="N55" s="1"/>
  <c r="B54" i="21"/>
  <c r="A54"/>
  <c r="C53"/>
  <c r="B53"/>
  <c r="A53"/>
  <c r="C52"/>
  <c r="B52"/>
  <c r="A52"/>
  <c r="D55" i="13"/>
  <c r="G52" i="22"/>
  <c r="H52"/>
  <c r="I52" s="1"/>
  <c r="J52"/>
  <c r="B51" i="21"/>
  <c r="A51"/>
  <c r="C50"/>
  <c r="B50"/>
  <c r="A50"/>
  <c r="C49"/>
  <c r="B49"/>
  <c r="A49"/>
  <c r="C48"/>
  <c r="B48"/>
  <c r="A48"/>
  <c r="D50" i="13"/>
  <c r="G48" i="22"/>
  <c r="H48"/>
  <c r="I48" s="1"/>
  <c r="J48" s="1"/>
  <c r="D47" i="21"/>
  <c r="B47"/>
  <c r="A47"/>
  <c r="C46"/>
  <c r="B46"/>
  <c r="A46"/>
  <c r="C45"/>
  <c r="B45"/>
  <c r="A45"/>
  <c r="D46" i="13"/>
  <c r="G45" i="22"/>
  <c r="H45"/>
  <c r="I45" s="1"/>
  <c r="J45"/>
  <c r="D44" i="21"/>
  <c r="B44"/>
  <c r="A44"/>
  <c r="C43"/>
  <c r="B43"/>
  <c r="A43"/>
  <c r="D43" i="13"/>
  <c r="G43" i="22"/>
  <c r="H43" s="1"/>
  <c r="I43" s="1"/>
  <c r="J43" s="1"/>
  <c r="B42" i="21"/>
  <c r="A42"/>
  <c r="C41"/>
  <c r="B41"/>
  <c r="A41"/>
  <c r="C40"/>
  <c r="B40"/>
  <c r="A40"/>
  <c r="D39" i="13"/>
  <c r="G40" i="22"/>
  <c r="H40"/>
  <c r="I40" s="1"/>
  <c r="J40" s="1"/>
  <c r="B39" i="21"/>
  <c r="A39"/>
  <c r="E37" i="13"/>
  <c r="K39" i="22"/>
  <c r="L39" s="1"/>
  <c r="M39"/>
  <c r="N39" s="1"/>
  <c r="B38" i="21"/>
  <c r="A38"/>
  <c r="C37"/>
  <c r="B37"/>
  <c r="A31" i="13"/>
  <c r="A34" i="22"/>
  <c r="C36" i="21"/>
  <c r="B36"/>
  <c r="C35"/>
  <c r="B35"/>
  <c r="C34"/>
  <c r="B34"/>
  <c r="C33"/>
  <c r="B33"/>
  <c r="A33"/>
  <c r="C32"/>
  <c r="B32"/>
  <c r="A32"/>
  <c r="D29" i="13"/>
  <c r="G32" i="22"/>
  <c r="H32"/>
  <c r="I32" s="1"/>
  <c r="J32"/>
  <c r="B31" i="21"/>
  <c r="A31"/>
  <c r="C29"/>
  <c r="B29"/>
  <c r="A29"/>
  <c r="C28"/>
  <c r="B28"/>
  <c r="A28"/>
  <c r="C27"/>
  <c r="B27"/>
  <c r="A27"/>
  <c r="D24" i="13"/>
  <c r="G27" i="22"/>
  <c r="H27"/>
  <c r="I27" s="1"/>
  <c r="J27" s="1"/>
  <c r="D26" i="21"/>
  <c r="B26"/>
  <c r="A26"/>
  <c r="B24"/>
  <c r="A24"/>
  <c r="B22"/>
  <c r="A22"/>
  <c r="B20"/>
  <c r="A20"/>
  <c r="C209" i="13"/>
  <c r="C288"/>
  <c r="B446" i="21"/>
  <c r="B445"/>
  <c r="B425"/>
  <c r="B451"/>
  <c r="B450"/>
  <c r="B441"/>
  <c r="B440"/>
  <c r="B436"/>
  <c r="B435"/>
  <c r="B434"/>
  <c r="B433"/>
  <c r="B432"/>
  <c r="B428"/>
  <c r="B427"/>
  <c r="B413"/>
  <c r="B412"/>
  <c r="B410"/>
  <c r="B411"/>
  <c r="B423"/>
  <c r="B420"/>
  <c r="B417"/>
  <c r="B416"/>
  <c r="B407"/>
  <c r="B398"/>
  <c r="B397"/>
  <c r="B396"/>
  <c r="B391"/>
  <c r="B392"/>
  <c r="B387"/>
  <c r="B386"/>
  <c r="B380"/>
  <c r="B379"/>
  <c r="B378"/>
  <c r="B377"/>
  <c r="B375"/>
  <c r="B374"/>
  <c r="B373"/>
  <c r="B372"/>
  <c r="B371"/>
  <c r="B370"/>
  <c r="B368"/>
  <c r="B367"/>
  <c r="B365"/>
  <c r="B364"/>
  <c r="B363"/>
  <c r="B362"/>
  <c r="B361"/>
  <c r="B360"/>
  <c r="B359"/>
  <c r="B358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8"/>
  <c r="B337"/>
  <c r="B335"/>
  <c r="B334"/>
  <c r="B333"/>
  <c r="B332"/>
  <c r="B331"/>
  <c r="B329"/>
  <c r="B328"/>
  <c r="B327"/>
  <c r="B325"/>
  <c r="B324"/>
  <c r="B323"/>
  <c r="B322"/>
  <c r="B320"/>
  <c r="B319"/>
  <c r="B318"/>
  <c r="B317"/>
  <c r="B316"/>
  <c r="B314"/>
  <c r="B313"/>
  <c r="B312"/>
  <c r="B311"/>
  <c r="B309"/>
  <c r="B308"/>
  <c r="B307"/>
  <c r="B303"/>
  <c r="B302"/>
  <c r="B301"/>
  <c r="B300"/>
  <c r="B299"/>
  <c r="B298"/>
  <c r="B297"/>
  <c r="B295"/>
  <c r="B293"/>
  <c r="B292"/>
  <c r="B291"/>
  <c r="B290"/>
  <c r="B288"/>
  <c r="B286"/>
  <c r="B285"/>
  <c r="B284"/>
  <c r="B282"/>
  <c r="B280"/>
  <c r="B279"/>
  <c r="B278"/>
  <c r="B276"/>
  <c r="B272"/>
  <c r="B271"/>
  <c r="B270"/>
  <c r="B269"/>
  <c r="B267"/>
  <c r="B266"/>
  <c r="B265"/>
  <c r="B264"/>
  <c r="B263"/>
  <c r="B262"/>
  <c r="B260"/>
  <c r="B259"/>
  <c r="B257"/>
  <c r="B256"/>
  <c r="B255"/>
  <c r="B254"/>
  <c r="B253"/>
  <c r="B252"/>
  <c r="B251"/>
  <c r="B250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0"/>
  <c r="B229"/>
  <c r="B227"/>
  <c r="B226"/>
  <c r="B225"/>
  <c r="B224"/>
  <c r="B223"/>
  <c r="B221"/>
  <c r="B220"/>
  <c r="B219"/>
  <c r="B217"/>
  <c r="B216"/>
  <c r="B215"/>
  <c r="B214"/>
  <c r="B212"/>
  <c r="B211"/>
  <c r="B210"/>
  <c r="B209"/>
  <c r="B208"/>
  <c r="B206"/>
  <c r="B205"/>
  <c r="B204"/>
  <c r="B203"/>
  <c r="B201"/>
  <c r="B200"/>
  <c r="B199"/>
  <c r="A264"/>
  <c r="A265"/>
  <c r="A266"/>
  <c r="A267"/>
  <c r="A234"/>
  <c r="A235"/>
  <c r="A236"/>
  <c r="A237"/>
  <c r="A238"/>
  <c r="A239"/>
  <c r="A240"/>
  <c r="A241"/>
  <c r="A242"/>
  <c r="A243"/>
  <c r="A244"/>
  <c r="A245"/>
  <c r="A246"/>
  <c r="A247"/>
  <c r="A248"/>
  <c r="A253"/>
  <c r="A254"/>
  <c r="A255"/>
  <c r="A256"/>
  <c r="A257"/>
  <c r="B197"/>
  <c r="B195"/>
  <c r="B194"/>
  <c r="B193"/>
  <c r="B192"/>
  <c r="B191"/>
  <c r="B190"/>
  <c r="B189"/>
  <c r="B187"/>
  <c r="B186"/>
  <c r="B185"/>
  <c r="B184"/>
  <c r="B182"/>
  <c r="B180"/>
  <c r="B179"/>
  <c r="B178"/>
  <c r="B177"/>
  <c r="B175"/>
  <c r="B174"/>
  <c r="B173"/>
  <c r="B172"/>
  <c r="B170"/>
  <c r="B168"/>
  <c r="B167"/>
  <c r="B166"/>
  <c r="B164"/>
  <c r="B163"/>
  <c r="B162"/>
  <c r="B161"/>
  <c r="B160"/>
  <c r="B159"/>
  <c r="B158"/>
  <c r="B157"/>
  <c r="B156"/>
  <c r="B155"/>
  <c r="B154"/>
  <c r="B153"/>
  <c r="B152"/>
  <c r="B151"/>
  <c r="B150"/>
  <c r="B149"/>
  <c r="H314" i="13"/>
  <c r="H315"/>
  <c r="B148" i="21"/>
  <c r="A133"/>
  <c r="A134"/>
  <c r="A135"/>
  <c r="A136"/>
  <c r="A137"/>
  <c r="B147"/>
  <c r="B146"/>
  <c r="B144"/>
  <c r="B145"/>
  <c r="B143"/>
  <c r="B142"/>
  <c r="B141"/>
  <c r="B140"/>
  <c r="B139"/>
  <c r="B138"/>
  <c r="B137"/>
  <c r="B136"/>
  <c r="B135"/>
  <c r="B134"/>
  <c r="B133"/>
  <c r="B132"/>
  <c r="B131"/>
  <c r="B130"/>
  <c r="G223" i="13"/>
  <c r="F223"/>
  <c r="E223"/>
  <c r="D223"/>
  <c r="G209"/>
  <c r="G365"/>
  <c r="F365"/>
  <c r="E365"/>
  <c r="D365"/>
  <c r="G344"/>
  <c r="F344"/>
  <c r="E344"/>
  <c r="D344"/>
  <c r="C344"/>
  <c r="G324"/>
  <c r="F324"/>
  <c r="E324"/>
  <c r="D324"/>
  <c r="C324"/>
  <c r="H435"/>
  <c r="H445"/>
  <c r="H444"/>
  <c r="H443"/>
  <c r="H442"/>
  <c r="H389"/>
  <c r="H388"/>
  <c r="H387"/>
  <c r="H385"/>
  <c r="H384"/>
  <c r="H383"/>
  <c r="H382"/>
  <c r="H398"/>
  <c r="H39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440"/>
  <c r="H437"/>
  <c r="H429"/>
  <c r="H428"/>
  <c r="H427"/>
  <c r="H396"/>
  <c r="H395"/>
  <c r="H394"/>
  <c r="H393"/>
  <c r="H392"/>
  <c r="H391"/>
  <c r="H436"/>
  <c r="H433"/>
  <c r="H432"/>
  <c r="H431"/>
  <c r="H430"/>
  <c r="H425"/>
  <c r="H424"/>
  <c r="H423"/>
  <c r="H422"/>
  <c r="H421"/>
  <c r="H420"/>
  <c r="H419"/>
  <c r="H418"/>
  <c r="H375"/>
  <c r="H374"/>
  <c r="H373"/>
  <c r="H372"/>
  <c r="H371"/>
  <c r="H380"/>
  <c r="H379"/>
  <c r="H378"/>
  <c r="H376"/>
  <c r="H370"/>
  <c r="H369"/>
  <c r="H368"/>
  <c r="G446"/>
  <c r="F446"/>
  <c r="E446"/>
  <c r="D446"/>
  <c r="H357"/>
  <c r="H356"/>
  <c r="H355"/>
  <c r="H354"/>
  <c r="H353"/>
  <c r="H352"/>
  <c r="H351"/>
  <c r="H350"/>
  <c r="H349"/>
  <c r="H348"/>
  <c r="H347"/>
  <c r="G358"/>
  <c r="F358"/>
  <c r="E358"/>
  <c r="D358"/>
  <c r="H336"/>
  <c r="H335"/>
  <c r="H334"/>
  <c r="H333"/>
  <c r="H332"/>
  <c r="H331"/>
  <c r="H330"/>
  <c r="H329"/>
  <c r="H328"/>
  <c r="H327"/>
  <c r="G337"/>
  <c r="F337"/>
  <c r="E337"/>
  <c r="D337"/>
  <c r="C337"/>
  <c r="H316"/>
  <c r="H312"/>
  <c r="H311"/>
  <c r="H310"/>
  <c r="H309"/>
  <c r="H307"/>
  <c r="H306"/>
  <c r="H305"/>
  <c r="H304"/>
  <c r="H303"/>
  <c r="H302"/>
  <c r="H300"/>
  <c r="C154" i="22"/>
  <c r="D154" s="1"/>
  <c r="E154"/>
  <c r="F154" s="1"/>
  <c r="H299" i="13"/>
  <c r="C153" i="22"/>
  <c r="D153"/>
  <c r="E153" s="1"/>
  <c r="F153"/>
  <c r="G317" i="13"/>
  <c r="F317"/>
  <c r="E317"/>
  <c r="D317"/>
  <c r="H262"/>
  <c r="H261"/>
  <c r="H260"/>
  <c r="G263"/>
  <c r="F263"/>
  <c r="E263"/>
  <c r="D263"/>
  <c r="E287"/>
  <c r="D287"/>
  <c r="G250"/>
  <c r="F250"/>
  <c r="E250"/>
  <c r="D250"/>
  <c r="G239"/>
  <c r="F239"/>
  <c r="E239"/>
  <c r="D239"/>
  <c r="B127" i="21"/>
  <c r="B126"/>
  <c r="A18"/>
  <c r="A16"/>
  <c r="A15"/>
  <c r="A14"/>
  <c r="A13"/>
  <c r="A12"/>
  <c r="A11"/>
  <c r="A10"/>
  <c r="A9"/>
  <c r="A7"/>
  <c r="A5"/>
  <c r="A4"/>
  <c r="A2"/>
  <c r="C338" i="13"/>
  <c r="C339"/>
  <c r="H434"/>
  <c r="N372"/>
  <c r="M372"/>
  <c r="N369"/>
  <c r="M369"/>
  <c r="H367"/>
  <c r="C447"/>
  <c r="C358"/>
  <c r="H346"/>
  <c r="H344"/>
  <c r="C359"/>
  <c r="C360"/>
  <c r="H326"/>
  <c r="C294"/>
  <c r="H297"/>
  <c r="H296"/>
  <c r="G294"/>
  <c r="E294"/>
  <c r="F294"/>
  <c r="C318"/>
  <c r="C263"/>
  <c r="N261"/>
  <c r="M261"/>
  <c r="H259"/>
  <c r="G287"/>
  <c r="G218"/>
  <c r="C271"/>
  <c r="E271"/>
  <c r="D271"/>
  <c r="C250"/>
  <c r="H249"/>
  <c r="H248"/>
  <c r="G246"/>
  <c r="E246"/>
  <c r="F246"/>
  <c r="D246"/>
  <c r="H238"/>
  <c r="C144" i="22"/>
  <c r="G142" s="1"/>
  <c r="H142" s="1"/>
  <c r="I142" s="1"/>
  <c r="J142" s="1"/>
  <c r="H237" i="13"/>
  <c r="H236"/>
  <c r="H234"/>
  <c r="H233"/>
  <c r="H232"/>
  <c r="H230"/>
  <c r="H229"/>
  <c r="H228"/>
  <c r="C135" i="21"/>
  <c r="H227" i="13"/>
  <c r="C135" i="22"/>
  <c r="M226" i="13"/>
  <c r="H226"/>
  <c r="H224"/>
  <c r="C201"/>
  <c r="B201"/>
  <c r="C200"/>
  <c r="B200"/>
  <c r="A200"/>
  <c r="B199"/>
  <c r="A199"/>
  <c r="C198"/>
  <c r="D197" s="1"/>
  <c r="E197" s="1"/>
  <c r="B198"/>
  <c r="A198"/>
  <c r="B197"/>
  <c r="A197"/>
  <c r="C195"/>
  <c r="B195"/>
  <c r="C194"/>
  <c r="B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D175" s="1"/>
  <c r="B176"/>
  <c r="A176"/>
  <c r="B175"/>
  <c r="A175"/>
  <c r="C174"/>
  <c r="B174"/>
  <c r="A174"/>
  <c r="C173"/>
  <c r="B173"/>
  <c r="A173"/>
  <c r="B172"/>
  <c r="A172"/>
  <c r="B171"/>
  <c r="A171"/>
  <c r="C169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C155"/>
  <c r="B155"/>
  <c r="A155"/>
  <c r="C154"/>
  <c r="B154"/>
  <c r="A154"/>
  <c r="C153"/>
  <c r="D152" s="1"/>
  <c r="B153"/>
  <c r="A153"/>
  <c r="B152"/>
  <c r="A152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E5" i="10"/>
  <c r="E4"/>
  <c r="E3"/>
  <c r="D6"/>
  <c r="C6"/>
  <c r="B6"/>
  <c r="E2"/>
  <c r="B11" i="12"/>
  <c r="B9"/>
  <c r="B22"/>
  <c r="B17"/>
  <c r="B19"/>
  <c r="D61" i="7"/>
  <c r="A65"/>
  <c r="A201" i="23"/>
  <c r="D39" i="7"/>
  <c r="A58"/>
  <c r="A194" i="23"/>
  <c r="A194" i="13"/>
  <c r="Y28" i="11"/>
  <c r="K5"/>
  <c r="F123" i="21"/>
  <c r="Y29" i="11"/>
  <c r="X33"/>
  <c r="F26"/>
  <c r="Y26"/>
  <c r="Y27"/>
  <c r="S28"/>
  <c r="R28"/>
  <c r="R29"/>
  <c r="E14"/>
  <c r="E19"/>
  <c r="E18"/>
  <c r="F18"/>
  <c r="F19"/>
  <c r="Y19"/>
  <c r="O33"/>
  <c r="O29"/>
  <c r="O27"/>
  <c r="O25"/>
  <c r="O23"/>
  <c r="O20"/>
  <c r="A13"/>
  <c r="A10"/>
  <c r="A11"/>
  <c r="A12"/>
  <c r="A14"/>
  <c r="A15"/>
  <c r="A16"/>
  <c r="A17"/>
  <c r="A18"/>
  <c r="A19"/>
  <c r="E28"/>
  <c r="E32"/>
  <c r="E31"/>
  <c r="E30"/>
  <c r="F32"/>
  <c r="G32"/>
  <c r="F31"/>
  <c r="G31"/>
  <c r="F30"/>
  <c r="G30"/>
  <c r="D33"/>
  <c r="E29"/>
  <c r="D29"/>
  <c r="U28"/>
  <c r="U29"/>
  <c r="T28"/>
  <c r="T29"/>
  <c r="S29"/>
  <c r="G28"/>
  <c r="N28"/>
  <c r="E22"/>
  <c r="E21"/>
  <c r="F21"/>
  <c r="F22"/>
  <c r="Y22"/>
  <c r="E25"/>
  <c r="E17"/>
  <c r="E16"/>
  <c r="E15"/>
  <c r="F15"/>
  <c r="E12"/>
  <c r="E11"/>
  <c r="E10"/>
  <c r="E20"/>
  <c r="E34"/>
  <c r="E13"/>
  <c r="F13"/>
  <c r="D34"/>
  <c r="E27"/>
  <c r="D27"/>
  <c r="F27"/>
  <c r="D25"/>
  <c r="F24"/>
  <c r="D23"/>
  <c r="D20"/>
  <c r="F17"/>
  <c r="Y17"/>
  <c r="F16"/>
  <c r="U16"/>
  <c r="F14"/>
  <c r="Y14"/>
  <c r="U14"/>
  <c r="F12"/>
  <c r="Y12"/>
  <c r="F11"/>
  <c r="Y11"/>
  <c r="F10"/>
  <c r="Y10"/>
  <c r="U10"/>
  <c r="F9"/>
  <c r="C10" i="7"/>
  <c r="E61"/>
  <c r="D16"/>
  <c r="D36"/>
  <c r="E35"/>
  <c r="R26" i="11"/>
  <c r="S26"/>
  <c r="T26"/>
  <c r="O34"/>
  <c r="E33"/>
  <c r="F33"/>
  <c r="T33"/>
  <c r="U33"/>
  <c r="G29"/>
  <c r="S33"/>
  <c r="G19"/>
  <c r="U19"/>
  <c r="L33"/>
  <c r="E23"/>
  <c r="H28"/>
  <c r="H29"/>
  <c r="L28"/>
  <c r="L29"/>
  <c r="J33"/>
  <c r="N33"/>
  <c r="J28"/>
  <c r="J29"/>
  <c r="I33"/>
  <c r="K33"/>
  <c r="M33"/>
  <c r="P33"/>
  <c r="V33"/>
  <c r="F29"/>
  <c r="I28"/>
  <c r="I29"/>
  <c r="K28"/>
  <c r="K29"/>
  <c r="M28"/>
  <c r="M29"/>
  <c r="P28"/>
  <c r="P29"/>
  <c r="V28"/>
  <c r="V29"/>
  <c r="U22"/>
  <c r="G22"/>
  <c r="G11"/>
  <c r="N11"/>
  <c r="G12"/>
  <c r="M12"/>
  <c r="G17"/>
  <c r="H17"/>
  <c r="G24"/>
  <c r="G25"/>
  <c r="G10"/>
  <c r="L11"/>
  <c r="H11"/>
  <c r="G14"/>
  <c r="G16"/>
  <c r="G9"/>
  <c r="K11"/>
  <c r="I12"/>
  <c r="L12"/>
  <c r="H12"/>
  <c r="U9"/>
  <c r="K12"/>
  <c r="P12"/>
  <c r="U11"/>
  <c r="U12"/>
  <c r="U17"/>
  <c r="U24"/>
  <c r="U25"/>
  <c r="G26"/>
  <c r="G27"/>
  <c r="R27"/>
  <c r="I24"/>
  <c r="I25"/>
  <c r="K24"/>
  <c r="K25"/>
  <c r="M24"/>
  <c r="M25"/>
  <c r="P24"/>
  <c r="P25"/>
  <c r="S27"/>
  <c r="U26"/>
  <c r="U27"/>
  <c r="W28"/>
  <c r="I17"/>
  <c r="N17"/>
  <c r="L17"/>
  <c r="J17"/>
  <c r="K17"/>
  <c r="H19"/>
  <c r="I19"/>
  <c r="R33"/>
  <c r="H33"/>
  <c r="N19"/>
  <c r="L19"/>
  <c r="J19"/>
  <c r="P19"/>
  <c r="M19"/>
  <c r="K19"/>
  <c r="Q32"/>
  <c r="Q31"/>
  <c r="Q30"/>
  <c r="W29"/>
  <c r="N22"/>
  <c r="L22"/>
  <c r="J22"/>
  <c r="H22"/>
  <c r="P22"/>
  <c r="M22"/>
  <c r="K22"/>
  <c r="I22"/>
  <c r="I11"/>
  <c r="M11"/>
  <c r="N26"/>
  <c r="N27"/>
  <c r="L26"/>
  <c r="L27"/>
  <c r="J26"/>
  <c r="J27"/>
  <c r="H26"/>
  <c r="H27"/>
  <c r="P26"/>
  <c r="P27"/>
  <c r="M26"/>
  <c r="M27"/>
  <c r="K26"/>
  <c r="K27"/>
  <c r="I26"/>
  <c r="I27"/>
  <c r="P16"/>
  <c r="M16"/>
  <c r="K16"/>
  <c r="I16"/>
  <c r="L16"/>
  <c r="H16"/>
  <c r="Q16"/>
  <c r="N16"/>
  <c r="J16"/>
  <c r="P14"/>
  <c r="M14"/>
  <c r="K14"/>
  <c r="I14"/>
  <c r="L14"/>
  <c r="H14"/>
  <c r="Q14"/>
  <c r="N14"/>
  <c r="J14"/>
  <c r="P10"/>
  <c r="M10"/>
  <c r="K10"/>
  <c r="I10"/>
  <c r="L10"/>
  <c r="H10"/>
  <c r="Q10"/>
  <c r="N10"/>
  <c r="J10"/>
  <c r="N9"/>
  <c r="L9"/>
  <c r="J9"/>
  <c r="H9"/>
  <c r="Q9"/>
  <c r="P9"/>
  <c r="M9"/>
  <c r="K9"/>
  <c r="I9"/>
  <c r="Q33"/>
  <c r="W33"/>
  <c r="Q19"/>
  <c r="Z32"/>
  <c r="Z31"/>
  <c r="Y33"/>
  <c r="X28"/>
  <c r="X29"/>
  <c r="Q22"/>
  <c r="Z30"/>
  <c r="Z33"/>
  <c r="Z28"/>
  <c r="Z29"/>
  <c r="F271" i="13"/>
  <c r="G271"/>
  <c r="D172"/>
  <c r="E171" s="1"/>
  <c r="H246"/>
  <c r="H225"/>
  <c r="C317"/>
  <c r="C319"/>
  <c r="Q28" i="11"/>
  <c r="AA28"/>
  <c r="AA29"/>
  <c r="N29"/>
  <c r="B24" i="12"/>
  <c r="O123" i="22"/>
  <c r="P123" s="1"/>
  <c r="Q123"/>
  <c r="R123" s="1"/>
  <c r="R10" i="11"/>
  <c r="R12"/>
  <c r="R14"/>
  <c r="R16"/>
  <c r="R24"/>
  <c r="R25"/>
  <c r="S10"/>
  <c r="T10"/>
  <c r="S12"/>
  <c r="T12"/>
  <c r="S14"/>
  <c r="T14"/>
  <c r="S16"/>
  <c r="T16"/>
  <c r="S24"/>
  <c r="Y9"/>
  <c r="Y16"/>
  <c r="J12"/>
  <c r="N12"/>
  <c r="R9"/>
  <c r="R11"/>
  <c r="R17"/>
  <c r="R19"/>
  <c r="R22"/>
  <c r="S9"/>
  <c r="T9"/>
  <c r="S11"/>
  <c r="S15"/>
  <c r="T15"/>
  <c r="S17"/>
  <c r="S19"/>
  <c r="T19"/>
  <c r="S22"/>
  <c r="W22"/>
  <c r="L5"/>
  <c r="T22"/>
  <c r="T17"/>
  <c r="V17"/>
  <c r="T24"/>
  <c r="S25"/>
  <c r="V16"/>
  <c r="H337" i="13"/>
  <c r="H250"/>
  <c r="F287"/>
  <c r="F218"/>
  <c r="F210"/>
  <c r="C239"/>
  <c r="C223"/>
  <c r="C251"/>
  <c r="C252"/>
  <c r="C287"/>
  <c r="C289"/>
  <c r="H377"/>
  <c r="C240"/>
  <c r="C241"/>
  <c r="H324"/>
  <c r="D218"/>
  <c r="E218"/>
  <c r="H263"/>
  <c r="H358"/>
  <c r="H223"/>
  <c r="H239"/>
  <c r="G210"/>
  <c r="H301"/>
  <c r="C155" i="22"/>
  <c r="D155" s="1"/>
  <c r="E155"/>
  <c r="F155" s="1"/>
  <c r="D322" i="21"/>
  <c r="D232"/>
  <c r="D358"/>
  <c r="D317"/>
  <c r="E288"/>
  <c r="D184"/>
  <c r="T11" i="11"/>
  <c r="V11"/>
  <c r="T25"/>
  <c r="V24"/>
  <c r="V25"/>
  <c r="Y15"/>
  <c r="G15"/>
  <c r="N15"/>
  <c r="U15"/>
  <c r="R15"/>
  <c r="AA31"/>
  <c r="V22"/>
  <c r="Q12"/>
  <c r="Q29"/>
  <c r="AA30"/>
  <c r="Q26"/>
  <c r="N24"/>
  <c r="N25"/>
  <c r="L24"/>
  <c r="L25"/>
  <c r="J24"/>
  <c r="J25"/>
  <c r="H24"/>
  <c r="H25"/>
  <c r="M17"/>
  <c r="Q17"/>
  <c r="P17"/>
  <c r="P11"/>
  <c r="J11"/>
  <c r="F25"/>
  <c r="A59" i="7"/>
  <c r="A195" i="23"/>
  <c r="A195" i="13"/>
  <c r="E203"/>
  <c r="F203" s="1"/>
  <c r="C125" s="1"/>
  <c r="E205"/>
  <c r="F205"/>
  <c r="C126" s="1"/>
  <c r="C109" i="22"/>
  <c r="D109" s="1"/>
  <c r="E109" s="1"/>
  <c r="F109" s="1"/>
  <c r="E22" i="13"/>
  <c r="K25" i="22"/>
  <c r="L25"/>
  <c r="M25" s="1"/>
  <c r="N25" s="1"/>
  <c r="Q27" i="11"/>
  <c r="J15"/>
  <c r="I15"/>
  <c r="H15"/>
  <c r="M15"/>
  <c r="E24" i="21"/>
  <c r="Q11" i="11"/>
  <c r="Q24"/>
  <c r="Q25"/>
  <c r="D145" i="21"/>
  <c r="E144" s="1"/>
  <c r="E282"/>
  <c r="E276"/>
  <c r="D223"/>
  <c r="D199"/>
  <c r="D177"/>
  <c r="D415"/>
  <c r="E394"/>
  <c r="D307"/>
  <c r="D138"/>
  <c r="D189"/>
  <c r="E182"/>
  <c r="D294" i="13"/>
  <c r="D418" i="22"/>
  <c r="E418" s="1"/>
  <c r="F418" s="1"/>
  <c r="G233"/>
  <c r="H233" s="1"/>
  <c r="I233" s="1"/>
  <c r="J233" s="1"/>
  <c r="G359"/>
  <c r="W17" i="11"/>
  <c r="X17"/>
  <c r="V12"/>
  <c r="W12"/>
  <c r="X12"/>
  <c r="G18"/>
  <c r="R18"/>
  <c r="Y18"/>
  <c r="U18"/>
  <c r="S18"/>
  <c r="V14"/>
  <c r="W14"/>
  <c r="X14"/>
  <c r="G33"/>
  <c r="C13" i="7"/>
  <c r="AA32" i="11"/>
  <c r="D144" i="22"/>
  <c r="E144" s="1"/>
  <c r="F144" s="1"/>
  <c r="AA33" i="11"/>
  <c r="D408" i="22"/>
  <c r="E408" s="1"/>
  <c r="F408" s="1"/>
  <c r="G407"/>
  <c r="D210"/>
  <c r="E210" s="1"/>
  <c r="F210" s="1"/>
  <c r="D174"/>
  <c r="E174"/>
  <c r="F174" s="1"/>
  <c r="G173"/>
  <c r="H173" s="1"/>
  <c r="I173" s="1"/>
  <c r="J173" s="1"/>
  <c r="D31" i="21"/>
  <c r="A32" i="13"/>
  <c r="E38" i="21"/>
  <c r="D39"/>
  <c r="D42"/>
  <c r="D51"/>
  <c r="E54"/>
  <c r="D55"/>
  <c r="E63"/>
  <c r="E70"/>
  <c r="E74"/>
  <c r="F86" i="13"/>
  <c r="E79" i="21"/>
  <c r="E83"/>
  <c r="E77"/>
  <c r="H284" i="13"/>
  <c r="C428" i="21"/>
  <c r="D427"/>
  <c r="D425" s="1"/>
  <c r="C267"/>
  <c r="C266"/>
  <c r="D262"/>
  <c r="C210"/>
  <c r="E209" i="13"/>
  <c r="E210"/>
  <c r="C134" i="21"/>
  <c r="C143"/>
  <c r="D141"/>
  <c r="C154"/>
  <c r="O124" i="22"/>
  <c r="P124" s="1"/>
  <c r="Q124" s="1"/>
  <c r="R124" s="1"/>
  <c r="C136"/>
  <c r="D136" s="1"/>
  <c r="E136" s="1"/>
  <c r="F136" s="1"/>
  <c r="D168"/>
  <c r="E168"/>
  <c r="F168" s="1"/>
  <c r="G167"/>
  <c r="W16" i="11"/>
  <c r="X16"/>
  <c r="F20" i="13"/>
  <c r="D209"/>
  <c r="H209"/>
  <c r="K15" i="11"/>
  <c r="L15"/>
  <c r="Q15"/>
  <c r="P15"/>
  <c r="V9"/>
  <c r="W9"/>
  <c r="X9"/>
  <c r="C209" i="21"/>
  <c r="D208"/>
  <c r="C152"/>
  <c r="G178" i="22"/>
  <c r="H178" s="1"/>
  <c r="I178" s="1"/>
  <c r="J178" s="1"/>
  <c r="G204"/>
  <c r="H204" s="1"/>
  <c r="I204" s="1"/>
  <c r="J204" s="1"/>
  <c r="G224"/>
  <c r="H224" s="1"/>
  <c r="I224" s="1"/>
  <c r="J224" s="1"/>
  <c r="G260"/>
  <c r="H260" s="1"/>
  <c r="I260" s="1"/>
  <c r="J260" s="1"/>
  <c r="G279"/>
  <c r="K277" s="1"/>
  <c r="G285"/>
  <c r="K283" s="1"/>
  <c r="L283" s="1"/>
  <c r="M283" s="1"/>
  <c r="N283" s="1"/>
  <c r="G318"/>
  <c r="H318"/>
  <c r="I318" s="1"/>
  <c r="J318" s="1"/>
  <c r="G328"/>
  <c r="G341"/>
  <c r="G387"/>
  <c r="H387" s="1"/>
  <c r="I387" s="1"/>
  <c r="J387" s="1"/>
  <c r="G392"/>
  <c r="K390" s="1"/>
  <c r="L390" s="1"/>
  <c r="M390" s="1"/>
  <c r="N390" s="1"/>
  <c r="G397"/>
  <c r="K395"/>
  <c r="L395" s="1"/>
  <c r="M395" s="1"/>
  <c r="N395" s="1"/>
  <c r="G451"/>
  <c r="H451" s="1"/>
  <c r="I451" s="1"/>
  <c r="J451" s="1"/>
  <c r="G433"/>
  <c r="H433" s="1"/>
  <c r="I433" s="1"/>
  <c r="J433" s="1"/>
  <c r="K449"/>
  <c r="L449" s="1"/>
  <c r="M449" s="1"/>
  <c r="N449" s="1"/>
  <c r="H285"/>
  <c r="I285" s="1"/>
  <c r="J285" s="1"/>
  <c r="H397"/>
  <c r="I397"/>
  <c r="J397" s="1"/>
  <c r="K385"/>
  <c r="L385" s="1"/>
  <c r="M385" s="1"/>
  <c r="N385" s="1"/>
  <c r="O23"/>
  <c r="P23" s="1"/>
  <c r="Q23" s="1"/>
  <c r="R23" s="1"/>
  <c r="C122" i="13"/>
  <c r="D122"/>
  <c r="F22" i="21"/>
  <c r="F76"/>
  <c r="O77" i="22"/>
  <c r="P77"/>
  <c r="Q77" s="1"/>
  <c r="R77" s="1"/>
  <c r="K18" i="11"/>
  <c r="J18"/>
  <c r="P18"/>
  <c r="I18"/>
  <c r="H18"/>
  <c r="M18"/>
  <c r="L18"/>
  <c r="N18"/>
  <c r="Z16"/>
  <c r="Z9"/>
  <c r="Z14"/>
  <c r="Z12"/>
  <c r="AA12"/>
  <c r="Z17"/>
  <c r="AA17"/>
  <c r="H392" i="22"/>
  <c r="I392" s="1"/>
  <c r="J392" s="1"/>
  <c r="A33" i="13"/>
  <c r="A35" i="21"/>
  <c r="A35" i="22"/>
  <c r="A34" i="21"/>
  <c r="K171" i="22"/>
  <c r="L171" s="1"/>
  <c r="M171" s="1"/>
  <c r="N171" s="1"/>
  <c r="H407"/>
  <c r="I407" s="1"/>
  <c r="J407" s="1"/>
  <c r="A34" i="13"/>
  <c r="A36" i="22"/>
  <c r="C105"/>
  <c r="D105"/>
  <c r="E105" s="1"/>
  <c r="F105" s="1"/>
  <c r="C123" i="13"/>
  <c r="C105" i="21"/>
  <c r="C104"/>
  <c r="C106" i="22"/>
  <c r="D106" s="1"/>
  <c r="E106" s="1"/>
  <c r="F106" s="1"/>
  <c r="A36" i="21"/>
  <c r="G197" i="23"/>
  <c r="E218"/>
  <c r="C271"/>
  <c r="C252"/>
  <c r="E99"/>
  <c r="F86"/>
  <c r="G152"/>
  <c r="H152"/>
  <c r="I152" s="1"/>
  <c r="J152" s="1"/>
  <c r="G172"/>
  <c r="H172"/>
  <c r="I172" s="1"/>
  <c r="J172" s="1"/>
  <c r="H225"/>
  <c r="H223"/>
  <c r="E37"/>
  <c r="F76"/>
  <c r="H324"/>
  <c r="C339"/>
  <c r="H344"/>
  <c r="C360"/>
  <c r="C319"/>
  <c r="E22"/>
  <c r="D218"/>
  <c r="F218"/>
  <c r="F210"/>
  <c r="H250"/>
  <c r="H263"/>
  <c r="H287"/>
  <c r="H358"/>
  <c r="C241"/>
  <c r="E209"/>
  <c r="C287"/>
  <c r="G287"/>
  <c r="G218"/>
  <c r="G210"/>
  <c r="H337"/>
  <c r="F63"/>
  <c r="H246"/>
  <c r="H271"/>
  <c r="D294"/>
  <c r="H298"/>
  <c r="H294"/>
  <c r="K197"/>
  <c r="L197"/>
  <c r="M197" s="1"/>
  <c r="N197" s="1"/>
  <c r="H197"/>
  <c r="I197"/>
  <c r="J197" s="1"/>
  <c r="E210"/>
  <c r="H239"/>
  <c r="F20"/>
  <c r="G18"/>
  <c r="C289"/>
  <c r="C122"/>
  <c r="C123"/>
  <c r="D122"/>
  <c r="G17"/>
  <c r="V19" i="11"/>
  <c r="W19"/>
  <c r="X19"/>
  <c r="V15"/>
  <c r="W15"/>
  <c r="V10"/>
  <c r="AA9"/>
  <c r="D135" i="22"/>
  <c r="E135" s="1"/>
  <c r="F135" s="1"/>
  <c r="H294" i="13"/>
  <c r="C151" i="21"/>
  <c r="H317" i="13"/>
  <c r="C152" i="22"/>
  <c r="D152" s="1"/>
  <c r="E152" s="1"/>
  <c r="F152" s="1"/>
  <c r="D209" i="23"/>
  <c r="H317"/>
  <c r="AA14" i="11"/>
  <c r="AA16"/>
  <c r="A35" i="13"/>
  <c r="A37" i="22"/>
  <c r="C149" i="23"/>
  <c r="D149" s="1"/>
  <c r="E149" s="1"/>
  <c r="F149" s="1"/>
  <c r="C149" i="13"/>
  <c r="X22" i="11"/>
  <c r="Z22"/>
  <c r="AA22"/>
  <c r="V26"/>
  <c r="V27"/>
  <c r="W26"/>
  <c r="T27"/>
  <c r="C146" i="23"/>
  <c r="D146"/>
  <c r="E146" s="1"/>
  <c r="F146" s="1"/>
  <c r="C146" i="13"/>
  <c r="U13" i="11"/>
  <c r="U20"/>
  <c r="R13"/>
  <c r="G13"/>
  <c r="F20"/>
  <c r="Y13"/>
  <c r="Y20"/>
  <c r="S13"/>
  <c r="Y21"/>
  <c r="Y23"/>
  <c r="S21"/>
  <c r="T21"/>
  <c r="T23"/>
  <c r="F23"/>
  <c r="V21"/>
  <c r="V23"/>
  <c r="G21"/>
  <c r="U21"/>
  <c r="U23"/>
  <c r="R21"/>
  <c r="G428" i="22"/>
  <c r="H428" s="1"/>
  <c r="I428" s="1"/>
  <c r="J428" s="1"/>
  <c r="D429"/>
  <c r="E429" s="1"/>
  <c r="F429" s="1"/>
  <c r="H271" i="13"/>
  <c r="H287"/>
  <c r="D267" i="22"/>
  <c r="E267"/>
  <c r="F267" s="1"/>
  <c r="G263"/>
  <c r="Q18" i="11"/>
  <c r="T18"/>
  <c r="V18"/>
  <c r="W11"/>
  <c r="X11"/>
  <c r="W24"/>
  <c r="W10"/>
  <c r="F122" i="21"/>
  <c r="C153"/>
  <c r="F57"/>
  <c r="E58"/>
  <c r="E61"/>
  <c r="F76" i="13"/>
  <c r="G18"/>
  <c r="E85" i="21"/>
  <c r="D86"/>
  <c r="D94"/>
  <c r="F115" i="13"/>
  <c r="A201"/>
  <c r="G332" i="22"/>
  <c r="H332" s="1"/>
  <c r="I332" s="1"/>
  <c r="J332" s="1"/>
  <c r="K439"/>
  <c r="L439"/>
  <c r="M439"/>
  <c r="N439"/>
  <c r="S21"/>
  <c r="T21"/>
  <c r="U21" s="1"/>
  <c r="V21" s="1"/>
  <c r="G20" i="21"/>
  <c r="G17" i="13"/>
  <c r="X15" i="11"/>
  <c r="Z15"/>
  <c r="AA15"/>
  <c r="S20"/>
  <c r="L13"/>
  <c r="L20"/>
  <c r="K13"/>
  <c r="K20"/>
  <c r="G20"/>
  <c r="J13"/>
  <c r="J20"/>
  <c r="M13"/>
  <c r="M20"/>
  <c r="I13"/>
  <c r="I20"/>
  <c r="H13"/>
  <c r="P13"/>
  <c r="P20"/>
  <c r="N13"/>
  <c r="N20"/>
  <c r="C9" i="7"/>
  <c r="U34" i="11"/>
  <c r="A38" i="22"/>
  <c r="A37" i="21"/>
  <c r="F34" i="11"/>
  <c r="O70" i="22"/>
  <c r="P70" s="1"/>
  <c r="Q70" s="1"/>
  <c r="R70" s="1"/>
  <c r="F69" i="21"/>
  <c r="X10" i="11"/>
  <c r="W25"/>
  <c r="X24"/>
  <c r="X25"/>
  <c r="Z24"/>
  <c r="H263" i="22"/>
  <c r="I263" s="1"/>
  <c r="J263" s="1"/>
  <c r="R23" i="11"/>
  <c r="J21"/>
  <c r="J23"/>
  <c r="N21"/>
  <c r="N23"/>
  <c r="I21"/>
  <c r="I23"/>
  <c r="M21"/>
  <c r="M23"/>
  <c r="G23"/>
  <c r="H21"/>
  <c r="L21"/>
  <c r="L23"/>
  <c r="K21"/>
  <c r="K23"/>
  <c r="P21"/>
  <c r="P23"/>
  <c r="S23"/>
  <c r="W21"/>
  <c r="C14" i="7"/>
  <c r="C150" i="23" s="1"/>
  <c r="D150" s="1"/>
  <c r="E150" s="1"/>
  <c r="F150" s="1"/>
  <c r="R20" i="11"/>
  <c r="X26"/>
  <c r="W27"/>
  <c r="H209" i="23"/>
  <c r="D210"/>
  <c r="Z11" i="11"/>
  <c r="AA11"/>
  <c r="W18"/>
  <c r="X18"/>
  <c r="V13"/>
  <c r="V20"/>
  <c r="T13"/>
  <c r="T20"/>
  <c r="Z10"/>
  <c r="Z19"/>
  <c r="AA19"/>
  <c r="V34"/>
  <c r="C8" i="7"/>
  <c r="C144" i="23" s="1"/>
  <c r="X21" i="11"/>
  <c r="X23"/>
  <c r="W23"/>
  <c r="H23"/>
  <c r="Q21"/>
  <c r="Z25"/>
  <c r="AA24"/>
  <c r="AA25"/>
  <c r="C145" i="23"/>
  <c r="D145"/>
  <c r="E145" s="1"/>
  <c r="F145" s="1"/>
  <c r="C145" i="13"/>
  <c r="P34" i="11"/>
  <c r="C24" i="7"/>
  <c r="C23"/>
  <c r="C159" i="23" s="1"/>
  <c r="D159" s="1"/>
  <c r="E159" s="1"/>
  <c r="F159" s="1"/>
  <c r="I34" i="11"/>
  <c r="M34"/>
  <c r="C22" i="7"/>
  <c r="D21" s="1"/>
  <c r="C6"/>
  <c r="C142" i="23"/>
  <c r="D142" s="1"/>
  <c r="E142" s="1"/>
  <c r="F142" s="1"/>
  <c r="G34" i="11"/>
  <c r="Y24"/>
  <c r="Y25"/>
  <c r="Y34"/>
  <c r="L34"/>
  <c r="C30" i="7"/>
  <c r="C166" i="23" s="1"/>
  <c r="D166" s="1"/>
  <c r="E166" s="1"/>
  <c r="F166" s="1"/>
  <c r="C12" i="7"/>
  <c r="S34" i="11"/>
  <c r="Z21"/>
  <c r="Z23"/>
  <c r="AA10"/>
  <c r="C7" i="7"/>
  <c r="T34" i="11"/>
  <c r="X27"/>
  <c r="Z26"/>
  <c r="C11" i="7"/>
  <c r="R34" i="11"/>
  <c r="N34"/>
  <c r="C32" i="7"/>
  <c r="H20" i="11"/>
  <c r="Q13"/>
  <c r="C29" i="7"/>
  <c r="D28" s="1"/>
  <c r="J34" i="11"/>
  <c r="C31" i="7"/>
  <c r="K34" i="11"/>
  <c r="S18" i="22"/>
  <c r="G18" i="21"/>
  <c r="Z18" i="11"/>
  <c r="AA18"/>
  <c r="W13"/>
  <c r="C168" i="23"/>
  <c r="D168"/>
  <c r="E168" s="1"/>
  <c r="F168" s="1"/>
  <c r="C168" i="13"/>
  <c r="Z27" i="11"/>
  <c r="AA26"/>
  <c r="AA27"/>
  <c r="D5" i="7"/>
  <c r="Q20" i="11"/>
  <c r="X13"/>
  <c r="X20"/>
  <c r="W20"/>
  <c r="C167" i="23"/>
  <c r="D167" s="1"/>
  <c r="E167" s="1"/>
  <c r="F167" s="1"/>
  <c r="C167" i="13"/>
  <c r="C165"/>
  <c r="H34" i="11"/>
  <c r="C27" i="7"/>
  <c r="C147" i="23"/>
  <c r="D147" s="1"/>
  <c r="E147" s="1"/>
  <c r="F147" s="1"/>
  <c r="C147" i="13"/>
  <c r="C143" i="23"/>
  <c r="D143"/>
  <c r="E143" s="1"/>
  <c r="F143" s="1"/>
  <c r="C143" i="13"/>
  <c r="C148" i="23"/>
  <c r="D148" s="1"/>
  <c r="E148" s="1"/>
  <c r="F148" s="1"/>
  <c r="C148" i="13"/>
  <c r="C158"/>
  <c r="C160" i="23"/>
  <c r="D160"/>
  <c r="E160" s="1"/>
  <c r="F160" s="1"/>
  <c r="C160" i="13"/>
  <c r="C438" i="23"/>
  <c r="C365" s="1"/>
  <c r="C438" i="13"/>
  <c r="C271" i="22" s="1"/>
  <c r="Q23" i="11"/>
  <c r="AA21"/>
  <c r="AA23"/>
  <c r="Z13"/>
  <c r="Z20"/>
  <c r="Z34"/>
  <c r="C439" i="23"/>
  <c r="H439"/>
  <c r="C439" i="13"/>
  <c r="C270" i="21"/>
  <c r="C365" i="13"/>
  <c r="C446"/>
  <c r="C448" s="1"/>
  <c r="W34" i="11"/>
  <c r="C25" i="7"/>
  <c r="AA13" i="11"/>
  <c r="AA20"/>
  <c r="AA34"/>
  <c r="H438" i="23"/>
  <c r="H365" s="1"/>
  <c r="C446"/>
  <c r="C218" s="1"/>
  <c r="C163"/>
  <c r="D163" s="1"/>
  <c r="E163" s="1"/>
  <c r="F163" s="1"/>
  <c r="C163" i="13"/>
  <c r="C26" i="7"/>
  <c r="C162" i="23" s="1"/>
  <c r="D162" s="1"/>
  <c r="E162" s="1"/>
  <c r="F162" s="1"/>
  <c r="X34" i="11"/>
  <c r="Q34"/>
  <c r="C161" i="23"/>
  <c r="D161" s="1"/>
  <c r="E161" s="1"/>
  <c r="F161" s="1"/>
  <c r="C161" i="13"/>
  <c r="C218"/>
  <c r="C129" s="1"/>
  <c r="C448" i="23"/>
  <c r="C272" i="22"/>
  <c r="D272"/>
  <c r="E272" s="1"/>
  <c r="F272" s="1"/>
  <c r="C271" i="21"/>
  <c r="D269"/>
  <c r="H439" i="13"/>
  <c r="C210"/>
  <c r="C142"/>
  <c r="C108" i="21"/>
  <c r="D411" i="22"/>
  <c r="E411"/>
  <c r="F411" s="1"/>
  <c r="G410"/>
  <c r="G405" s="1"/>
  <c r="G146"/>
  <c r="G162"/>
  <c r="H162" s="1"/>
  <c r="I162" s="1"/>
  <c r="J162" s="1"/>
  <c r="G200"/>
  <c r="G215"/>
  <c r="H215" s="1"/>
  <c r="I215" s="1"/>
  <c r="J215" s="1"/>
  <c r="G220"/>
  <c r="H220" s="1"/>
  <c r="I220" s="1"/>
  <c r="J220" s="1"/>
  <c r="G308"/>
  <c r="D339"/>
  <c r="E339"/>
  <c r="F339" s="1"/>
  <c r="G338"/>
  <c r="H410"/>
  <c r="I410" s="1"/>
  <c r="J410" s="1"/>
  <c r="H200"/>
  <c r="I200"/>
  <c r="J200" s="1"/>
  <c r="H146"/>
  <c r="I146" s="1"/>
  <c r="J146" s="1"/>
  <c r="K145"/>
  <c r="L145"/>
  <c r="M145" s="1"/>
  <c r="N145" s="1"/>
  <c r="C112" l="1"/>
  <c r="D112" s="1"/>
  <c r="E112" s="1"/>
  <c r="F112" s="1"/>
  <c r="C111" i="21"/>
  <c r="D271" i="22"/>
  <c r="E271" s="1"/>
  <c r="F271" s="1"/>
  <c r="G270"/>
  <c r="H270" s="1"/>
  <c r="I270" s="1"/>
  <c r="J270" s="1"/>
  <c r="D144" i="23"/>
  <c r="E144" s="1"/>
  <c r="F144" s="1"/>
  <c r="G141"/>
  <c r="E4" i="7"/>
  <c r="F3" s="1"/>
  <c r="E148" i="21"/>
  <c r="H405" i="22"/>
  <c r="I405" s="1"/>
  <c r="J405" s="1"/>
  <c r="K403"/>
  <c r="C210" i="23"/>
  <c r="H210" s="1"/>
  <c r="C129"/>
  <c r="C108" i="22"/>
  <c r="D108" s="1"/>
  <c r="E108" s="1"/>
  <c r="F108" s="1"/>
  <c r="C107" i="21"/>
  <c r="H209" i="22"/>
  <c r="I209" s="1"/>
  <c r="J209" s="1"/>
  <c r="D192"/>
  <c r="E192" s="1"/>
  <c r="F192" s="1"/>
  <c r="G190"/>
  <c r="H190" s="1"/>
  <c r="I190" s="1"/>
  <c r="J190" s="1"/>
  <c r="D324"/>
  <c r="E324" s="1"/>
  <c r="F324" s="1"/>
  <c r="G323"/>
  <c r="D187"/>
  <c r="E187" s="1"/>
  <c r="F187" s="1"/>
  <c r="G185"/>
  <c r="D300"/>
  <c r="E300" s="1"/>
  <c r="F300" s="1"/>
  <c r="G298"/>
  <c r="D313"/>
  <c r="E313" s="1"/>
  <c r="F313" s="1"/>
  <c r="G312"/>
  <c r="K306" s="1"/>
  <c r="L306" s="1"/>
  <c r="M306" s="1"/>
  <c r="N306" s="1"/>
  <c r="D432" i="21"/>
  <c r="E430" s="1"/>
  <c r="D367"/>
  <c r="O383" i="22"/>
  <c r="P383" s="1"/>
  <c r="Q383" s="1"/>
  <c r="R383" s="1"/>
  <c r="C150" i="13"/>
  <c r="C144"/>
  <c r="D141" s="1"/>
  <c r="H446" i="23"/>
  <c r="H218" s="1"/>
  <c r="W136" s="1"/>
  <c r="C162" i="13"/>
  <c r="H438"/>
  <c r="C158" i="23"/>
  <c r="C165"/>
  <c r="C159" i="13"/>
  <c r="D157" s="1"/>
  <c r="C166"/>
  <c r="D164" s="1"/>
  <c r="G150" i="22"/>
  <c r="K444"/>
  <c r="L444" s="1"/>
  <c r="M444" s="1"/>
  <c r="N444" s="1"/>
  <c r="G132"/>
  <c r="G175" i="23"/>
  <c r="K431" i="22"/>
  <c r="L431" s="1"/>
  <c r="M431" s="1"/>
  <c r="N431" s="1"/>
  <c r="G378"/>
  <c r="G291"/>
  <c r="K289" s="1"/>
  <c r="G368"/>
  <c r="G251"/>
  <c r="H251" s="1"/>
  <c r="I251" s="1"/>
  <c r="J251" s="1"/>
  <c r="D409" i="21"/>
  <c r="D404" s="1"/>
  <c r="E402" s="1"/>
  <c r="F400" s="1"/>
  <c r="D331"/>
  <c r="D311"/>
  <c r="E305" s="1"/>
  <c r="D297"/>
  <c r="E295" s="1"/>
  <c r="D250"/>
  <c r="E197" s="1"/>
  <c r="D172"/>
  <c r="E170" s="1"/>
  <c r="G126" i="22"/>
  <c r="F129" i="21" l="1"/>
  <c r="G128" s="1"/>
  <c r="F274"/>
  <c r="S125" i="22"/>
  <c r="H126"/>
  <c r="I126" s="1"/>
  <c r="J126" s="1"/>
  <c r="H175" i="23"/>
  <c r="I175" s="1"/>
  <c r="J175" s="1"/>
  <c r="K171"/>
  <c r="L171" s="1"/>
  <c r="M171" s="1"/>
  <c r="N171" s="1"/>
  <c r="D165"/>
  <c r="E165" s="1"/>
  <c r="F165" s="1"/>
  <c r="G164"/>
  <c r="H164" s="1"/>
  <c r="I164" s="1"/>
  <c r="J164" s="1"/>
  <c r="H365" i="13"/>
  <c r="H446"/>
  <c r="H218" s="1"/>
  <c r="G135" i="23"/>
  <c r="I135" s="1"/>
  <c r="C132"/>
  <c r="H298" i="22"/>
  <c r="I298" s="1"/>
  <c r="J298" s="1"/>
  <c r="K296"/>
  <c r="L296" s="1"/>
  <c r="M296" s="1"/>
  <c r="N296" s="1"/>
  <c r="H185"/>
  <c r="I185" s="1"/>
  <c r="J185" s="1"/>
  <c r="K183"/>
  <c r="L183" s="1"/>
  <c r="M183" s="1"/>
  <c r="N183" s="1"/>
  <c r="O401"/>
  <c r="P401" s="1"/>
  <c r="Q401" s="1"/>
  <c r="R401" s="1"/>
  <c r="L403"/>
  <c r="M403" s="1"/>
  <c r="N403" s="1"/>
  <c r="K198"/>
  <c r="L198" s="1"/>
  <c r="M198" s="1"/>
  <c r="N198" s="1"/>
  <c r="H132"/>
  <c r="I132" s="1"/>
  <c r="J132" s="1"/>
  <c r="K131"/>
  <c r="H150"/>
  <c r="I150" s="1"/>
  <c r="J150" s="1"/>
  <c r="K149"/>
  <c r="L149" s="1"/>
  <c r="M149" s="1"/>
  <c r="N149" s="1"/>
  <c r="D158" i="23"/>
  <c r="E158" s="1"/>
  <c r="F158" s="1"/>
  <c r="G157"/>
  <c r="H157" s="1"/>
  <c r="I157" s="1"/>
  <c r="J157" s="1"/>
  <c r="F121" i="21"/>
  <c r="G120" s="1"/>
  <c r="G119" s="1"/>
  <c r="I117" s="1"/>
  <c r="O122" i="22"/>
  <c r="K140" i="23"/>
  <c r="H141"/>
  <c r="I141" s="1"/>
  <c r="J141" s="1"/>
  <c r="E140" i="13"/>
  <c r="F139" s="1"/>
  <c r="C124" l="1"/>
  <c r="F138"/>
  <c r="O275" i="22"/>
  <c r="P275" s="1"/>
  <c r="Q275" s="1"/>
  <c r="R275" s="1"/>
  <c r="L140" i="23"/>
  <c r="M140" s="1"/>
  <c r="N140" s="1"/>
  <c r="O139"/>
  <c r="S121" i="22"/>
  <c r="P122"/>
  <c r="Q122" s="1"/>
  <c r="R122" s="1"/>
  <c r="L131"/>
  <c r="M131" s="1"/>
  <c r="N131" s="1"/>
  <c r="O130"/>
  <c r="P130" l="1"/>
  <c r="Q130" s="1"/>
  <c r="R130" s="1"/>
  <c r="S129"/>
  <c r="C124" i="23"/>
  <c r="C127" s="1"/>
  <c r="P139"/>
  <c r="Q139" s="1"/>
  <c r="R139" s="1"/>
  <c r="C107" i="22"/>
  <c r="C127" i="13"/>
  <c r="C106" i="21"/>
  <c r="D210" i="13"/>
  <c r="H210" s="1"/>
  <c r="G136"/>
  <c r="S120" i="22"/>
  <c r="U118" s="1"/>
  <c r="C132" i="13" l="1"/>
  <c r="C114" i="21" s="1"/>
  <c r="G135" i="13"/>
  <c r="D110" i="21"/>
  <c r="D111"/>
  <c r="G112" i="22"/>
  <c r="G111"/>
  <c r="D107"/>
  <c r="E107" s="1"/>
  <c r="F107" s="1"/>
  <c r="C128" i="23"/>
  <c r="C130" s="1"/>
  <c r="C131" s="1"/>
  <c r="D127"/>
  <c r="C109" i="21"/>
  <c r="D109" s="1"/>
  <c r="C128" i="13"/>
  <c r="C110" i="22"/>
  <c r="D127" i="13"/>
  <c r="C111" i="22" l="1"/>
  <c r="D111" s="1"/>
  <c r="E111" s="1"/>
  <c r="F111" s="1"/>
  <c r="C130" i="13"/>
  <c r="C110" i="21"/>
  <c r="D110" i="22"/>
  <c r="E110" s="1"/>
  <c r="F110" s="1"/>
  <c r="G110"/>
  <c r="S118"/>
  <c r="T118" s="1"/>
  <c r="G117" i="21"/>
  <c r="H117" s="1"/>
  <c r="I135" i="13"/>
  <c r="C113" i="22" l="1"/>
  <c r="D113" s="1"/>
  <c r="E113" s="1"/>
  <c r="F113" s="1"/>
  <c r="C112" i="21"/>
  <c r="C131" i="13"/>
  <c r="C114" i="22" l="1"/>
  <c r="D114" s="1"/>
  <c r="E114" s="1"/>
  <c r="F114" s="1"/>
  <c r="C113" i="21"/>
</calcChain>
</file>

<file path=xl/comments1.xml><?xml version="1.0" encoding="utf-8"?>
<comments xmlns="http://schemas.openxmlformats.org/spreadsheetml/2006/main">
  <authors>
    <author>Rosita</author>
  </authors>
  <commentList>
    <comment ref="U6" authorId="0">
      <text>
        <r>
          <rPr>
            <b/>
            <sz val="9"/>
            <color indexed="81"/>
            <rFont val="Tahoma"/>
            <family val="2"/>
          </rPr>
          <t xml:space="preserve">Rosita: VERFICAR A QUIEN LE PAGAN LAS VACACIONES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 xml:space="preserve">Rosita: VERFICAR EL NIVEL DE RIESGO CON LA PLANILLA ACTUAL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<sst xmlns="http://schemas.openxmlformats.org/spreadsheetml/2006/main" count="1637" uniqueCount="635">
  <si>
    <t>PROGRAMA: OTROS PROGRAMAS</t>
  </si>
  <si>
    <t>PROGRAMA: ALIMENTACION ESCOLAR</t>
  </si>
  <si>
    <t>PROGRAMA:  RÉGIMEN SUBSIDIADO</t>
  </si>
  <si>
    <t>PROGRAMA: SUBSIDIO A LA DEMANDA SERVICIOS PUBLICOS DE AAA</t>
  </si>
  <si>
    <t>PROGRAMA:  VÍAS Y MOVILIDAD MUNICIPAL</t>
  </si>
  <si>
    <t xml:space="preserve">PROGRAMA:  PRODUCTIVIDAD AGROPECUARIA </t>
  </si>
  <si>
    <t>PROGRAMA: SECTOR ELECTRIFICACION</t>
  </si>
  <si>
    <t>PROGRAMA: SERVICIO DEUDA PUBLICA</t>
  </si>
  <si>
    <t>INVERSION CON RECURSOS DE TRANSFERENCIAS, COFINANCIACIONES Y PARTICIPACIONES</t>
  </si>
  <si>
    <t>INVERSIONES PARTICIPACIONES DE REGALIAS CARBONIFERAS</t>
  </si>
  <si>
    <t>INVERSION CON RECURSOS FONDOS DE DESTINACION ESPECIFICA</t>
  </si>
  <si>
    <t>SGP SALUD - REGIMEN SUBSUDIADO</t>
  </si>
  <si>
    <t>SGP PROPOSITO GENERAL - LIBRE DESTINACION</t>
  </si>
  <si>
    <t>Subprograma: Continuación Régimen Subsidiado</t>
  </si>
  <si>
    <t>Subprograma: Continuación Régimen Subsidiado - FOSYGA</t>
  </si>
  <si>
    <t>Subprograma: Continuación Régimen Subsidiado - Etesa</t>
  </si>
  <si>
    <t>Subprograma: Continuación Régimen Subsidiado - Aportes Depto</t>
  </si>
  <si>
    <t>Subprograma: Continuación Régimen Subsidiado - Recursos de Capital</t>
  </si>
  <si>
    <t xml:space="preserve">PROGRAMA: ACCIONES DE SALUD PÚBLICA </t>
  </si>
  <si>
    <t>SGP SALUD RÉGIMEN SUBSIDIADO</t>
  </si>
  <si>
    <t>GASTOS MUNICIPIO DE CUCAITA</t>
  </si>
  <si>
    <t>INVERSIONES CON RENDIMIENTOS DE OPERACIONES FINANCIERAS</t>
  </si>
  <si>
    <t>INVERSIONES CON RENDIMIENTOS DE SGP - PROPOSITO GENERAL</t>
  </si>
  <si>
    <t>INVERSIONES CON RENDIMIENTOS DE REGALIAS</t>
  </si>
  <si>
    <t>Código: 2342</t>
  </si>
  <si>
    <t>Gastos</t>
  </si>
  <si>
    <t>Ingresos</t>
  </si>
  <si>
    <t>VERIFICACION</t>
  </si>
  <si>
    <t>POR FAVOR OCULTAR</t>
  </si>
  <si>
    <t>SECTOR DE INVERSION</t>
  </si>
  <si>
    <t>3. Que se han proyectado los ingresos que se calcula el municipio percibirá en la siguiente vigencia para financiar los gastos de funcionamiento así como los gastos sectoriales, sus programas y subprogramas</t>
  </si>
  <si>
    <t>ARTICULO 2.- Autorizar para la vigencia del 2012 el presupuesto de gastos conforme el siguiente pormenor por la suma de:</t>
  </si>
  <si>
    <t>CALCULO TRANSFERENCIA FUNCIONAMIENTO CONCEJO MUNICIPAL 2012</t>
  </si>
  <si>
    <t>TRANSFERENCIAS NACIONALES</t>
  </si>
  <si>
    <t>PROGRAMA REGIMEN SUBSIDIADO</t>
  </si>
  <si>
    <t>INVERSIONES FONDO LOCAL DE SALUD</t>
  </si>
  <si>
    <t>PROGRAMA: PROTEGIENDO LOS RECURSOS NATURALES</t>
  </si>
  <si>
    <t>INVERSIONES RECURSOS TRANFERENCIA CORPOCHIVOR</t>
  </si>
  <si>
    <t>PROGRAMA: POBLACIÓN VULNERABLE</t>
  </si>
  <si>
    <t>INVERSIONES RECURSOS ESTAMPILLA PRO BIENESTAR DEL ANCIANO</t>
  </si>
  <si>
    <t>PROGRAMA: JUSTICIA</t>
  </si>
  <si>
    <t>INVERSIONES RECURSOS FONDO DE SEGURIDAD</t>
  </si>
  <si>
    <t>PROGRAMA: PREVENCIÓN Y ATENCIÓN DE DESASTRES</t>
  </si>
  <si>
    <t>INVERSIONES RECURSOS SOBRETASA BOMBERIL</t>
  </si>
  <si>
    <t>PROGRAMA: MASIFICACIÓN DEL TIEMPO LIBRE Y RESCATE CULTURAL</t>
  </si>
  <si>
    <t>PROGRAMA: MEJORAMIENTO DE LA INFRAESTRUCTURA CULTURAL</t>
  </si>
  <si>
    <t>INVERSIONES RECURSOS ESTAMPILLA PROCULTURA</t>
  </si>
  <si>
    <t>INVERSIONES RECURSOS DEL DEPARTAMENTO</t>
  </si>
  <si>
    <t>PROGRAMA: EQUIPAMIENTO MUNICIPAL Y BIENES PÚBLICOS</t>
  </si>
  <si>
    <t>PROGRAMA: MASIFICACIÓN DEPORTIVA</t>
  </si>
  <si>
    <t>INVERSION CON RECURSOS LIBRE DESTINACION</t>
  </si>
  <si>
    <t>PROGRAMA: GOBIERNO, PLANEACIÓN Y DESARROLLO INSTITUCIONAL</t>
  </si>
  <si>
    <t>PROGRAMA: CENTROS DE RECLUSIÓN</t>
  </si>
  <si>
    <t>PROGRAMA: PROMOCIÓN DEL DESARROLLO</t>
  </si>
  <si>
    <t>PROGRAMA: VIVIENDA SALUDABLE</t>
  </si>
  <si>
    <t>SECTOR OTROS SECTORES</t>
  </si>
  <si>
    <t>PROGRAMA: INFRAESTRUCTURA</t>
  </si>
  <si>
    <t>SECTOR DEPORTE Y TIEMPO LIBRE</t>
  </si>
  <si>
    <t>PROGRAMA: SERVICIO A LA DEUDA DEL SECTOR</t>
  </si>
  <si>
    <t>PROGRAMA: COBERTURA DE A.A.A.</t>
  </si>
  <si>
    <t>SECTOR AGUA Y SANEAMIENTO BÁSICO</t>
  </si>
  <si>
    <t>PROGRAMA: PROTECCIÓN A LA POBLACIÓN INFANTIL</t>
  </si>
  <si>
    <t>PROGRAMA: INTERNET Y COMUNICACIÓN, BIENESTAR GENERAL</t>
  </si>
  <si>
    <t>INVERSION CON RECURSOS SISTEMA GENERAL DE PARTICIPACIONES</t>
  </si>
  <si>
    <t>SGP PROPOSITO GENERAL- OTROS SECTORES</t>
  </si>
  <si>
    <t>PROGRAMA SERVICIO DEUDA PUBLICA</t>
  </si>
  <si>
    <t>SOBRETASA BOMBERIL</t>
  </si>
  <si>
    <t>ESTAMPILLA PRO ANCIANO</t>
  </si>
  <si>
    <t>FONDO DE SEGURIDAD</t>
  </si>
  <si>
    <t>TRANSFERENCIAS, COFINANCIACIONES Y PARTICIPACIONES</t>
  </si>
  <si>
    <t>PARTICIPACIONES POR REGALIAS</t>
  </si>
  <si>
    <t>PROGRAMA SALUD PUBLICA</t>
  </si>
  <si>
    <t>SGP PG - LIBRE DESTINACION</t>
  </si>
  <si>
    <t>FOSYGA CORRIENTE - Régimen subsidiado Continuidad</t>
  </si>
  <si>
    <t>Recursos ETESA - Régimen subsidiado Continuidad</t>
  </si>
  <si>
    <t>Aportes Departamento para regimen subsidiado</t>
  </si>
  <si>
    <t>SGP-SALUD Plan territorial de salud</t>
  </si>
  <si>
    <t>Rendimientos Financieros Salud Publica</t>
  </si>
  <si>
    <t>Intereses y dividendos recursos SGP Proposito General</t>
  </si>
  <si>
    <t xml:space="preserve">   SGP- PG Deporte</t>
  </si>
  <si>
    <t xml:space="preserve">   SGP- PG Cultura</t>
  </si>
  <si>
    <t xml:space="preserve">   SGP- PG Libre Inversion</t>
  </si>
  <si>
    <t>Transferencia electrica Chivor S.A - Ley 99</t>
  </si>
  <si>
    <t>Ministerio de educacion</t>
  </si>
  <si>
    <t>DETALLE INFORMATICO DE LOS GASTOS DE FUNCIONAMIENTO DE LA ALCALDIA Y SUS DEPENDENCIAS</t>
  </si>
  <si>
    <t>Total Inversión Especifica y con ICLD</t>
  </si>
  <si>
    <t>PARCIALES</t>
  </si>
  <si>
    <t>TOTAL PROGRAMA</t>
  </si>
  <si>
    <t>TOTAL SECTOR</t>
  </si>
  <si>
    <t>TOTAL RECURSOS</t>
  </si>
  <si>
    <t>din Ing-gtos</t>
  </si>
  <si>
    <t>Sub programa: Elaboracion Plan de Desarrollo Municipal</t>
  </si>
  <si>
    <t>TRANSFERENCIAS Y COFINANCIACIONES DEL NIVEL NACIONAL</t>
  </si>
  <si>
    <t>TRANSFERENCIAS Y COFINANCIACIONES DEL NIVEL DEPARTAMENTAL</t>
  </si>
  <si>
    <t>TRANSFERENC - COFINANCION- PARTICIPACIONES.</t>
  </si>
  <si>
    <t>FONDOS DE DESTINACION ESPECIFICA</t>
  </si>
  <si>
    <t>PROGRAMA: LA EDUCACION, RESPONSABILIDAD Y CONCIENCIA DE TODOS</t>
  </si>
  <si>
    <t>Multas</t>
  </si>
  <si>
    <t>GASTOS DE INVERSIÓN</t>
  </si>
  <si>
    <t>SECTOR EDUCACIÓN</t>
  </si>
  <si>
    <t>TRANSFERENCIAS Y PARTICIPACIONES NACIONALES</t>
  </si>
  <si>
    <t>SGP-Proposito General - Libre Destinacion</t>
  </si>
  <si>
    <t>TRANSFERENCIAS DEPARTAMENTALES</t>
  </si>
  <si>
    <t>Otros Ingresos no tributarios</t>
  </si>
  <si>
    <t>SGP Educacion Calidad</t>
  </si>
  <si>
    <t>SGP Educacion Gratuidad</t>
  </si>
  <si>
    <t>SGP Alimentacion Escolar</t>
  </si>
  <si>
    <t>SGP AGUA POTABLE Y SANEAMIENTO BASICO</t>
  </si>
  <si>
    <t>SGP Agua Potable y Saneamiento Basico</t>
  </si>
  <si>
    <t>ESTAMPILLA PRO CULTURA</t>
  </si>
  <si>
    <t>SECTOR CULTURA</t>
  </si>
  <si>
    <t>Rendimientos Financieros Regimen Subsidiado</t>
  </si>
  <si>
    <t>INVERSION CON RECURSOS DE CAPITAL</t>
  </si>
  <si>
    <t>INVERSIÓN CON RECURSOS DE CAPITAL</t>
  </si>
  <si>
    <t>PROG</t>
  </si>
  <si>
    <t xml:space="preserve"> </t>
  </si>
  <si>
    <t>TOTALES</t>
  </si>
  <si>
    <t>SALUD</t>
  </si>
  <si>
    <t>OTROS SECTORES</t>
  </si>
  <si>
    <t>INGRESOS TRIBUTARIOS</t>
  </si>
  <si>
    <t>IMPUESTOS DIRECTOS</t>
  </si>
  <si>
    <t>IMPUESTOS INDIRECTOS</t>
  </si>
  <si>
    <t>Industria y comercio</t>
  </si>
  <si>
    <t>Avisos y tableros</t>
  </si>
  <si>
    <t>INGRESOS NO TRIBUTARIOS</t>
  </si>
  <si>
    <t>RECURSOS DE CAPITAL</t>
  </si>
  <si>
    <t>GASTOS</t>
  </si>
  <si>
    <t>SERVICIOS PERSONALES</t>
  </si>
  <si>
    <t>GASTOS GENERALES</t>
  </si>
  <si>
    <t>Fuente 4</t>
  </si>
  <si>
    <t>SGP</t>
  </si>
  <si>
    <t>Compra de equipo</t>
  </si>
  <si>
    <t>Materiales y suministros</t>
  </si>
  <si>
    <t>Impresos y publicaciones</t>
  </si>
  <si>
    <t>Comunicaciones y transportes</t>
  </si>
  <si>
    <t>Prima de vacaciones</t>
  </si>
  <si>
    <t>Servicios personales asociados a la nomina</t>
  </si>
  <si>
    <t>Sueldo personal de nomina</t>
  </si>
  <si>
    <t>Servicios personales indirectos</t>
  </si>
  <si>
    <t>Contribuciones inherentes a la nomina del sector privado</t>
  </si>
  <si>
    <t>Contribuciones inherentes a la nomina del sector publico</t>
  </si>
  <si>
    <t>Sentencias judiciales y conciliaciones</t>
  </si>
  <si>
    <t>Prima de Navidad</t>
  </si>
  <si>
    <t>SISTEMA GENERAL DE PARTICIPACIONES</t>
  </si>
  <si>
    <t>CONSIDERANDO</t>
  </si>
  <si>
    <t>SGP ALIMENT ESCOLAR</t>
  </si>
  <si>
    <t>Administración riesgos profesionales</t>
  </si>
  <si>
    <t>DESCRIPCION DE PROGRAMAS, SUBPROGRAMAS</t>
  </si>
  <si>
    <t>Fuente 1: L 715</t>
  </si>
  <si>
    <t>Fuente 2: L 617</t>
  </si>
  <si>
    <t>INGRESOS - GASTOS</t>
  </si>
  <si>
    <t>Transferencia Corpoyacá para medio ambiente</t>
  </si>
  <si>
    <t>Sobretasa a la Gasolina Motor</t>
  </si>
  <si>
    <t>22</t>
  </si>
  <si>
    <t>ACUERDA:</t>
  </si>
  <si>
    <t>Adquisición de servicios</t>
  </si>
  <si>
    <t xml:space="preserve">Fondo de seguridad ley 418 de 1997 </t>
  </si>
  <si>
    <t>Impuesto a vehículos automotores</t>
  </si>
  <si>
    <t>EPS Salud</t>
  </si>
  <si>
    <t>Junta Defensora de animales</t>
  </si>
  <si>
    <t>Honorarios</t>
  </si>
  <si>
    <t>TOTAL GASTOS DE FUNCIONAMIENTO</t>
  </si>
  <si>
    <t>Estampilla pro cultura</t>
  </si>
  <si>
    <t>Ocupación de vías</t>
  </si>
  <si>
    <t>INGRESOS CORRIENTES DE LIBRE DESTINACIÓN</t>
  </si>
  <si>
    <t>Caja de compensación familiar COMFABOY</t>
  </si>
  <si>
    <t>Adquisición de bienes</t>
  </si>
  <si>
    <t>Viáticos y gastos de viaje</t>
  </si>
  <si>
    <t>Remuneración servicios técnicos</t>
  </si>
  <si>
    <t>Fondo de compensación</t>
  </si>
  <si>
    <t>RESUMEN GENERAL GASTOS DE INVERSIÓN</t>
  </si>
  <si>
    <t>DESCRIPCIÓN DE PROGRAMAS, SUBPROGRAMAS</t>
  </si>
  <si>
    <t>1</t>
  </si>
  <si>
    <t>2</t>
  </si>
  <si>
    <t>3</t>
  </si>
  <si>
    <t>Bonificacion  por dirección</t>
  </si>
  <si>
    <t>Bonificacion  por recreación</t>
  </si>
  <si>
    <t>Aportes  a  Pensiones</t>
  </si>
  <si>
    <t>1. Que el estatuto de presupuesto municipal establece el procedimiento para la presentación y aprobación del presupuesto de cada vigencia acorde con el Decreto 111 de 1996</t>
  </si>
  <si>
    <t>ALCALDIA  Y SUS DEPENDENCIAS</t>
  </si>
  <si>
    <t>Funcionamiento Alcaldia</t>
  </si>
  <si>
    <t>Total funcionamiento</t>
  </si>
  <si>
    <t>INVERSIÓN CON ICLD</t>
  </si>
  <si>
    <t>ICLD</t>
  </si>
  <si>
    <t>Total gastos inversión y funcionamiento</t>
  </si>
  <si>
    <t>Alquiler de maquinaria</t>
  </si>
  <si>
    <t>RECURSOS  PROPIOS ICLD</t>
  </si>
  <si>
    <t>111</t>
  </si>
  <si>
    <t>21</t>
  </si>
  <si>
    <t>211</t>
  </si>
  <si>
    <t>212</t>
  </si>
  <si>
    <t>213</t>
  </si>
  <si>
    <t>RENDIMIENTOS DE OPERACIONES FINANCIERAS</t>
  </si>
  <si>
    <t>4. Que el presupuesto debe estar acompañado por el MFMP el cual se presenta anexo y se encuentra acorde con las metas anuales de superávit primario con aval del órgano de Asesoría y Consulta en materia de hacienda</t>
  </si>
  <si>
    <t>7. Por lo anterior,</t>
  </si>
  <si>
    <t>Nombre del Indicador</t>
  </si>
  <si>
    <t>Base</t>
  </si>
  <si>
    <t>Resultado</t>
  </si>
  <si>
    <t>Responsables</t>
  </si>
  <si>
    <t>Productos</t>
  </si>
  <si>
    <t>Resultados/Efectos/Impactos</t>
  </si>
  <si>
    <t>Secretario de Planeación</t>
  </si>
  <si>
    <t>Alcalde Municipal</t>
  </si>
  <si>
    <t>6. Que el presupuesto es de iniciativa del ejecutivo, el cual se ha estructurado según presupuesto programático y por resultados haciéndolo concordante con el plan de desarrollo aporbado por el Concejo Municipal</t>
  </si>
  <si>
    <t>5. Que se han incluido los anteproyectos de las diferentes secciones presupuestales, y aquellas que no lo hicieron se han presupuestado los valores aprobados por el concejo para la actual vigencia</t>
  </si>
  <si>
    <t>Se presenta al Concejo Municipal con carácter informativo</t>
  </si>
  <si>
    <t>MULTAS Y SANCIONES</t>
  </si>
  <si>
    <t>VENTA DE BIENES Y SERVICIOS</t>
  </si>
  <si>
    <t xml:space="preserve">Mantenimiento </t>
  </si>
  <si>
    <t>Bienestar social</t>
  </si>
  <si>
    <t>Gastos notariales y avalúos</t>
  </si>
  <si>
    <t>Maximo permitido para funcionamiento</t>
  </si>
  <si>
    <t>Aportes salud concejales</t>
  </si>
  <si>
    <t>FONDO LOCAL DE SALUD</t>
  </si>
  <si>
    <t xml:space="preserve">2. Que el órgano de Asesoría y Consulta en materia de Hacienda conceptuó favorablemente sobre el POAI para la próxima vigencia ajustado al plan plurianual de inversiones, el cual se presenta en el anexo </t>
  </si>
  <si>
    <t>Servicios públicos teléfono</t>
  </si>
  <si>
    <t>Impuestos, multas y derechos</t>
  </si>
  <si>
    <t>23</t>
  </si>
  <si>
    <t>CONCEJO MUNCIPAL</t>
  </si>
  <si>
    <t>PERSONERIA MUNICIPAL</t>
  </si>
  <si>
    <t>221</t>
  </si>
  <si>
    <t>222</t>
  </si>
  <si>
    <t>Estampilla pro bienestar del anciano</t>
  </si>
  <si>
    <t>% de cobertura en regimen subsidiado</t>
  </si>
  <si>
    <t>No de estudiantes con raciòn complementaria</t>
  </si>
  <si>
    <t>No de restaurantes dotados</t>
  </si>
  <si>
    <t>No de niños atendidos en hogares de bienestar</t>
  </si>
  <si>
    <t>TRANSFERENCIAS CORRIENTES</t>
  </si>
  <si>
    <t>ATENCIÓN BÁSICA A LA NIÑEZ</t>
  </si>
  <si>
    <t>Subprograma: Complemento nutricional para la población escolar</t>
  </si>
  <si>
    <t>Subprograma: Dotación de los restaurantes escolares</t>
  </si>
  <si>
    <t>Subprograma: Cuota Inpección, vigilancia y control Supersalud</t>
  </si>
  <si>
    <t>Subprograma: Interventoría regimen subsidiado</t>
  </si>
  <si>
    <t>Subprograma: Plan territorial de salud</t>
  </si>
  <si>
    <t>Subprograma: Adecuacion de los hogares infantiles existentes</t>
  </si>
  <si>
    <t>Subprograma: Materiales para la promocion del lenguaje, literatura y expresion artística</t>
  </si>
  <si>
    <t>Subporgrama: Vigencias futuras contraidas para el PDA</t>
  </si>
  <si>
    <t>Subprograma: Mejoramiento Vivienda de interés social</t>
  </si>
  <si>
    <t>Subprograma: Construcción vivienda de interes social</t>
  </si>
  <si>
    <t>Subprograma: Asistencia técnica agropecuaria</t>
  </si>
  <si>
    <t>Subprograma: Prevención y atención de desastres</t>
  </si>
  <si>
    <t>Subprograma: Operación y funcionamiento de cárceles municipales (Ley 65/93)</t>
  </si>
  <si>
    <t>Subprograma: Operación Comisaría de Familia</t>
  </si>
  <si>
    <t>Subprograma: Fondo de protección ciudadana</t>
  </si>
  <si>
    <t xml:space="preserve">Subprograma: Prevención, atención, protección de desplazados </t>
  </si>
  <si>
    <t xml:space="preserve">Subprograma: Servicio de cuerpo de bomberos </t>
  </si>
  <si>
    <t>Delineación urbana, estudios y licencias</t>
  </si>
  <si>
    <t>Publicación gaceta municipal</t>
  </si>
  <si>
    <t>Prima de servicios</t>
  </si>
  <si>
    <t>Director de Nucleo</t>
  </si>
  <si>
    <t>Secretaría de Gobierno</t>
  </si>
  <si>
    <t>Población carnetizada</t>
  </si>
  <si>
    <t>Subprograma: Construcción Infraestructura de hogares infantiles</t>
  </si>
  <si>
    <t>Comisaría de Familia</t>
  </si>
  <si>
    <t>Personero Municipal</t>
  </si>
  <si>
    <t>Subprograma: Interventoría y gastos operación de programas y proyectos</t>
  </si>
  <si>
    <t>Subprograma:  Inhumación de cadáveres pobres de solemnidad</t>
  </si>
  <si>
    <t>Fondo de cesantias</t>
  </si>
  <si>
    <t>Intereses a las cesantìas</t>
  </si>
  <si>
    <t>No de hogares de bienestar con dotación de material didáctico según parámetros del ICBF</t>
  </si>
  <si>
    <t>Subprograma: Reforestación protectora y proudctiva</t>
  </si>
  <si>
    <t>Subprograma: Apoyo proyectos productivos agropecuarios</t>
  </si>
  <si>
    <t>Subprograma: Mantenimiento bienes publicos municipales</t>
  </si>
  <si>
    <t>Sub programa: Mantenimiento parques municipales</t>
  </si>
  <si>
    <t>Regalías carboníferas</t>
  </si>
  <si>
    <t>Sena</t>
  </si>
  <si>
    <t xml:space="preserve"> ICBF</t>
  </si>
  <si>
    <t>Esap</t>
  </si>
  <si>
    <t>Sobretasa Coporación Autónoma Regional</t>
  </si>
  <si>
    <t>2131</t>
  </si>
  <si>
    <t>21311</t>
  </si>
  <si>
    <t>2131101</t>
  </si>
  <si>
    <t>2131102</t>
  </si>
  <si>
    <t>2131103</t>
  </si>
  <si>
    <t>2131104</t>
  </si>
  <si>
    <t>2131105</t>
  </si>
  <si>
    <t>2131106</t>
  </si>
  <si>
    <t>2131107</t>
  </si>
  <si>
    <t>2131108</t>
  </si>
  <si>
    <t>2131109</t>
  </si>
  <si>
    <t>21313</t>
  </si>
  <si>
    <t>2131301</t>
  </si>
  <si>
    <t>2131302</t>
  </si>
  <si>
    <t>2121303</t>
  </si>
  <si>
    <t>2131402</t>
  </si>
  <si>
    <t>213140201</t>
  </si>
  <si>
    <t>213140202</t>
  </si>
  <si>
    <t>213140203</t>
  </si>
  <si>
    <t>213140204</t>
  </si>
  <si>
    <t>213140205</t>
  </si>
  <si>
    <t>213140206</t>
  </si>
  <si>
    <t>2131401</t>
  </si>
  <si>
    <t>213140101</t>
  </si>
  <si>
    <t>213140102</t>
  </si>
  <si>
    <t>213140103</t>
  </si>
  <si>
    <t>213140104</t>
  </si>
  <si>
    <t>213140105</t>
  </si>
  <si>
    <t>2132</t>
  </si>
  <si>
    <t>21321</t>
  </si>
  <si>
    <t>2132101</t>
  </si>
  <si>
    <t>2132102</t>
  </si>
  <si>
    <t>21322</t>
  </si>
  <si>
    <t>2132201</t>
  </si>
  <si>
    <t>2132202</t>
  </si>
  <si>
    <t>2132203</t>
  </si>
  <si>
    <t>2132204</t>
  </si>
  <si>
    <t>2132205</t>
  </si>
  <si>
    <t>2132206</t>
  </si>
  <si>
    <t>2132208</t>
  </si>
  <si>
    <t>2132207</t>
  </si>
  <si>
    <t>2132209</t>
  </si>
  <si>
    <t>2132210</t>
  </si>
  <si>
    <t>2132211</t>
  </si>
  <si>
    <t>2132212</t>
  </si>
  <si>
    <t>2132213</t>
  </si>
  <si>
    <t>2132214</t>
  </si>
  <si>
    <t>2132215</t>
  </si>
  <si>
    <t>2132216</t>
  </si>
  <si>
    <t>2133</t>
  </si>
  <si>
    <t>Código: 231</t>
  </si>
  <si>
    <t>Código: 232</t>
  </si>
  <si>
    <t>Código: 233</t>
  </si>
  <si>
    <t>Código: 234</t>
  </si>
  <si>
    <t>Código: 235</t>
  </si>
  <si>
    <t>Fuente 5</t>
  </si>
  <si>
    <t>4</t>
  </si>
  <si>
    <t>5</t>
  </si>
  <si>
    <t>6</t>
  </si>
  <si>
    <t>7</t>
  </si>
  <si>
    <t>101</t>
  </si>
  <si>
    <t>201</t>
  </si>
  <si>
    <t>301</t>
  </si>
  <si>
    <t>Servicios públicos aseo</t>
  </si>
  <si>
    <t>Servicios públicos energia</t>
  </si>
  <si>
    <t>Servicios públicos alcantarillado</t>
  </si>
  <si>
    <t>Cuotas partes pensionales</t>
  </si>
  <si>
    <t>Participación en impuesto a los cigarrillos</t>
  </si>
  <si>
    <t>102</t>
  </si>
  <si>
    <t>103</t>
  </si>
  <si>
    <t>104</t>
  </si>
  <si>
    <t>105</t>
  </si>
  <si>
    <t>106</t>
  </si>
  <si>
    <t>107</t>
  </si>
  <si>
    <t>202</t>
  </si>
  <si>
    <t>203</t>
  </si>
  <si>
    <t>204</t>
  </si>
  <si>
    <t>302</t>
  </si>
  <si>
    <t>No de eventos culturales desarrollados</t>
  </si>
  <si>
    <t>No de kilómetros de malla vial rural pavimentada</t>
  </si>
  <si>
    <t>No de casos de violencia intrafamiliar, maltrato infantil y fijacion de cuotas alimentarias</t>
  </si>
  <si>
    <t>RECURSOS ESPECIFICOS</t>
  </si>
  <si>
    <t>108</t>
  </si>
  <si>
    <t>Subprograma: Centro Especializado de Servicios para el adolescente Infractor</t>
  </si>
  <si>
    <t xml:space="preserve"> Subprograma: Operación y Mantenimiento de Maquinaria Municipal</t>
  </si>
  <si>
    <t>Sub programa: Capacitación de funcionarios municipales</t>
  </si>
  <si>
    <t>Sub programa: Evaluación institucional y esquemas organizacionales para el mejoramiento de gestión</t>
  </si>
  <si>
    <t>Subprograma: Apoyo Casa del Menor</t>
  </si>
  <si>
    <t>Subprograma: Familias en Acción</t>
  </si>
  <si>
    <t>Subprograma: Clubes juveniles</t>
  </si>
  <si>
    <t>Subprograma: Clubes pre juveniles</t>
  </si>
  <si>
    <t>Subprograma: Fomento a la participación comunitaria</t>
  </si>
  <si>
    <t>Subprograma: Adquisición y mantenimiento de predios de micro cuencas  (Art 106 ley 1151 de 2006)</t>
  </si>
  <si>
    <t>Intereses y dividendos recursos de regalìas</t>
  </si>
  <si>
    <t>Subprograma: Atenciòn al adulto mayor</t>
  </si>
  <si>
    <t>OSCAR ALBA NIÑO</t>
  </si>
  <si>
    <t>DORALIZ GUACHETA L.</t>
  </si>
  <si>
    <t>Secretaria Alcaldìa</t>
  </si>
  <si>
    <t>Subprograma: matrícula gratuita en instituciones educativas</t>
  </si>
  <si>
    <t>Subprograma: Canasta educativa</t>
  </si>
  <si>
    <t>Subporgrama: Transporte escolar</t>
  </si>
  <si>
    <t>Subprograma: Masificación del acceso a la informática y las comunicaciones TIC</t>
  </si>
  <si>
    <t>Subprograma: Capacitación a la población docente y dicente municipal</t>
  </si>
  <si>
    <t>Subprograma: Servicios públicos domiciliarios de centros educativos municipales</t>
  </si>
  <si>
    <t xml:space="preserve">subprograma, mantenimiento acueductos municipales </t>
  </si>
  <si>
    <t>subprograma,optimización planta tratamiento vereda Llano grande</t>
  </si>
  <si>
    <t xml:space="preserve">subprograma, ampliación redes acueducto vereda escalones </t>
  </si>
  <si>
    <t>Subprograma: Servicios públicos del sector</t>
  </si>
  <si>
    <t>Amortización servicio a la deuda sector de agua potable</t>
  </si>
  <si>
    <t>Intereses servicio a la deuda sector de agua potable</t>
  </si>
  <si>
    <t xml:space="preserve">Subprograma: Dotación implementos deportivos </t>
  </si>
  <si>
    <t>Subprograma: Promoción eventos de recreación aprovechamiento del tiempo libre</t>
  </si>
  <si>
    <t>Subprograma: Mantenimiento de escenarios de cultura municipales</t>
  </si>
  <si>
    <t xml:space="preserve">Subprograma: Promoción de eventos culturales </t>
  </si>
  <si>
    <t>Subprograma: Operación escuelas de formación artística y cultural</t>
  </si>
  <si>
    <t>Subprograma: Apoyo a la investigaciòn de la historia Cucaitense</t>
  </si>
  <si>
    <t>109</t>
  </si>
  <si>
    <t>110</t>
  </si>
  <si>
    <t>205</t>
  </si>
  <si>
    <t>Amortización capital servicio a la deuda otros sectores</t>
  </si>
  <si>
    <t>Amortización intereses servicio a la deuda otros sectores</t>
  </si>
  <si>
    <t>% de niños de nivel 1 y 2 con subsidio de matrícula</t>
  </si>
  <si>
    <t>No de centros educativos en óptimas condiciones</t>
  </si>
  <si>
    <t>% de niños de primaria con canasta escolar completa</t>
  </si>
  <si>
    <t>No de niños con transporte regular</t>
  </si>
  <si>
    <t>No de niños que acceden a internet</t>
  </si>
  <si>
    <t>No de alumnos capacitados en pruebas de Estado</t>
  </si>
  <si>
    <t>% de tratamiento de agua en acueductos</t>
  </si>
  <si>
    <t xml:space="preserve">No de horas diarias de servicio de acueductos </t>
  </si>
  <si>
    <t>% de cobertura de acueducto urbano</t>
  </si>
  <si>
    <t>% de escenarios adecuados para la práctica deportiva</t>
  </si>
  <si>
    <t>No de eventos deportivos desarrollados</t>
  </si>
  <si>
    <t>No de investigaciones històricas impresas</t>
  </si>
  <si>
    <t>No de objetos de interes cultural recopilados en el museo municipal</t>
  </si>
  <si>
    <t>No de viviendas con servicios básicos</t>
  </si>
  <si>
    <t>% de viviendas con servicios básicos</t>
  </si>
  <si>
    <t>% de familias con huerta casera</t>
  </si>
  <si>
    <t>No de familias con huerta casera</t>
  </si>
  <si>
    <t>No de eventos anuales realizados en los salones comunales</t>
  </si>
  <si>
    <t xml:space="preserve">Puntos de la calificación del ranking municipal </t>
  </si>
  <si>
    <t>No de hectareas con arbustales andinos</t>
  </si>
  <si>
    <t>No de hectareas de microcuencas adquiridas</t>
  </si>
  <si>
    <t>SGP FORZOSA INVERSION</t>
  </si>
  <si>
    <t>SGP SGP- ICLD LIBRE DESTINAC.</t>
  </si>
  <si>
    <t>MONICA BIBIANA MESA GRANADOS</t>
  </si>
  <si>
    <t>Venta de servicios e insumos</t>
  </si>
  <si>
    <t>Sobretasa bomberil</t>
  </si>
  <si>
    <t>Intereses y dividendos recursos Propios</t>
  </si>
  <si>
    <t>Supernumerarios y aprendices Sena</t>
  </si>
  <si>
    <t>Mesadas pensionales</t>
  </si>
  <si>
    <t>Subprograma: Subsidio a la demanda de servicios públicos domiciliarios acueducto</t>
  </si>
  <si>
    <t>Subprograma: Subsidio a la demanda de servicios públicos domiciliarios aseo</t>
  </si>
  <si>
    <t>Subprograma: Subsidio a la demanda de servicios públicos domiciliarios alcantarillado</t>
  </si>
  <si>
    <t>206</t>
  </si>
  <si>
    <t>Subprograma: Ampliacion redes acueductos rurales</t>
  </si>
  <si>
    <t>Subprograma: Ampliaciòn alcantarillados municipales</t>
  </si>
  <si>
    <t>Subprograma: Servicios pùblicos del sector</t>
  </si>
  <si>
    <t>Sub programa: Sistema de archivo municipal</t>
  </si>
  <si>
    <t>Sub programa: Construcciòn y mantenimiento de la morque municipal</t>
  </si>
  <si>
    <t>Inicial</t>
  </si>
  <si>
    <t>Final</t>
  </si>
  <si>
    <t>No de kilómetros de malla vial urbana no pavimentada</t>
  </si>
  <si>
    <t>Magnitud de la deuda segub DNP</t>
  </si>
  <si>
    <t>Subprograma: Apoyo a la feria técnica agropecuaria</t>
  </si>
  <si>
    <t>Subprograma: Operación hogares de paso</t>
  </si>
  <si>
    <t>Subprograma: Construcción escenarios de cultura municipales</t>
  </si>
  <si>
    <t>Subprograma; Construcción sistema almacenamiento acueducto vereda cuesta en medio</t>
  </si>
  <si>
    <t>Subprograma: construcción graderia movil</t>
  </si>
  <si>
    <t>Impuesto predial unificado vigenci actual</t>
  </si>
  <si>
    <t>Impuesto predial unificado vigencia anterior</t>
  </si>
  <si>
    <t>licencias de maternidad</t>
  </si>
  <si>
    <t>Impuesto al transporte de gasoductos</t>
  </si>
  <si>
    <t>Servicios públicos acueducto</t>
  </si>
  <si>
    <t>Seguros de vida concejales</t>
  </si>
  <si>
    <t>Pólizas de manejo</t>
  </si>
  <si>
    <t>Seguros de vida alcalde</t>
  </si>
  <si>
    <t>Dotacion a empleados</t>
  </si>
  <si>
    <t>Derechos de sayco y acinpro</t>
  </si>
  <si>
    <t>Subprograma: Mantenimiento red inalambrica y sala de informatica</t>
  </si>
  <si>
    <t>Subprograma: mantenimiento de escenarios deportivos</t>
  </si>
  <si>
    <t>Subprograma: Operación de Inspecciones de Policia</t>
  </si>
  <si>
    <t>Apoyo consejo territorial de planeacion</t>
  </si>
  <si>
    <t xml:space="preserve">Subprograma: Atencion a la niñez, infancia y adolescencia </t>
  </si>
  <si>
    <t>Subprograma: Atencion a madres gestantes y primera infancia</t>
  </si>
  <si>
    <t>Subprograma: nutrición y seguridad alimentaria</t>
  </si>
  <si>
    <t>Subprograma: Atencion a discapacitados</t>
  </si>
  <si>
    <t>Subprograma: Apoyo a hogares infantiles</t>
  </si>
  <si>
    <t>Subprograma: Atención a calamidades y emergencias</t>
  </si>
  <si>
    <t>Subprograma: alumbrado publico</t>
  </si>
  <si>
    <t>Subprograma: Mantenimiento alumbrado publico municipal</t>
  </si>
  <si>
    <t>Sub programa: Ornato Municipal</t>
  </si>
  <si>
    <t xml:space="preserve">Subprograma: Mantenimiento de la red vial municipal </t>
  </si>
  <si>
    <t>Subprograma: Mejoramiento de vias urbanas</t>
  </si>
  <si>
    <t>Subprograma: 10% seguridad social gestor de cultura</t>
  </si>
  <si>
    <t>Subprograma: 20% fonpet</t>
  </si>
  <si>
    <t>Subprograma: 10% sostenimiento de bibliotecas publicas</t>
  </si>
  <si>
    <t>Sistema local areas protegidas</t>
  </si>
  <si>
    <t>Subprograma: Escuelas de formacion deportiva</t>
  </si>
  <si>
    <t xml:space="preserve">Subprograma: Limpeza de lechos de quebradas </t>
  </si>
  <si>
    <t>EL CONCEJO MUNICIPAL EN USO DE SUS FACULTADES LEGALES Y CONSTITUCIONES, EN ESPECIAL EL DECRETO 111 DE 1996, LEY 1176 DE 2007,  LA LEY 617 DE 2000, LEY 819 DE 2002, EOP MUNICIPAL Y</t>
  </si>
  <si>
    <t>Inversión con fuentes específicas diferentes a ICLD</t>
  </si>
  <si>
    <t>90% de niños de educación básica estudiando</t>
  </si>
  <si>
    <t>100% de educacion básica con subsidio de matricula</t>
  </si>
  <si>
    <t>100% de los dos centros educativos en óptimas condiciones</t>
  </si>
  <si>
    <t>100% de los niños de educación basica primaria y sexto de secundaria con canasta escolar completa</t>
  </si>
  <si>
    <t>100% de los estudiantes de la zona rural y de otros municipios con transporte escolar</t>
  </si>
  <si>
    <t>80% de acceso de la población escolar a internet</t>
  </si>
  <si>
    <t>100% de alumnos de último grado capacitados en pruebas ICFES</t>
  </si>
  <si>
    <t>100% de estudiantes del municipio con ración completa</t>
  </si>
  <si>
    <t>mantener el 100% de los restaurantes escolares dotados</t>
  </si>
  <si>
    <t>mantener el 0% de las muertes maternas</t>
  </si>
  <si>
    <t>100% de la polación con acceso a la SSS Y RS</t>
  </si>
  <si>
    <t>100% de cumplimiento de las metas del PTS</t>
  </si>
  <si>
    <t>construcciónpor lo menos 2  plantas de tratamiento</t>
  </si>
  <si>
    <t>mantener el 100% de cobertura de acueducto urbano</t>
  </si>
  <si>
    <t>100% de escenarios deportivos en optimas condiciones</t>
  </si>
  <si>
    <t>6 escuelas de formación deportiva en operación</t>
  </si>
  <si>
    <t>3 grupos artìsticos municipales participantes en los eventos culturales</t>
  </si>
  <si>
    <t>cuatro grupos artìsticos participantes en los eventos culturales</t>
  </si>
  <si>
    <t xml:space="preserve">32 hogares de estratos 1 y 2 con vivienda </t>
  </si>
  <si>
    <t>10% de de vías urbanas deterioradas que son recuperadas</t>
  </si>
  <si>
    <t>100 productores con asistencia técnica agropecuaria</t>
  </si>
  <si>
    <t>cinco salones comunales en operación</t>
  </si>
  <si>
    <t>cien de hogares benficiados con alumbrado público</t>
  </si>
  <si>
    <t>20 personas capacitadas en emergencias</t>
  </si>
  <si>
    <t>dos simulacros efectuados</t>
  </si>
  <si>
    <t>cinco  charlas sobre solución pacífica de conflictos</t>
  </si>
  <si>
    <t>veinte casos atendidos solucionados a través de la conciliación</t>
  </si>
  <si>
    <t>diez charlas sobre prevención del consumo de sustancias psicoactivas</t>
  </si>
  <si>
    <t>diez charlas sobre solución pacífica de conflictos</t>
  </si>
  <si>
    <t>doscientosveinte  familias con acompañamiento en programa Juntos</t>
  </si>
  <si>
    <t>veinte familias con apoyo en proyectos productivos</t>
  </si>
  <si>
    <t>MANUELA NEIZA RODRIGUEZ</t>
  </si>
  <si>
    <t>secretaria de Hacienda</t>
  </si>
  <si>
    <t>Sub programa: Adquisicion vehiculo Alcaldia</t>
  </si>
  <si>
    <t>Subprograma: Liquidacion contratos Régimen subsidiado en salud</t>
  </si>
  <si>
    <t xml:space="preserve">Subprograma: Terminacion Red acueducto el chorro Sector san felipe </t>
  </si>
  <si>
    <t>Sub programa: Construccion salon sector mata redonda vereda pijaos</t>
  </si>
  <si>
    <t>Sub programa: Terminacion de salon comunal vereda lluviosos</t>
  </si>
  <si>
    <t xml:space="preserve">INCREMENTO </t>
  </si>
  <si>
    <t>MESES</t>
  </si>
  <si>
    <t>SALARIO PROYECTADO BASICO ANUAL 2012</t>
  </si>
  <si>
    <t>APORTES PATRONALES</t>
  </si>
  <si>
    <t>TOTAL APORTES PATRON</t>
  </si>
  <si>
    <t>BONIFIC. DE RECREAC</t>
  </si>
  <si>
    <t>PRIMA DE SERVICIOS</t>
  </si>
  <si>
    <t>PRIMA DE VACACIONES</t>
  </si>
  <si>
    <t>INDEMNIZAC VACACIONES</t>
  </si>
  <si>
    <t>PRIMA DE NAVIDAD</t>
  </si>
  <si>
    <t>CESANTIAS</t>
  </si>
  <si>
    <t>INTERES A LA CESANT</t>
  </si>
  <si>
    <t>TOTAL PRESTACION SOCIALES</t>
  </si>
  <si>
    <t>TOTAL AÑO</t>
  </si>
  <si>
    <t>Nr</t>
  </si>
  <si>
    <t>NOMBRES Y APELLIDOS</t>
  </si>
  <si>
    <t>No. IDENTIF.</t>
  </si>
  <si>
    <t>CARGO</t>
  </si>
  <si>
    <t>SALARIO BASICO MENSUAL2011</t>
  </si>
  <si>
    <t>PENSION</t>
  </si>
  <si>
    <t>SENA</t>
  </si>
  <si>
    <t>ESAP</t>
  </si>
  <si>
    <t>ICBF</t>
  </si>
  <si>
    <t>COMFAB</t>
  </si>
  <si>
    <t>MEN</t>
  </si>
  <si>
    <t>RIESGOS</t>
  </si>
  <si>
    <t>ALCALDE</t>
  </si>
  <si>
    <t>COMISARIA</t>
  </si>
  <si>
    <t>TOTAL NOMINA</t>
  </si>
  <si>
    <t>ALCALDIA MUNICIPAL DE CUCAITA</t>
  </si>
  <si>
    <t>NIT: 891.802.089-1</t>
  </si>
  <si>
    <t>PROYECCION NOMINA - PRESTACIONES SOCIALES Y SEGURIDAD SOCIAL PARA 2012</t>
  </si>
  <si>
    <t>SALARIO BASICO MENSUAL 2012</t>
  </si>
  <si>
    <t>ALBA NIÑO OSCAR</t>
  </si>
  <si>
    <t>GUACHETA LOPEZ DORA LYZ</t>
  </si>
  <si>
    <t>MESA GRANADOS MONICA BIBIANA</t>
  </si>
  <si>
    <t>SEC.HACIENDA</t>
  </si>
  <si>
    <t xml:space="preserve">MANUELA NEIZA RODRIGUEZ </t>
  </si>
  <si>
    <t>SEC.PLANEACION</t>
  </si>
  <si>
    <t>LEYDI YOHANA LARROTA PARRA</t>
  </si>
  <si>
    <t>MARIA CONSUELO BORDA ESPITIA</t>
  </si>
  <si>
    <t>JOSE GERMAN NIÑO CASTILLO</t>
  </si>
  <si>
    <t>MORENO BASTIDAS RAUL</t>
  </si>
  <si>
    <t>BUITRAGO LARROTA OMAR</t>
  </si>
  <si>
    <t>OTALORA MOZO ANA YOLIMA</t>
  </si>
  <si>
    <t>LOPEZ BOYACA ANGEL MARIA</t>
  </si>
  <si>
    <t>RODRIGUEZ OVALLE YULY JASBLEIBY</t>
  </si>
  <si>
    <t>INSPECCION DE POLICIA</t>
  </si>
  <si>
    <t>MARIA CAROLINA GARCIA</t>
  </si>
  <si>
    <t>PERSONERA</t>
  </si>
  <si>
    <t>SIERRA ALVARADO MYMRIAM</t>
  </si>
  <si>
    <t xml:space="preserve">SECRETARIO CONCEJO </t>
  </si>
  <si>
    <t>HEREDIA RAFAEL</t>
  </si>
  <si>
    <t>PENSIONADO</t>
  </si>
  <si>
    <t>BUITRAGO J GRATINIANO</t>
  </si>
  <si>
    <t>DAZA ACOSTA SIGIFREDO</t>
  </si>
  <si>
    <t>T. ALCALDIA</t>
  </si>
  <si>
    <t>T. COMISARIA</t>
  </si>
  <si>
    <t>T. INPECCION POLICIA</t>
  </si>
  <si>
    <t>T. PERSONERIA MUNICIPAL</t>
  </si>
  <si>
    <t>T. CONCEJO MUNICIPAL</t>
  </si>
  <si>
    <t>T. PENSIONADOS</t>
  </si>
  <si>
    <t>FUNCIONARIO NUEVO</t>
  </si>
  <si>
    <t>AUX SERV ADMINTIVOS</t>
  </si>
  <si>
    <t>AUX SERV GRALES</t>
  </si>
  <si>
    <t>AUX SERV GRALES-OPERARIO</t>
  </si>
  <si>
    <t>AUX SERV GRALES-CITADOR</t>
  </si>
  <si>
    <t>ANEXO 1.</t>
  </si>
  <si>
    <t>Indeminización de vacaciones</t>
  </si>
  <si>
    <t>DOTACION</t>
  </si>
  <si>
    <t>SMLV-2011</t>
  </si>
  <si>
    <t>SMLV-2012</t>
  </si>
  <si>
    <t>Seguros de bienes muebles  e inmuebles</t>
  </si>
  <si>
    <t>Transporte de Concejales</t>
  </si>
  <si>
    <t>Tasas Retributivas</t>
  </si>
  <si>
    <t>PLAN OPERATIVO ANUAL DE INVERSIONES POAI DEL MUNICIPIO PARA EL 2012</t>
  </si>
  <si>
    <t>MUNICIPIO DE CUCAITA</t>
  </si>
  <si>
    <t>LEY 1368 DE 2009</t>
  </si>
  <si>
    <t>NUMERO DE CONCEJALES</t>
  </si>
  <si>
    <t>SESIONES ORDINARIAS</t>
  </si>
  <si>
    <t>SESIONES EXTRA ORINARIAS</t>
  </si>
  <si>
    <t>TOTAL SESIONES AUTORIZADAS</t>
  </si>
  <si>
    <t xml:space="preserve">TOTAL VALOR SESIONES </t>
  </si>
  <si>
    <t>OTROS GASTOS</t>
  </si>
  <si>
    <t>CON 60 SALARIOS MÍNIMOS LEGALES VIGENTES SI ICLD SON INFERIORES A 1000 MILLONES DE PESOS</t>
  </si>
  <si>
    <t>TOTAL HONORARIOS VIGENCIA 2010</t>
  </si>
  <si>
    <t>SALARIO MINIMO LEGAL VIGENTE 2011</t>
  </si>
  <si>
    <t>PRORCENTAJE DE INCREMENTO</t>
  </si>
  <si>
    <t>PROYECCION SALARIO MINIMO LEGAL VIGENTE 2012</t>
  </si>
  <si>
    <t>VALOR POR SESION 2011</t>
  </si>
  <si>
    <t>VALOR POR SESION 2012</t>
  </si>
  <si>
    <t>(Noviembre 01 de 2011)</t>
  </si>
  <si>
    <t>POR MEDIO DEL CUAL SE ADOPTA EL PRESUPUESTO GENERAL DE RENTAS Y GASTOS DEL MUNICIPIO PARA LA VIGENCIA FISCAL DEL 1° DE ENERO AL 31 DE DICIEMBRE DEL 2012</t>
  </si>
  <si>
    <t>SGP PROPÓSITO GENERAL INVERSIÓN</t>
  </si>
  <si>
    <t>Subprograma: Construccion Aulas en Instituciones Educativas</t>
  </si>
  <si>
    <t>Subporgrama: Amplicion planta fisica Centros Educativos</t>
  </si>
  <si>
    <t>Subporgrama: Mantenimiento Instituciones Educativas</t>
  </si>
  <si>
    <t>Funcionamiento Concejo</t>
  </si>
  <si>
    <t>Funcinamiento Personeria</t>
  </si>
  <si>
    <t>servicio</t>
  </si>
  <si>
    <t>alcantarillado</t>
  </si>
  <si>
    <t>aseo</t>
  </si>
  <si>
    <t>total</t>
  </si>
  <si>
    <t>acueducto-cargo fijo</t>
  </si>
  <si>
    <t>acueducto-consumo</t>
  </si>
  <si>
    <t>Subprograma: Construcción  plantas de tratamiento municipales</t>
  </si>
  <si>
    <t xml:space="preserve">subprograma, ampliación redes acueducto urbano </t>
  </si>
  <si>
    <t>Subprograma: construcción escenarios deportivos</t>
  </si>
  <si>
    <t>Para constancia se firma a los 20 días de Octubre de 2011 y conceptúa favorablemente sobre su inclusión dentro del proyecto de presupuesto para la vigencia de 2012.</t>
  </si>
  <si>
    <t>ARTICULO PRIMERO: Calcular para la vigencia de 2012 el presupuesto de ingresos y conforme el siguiente pormenor la suma de:</t>
  </si>
  <si>
    <t>SGP EDUCACIÓN</t>
  </si>
  <si>
    <t>Fuente 3</t>
  </si>
  <si>
    <t>INGRESOS MUNICIPIO DE CUCAITA</t>
  </si>
  <si>
    <t>Sanciones</t>
  </si>
  <si>
    <t>OTROS INGRESOS NO TRIBUTARIOS</t>
  </si>
  <si>
    <t>RECURSOS DE CAPITAL RECURSOS PROPIOS</t>
  </si>
  <si>
    <t>TRANSFERENCIAS DEPARTAMENTO</t>
  </si>
  <si>
    <t>SECTOR ALIMENTACION ESCOLAR</t>
  </si>
  <si>
    <t xml:space="preserve"> Subprograma: Construccion puente con juirsdiccion Sora</t>
  </si>
  <si>
    <t>Subprograma: Red Unidos</t>
  </si>
  <si>
    <t>Los integrantes del órgano de asesoría y consulta en materia de Hacienda y en concordancia con el EOP Municipal adopta el siguiente POAI para la vigencia de 2012 acorde con el plan plurianual de inversiones del plan de desarrollo:</t>
  </si>
  <si>
    <t>PROYECTO DE ACUERDO No 016 DE 2011</t>
  </si>
  <si>
    <t>SILVIA FIORELA DIAZ</t>
  </si>
  <si>
    <t>MARCOS DANIEL BORDA PARRA</t>
  </si>
  <si>
    <t>INCREMENTO%</t>
  </si>
  <si>
    <t>SILAP</t>
  </si>
  <si>
    <t>pro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</si>
</sst>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7" formatCode="&quot;$&quot;\ #,##0.00;[Red]&quot;$&quot;\ \-#,##0.00"/>
    <numFmt numFmtId="171" formatCode="_ * #,##0.00_ ;_ * \-#,##0.00_ ;_ * &quot;-&quot;??_ ;_ @_ "/>
    <numFmt numFmtId="173" formatCode="&quot;$&quot;#,##0_);[Red]\(&quot;$&quot;#,##0\)"/>
    <numFmt numFmtId="179" formatCode="_(* #,##0_);_(* \(#,##0\);_(* &quot;-&quot;??_);_(@_)"/>
    <numFmt numFmtId="180" formatCode="0.0"/>
    <numFmt numFmtId="181" formatCode="_ * #,##0_ ;_ * \-#,##0_ ;_ * &quot;-&quot;??_ ;_ @_ "/>
    <numFmt numFmtId="186" formatCode="0.000%"/>
  </numFmts>
  <fonts count="43">
    <font>
      <sz val="10"/>
      <name val="Arial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10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6"/>
      <name val="Impact"/>
      <family val="2"/>
    </font>
    <font>
      <b/>
      <sz val="5"/>
      <name val="Impact"/>
      <family val="2"/>
    </font>
    <font>
      <sz val="6"/>
      <name val="Impac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indexed="8"/>
      <name val="Times New Roman"/>
      <family val="1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1" fillId="0" borderId="0"/>
    <xf numFmtId="0" fontId="36" fillId="0" borderId="0"/>
    <xf numFmtId="0" fontId="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7">
    <xf numFmtId="0" fontId="0" fillId="0" borderId="0" xfId="0"/>
    <xf numFmtId="179" fontId="6" fillId="0" borderId="1" xfId="3" applyNumberFormat="1" applyFont="1" applyFill="1" applyBorder="1"/>
    <xf numFmtId="179" fontId="7" fillId="0" borderId="1" xfId="3" applyNumberFormat="1" applyFont="1" applyFill="1" applyBorder="1"/>
    <xf numFmtId="179" fontId="7" fillId="2" borderId="1" xfId="3" applyNumberFormat="1" applyFont="1" applyFill="1" applyBorder="1"/>
    <xf numFmtId="179" fontId="7" fillId="3" borderId="1" xfId="3" applyNumberFormat="1" applyFont="1" applyFill="1" applyBorder="1"/>
    <xf numFmtId="179" fontId="6" fillId="3" borderId="1" xfId="3" applyNumberFormat="1" applyFont="1" applyFill="1" applyBorder="1"/>
    <xf numFmtId="179" fontId="8" fillId="0" borderId="1" xfId="3" applyNumberFormat="1" applyFont="1" applyFill="1" applyBorder="1"/>
    <xf numFmtId="179" fontId="4" fillId="0" borderId="1" xfId="3" applyNumberFormat="1" applyFont="1" applyFill="1" applyBorder="1"/>
    <xf numFmtId="0" fontId="4" fillId="0" borderId="0" xfId="0" applyFont="1"/>
    <xf numFmtId="0" fontId="4" fillId="0" borderId="1" xfId="0" applyFont="1" applyBorder="1"/>
    <xf numFmtId="179" fontId="4" fillId="0" borderId="1" xfId="0" applyNumberFormat="1" applyFont="1" applyBorder="1"/>
    <xf numFmtId="179" fontId="8" fillId="0" borderId="1" xfId="3" applyNumberFormat="1" applyFont="1" applyFill="1" applyBorder="1" applyAlignment="1">
      <alignment shrinkToFit="1"/>
    </xf>
    <xf numFmtId="179" fontId="3" fillId="0" borderId="1" xfId="0" applyNumberFormat="1" applyFont="1" applyBorder="1"/>
    <xf numFmtId="179" fontId="6" fillId="0" borderId="1" xfId="0" applyNumberFormat="1" applyFont="1" applyBorder="1"/>
    <xf numFmtId="0" fontId="9" fillId="0" borderId="0" xfId="0" applyFont="1"/>
    <xf numFmtId="1" fontId="12" fillId="0" borderId="0" xfId="13" applyNumberFormat="1" applyFont="1" applyFill="1" applyAlignment="1">
      <alignment vertical="center"/>
    </xf>
    <xf numFmtId="0" fontId="16" fillId="0" borderId="1" xfId="13" applyFont="1" applyFill="1" applyBorder="1" applyAlignment="1">
      <alignment horizontal="center" vertical="center" wrapText="1"/>
    </xf>
    <xf numFmtId="186" fontId="17" fillId="0" borderId="1" xfId="16" applyNumberFormat="1" applyFont="1" applyFill="1" applyBorder="1" applyAlignment="1">
      <alignment horizontal="center" vertical="center" wrapText="1"/>
    </xf>
    <xf numFmtId="10" fontId="17" fillId="0" borderId="1" xfId="16" applyNumberFormat="1" applyFont="1" applyFill="1" applyBorder="1" applyAlignment="1">
      <alignment horizontal="center" vertical="center" wrapText="1"/>
    </xf>
    <xf numFmtId="3" fontId="4" fillId="0" borderId="1" xfId="13" applyNumberFormat="1" applyFont="1" applyFill="1" applyBorder="1" applyAlignment="1"/>
    <xf numFmtId="186" fontId="10" fillId="0" borderId="1" xfId="16" applyNumberFormat="1" applyFont="1" applyFill="1" applyBorder="1" applyAlignment="1">
      <alignment horizontal="center"/>
    </xf>
    <xf numFmtId="3" fontId="4" fillId="0" borderId="1" xfId="13" applyNumberFormat="1" applyFont="1" applyFill="1" applyBorder="1"/>
    <xf numFmtId="1" fontId="12" fillId="0" borderId="0" xfId="13" applyNumberFormat="1" applyFont="1" applyFill="1" applyAlignment="1">
      <alignment horizontal="right" vertical="center"/>
    </xf>
    <xf numFmtId="3" fontId="4" fillId="0" borderId="1" xfId="8" applyNumberFormat="1" applyFont="1" applyFill="1" applyBorder="1"/>
    <xf numFmtId="0" fontId="10" fillId="0" borderId="0" xfId="13" applyFont="1" applyFill="1"/>
    <xf numFmtId="0" fontId="10" fillId="0" borderId="0" xfId="13" applyFont="1" applyFill="1" applyAlignment="1">
      <alignment horizontal="left"/>
    </xf>
    <xf numFmtId="0" fontId="11" fillId="0" borderId="0" xfId="13" applyFont="1" applyFill="1" applyAlignment="1">
      <alignment horizontal="left"/>
    </xf>
    <xf numFmtId="0" fontId="11" fillId="0" borderId="0" xfId="13" applyFont="1" applyFill="1" applyAlignment="1"/>
    <xf numFmtId="0" fontId="11" fillId="0" borderId="0" xfId="13" applyFont="1" applyFill="1" applyAlignment="1">
      <alignment horizontal="center"/>
    </xf>
    <xf numFmtId="0" fontId="10" fillId="0" borderId="0" xfId="13" applyFont="1" applyFill="1" applyBorder="1"/>
    <xf numFmtId="0" fontId="4" fillId="0" borderId="1" xfId="13" applyFont="1" applyFill="1" applyBorder="1"/>
    <xf numFmtId="0" fontId="4" fillId="0" borderId="0" xfId="13" applyFont="1" applyFill="1" applyBorder="1"/>
    <xf numFmtId="0" fontId="4" fillId="0" borderId="0" xfId="13" applyFont="1" applyFill="1"/>
    <xf numFmtId="0" fontId="4" fillId="0" borderId="1" xfId="13" applyFont="1" applyFill="1" applyBorder="1" applyAlignment="1"/>
    <xf numFmtId="3" fontId="4" fillId="0" borderId="1" xfId="13" applyNumberFormat="1" applyFont="1" applyFill="1" applyBorder="1" applyAlignment="1">
      <alignment horizontal="left"/>
    </xf>
    <xf numFmtId="0" fontId="3" fillId="0" borderId="1" xfId="13" applyFont="1" applyFill="1" applyBorder="1"/>
    <xf numFmtId="0" fontId="3" fillId="0" borderId="1" xfId="13" applyFont="1" applyFill="1" applyBorder="1" applyAlignment="1"/>
    <xf numFmtId="3" fontId="3" fillId="0" borderId="1" xfId="13" applyNumberFormat="1" applyFont="1" applyFill="1" applyBorder="1" applyAlignment="1">
      <alignment horizontal="left"/>
    </xf>
    <xf numFmtId="0" fontId="3" fillId="0" borderId="1" xfId="13" applyFont="1" applyFill="1" applyBorder="1" applyAlignment="1">
      <alignment horizontal="right"/>
    </xf>
    <xf numFmtId="3" fontId="3" fillId="0" borderId="1" xfId="13" applyNumberFormat="1" applyFont="1" applyFill="1" applyBorder="1" applyAlignment="1">
      <alignment horizontal="right"/>
    </xf>
    <xf numFmtId="0" fontId="3" fillId="0" borderId="0" xfId="13" applyFont="1" applyFill="1"/>
    <xf numFmtId="0" fontId="3" fillId="0" borderId="1" xfId="13" applyFont="1" applyFill="1" applyBorder="1" applyAlignment="1">
      <alignment horizontal="left"/>
    </xf>
    <xf numFmtId="0" fontId="13" fillId="0" borderId="0" xfId="13" applyFont="1" applyFill="1" applyAlignment="1"/>
    <xf numFmtId="3" fontId="13" fillId="0" borderId="0" xfId="13" applyNumberFormat="1" applyFont="1" applyFill="1" applyAlignment="1">
      <alignment horizontal="left"/>
    </xf>
    <xf numFmtId="3" fontId="13" fillId="0" borderId="0" xfId="13" applyNumberFormat="1" applyFont="1" applyFill="1" applyAlignment="1"/>
    <xf numFmtId="0" fontId="13" fillId="0" borderId="0" xfId="13" applyFont="1" applyFill="1"/>
    <xf numFmtId="0" fontId="10" fillId="0" borderId="0" xfId="13" applyFont="1" applyFill="1" applyAlignment="1"/>
    <xf numFmtId="3" fontId="10" fillId="0" borderId="0" xfId="13" applyNumberFormat="1" applyFont="1" applyFill="1"/>
    <xf numFmtId="3" fontId="4" fillId="0" borderId="1" xfId="8" applyNumberFormat="1" applyFont="1" applyFill="1" applyBorder="1" applyAlignment="1">
      <alignment horizontal="left"/>
    </xf>
    <xf numFmtId="0" fontId="4" fillId="0" borderId="1" xfId="8" applyFont="1" applyFill="1" applyBorder="1" applyAlignment="1"/>
    <xf numFmtId="3" fontId="4" fillId="0" borderId="1" xfId="8" applyNumberFormat="1" applyFont="1" applyFill="1" applyBorder="1" applyAlignment="1">
      <alignment horizontal="left" wrapText="1"/>
    </xf>
    <xf numFmtId="0" fontId="4" fillId="0" borderId="1" xfId="8" applyFont="1" applyFill="1" applyBorder="1" applyAlignment="1">
      <alignment wrapText="1"/>
    </xf>
    <xf numFmtId="3" fontId="4" fillId="0" borderId="1" xfId="8" applyNumberFormat="1" applyFont="1" applyFill="1" applyBorder="1" applyAlignment="1">
      <alignment wrapText="1"/>
    </xf>
    <xf numFmtId="3" fontId="3" fillId="0" borderId="1" xfId="9" applyNumberFormat="1" applyFont="1" applyFill="1" applyBorder="1" applyAlignment="1">
      <alignment horizontal="left"/>
    </xf>
    <xf numFmtId="0" fontId="4" fillId="0" borderId="1" xfId="9" applyFont="1" applyFill="1" applyBorder="1" applyAlignment="1"/>
    <xf numFmtId="3" fontId="4" fillId="0" borderId="1" xfId="9" applyNumberFormat="1" applyFont="1" applyFill="1" applyBorder="1"/>
    <xf numFmtId="10" fontId="12" fillId="0" borderId="0" xfId="13" applyNumberFormat="1" applyFont="1" applyFill="1" applyAlignment="1">
      <alignment vertical="center"/>
    </xf>
    <xf numFmtId="1" fontId="4" fillId="0" borderId="0" xfId="0" applyNumberFormat="1" applyFont="1"/>
    <xf numFmtId="1" fontId="6" fillId="3" borderId="1" xfId="3" applyNumberFormat="1" applyFont="1" applyFill="1" applyBorder="1" applyAlignment="1">
      <alignment horizontal="left"/>
    </xf>
    <xf numFmtId="1" fontId="6" fillId="0" borderId="1" xfId="3" applyNumberFormat="1" applyFont="1" applyFill="1" applyBorder="1" applyAlignment="1">
      <alignment horizontal="left"/>
    </xf>
    <xf numFmtId="1" fontId="4" fillId="0" borderId="1" xfId="0" applyNumberFormat="1" applyFont="1" applyBorder="1"/>
    <xf numFmtId="1" fontId="7" fillId="0" borderId="1" xfId="3" applyNumberFormat="1" applyFont="1" applyFill="1" applyBorder="1" applyAlignment="1">
      <alignment horizontal="left"/>
    </xf>
    <xf numFmtId="1" fontId="3" fillId="0" borderId="1" xfId="0" applyNumberFormat="1" applyFont="1" applyBorder="1"/>
    <xf numFmtId="1" fontId="6" fillId="0" borderId="1" xfId="0" applyNumberFormat="1" applyFont="1" applyBorder="1"/>
    <xf numFmtId="0" fontId="11" fillId="0" borderId="0" xfId="13" applyFont="1" applyAlignment="1">
      <alignment horizontal="center"/>
    </xf>
    <xf numFmtId="0" fontId="11" fillId="0" borderId="0" xfId="13" applyFont="1" applyAlignment="1"/>
    <xf numFmtId="0" fontId="2" fillId="0" borderId="0" xfId="13"/>
    <xf numFmtId="0" fontId="11" fillId="0" borderId="0" xfId="13" applyFont="1" applyBorder="1" applyAlignment="1">
      <alignment horizontal="center"/>
    </xf>
    <xf numFmtId="0" fontId="11" fillId="0" borderId="0" xfId="13" applyFont="1" applyBorder="1" applyAlignment="1">
      <alignment horizontal="left"/>
    </xf>
    <xf numFmtId="167" fontId="23" fillId="0" borderId="0" xfId="13" applyNumberFormat="1" applyFont="1" applyBorder="1" applyAlignment="1">
      <alignment vertical="top" wrapText="1"/>
    </xf>
    <xf numFmtId="181" fontId="23" fillId="0" borderId="0" xfId="6" applyNumberFormat="1" applyFont="1" applyBorder="1" applyAlignment="1">
      <alignment vertical="top" wrapText="1"/>
    </xf>
    <xf numFmtId="167" fontId="24" fillId="0" borderId="0" xfId="13" applyNumberFormat="1" applyFont="1" applyBorder="1" applyAlignment="1">
      <alignment vertical="top" wrapText="1"/>
    </xf>
    <xf numFmtId="0" fontId="11" fillId="0" borderId="0" xfId="13" applyFont="1" applyAlignment="1">
      <alignment horizontal="left"/>
    </xf>
    <xf numFmtId="0" fontId="11" fillId="0" borderId="0" xfId="13" applyFont="1" applyAlignment="1">
      <alignment horizontal="justify" vertical="justify" wrapText="1"/>
    </xf>
    <xf numFmtId="181" fontId="24" fillId="0" borderId="0" xfId="6" applyNumberFormat="1" applyFont="1" applyBorder="1" applyAlignment="1">
      <alignment vertical="top" wrapText="1"/>
    </xf>
    <xf numFmtId="0" fontId="11" fillId="0" borderId="1" xfId="13" applyFont="1" applyBorder="1" applyAlignment="1">
      <alignment horizontal="left"/>
    </xf>
    <xf numFmtId="167" fontId="11" fillId="0" borderId="1" xfId="13" applyNumberFormat="1" applyFont="1" applyBorder="1"/>
    <xf numFmtId="0" fontId="2" fillId="0" borderId="0" xfId="13" applyAlignment="1">
      <alignment horizontal="left"/>
    </xf>
    <xf numFmtId="9" fontId="23" fillId="0" borderId="0" xfId="14" applyFont="1" applyBorder="1" applyAlignment="1">
      <alignment vertical="top" wrapText="1"/>
    </xf>
    <xf numFmtId="0" fontId="2" fillId="0" borderId="0" xfId="0" applyFont="1"/>
    <xf numFmtId="9" fontId="0" fillId="0" borderId="0" xfId="14" applyFont="1"/>
    <xf numFmtId="179" fontId="3" fillId="0" borderId="0" xfId="3" applyNumberFormat="1" applyFont="1" applyFill="1" applyAlignment="1">
      <alignment horizontal="center"/>
    </xf>
    <xf numFmtId="179" fontId="4" fillId="0" borderId="0" xfId="3" applyNumberFormat="1" applyFont="1" applyFill="1"/>
    <xf numFmtId="179" fontId="4" fillId="0" borderId="0" xfId="3" applyNumberFormat="1" applyFont="1" applyFill="1" applyAlignment="1">
      <alignment horizontal="center"/>
    </xf>
    <xf numFmtId="179" fontId="4" fillId="0" borderId="0" xfId="3" applyNumberFormat="1" applyFont="1" applyFill="1" applyAlignment="1"/>
    <xf numFmtId="179" fontId="4" fillId="0" borderId="0" xfId="3" applyNumberFormat="1" applyFont="1" applyFill="1" applyAlignment="1">
      <alignment horizontal="left"/>
    </xf>
    <xf numFmtId="179" fontId="3" fillId="0" borderId="0" xfId="3" applyNumberFormat="1" applyFont="1" applyFill="1"/>
    <xf numFmtId="3" fontId="3" fillId="0" borderId="1" xfId="3" applyNumberFormat="1" applyFont="1" applyFill="1" applyBorder="1" applyAlignment="1">
      <alignment horizontal="left"/>
    </xf>
    <xf numFmtId="3" fontId="3" fillId="0" borderId="1" xfId="3" applyNumberFormat="1" applyFont="1" applyFill="1" applyBorder="1"/>
    <xf numFmtId="3" fontId="4" fillId="0" borderId="1" xfId="3" applyNumberFormat="1" applyFont="1" applyFill="1" applyBorder="1" applyAlignment="1">
      <alignment horizontal="left"/>
    </xf>
    <xf numFmtId="3" fontId="4" fillId="0" borderId="1" xfId="3" applyNumberFormat="1" applyFont="1" applyFill="1" applyBorder="1"/>
    <xf numFmtId="3" fontId="4" fillId="0" borderId="1" xfId="3" applyNumberFormat="1" applyFont="1" applyFill="1" applyBorder="1" applyAlignment="1">
      <alignment wrapText="1"/>
    </xf>
    <xf numFmtId="179" fontId="3" fillId="0" borderId="0" xfId="3" applyNumberFormat="1" applyFont="1" applyFill="1" applyAlignment="1"/>
    <xf numFmtId="3" fontId="3" fillId="0" borderId="1" xfId="3" applyNumberFormat="1" applyFont="1" applyFill="1" applyBorder="1" applyAlignment="1">
      <alignment wrapText="1"/>
    </xf>
    <xf numFmtId="179" fontId="4" fillId="0" borderId="0" xfId="3" applyNumberFormat="1" applyFont="1" applyFill="1" applyBorder="1"/>
    <xf numFmtId="179" fontId="3" fillId="0" borderId="0" xfId="3" applyNumberFormat="1" applyFont="1" applyFill="1" applyBorder="1"/>
    <xf numFmtId="3" fontId="4" fillId="0" borderId="0" xfId="3" applyNumberFormat="1" applyFont="1" applyFill="1"/>
    <xf numFmtId="3" fontId="4" fillId="0" borderId="0" xfId="3" applyNumberFormat="1" applyFont="1" applyFill="1" applyBorder="1"/>
    <xf numFmtId="3" fontId="4" fillId="0" borderId="1" xfId="0" applyNumberFormat="1" applyFont="1" applyFill="1" applyBorder="1" applyAlignment="1">
      <alignment horizontal="justify" vertical="center" wrapText="1"/>
    </xf>
    <xf numFmtId="3" fontId="4" fillId="0" borderId="2" xfId="3" applyNumberFormat="1" applyFont="1" applyFill="1" applyBorder="1"/>
    <xf numFmtId="3" fontId="4" fillId="0" borderId="3" xfId="3" applyNumberFormat="1" applyFont="1" applyFill="1" applyBorder="1" applyAlignment="1">
      <alignment wrapText="1"/>
    </xf>
    <xf numFmtId="3" fontId="3" fillId="0" borderId="2" xfId="3" applyNumberFormat="1" applyFont="1" applyFill="1" applyBorder="1"/>
    <xf numFmtId="3" fontId="4" fillId="0" borderId="4" xfId="3" applyNumberFormat="1" applyFont="1" applyFill="1" applyBorder="1"/>
    <xf numFmtId="3" fontId="3" fillId="0" borderId="1" xfId="3" applyNumberFormat="1" applyFont="1" applyFill="1" applyBorder="1" applyAlignment="1">
      <alignment horizontal="right"/>
    </xf>
    <xf numFmtId="3" fontId="4" fillId="0" borderId="1" xfId="3" applyNumberFormat="1" applyFont="1" applyFill="1" applyBorder="1" applyAlignment="1">
      <alignment horizontal="left" indent="1"/>
    </xf>
    <xf numFmtId="43" fontId="4" fillId="0" borderId="0" xfId="3" applyNumberFormat="1" applyFont="1" applyFill="1" applyBorder="1"/>
    <xf numFmtId="3" fontId="4" fillId="0" borderId="5" xfId="3" applyNumberFormat="1" applyFont="1" applyFill="1" applyBorder="1"/>
    <xf numFmtId="3" fontId="3" fillId="0" borderId="6" xfId="3" applyNumberFormat="1" applyFont="1" applyFill="1" applyBorder="1" applyAlignment="1">
      <alignment horizontal="left" wrapText="1"/>
    </xf>
    <xf numFmtId="3" fontId="3" fillId="0" borderId="7" xfId="3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179" fontId="27" fillId="0" borderId="0" xfId="3" applyNumberFormat="1" applyFont="1" applyFill="1"/>
    <xf numFmtId="3" fontId="4" fillId="0" borderId="1" xfId="3" applyNumberFormat="1" applyFont="1" applyFill="1" applyBorder="1" applyAlignment="1">
      <alignment horizontal="left" wrapText="1"/>
    </xf>
    <xf numFmtId="3" fontId="4" fillId="0" borderId="8" xfId="0" applyNumberFormat="1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3" fillId="0" borderId="13" xfId="3" applyNumberFormat="1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3" fontId="3" fillId="0" borderId="7" xfId="3" applyNumberFormat="1" applyFont="1" applyFill="1" applyBorder="1" applyAlignment="1">
      <alignment wrapText="1"/>
    </xf>
    <xf numFmtId="3" fontId="3" fillId="0" borderId="0" xfId="3" applyNumberFormat="1" applyFont="1" applyFill="1" applyBorder="1" applyAlignment="1">
      <alignment wrapText="1"/>
    </xf>
    <xf numFmtId="3" fontId="4" fillId="0" borderId="0" xfId="3" applyNumberFormat="1" applyFont="1" applyFill="1" applyAlignment="1">
      <alignment wrapText="1"/>
    </xf>
    <xf numFmtId="3" fontId="3" fillId="0" borderId="14" xfId="3" applyNumberFormat="1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27" fillId="0" borderId="19" xfId="3" applyNumberFormat="1" applyFont="1" applyFill="1" applyBorder="1" applyAlignment="1">
      <alignment wrapText="1"/>
    </xf>
    <xf numFmtId="179" fontId="27" fillId="0" borderId="0" xfId="3" applyNumberFormat="1" applyFont="1" applyFill="1" applyBorder="1"/>
    <xf numFmtId="0" fontId="2" fillId="0" borderId="0" xfId="0" applyFont="1" applyFill="1"/>
    <xf numFmtId="0" fontId="11" fillId="0" borderId="0" xfId="0" applyFont="1"/>
    <xf numFmtId="0" fontId="4" fillId="0" borderId="20" xfId="0" applyFont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21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4" fillId="3" borderId="23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0" fontId="4" fillId="0" borderId="26" xfId="0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179" fontId="4" fillId="0" borderId="0" xfId="3" applyNumberFormat="1" applyFont="1" applyFill="1" applyBorder="1" applyAlignment="1">
      <alignment wrapText="1"/>
    </xf>
    <xf numFmtId="179" fontId="3" fillId="0" borderId="0" xfId="3" applyNumberFormat="1" applyFont="1" applyFill="1" applyBorder="1" applyAlignment="1">
      <alignment wrapText="1"/>
    </xf>
    <xf numFmtId="0" fontId="4" fillId="3" borderId="30" xfId="0" applyFont="1" applyFill="1" applyBorder="1" applyAlignment="1">
      <alignment wrapText="1"/>
    </xf>
    <xf numFmtId="0" fontId="4" fillId="3" borderId="31" xfId="0" applyFont="1" applyFill="1" applyBorder="1" applyAlignment="1">
      <alignment wrapText="1"/>
    </xf>
    <xf numFmtId="0" fontId="4" fillId="3" borderId="32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3" borderId="17" xfId="0" applyFont="1" applyFill="1" applyBorder="1" applyAlignment="1">
      <alignment wrapText="1"/>
    </xf>
    <xf numFmtId="0" fontId="4" fillId="3" borderId="35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3" borderId="40" xfId="0" applyFont="1" applyFill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5" xfId="0" applyFont="1" applyBorder="1" applyAlignment="1">
      <alignment wrapText="1"/>
    </xf>
    <xf numFmtId="3" fontId="3" fillId="0" borderId="0" xfId="3" applyNumberFormat="1" applyFont="1" applyFill="1" applyAlignment="1">
      <alignment wrapText="1"/>
    </xf>
    <xf numFmtId="179" fontId="3" fillId="0" borderId="0" xfId="3" applyNumberFormat="1" applyFont="1" applyFill="1" applyAlignment="1">
      <alignment horizontal="left"/>
    </xf>
    <xf numFmtId="3" fontId="3" fillId="0" borderId="10" xfId="3" applyNumberFormat="1" applyFont="1" applyFill="1" applyBorder="1"/>
    <xf numFmtId="3" fontId="4" fillId="0" borderId="5" xfId="0" applyNumberFormat="1" applyFont="1" applyFill="1" applyBorder="1" applyAlignment="1">
      <alignment horizontal="justify" vertical="center" wrapText="1"/>
    </xf>
    <xf numFmtId="3" fontId="3" fillId="0" borderId="33" xfId="3" applyNumberFormat="1" applyFont="1" applyFill="1" applyBorder="1"/>
    <xf numFmtId="3" fontId="4" fillId="0" borderId="2" xfId="3" applyNumberFormat="1" applyFont="1" applyFill="1" applyBorder="1" applyAlignment="1"/>
    <xf numFmtId="3" fontId="4" fillId="0" borderId="2" xfId="3" applyNumberFormat="1" applyFont="1" applyFill="1" applyBorder="1" applyAlignment="1">
      <alignment horizontal="center"/>
    </xf>
    <xf numFmtId="3" fontId="3" fillId="0" borderId="2" xfId="3" applyNumberFormat="1" applyFont="1" applyFill="1" applyBorder="1" applyAlignment="1">
      <alignment horizontal="center"/>
    </xf>
    <xf numFmtId="3" fontId="3" fillId="0" borderId="2" xfId="3" applyNumberFormat="1" applyFont="1" applyFill="1" applyBorder="1" applyAlignment="1">
      <alignment horizontal="left"/>
    </xf>
    <xf numFmtId="3" fontId="3" fillId="0" borderId="2" xfId="3" applyNumberFormat="1" applyFont="1" applyFill="1" applyBorder="1" applyAlignment="1">
      <alignment horizontal="right"/>
    </xf>
    <xf numFmtId="1" fontId="4" fillId="0" borderId="0" xfId="3" applyNumberFormat="1" applyFont="1" applyFill="1" applyAlignment="1">
      <alignment horizontal="left"/>
    </xf>
    <xf numFmtId="1" fontId="3" fillId="0" borderId="3" xfId="3" applyNumberFormat="1" applyFont="1" applyFill="1" applyBorder="1" applyAlignment="1">
      <alignment horizontal="left"/>
    </xf>
    <xf numFmtId="1" fontId="4" fillId="0" borderId="3" xfId="3" applyNumberFormat="1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left"/>
    </xf>
    <xf numFmtId="1" fontId="4" fillId="0" borderId="12" xfId="3" applyNumberFormat="1" applyFont="1" applyFill="1" applyBorder="1" applyAlignment="1">
      <alignment horizontal="left"/>
    </xf>
    <xf numFmtId="1" fontId="3" fillId="0" borderId="7" xfId="3" applyNumberFormat="1" applyFont="1" applyFill="1" applyBorder="1" applyAlignment="1">
      <alignment horizontal="left" wrapText="1"/>
    </xf>
    <xf numFmtId="1" fontId="4" fillId="0" borderId="0" xfId="3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1" xfId="3" applyNumberFormat="1" applyFont="1" applyFill="1" applyBorder="1" applyAlignment="1">
      <alignment horizontal="left" wrapText="1" indent="1"/>
    </xf>
    <xf numFmtId="0" fontId="22" fillId="0" borderId="1" xfId="8" applyFont="1" applyFill="1" applyBorder="1" applyAlignment="1">
      <alignment horizontal="left" wrapText="1"/>
    </xf>
    <xf numFmtId="0" fontId="28" fillId="0" borderId="1" xfId="8" applyFont="1" applyFill="1" applyBorder="1" applyAlignment="1">
      <alignment horizontal="left" wrapText="1"/>
    </xf>
    <xf numFmtId="179" fontId="3" fillId="0" borderId="1" xfId="3" applyNumberFormat="1" applyFont="1" applyFill="1" applyBorder="1"/>
    <xf numFmtId="0" fontId="28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" fontId="3" fillId="0" borderId="9" xfId="3" applyNumberFormat="1" applyFont="1" applyFill="1" applyBorder="1" applyAlignment="1">
      <alignment horizontal="left"/>
    </xf>
    <xf numFmtId="1" fontId="4" fillId="0" borderId="0" xfId="3" applyNumberFormat="1" applyFont="1" applyFill="1" applyAlignment="1">
      <alignment horizontal="left" wrapText="1"/>
    </xf>
    <xf numFmtId="3" fontId="4" fillId="0" borderId="9" xfId="3" applyNumberFormat="1" applyFont="1" applyFill="1" applyBorder="1" applyAlignment="1">
      <alignment wrapText="1"/>
    </xf>
    <xf numFmtId="3" fontId="4" fillId="0" borderId="33" xfId="3" applyNumberFormat="1" applyFont="1" applyFill="1" applyBorder="1" applyAlignment="1">
      <alignment wrapText="1"/>
    </xf>
    <xf numFmtId="3" fontId="4" fillId="0" borderId="46" xfId="3" applyNumberFormat="1" applyFont="1" applyFill="1" applyBorder="1" applyAlignment="1">
      <alignment wrapText="1"/>
    </xf>
    <xf numFmtId="3" fontId="4" fillId="0" borderId="0" xfId="3" applyNumberFormat="1" applyFont="1" applyFill="1" applyBorder="1" applyAlignment="1">
      <alignment wrapText="1"/>
    </xf>
    <xf numFmtId="3" fontId="4" fillId="0" borderId="36" xfId="3" applyNumberFormat="1" applyFont="1" applyFill="1" applyBorder="1" applyAlignment="1">
      <alignment wrapText="1"/>
    </xf>
    <xf numFmtId="3" fontId="4" fillId="0" borderId="37" xfId="3" applyNumberFormat="1" applyFont="1" applyFill="1" applyBorder="1" applyAlignment="1">
      <alignment wrapText="1"/>
    </xf>
    <xf numFmtId="3" fontId="3" fillId="0" borderId="36" xfId="3" applyNumberFormat="1" applyFont="1" applyFill="1" applyBorder="1" applyAlignment="1">
      <alignment wrapText="1"/>
    </xf>
    <xf numFmtId="3" fontId="3" fillId="0" borderId="37" xfId="3" applyNumberFormat="1" applyFont="1" applyFill="1" applyBorder="1" applyAlignment="1">
      <alignment wrapText="1"/>
    </xf>
    <xf numFmtId="3" fontId="4" fillId="0" borderId="2" xfId="3" applyNumberFormat="1" applyFont="1" applyFill="1" applyBorder="1" applyAlignment="1">
      <alignment wrapText="1"/>
    </xf>
    <xf numFmtId="3" fontId="3" fillId="0" borderId="3" xfId="3" applyNumberFormat="1" applyFont="1" applyFill="1" applyBorder="1" applyAlignment="1">
      <alignment wrapText="1"/>
    </xf>
    <xf numFmtId="3" fontId="3" fillId="0" borderId="2" xfId="3" applyNumberFormat="1" applyFont="1" applyFill="1" applyBorder="1" applyAlignment="1">
      <alignment wrapText="1"/>
    </xf>
    <xf numFmtId="3" fontId="4" fillId="0" borderId="12" xfId="3" applyNumberFormat="1" applyFont="1" applyFill="1" applyBorder="1" applyAlignment="1">
      <alignment wrapText="1"/>
    </xf>
    <xf numFmtId="3" fontId="4" fillId="0" borderId="4" xfId="3" applyNumberFormat="1" applyFont="1" applyFill="1" applyBorder="1" applyAlignment="1">
      <alignment wrapText="1"/>
    </xf>
    <xf numFmtId="3" fontId="25" fillId="0" borderId="46" xfId="3" applyNumberFormat="1" applyFont="1" applyFill="1" applyBorder="1" applyAlignment="1">
      <alignment wrapText="1"/>
    </xf>
    <xf numFmtId="1" fontId="4" fillId="0" borderId="47" xfId="3" applyNumberFormat="1" applyFont="1" applyFill="1" applyBorder="1" applyAlignment="1">
      <alignment horizontal="left" wrapText="1"/>
    </xf>
    <xf numFmtId="3" fontId="3" fillId="0" borderId="48" xfId="3" applyNumberFormat="1" applyFont="1" applyFill="1" applyBorder="1" applyAlignment="1">
      <alignment wrapText="1"/>
    </xf>
    <xf numFmtId="3" fontId="4" fillId="0" borderId="48" xfId="3" applyNumberFormat="1" applyFont="1" applyFill="1" applyBorder="1" applyAlignment="1">
      <alignment wrapText="1"/>
    </xf>
    <xf numFmtId="3" fontId="3" fillId="0" borderId="49" xfId="3" applyNumberFormat="1" applyFont="1" applyFill="1" applyBorder="1" applyAlignment="1">
      <alignment wrapText="1"/>
    </xf>
    <xf numFmtId="1" fontId="4" fillId="0" borderId="10" xfId="3" applyNumberFormat="1" applyFont="1" applyFill="1" applyBorder="1" applyAlignment="1">
      <alignment horizontal="left" wrapText="1"/>
    </xf>
    <xf numFmtId="3" fontId="4" fillId="0" borderId="10" xfId="3" applyNumberFormat="1" applyFont="1" applyFill="1" applyBorder="1" applyAlignment="1">
      <alignment wrapText="1"/>
    </xf>
    <xf numFmtId="3" fontId="4" fillId="0" borderId="10" xfId="3" applyNumberFormat="1" applyFont="1" applyFill="1" applyBorder="1" applyAlignment="1">
      <alignment horizontal="right" wrapText="1"/>
    </xf>
    <xf numFmtId="1" fontId="3" fillId="0" borderId="1" xfId="3" applyNumberFormat="1" applyFont="1" applyFill="1" applyBorder="1" applyAlignment="1">
      <alignment horizontal="left" wrapText="1"/>
    </xf>
    <xf numFmtId="3" fontId="3" fillId="0" borderId="1" xfId="3" applyNumberFormat="1" applyFont="1" applyFill="1" applyBorder="1" applyAlignment="1">
      <alignment horizontal="right" wrapText="1"/>
    </xf>
    <xf numFmtId="3" fontId="3" fillId="0" borderId="1" xfId="3" applyNumberFormat="1" applyFont="1" applyFill="1" applyBorder="1" applyAlignment="1">
      <alignment horizontal="left" wrapText="1"/>
    </xf>
    <xf numFmtId="1" fontId="4" fillId="0" borderId="1" xfId="3" applyNumberFormat="1" applyFont="1" applyFill="1" applyBorder="1" applyAlignment="1">
      <alignment horizontal="left" wrapText="1"/>
    </xf>
    <xf numFmtId="3" fontId="4" fillId="0" borderId="1" xfId="3" applyNumberFormat="1" applyFont="1" applyFill="1" applyBorder="1" applyAlignment="1">
      <alignment horizontal="right" wrapText="1"/>
    </xf>
    <xf numFmtId="1" fontId="26" fillId="0" borderId="5" xfId="3" applyNumberFormat="1" applyFont="1" applyFill="1" applyBorder="1" applyAlignment="1">
      <alignment horizontal="left" wrapText="1"/>
    </xf>
    <xf numFmtId="3" fontId="26" fillId="0" borderId="5" xfId="3" applyNumberFormat="1" applyFont="1" applyFill="1" applyBorder="1" applyAlignment="1">
      <alignment wrapText="1"/>
    </xf>
    <xf numFmtId="3" fontId="4" fillId="0" borderId="5" xfId="3" applyNumberFormat="1" applyFont="1" applyFill="1" applyBorder="1" applyAlignment="1">
      <alignment wrapText="1"/>
    </xf>
    <xf numFmtId="1" fontId="26" fillId="0" borderId="0" xfId="3" applyNumberFormat="1" applyFont="1" applyFill="1" applyBorder="1" applyAlignment="1">
      <alignment horizontal="left" wrapText="1"/>
    </xf>
    <xf numFmtId="3" fontId="26" fillId="0" borderId="0" xfId="3" applyNumberFormat="1" applyFont="1" applyFill="1" applyBorder="1" applyAlignment="1">
      <alignment wrapText="1"/>
    </xf>
    <xf numFmtId="1" fontId="3" fillId="0" borderId="0" xfId="3" applyNumberFormat="1" applyFont="1" applyFill="1" applyAlignment="1">
      <alignment horizontal="left" wrapText="1"/>
    </xf>
    <xf numFmtId="3" fontId="4" fillId="0" borderId="0" xfId="3" applyNumberFormat="1" applyFont="1" applyFill="1" applyAlignment="1">
      <alignment horizontal="left" wrapText="1"/>
    </xf>
    <xf numFmtId="3" fontId="4" fillId="0" borderId="0" xfId="3" applyNumberFormat="1" applyFont="1" applyFill="1" applyBorder="1" applyAlignment="1">
      <alignment horizontal="center" wrapText="1"/>
    </xf>
    <xf numFmtId="1" fontId="3" fillId="0" borderId="6" xfId="3" applyNumberFormat="1" applyFont="1" applyFill="1" applyBorder="1" applyAlignment="1">
      <alignment horizontal="left" wrapText="1"/>
    </xf>
    <xf numFmtId="3" fontId="27" fillId="0" borderId="8" xfId="3" applyNumberFormat="1" applyFont="1" applyFill="1" applyBorder="1" applyAlignment="1">
      <alignment wrapText="1"/>
    </xf>
    <xf numFmtId="3" fontId="4" fillId="0" borderId="26" xfId="3" applyNumberFormat="1" applyFont="1" applyFill="1" applyBorder="1" applyAlignment="1">
      <alignment wrapText="1"/>
    </xf>
    <xf numFmtId="3" fontId="4" fillId="0" borderId="8" xfId="3" applyNumberFormat="1" applyFont="1" applyFill="1" applyBorder="1" applyAlignment="1">
      <alignment wrapText="1"/>
    </xf>
    <xf numFmtId="3" fontId="27" fillId="0" borderId="26" xfId="3" applyNumberFormat="1" applyFont="1" applyFill="1" applyBorder="1" applyAlignment="1">
      <alignment wrapText="1"/>
    </xf>
    <xf numFmtId="3" fontId="3" fillId="0" borderId="28" xfId="3" applyNumberFormat="1" applyFont="1" applyFill="1" applyBorder="1" applyAlignment="1">
      <alignment wrapText="1"/>
    </xf>
    <xf numFmtId="1" fontId="3" fillId="0" borderId="0" xfId="3" applyNumberFormat="1" applyFont="1" applyFill="1" applyBorder="1" applyAlignment="1">
      <alignment horizontal="left" wrapText="1"/>
    </xf>
    <xf numFmtId="3" fontId="3" fillId="0" borderId="0" xfId="3" applyNumberFormat="1" applyFont="1" applyFill="1" applyBorder="1" applyAlignment="1">
      <alignment horizontal="left" wrapText="1"/>
    </xf>
    <xf numFmtId="3" fontId="27" fillId="0" borderId="0" xfId="3" applyNumberFormat="1" applyFont="1" applyFill="1" applyBorder="1" applyAlignment="1">
      <alignment wrapText="1"/>
    </xf>
    <xf numFmtId="3" fontId="4" fillId="0" borderId="19" xfId="3" applyNumberFormat="1" applyFont="1" applyFill="1" applyBorder="1" applyAlignment="1">
      <alignment wrapText="1"/>
    </xf>
    <xf numFmtId="1" fontId="27" fillId="0" borderId="19" xfId="0" applyNumberFormat="1" applyFont="1" applyFill="1" applyBorder="1" applyAlignment="1">
      <alignment horizontal="left" wrapText="1"/>
    </xf>
    <xf numFmtId="3" fontId="27" fillId="0" borderId="32" xfId="3" applyNumberFormat="1" applyFont="1" applyFill="1" applyBorder="1" applyAlignment="1">
      <alignment wrapText="1"/>
    </xf>
    <xf numFmtId="3" fontId="27" fillId="0" borderId="7" xfId="3" applyNumberFormat="1" applyFont="1" applyFill="1" applyBorder="1" applyAlignment="1">
      <alignment wrapText="1"/>
    </xf>
    <xf numFmtId="3" fontId="4" fillId="0" borderId="50" xfId="3" applyNumberFormat="1" applyFont="1" applyFill="1" applyBorder="1" applyAlignment="1">
      <alignment wrapText="1"/>
    </xf>
    <xf numFmtId="3" fontId="27" fillId="0" borderId="50" xfId="3" applyNumberFormat="1" applyFont="1" applyFill="1" applyBorder="1" applyAlignment="1">
      <alignment wrapText="1"/>
    </xf>
    <xf numFmtId="3" fontId="4" fillId="0" borderId="11" xfId="3" applyNumberFormat="1" applyFont="1" applyFill="1" applyBorder="1" applyAlignment="1">
      <alignment wrapText="1"/>
    </xf>
    <xf numFmtId="3" fontId="3" fillId="0" borderId="51" xfId="3" applyNumberFormat="1" applyFont="1" applyFill="1" applyBorder="1" applyAlignment="1">
      <alignment wrapText="1"/>
    </xf>
    <xf numFmtId="3" fontId="4" fillId="0" borderId="32" xfId="3" applyNumberFormat="1" applyFont="1" applyFill="1" applyBorder="1" applyAlignment="1">
      <alignment wrapText="1"/>
    </xf>
    <xf numFmtId="3" fontId="27" fillId="0" borderId="11" xfId="3" applyNumberFormat="1" applyFont="1" applyFill="1" applyBorder="1" applyAlignment="1">
      <alignment wrapText="1"/>
    </xf>
    <xf numFmtId="3" fontId="3" fillId="0" borderId="0" xfId="3" applyNumberFormat="1" applyFont="1" applyFill="1" applyBorder="1" applyAlignment="1">
      <alignment horizontal="center" wrapText="1"/>
    </xf>
    <xf numFmtId="1" fontId="27" fillId="0" borderId="8" xfId="0" applyNumberFormat="1" applyFont="1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left" wrapText="1"/>
    </xf>
    <xf numFmtId="1" fontId="3" fillId="0" borderId="8" xfId="0" applyNumberFormat="1" applyFont="1" applyFill="1" applyBorder="1" applyAlignment="1">
      <alignment horizontal="left" wrapText="1"/>
    </xf>
    <xf numFmtId="1" fontId="4" fillId="0" borderId="0" xfId="3" applyNumberFormat="1" applyFont="1" applyFill="1" applyBorder="1" applyAlignment="1">
      <alignment horizontal="left" wrapText="1"/>
    </xf>
    <xf numFmtId="3" fontId="4" fillId="0" borderId="0" xfId="3" applyNumberFormat="1" applyFont="1" applyFill="1" applyAlignment="1">
      <alignment horizontal="right" wrapText="1"/>
    </xf>
    <xf numFmtId="3" fontId="4" fillId="0" borderId="0" xfId="3" applyNumberFormat="1" applyFont="1" applyFill="1" applyBorder="1" applyAlignment="1">
      <alignment horizontal="right" wrapText="1"/>
    </xf>
    <xf numFmtId="3" fontId="3" fillId="0" borderId="45" xfId="3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1" fontId="3" fillId="0" borderId="50" xfId="3" applyNumberFormat="1" applyFont="1" applyFill="1" applyBorder="1" applyAlignment="1">
      <alignment horizontal="left" wrapText="1"/>
    </xf>
    <xf numFmtId="3" fontId="4" fillId="0" borderId="29" xfId="3" applyNumberFormat="1" applyFont="1" applyFill="1" applyBorder="1" applyAlignment="1">
      <alignment wrapText="1"/>
    </xf>
    <xf numFmtId="3" fontId="4" fillId="0" borderId="52" xfId="3" applyNumberFormat="1" applyFont="1" applyFill="1" applyBorder="1" applyAlignment="1">
      <alignment wrapText="1"/>
    </xf>
    <xf numFmtId="3" fontId="27" fillId="0" borderId="52" xfId="3" applyNumberFormat="1" applyFont="1" applyFill="1" applyBorder="1" applyAlignment="1">
      <alignment wrapText="1"/>
    </xf>
    <xf numFmtId="179" fontId="4" fillId="0" borderId="0" xfId="3" applyNumberFormat="1" applyFont="1" applyFill="1" applyAlignment="1">
      <alignment horizontal="justify" vertical="justify" wrapText="1"/>
    </xf>
    <xf numFmtId="179" fontId="29" fillId="0" borderId="0" xfId="3" applyNumberFormat="1" applyFont="1" applyFill="1" applyAlignment="1">
      <alignment vertical="justify" wrapText="1"/>
    </xf>
    <xf numFmtId="3" fontId="11" fillId="0" borderId="0" xfId="3" applyNumberFormat="1" applyFont="1" applyFill="1" applyAlignment="1">
      <alignment vertical="top"/>
    </xf>
    <xf numFmtId="179" fontId="2" fillId="0" borderId="0" xfId="3" applyNumberFormat="1" applyFont="1" applyFill="1"/>
    <xf numFmtId="3" fontId="11" fillId="0" borderId="0" xfId="3" applyNumberFormat="1" applyFont="1" applyFill="1" applyBorder="1" applyAlignment="1">
      <alignment vertical="top" wrapText="1"/>
    </xf>
    <xf numFmtId="179" fontId="11" fillId="0" borderId="0" xfId="3" applyNumberFormat="1" applyFont="1" applyFill="1" applyBorder="1" applyAlignment="1">
      <alignment vertical="top"/>
    </xf>
    <xf numFmtId="179" fontId="2" fillId="0" borderId="0" xfId="3" applyNumberFormat="1" applyFont="1" applyFill="1" applyBorder="1" applyAlignment="1">
      <alignment vertical="top"/>
    </xf>
    <xf numFmtId="179" fontId="2" fillId="0" borderId="0" xfId="3" applyNumberFormat="1" applyFont="1" applyFill="1" applyAlignment="1">
      <alignment vertical="top"/>
    </xf>
    <xf numFmtId="9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4" fillId="0" borderId="53" xfId="0" applyFont="1" applyBorder="1" applyAlignment="1">
      <alignment wrapText="1"/>
    </xf>
    <xf numFmtId="3" fontId="3" fillId="0" borderId="26" xfId="3" applyNumberFormat="1" applyFont="1" applyFill="1" applyBorder="1" applyAlignment="1">
      <alignment wrapText="1"/>
    </xf>
    <xf numFmtId="3" fontId="3" fillId="0" borderId="29" xfId="3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1" fontId="3" fillId="0" borderId="19" xfId="3" applyNumberFormat="1" applyFont="1" applyFill="1" applyBorder="1" applyAlignment="1">
      <alignment horizontal="left" wrapText="1"/>
    </xf>
    <xf numFmtId="3" fontId="3" fillId="0" borderId="25" xfId="3" applyNumberFormat="1" applyFont="1" applyFill="1" applyBorder="1" applyAlignment="1">
      <alignment horizontal="left" wrapText="1"/>
    </xf>
    <xf numFmtId="3" fontId="3" fillId="0" borderId="25" xfId="3" applyNumberFormat="1" applyFont="1" applyFill="1" applyBorder="1" applyAlignment="1">
      <alignment wrapText="1"/>
    </xf>
    <xf numFmtId="0" fontId="4" fillId="3" borderId="54" xfId="0" applyFont="1" applyFill="1" applyBorder="1" applyAlignment="1">
      <alignment wrapText="1"/>
    </xf>
    <xf numFmtId="0" fontId="4" fillId="3" borderId="24" xfId="0" applyFont="1" applyFill="1" applyBorder="1" applyAlignment="1">
      <alignment wrapText="1"/>
    </xf>
    <xf numFmtId="0" fontId="4" fillId="3" borderId="37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3" fontId="4" fillId="0" borderId="32" xfId="0" applyNumberFormat="1" applyFont="1" applyFill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32" xfId="0" applyFont="1" applyBorder="1" applyAlignment="1">
      <alignment wrapText="1"/>
    </xf>
    <xf numFmtId="1" fontId="4" fillId="0" borderId="52" xfId="3" applyNumberFormat="1" applyFont="1" applyFill="1" applyBorder="1" applyAlignment="1">
      <alignment horizontal="left" wrapText="1"/>
    </xf>
    <xf numFmtId="3" fontId="27" fillId="0" borderId="29" xfId="3" applyNumberFormat="1" applyFont="1" applyFill="1" applyBorder="1" applyAlignment="1">
      <alignment wrapText="1"/>
    </xf>
    <xf numFmtId="3" fontId="4" fillId="0" borderId="14" xfId="3" applyNumberFormat="1" applyFont="1" applyFill="1" applyBorder="1" applyAlignment="1">
      <alignment wrapText="1"/>
    </xf>
    <xf numFmtId="3" fontId="4" fillId="0" borderId="23" xfId="3" applyNumberFormat="1" applyFont="1" applyFill="1" applyBorder="1" applyAlignment="1">
      <alignment wrapText="1"/>
    </xf>
    <xf numFmtId="3" fontId="4" fillId="0" borderId="30" xfId="3" applyNumberFormat="1" applyFont="1" applyFill="1" applyBorder="1" applyAlignment="1">
      <alignment wrapText="1"/>
    </xf>
    <xf numFmtId="3" fontId="4" fillId="0" borderId="34" xfId="3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1" fontId="4" fillId="0" borderId="50" xfId="3" applyNumberFormat="1" applyFont="1" applyFill="1" applyBorder="1" applyAlignment="1">
      <alignment horizontal="left" wrapText="1"/>
    </xf>
    <xf numFmtId="3" fontId="27" fillId="0" borderId="49" xfId="3" applyNumberFormat="1" applyFont="1" applyFill="1" applyBorder="1" applyAlignment="1">
      <alignment wrapText="1"/>
    </xf>
    <xf numFmtId="3" fontId="4" fillId="0" borderId="49" xfId="3" applyNumberFormat="1" applyFont="1" applyFill="1" applyBorder="1" applyAlignment="1">
      <alignment wrapText="1"/>
    </xf>
    <xf numFmtId="3" fontId="4" fillId="0" borderId="34" xfId="0" applyNumberFormat="1" applyFont="1" applyFill="1" applyBorder="1" applyAlignment="1">
      <alignment wrapText="1"/>
    </xf>
    <xf numFmtId="3" fontId="27" fillId="0" borderId="50" xfId="3" applyNumberFormat="1" applyFont="1" applyFill="1" applyBorder="1" applyAlignment="1">
      <alignment horizontal="justify" wrapText="1"/>
    </xf>
    <xf numFmtId="3" fontId="4" fillId="0" borderId="22" xfId="3" applyNumberFormat="1" applyFont="1" applyFill="1" applyBorder="1" applyAlignment="1">
      <alignment wrapText="1"/>
    </xf>
    <xf numFmtId="3" fontId="4" fillId="0" borderId="23" xfId="0" applyNumberFormat="1" applyFont="1" applyFill="1" applyBorder="1" applyAlignment="1">
      <alignment wrapText="1"/>
    </xf>
    <xf numFmtId="1" fontId="4" fillId="0" borderId="23" xfId="0" applyNumberFormat="1" applyFont="1" applyFill="1" applyBorder="1" applyAlignment="1">
      <alignment horizontal="left" wrapText="1"/>
    </xf>
    <xf numFmtId="3" fontId="27" fillId="0" borderId="28" xfId="3" applyNumberFormat="1" applyFont="1" applyFill="1" applyBorder="1" applyAlignment="1">
      <alignment wrapText="1"/>
    </xf>
    <xf numFmtId="3" fontId="3" fillId="0" borderId="50" xfId="3" applyNumberFormat="1" applyFont="1" applyFill="1" applyBorder="1" applyAlignment="1">
      <alignment wrapText="1"/>
    </xf>
    <xf numFmtId="3" fontId="25" fillId="0" borderId="0" xfId="3" applyNumberFormat="1" applyFont="1" applyFill="1" applyBorder="1" applyAlignment="1">
      <alignment wrapText="1"/>
    </xf>
    <xf numFmtId="179" fontId="3" fillId="3" borderId="29" xfId="3" applyNumberFormat="1" applyFont="1" applyFill="1" applyBorder="1" applyAlignment="1">
      <alignment horizontal="center" vertical="center" wrapText="1"/>
    </xf>
    <xf numFmtId="3" fontId="3" fillId="0" borderId="26" xfId="3" applyNumberFormat="1" applyFont="1" applyFill="1" applyBorder="1" applyAlignment="1">
      <alignment horizontal="center" vertical="center" wrapText="1"/>
    </xf>
    <xf numFmtId="3" fontId="3" fillId="0" borderId="22" xfId="3" applyNumberFormat="1" applyFont="1" applyFill="1" applyBorder="1" applyAlignment="1">
      <alignment horizontal="center" vertical="center" wrapText="1"/>
    </xf>
    <xf numFmtId="179" fontId="3" fillId="3" borderId="33" xfId="3" applyNumberFormat="1" applyFont="1" applyFill="1" applyBorder="1" applyAlignment="1">
      <alignment horizontal="center" vertical="center" wrapText="1"/>
    </xf>
    <xf numFmtId="3" fontId="30" fillId="0" borderId="0" xfId="3" applyNumberFormat="1" applyFont="1" applyFill="1" applyAlignment="1"/>
    <xf numFmtId="179" fontId="4" fillId="0" borderId="0" xfId="3" applyNumberFormat="1" applyFont="1" applyFill="1" applyBorder="1" applyAlignment="1"/>
    <xf numFmtId="3" fontId="4" fillId="0" borderId="0" xfId="3" applyNumberFormat="1" applyFont="1" applyFill="1" applyAlignment="1">
      <alignment vertical="center" wrapText="1"/>
    </xf>
    <xf numFmtId="3" fontId="3" fillId="0" borderId="45" xfId="3" applyNumberFormat="1" applyFont="1" applyFill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  <xf numFmtId="1" fontId="3" fillId="0" borderId="46" xfId="3" applyNumberFormat="1" applyFont="1" applyFill="1" applyBorder="1" applyAlignment="1">
      <alignment horizontal="left" wrapText="1"/>
    </xf>
    <xf numFmtId="179" fontId="4" fillId="0" borderId="56" xfId="3" applyNumberFormat="1" applyFont="1" applyFill="1" applyBorder="1"/>
    <xf numFmtId="3" fontId="3" fillId="0" borderId="56" xfId="3" applyNumberFormat="1" applyFont="1" applyFill="1" applyBorder="1" applyAlignment="1">
      <alignment wrapText="1"/>
    </xf>
    <xf numFmtId="0" fontId="4" fillId="3" borderId="57" xfId="0" applyFont="1" applyFill="1" applyBorder="1" applyAlignment="1">
      <alignment wrapText="1"/>
    </xf>
    <xf numFmtId="0" fontId="4" fillId="3" borderId="58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3" fontId="3" fillId="0" borderId="59" xfId="3" applyNumberFormat="1" applyFont="1" applyFill="1" applyBorder="1" applyAlignment="1">
      <alignment wrapText="1"/>
    </xf>
    <xf numFmtId="3" fontId="3" fillId="0" borderId="30" xfId="3" applyNumberFormat="1" applyFont="1" applyFill="1" applyBorder="1" applyAlignment="1">
      <alignment wrapText="1"/>
    </xf>
    <xf numFmtId="3" fontId="4" fillId="0" borderId="59" xfId="0" applyNumberFormat="1" applyFont="1" applyFill="1" applyBorder="1" applyAlignment="1">
      <alignment wrapText="1"/>
    </xf>
    <xf numFmtId="3" fontId="4" fillId="0" borderId="59" xfId="3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left" wrapText="1"/>
    </xf>
    <xf numFmtId="1" fontId="3" fillId="0" borderId="13" xfId="3" applyNumberFormat="1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left" wrapText="1"/>
    </xf>
    <xf numFmtId="1" fontId="26" fillId="0" borderId="8" xfId="0" applyNumberFormat="1" applyFont="1" applyFill="1" applyBorder="1" applyAlignment="1">
      <alignment horizontal="left" wrapText="1"/>
    </xf>
    <xf numFmtId="3" fontId="3" fillId="0" borderId="1" xfId="3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wrapText="1"/>
    </xf>
    <xf numFmtId="3" fontId="3" fillId="0" borderId="10" xfId="3" applyNumberFormat="1" applyFont="1" applyFill="1" applyBorder="1" applyAlignment="1">
      <alignment horizontal="center" vertical="center" wrapText="1"/>
    </xf>
    <xf numFmtId="179" fontId="4" fillId="0" borderId="2" xfId="3" applyNumberFormat="1" applyFont="1" applyFill="1" applyBorder="1"/>
    <xf numFmtId="179" fontId="4" fillId="0" borderId="26" xfId="3" applyNumberFormat="1" applyFont="1" applyFill="1" applyBorder="1"/>
    <xf numFmtId="180" fontId="4" fillId="0" borderId="2" xfId="0" applyNumberFormat="1" applyFont="1" applyBorder="1" applyAlignment="1">
      <alignment wrapText="1"/>
    </xf>
    <xf numFmtId="179" fontId="4" fillId="0" borderId="53" xfId="3" applyNumberFormat="1" applyFont="1" applyFill="1" applyBorder="1"/>
    <xf numFmtId="1" fontId="4" fillId="0" borderId="8" xfId="3" applyNumberFormat="1" applyFont="1" applyFill="1" applyBorder="1" applyAlignment="1">
      <alignment horizontal="left" wrapText="1"/>
    </xf>
    <xf numFmtId="3" fontId="27" fillId="0" borderId="25" xfId="3" applyNumberFormat="1" applyFont="1" applyFill="1" applyBorder="1" applyAlignment="1">
      <alignment wrapText="1"/>
    </xf>
    <xf numFmtId="1" fontId="4" fillId="0" borderId="11" xfId="3" applyNumberFormat="1" applyFont="1" applyFill="1" applyBorder="1" applyAlignment="1">
      <alignment horizontal="left" wrapText="1"/>
    </xf>
    <xf numFmtId="3" fontId="27" fillId="0" borderId="29" xfId="3" applyNumberFormat="1" applyFont="1" applyFill="1" applyBorder="1" applyAlignment="1">
      <alignment horizontal="center" vertical="center" wrapText="1"/>
    </xf>
    <xf numFmtId="3" fontId="4" fillId="0" borderId="16" xfId="3" applyNumberFormat="1" applyFont="1" applyFill="1" applyBorder="1" applyAlignment="1">
      <alignment wrapText="1"/>
    </xf>
    <xf numFmtId="1" fontId="4" fillId="0" borderId="15" xfId="0" applyNumberFormat="1" applyFont="1" applyFill="1" applyBorder="1" applyAlignment="1">
      <alignment horizontal="left" wrapText="1"/>
    </xf>
    <xf numFmtId="1" fontId="26" fillId="4" borderId="0" xfId="3" applyNumberFormat="1" applyFont="1" applyFill="1" applyBorder="1" applyAlignment="1">
      <alignment horizontal="left" wrapText="1"/>
    </xf>
    <xf numFmtId="3" fontId="26" fillId="4" borderId="0" xfId="3" applyNumberFormat="1" applyFont="1" applyFill="1" applyBorder="1" applyAlignment="1">
      <alignment wrapText="1"/>
    </xf>
    <xf numFmtId="3" fontId="4" fillId="4" borderId="0" xfId="3" applyNumberFormat="1" applyFont="1" applyFill="1" applyBorder="1" applyAlignment="1">
      <alignment wrapText="1"/>
    </xf>
    <xf numFmtId="3" fontId="4" fillId="4" borderId="60" xfId="3" applyNumberFormat="1" applyFont="1" applyFill="1" applyBorder="1" applyAlignment="1">
      <alignment horizontal="right" wrapText="1"/>
    </xf>
    <xf numFmtId="3" fontId="27" fillId="0" borderId="23" xfId="3" applyNumberFormat="1" applyFont="1" applyFill="1" applyBorder="1" applyAlignment="1">
      <alignment wrapText="1"/>
    </xf>
    <xf numFmtId="3" fontId="27" fillId="0" borderId="14" xfId="3" applyNumberFormat="1" applyFont="1" applyFill="1" applyBorder="1" applyAlignment="1">
      <alignment wrapText="1"/>
    </xf>
    <xf numFmtId="3" fontId="33" fillId="0" borderId="0" xfId="3" applyNumberFormat="1" applyFont="1" applyFill="1" applyAlignment="1">
      <alignment horizontal="center"/>
    </xf>
    <xf numFmtId="3" fontId="4" fillId="0" borderId="61" xfId="3" applyNumberFormat="1" applyFont="1" applyFill="1" applyBorder="1" applyAlignment="1">
      <alignment wrapText="1"/>
    </xf>
    <xf numFmtId="3" fontId="3" fillId="0" borderId="9" xfId="3" applyNumberFormat="1" applyFont="1" applyFill="1" applyBorder="1" applyAlignment="1">
      <alignment horizontal="center" vertical="center" wrapText="1"/>
    </xf>
    <xf numFmtId="3" fontId="3" fillId="0" borderId="52" xfId="3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27" fillId="0" borderId="62" xfId="3" applyNumberFormat="1" applyFont="1" applyFill="1" applyBorder="1" applyAlignment="1">
      <alignment wrapText="1"/>
    </xf>
    <xf numFmtId="3" fontId="27" fillId="0" borderId="39" xfId="3" applyNumberFormat="1" applyFont="1" applyFill="1" applyBorder="1" applyAlignment="1">
      <alignment wrapText="1"/>
    </xf>
    <xf numFmtId="3" fontId="27" fillId="0" borderId="51" xfId="3" applyNumberFormat="1" applyFont="1" applyFill="1" applyBorder="1" applyAlignment="1">
      <alignment wrapText="1"/>
    </xf>
    <xf numFmtId="179" fontId="4" fillId="0" borderId="0" xfId="3" applyNumberFormat="1" applyFont="1" applyFill="1" applyAlignment="1">
      <alignment horizontal="center" vertical="center"/>
    </xf>
    <xf numFmtId="3" fontId="3" fillId="0" borderId="8" xfId="3" applyNumberFormat="1" applyFont="1" applyFill="1" applyBorder="1" applyAlignment="1">
      <alignment horizontal="center" vertical="center" wrapText="1"/>
    </xf>
    <xf numFmtId="179" fontId="3" fillId="3" borderId="53" xfId="3" applyNumberFormat="1" applyFont="1" applyFill="1" applyBorder="1" applyAlignment="1">
      <alignment horizontal="center" vertical="center" wrapText="1"/>
    </xf>
    <xf numFmtId="179" fontId="3" fillId="3" borderId="1" xfId="3" applyNumberFormat="1" applyFont="1" applyFill="1" applyBorder="1" applyAlignment="1">
      <alignment horizontal="center" vertical="center" wrapText="1"/>
    </xf>
    <xf numFmtId="179" fontId="3" fillId="3" borderId="2" xfId="3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3" fontId="3" fillId="0" borderId="23" xfId="3" applyNumberFormat="1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79" fontId="4" fillId="0" borderId="0" xfId="3" applyNumberFormat="1" applyFont="1" applyFill="1" applyAlignment="1">
      <alignment vertical="center"/>
    </xf>
    <xf numFmtId="3" fontId="3" fillId="0" borderId="9" xfId="3" applyNumberFormat="1" applyFont="1" applyFill="1" applyBorder="1" applyAlignment="1">
      <alignment vertical="center" wrapText="1"/>
    </xf>
    <xf numFmtId="3" fontId="3" fillId="0" borderId="10" xfId="3" applyNumberFormat="1" applyFont="1" applyFill="1" applyBorder="1" applyAlignment="1">
      <alignment vertical="center" wrapText="1"/>
    </xf>
    <xf numFmtId="3" fontId="27" fillId="0" borderId="10" xfId="3" applyNumberFormat="1" applyFont="1" applyFill="1" applyBorder="1" applyAlignment="1">
      <alignment vertical="center" wrapText="1"/>
    </xf>
    <xf numFmtId="179" fontId="3" fillId="3" borderId="50" xfId="3" applyNumberFormat="1" applyFont="1" applyFill="1" applyBorder="1" applyAlignment="1">
      <alignment vertical="center" wrapText="1"/>
    </xf>
    <xf numFmtId="3" fontId="3" fillId="0" borderId="3" xfId="3" applyNumberFormat="1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vertical="center" wrapText="1"/>
    </xf>
    <xf numFmtId="179" fontId="3" fillId="3" borderId="53" xfId="3" applyNumberFormat="1" applyFont="1" applyFill="1" applyBorder="1" applyAlignment="1">
      <alignment vertical="center" wrapText="1"/>
    </xf>
    <xf numFmtId="179" fontId="3" fillId="3" borderId="1" xfId="3" applyNumberFormat="1" applyFont="1" applyFill="1" applyBorder="1" applyAlignment="1">
      <alignment vertical="center" wrapText="1"/>
    </xf>
    <xf numFmtId="179" fontId="3" fillId="3" borderId="16" xfId="3" applyNumberFormat="1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3" fontId="3" fillId="0" borderId="12" xfId="3" applyNumberFormat="1" applyFont="1" applyFill="1" applyBorder="1" applyAlignment="1">
      <alignment vertical="center" wrapText="1"/>
    </xf>
    <xf numFmtId="3" fontId="3" fillId="0" borderId="5" xfId="3" applyNumberFormat="1" applyFont="1" applyFill="1" applyBorder="1" applyAlignment="1">
      <alignment vertical="center" wrapText="1"/>
    </xf>
    <xf numFmtId="0" fontId="4" fillId="3" borderId="5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3" fontId="27" fillId="0" borderId="10" xfId="3" applyNumberFormat="1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3" fillId="0" borderId="12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9" fontId="3" fillId="3" borderId="52" xfId="3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179" fontId="3" fillId="3" borderId="16" xfId="3" applyNumberFormat="1" applyFont="1" applyFill="1" applyBorder="1" applyAlignment="1">
      <alignment horizontal="center" vertical="center" wrapText="1"/>
    </xf>
    <xf numFmtId="179" fontId="3" fillId="3" borderId="26" xfId="3" applyNumberFormat="1" applyFont="1" applyFill="1" applyBorder="1" applyAlignment="1">
      <alignment horizontal="center" vertical="center" wrapText="1"/>
    </xf>
    <xf numFmtId="179" fontId="3" fillId="3" borderId="15" xfId="3" applyNumberFormat="1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4" fillId="0" borderId="0" xfId="3" applyNumberFormat="1" applyFont="1" applyFill="1" applyAlignment="1"/>
    <xf numFmtId="3" fontId="2" fillId="0" borderId="0" xfId="3" applyNumberFormat="1" applyFont="1" applyFill="1" applyAlignment="1"/>
    <xf numFmtId="1" fontId="27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4" fillId="0" borderId="0" xfId="3" applyNumberFormat="1" applyFont="1" applyFill="1" applyBorder="1" applyAlignment="1"/>
    <xf numFmtId="0" fontId="2" fillId="0" borderId="0" xfId="0" applyFont="1" applyAlignment="1"/>
    <xf numFmtId="0" fontId="2" fillId="0" borderId="0" xfId="0" applyFont="1" applyFill="1" applyAlignment="1"/>
    <xf numFmtId="0" fontId="11" fillId="0" borderId="0" xfId="0" applyFont="1" applyFill="1"/>
    <xf numFmtId="3" fontId="11" fillId="0" borderId="0" xfId="3" applyNumberFormat="1" applyFont="1" applyFill="1" applyAlignment="1">
      <alignment horizontal="center"/>
    </xf>
    <xf numFmtId="3" fontId="37" fillId="0" borderId="0" xfId="3" applyNumberFormat="1" applyFont="1" applyFill="1" applyBorder="1" applyAlignment="1">
      <alignment wrapText="1"/>
    </xf>
    <xf numFmtId="3" fontId="38" fillId="0" borderId="0" xfId="3" applyNumberFormat="1" applyFont="1" applyFill="1" applyBorder="1" applyAlignment="1">
      <alignment wrapText="1"/>
    </xf>
    <xf numFmtId="3" fontId="39" fillId="0" borderId="0" xfId="3" applyNumberFormat="1" applyFont="1" applyFill="1" applyBorder="1" applyAlignment="1">
      <alignment wrapText="1"/>
    </xf>
    <xf numFmtId="179" fontId="2" fillId="0" borderId="0" xfId="3" applyNumberFormat="1" applyFont="1" applyFill="1" applyAlignment="1">
      <alignment wrapText="1"/>
    </xf>
    <xf numFmtId="3" fontId="11" fillId="0" borderId="0" xfId="3" applyNumberFormat="1" applyFont="1" applyFill="1" applyBorder="1" applyAlignment="1"/>
    <xf numFmtId="1" fontId="11" fillId="0" borderId="1" xfId="3" applyNumberFormat="1" applyFont="1" applyFill="1" applyBorder="1" applyAlignment="1">
      <alignment horizontal="left"/>
    </xf>
    <xf numFmtId="3" fontId="11" fillId="0" borderId="1" xfId="3" applyNumberFormat="1" applyFont="1" applyFill="1" applyBorder="1" applyAlignment="1">
      <alignment horizontal="right"/>
    </xf>
    <xf numFmtId="3" fontId="2" fillId="0" borderId="0" xfId="3" applyNumberFormat="1" applyFont="1" applyFill="1" applyBorder="1" applyAlignment="1">
      <alignment horizontal="right"/>
    </xf>
    <xf numFmtId="1" fontId="2" fillId="0" borderId="1" xfId="3" applyNumberFormat="1" applyFont="1" applyFill="1" applyBorder="1" applyAlignment="1">
      <alignment horizontal="left"/>
    </xf>
    <xf numFmtId="3" fontId="2" fillId="0" borderId="1" xfId="3" applyNumberFormat="1" applyFont="1" applyFill="1" applyBorder="1" applyAlignment="1">
      <alignment horizontal="right"/>
    </xf>
    <xf numFmtId="3" fontId="11" fillId="0" borderId="0" xfId="3" applyNumberFormat="1" applyFont="1" applyFill="1" applyBorder="1" applyAlignment="1">
      <alignment horizontal="right"/>
    </xf>
    <xf numFmtId="1" fontId="2" fillId="0" borderId="0" xfId="3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justify" vertical="center" wrapText="1"/>
    </xf>
    <xf numFmtId="3" fontId="2" fillId="0" borderId="0" xfId="3" applyNumberFormat="1" applyFont="1" applyFill="1" applyBorder="1"/>
    <xf numFmtId="1" fontId="2" fillId="0" borderId="0" xfId="3" applyNumberFormat="1" applyFont="1" applyFill="1" applyAlignment="1">
      <alignment horizontal="left"/>
    </xf>
    <xf numFmtId="3" fontId="2" fillId="0" borderId="0" xfId="3" applyNumberFormat="1" applyFont="1" applyFill="1"/>
    <xf numFmtId="1" fontId="2" fillId="0" borderId="0" xfId="3" applyNumberFormat="1" applyFont="1" applyFill="1" applyAlignment="1">
      <alignment horizontal="left" wrapText="1"/>
    </xf>
    <xf numFmtId="3" fontId="2" fillId="0" borderId="52" xfId="3" applyNumberFormat="1" applyFont="1" applyFill="1" applyBorder="1" applyAlignment="1">
      <alignment wrapText="1"/>
    </xf>
    <xf numFmtId="3" fontId="2" fillId="0" borderId="29" xfId="3" applyNumberFormat="1" applyFont="1" applyFill="1" applyBorder="1" applyAlignment="1">
      <alignment wrapText="1"/>
    </xf>
    <xf numFmtId="3" fontId="2" fillId="0" borderId="0" xfId="3" applyNumberFormat="1" applyFont="1" applyFill="1" applyBorder="1" applyAlignment="1">
      <alignment wrapText="1"/>
    </xf>
    <xf numFmtId="3" fontId="2" fillId="0" borderId="8" xfId="3" applyNumberFormat="1" applyFont="1" applyFill="1" applyBorder="1" applyAlignment="1">
      <alignment wrapText="1"/>
    </xf>
    <xf numFmtId="3" fontId="2" fillId="0" borderId="26" xfId="3" applyNumberFormat="1" applyFont="1" applyFill="1" applyBorder="1" applyAlignment="1">
      <alignment wrapText="1"/>
    </xf>
    <xf numFmtId="3" fontId="11" fillId="0" borderId="8" xfId="3" applyNumberFormat="1" applyFont="1" applyFill="1" applyBorder="1" applyAlignment="1">
      <alignment wrapText="1"/>
    </xf>
    <xf numFmtId="3" fontId="40" fillId="0" borderId="0" xfId="3" applyNumberFormat="1" applyFont="1" applyFill="1" applyBorder="1" applyAlignment="1">
      <alignment wrapText="1"/>
    </xf>
    <xf numFmtId="179" fontId="40" fillId="0" borderId="0" xfId="3" applyNumberFormat="1" applyFont="1" applyFill="1" applyBorder="1"/>
    <xf numFmtId="179" fontId="41" fillId="0" borderId="0" xfId="7" applyNumberFormat="1" applyFont="1" applyFill="1" applyBorder="1" applyAlignment="1">
      <alignment horizontal="center"/>
    </xf>
    <xf numFmtId="3" fontId="2" fillId="0" borderId="23" xfId="3" applyNumberFormat="1" applyFont="1" applyFill="1" applyBorder="1" applyAlignment="1">
      <alignment wrapText="1"/>
    </xf>
    <xf numFmtId="3" fontId="2" fillId="0" borderId="22" xfId="3" applyNumberFormat="1" applyFont="1" applyFill="1" applyBorder="1" applyAlignment="1">
      <alignment wrapText="1"/>
    </xf>
    <xf numFmtId="1" fontId="2" fillId="0" borderId="0" xfId="3" applyNumberFormat="1" applyFont="1" applyFill="1" applyBorder="1" applyAlignment="1">
      <alignment horizontal="left" wrapText="1"/>
    </xf>
    <xf numFmtId="179" fontId="2" fillId="0" borderId="0" xfId="3" applyNumberFormat="1" applyFont="1" applyFill="1" applyBorder="1"/>
    <xf numFmtId="179" fontId="40" fillId="0" borderId="0" xfId="3" applyNumberFormat="1" applyFont="1" applyFill="1" applyBorder="1" applyAlignment="1">
      <alignment vertical="top"/>
    </xf>
    <xf numFmtId="3" fontId="42" fillId="0" borderId="0" xfId="3" applyNumberFormat="1" applyFont="1" applyFill="1" applyBorder="1" applyAlignment="1">
      <alignment horizontal="right" wrapText="1"/>
    </xf>
    <xf numFmtId="3" fontId="11" fillId="0" borderId="0" xfId="3" applyNumberFormat="1" applyFont="1" applyFill="1" applyBorder="1" applyAlignment="1">
      <alignment horizontal="center" vertical="top" wrapText="1"/>
    </xf>
    <xf numFmtId="1" fontId="2" fillId="0" borderId="9" xfId="3" applyNumberFormat="1" applyFont="1" applyFill="1" applyBorder="1" applyAlignment="1">
      <alignment horizontal="left" wrapText="1"/>
    </xf>
    <xf numFmtId="3" fontId="11" fillId="0" borderId="10" xfId="3" applyNumberFormat="1" applyFont="1" applyFill="1" applyBorder="1" applyAlignment="1">
      <alignment wrapText="1"/>
    </xf>
    <xf numFmtId="3" fontId="2" fillId="0" borderId="10" xfId="3" applyNumberFormat="1" applyFont="1" applyFill="1" applyBorder="1" applyAlignment="1">
      <alignment wrapText="1"/>
    </xf>
    <xf numFmtId="3" fontId="11" fillId="0" borderId="33" xfId="3" applyNumberFormat="1" applyFont="1" applyFill="1" applyBorder="1" applyAlignment="1">
      <alignment wrapText="1"/>
    </xf>
    <xf numFmtId="1" fontId="11" fillId="0" borderId="3" xfId="3" applyNumberFormat="1" applyFont="1" applyFill="1" applyBorder="1" applyAlignment="1">
      <alignment horizontal="left" wrapText="1"/>
    </xf>
    <xf numFmtId="3" fontId="11" fillId="0" borderId="1" xfId="3" applyNumberFormat="1" applyFont="1" applyFill="1" applyBorder="1" applyAlignment="1">
      <alignment wrapText="1"/>
    </xf>
    <xf numFmtId="3" fontId="11" fillId="0" borderId="1" xfId="3" applyNumberFormat="1" applyFont="1" applyFill="1" applyBorder="1" applyAlignment="1">
      <alignment horizontal="right" wrapText="1"/>
    </xf>
    <xf numFmtId="3" fontId="11" fillId="0" borderId="2" xfId="3" applyNumberFormat="1" applyFont="1" applyFill="1" applyBorder="1" applyAlignment="1">
      <alignment wrapText="1"/>
    </xf>
    <xf numFmtId="3" fontId="11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left" wrapText="1"/>
    </xf>
    <xf numFmtId="3" fontId="11" fillId="0" borderId="2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right" wrapText="1"/>
    </xf>
    <xf numFmtId="3" fontId="2" fillId="0" borderId="1" xfId="3" applyNumberFormat="1" applyFont="1" applyFill="1" applyBorder="1" applyAlignment="1">
      <alignment wrapText="1"/>
    </xf>
    <xf numFmtId="3" fontId="2" fillId="0" borderId="2" xfId="3" applyNumberFormat="1" applyFont="1" applyFill="1" applyBorder="1" applyAlignment="1">
      <alignment wrapText="1"/>
    </xf>
    <xf numFmtId="0" fontId="34" fillId="0" borderId="3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wrapText="1"/>
    </xf>
    <xf numFmtId="179" fontId="2" fillId="0" borderId="1" xfId="3" applyNumberFormat="1" applyFont="1" applyFill="1" applyBorder="1"/>
    <xf numFmtId="4" fontId="34" fillId="0" borderId="1" xfId="0" applyNumberFormat="1" applyFont="1" applyFill="1" applyBorder="1" applyAlignment="1">
      <alignment horizontal="right"/>
    </xf>
    <xf numFmtId="0" fontId="35" fillId="0" borderId="3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left" wrapText="1"/>
    </xf>
    <xf numFmtId="3" fontId="35" fillId="0" borderId="1" xfId="0" applyNumberFormat="1" applyFont="1" applyFill="1" applyBorder="1" applyAlignment="1">
      <alignment horizontal="right" wrapText="1"/>
    </xf>
    <xf numFmtId="4" fontId="34" fillId="0" borderId="2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left" wrapText="1"/>
    </xf>
    <xf numFmtId="3" fontId="34" fillId="0" borderId="1" xfId="0" applyNumberFormat="1" applyFont="1" applyFill="1" applyBorder="1" applyAlignment="1">
      <alignment horizontal="right" wrapText="1"/>
    </xf>
    <xf numFmtId="179" fontId="11" fillId="0" borderId="1" xfId="3" applyNumberFormat="1" applyFont="1" applyFill="1" applyBorder="1"/>
    <xf numFmtId="179" fontId="11" fillId="0" borderId="0" xfId="3" applyNumberFormat="1" applyFont="1" applyFill="1"/>
    <xf numFmtId="4" fontId="35" fillId="0" borderId="1" xfId="0" applyNumberFormat="1" applyFont="1" applyFill="1" applyBorder="1" applyAlignment="1">
      <alignment horizontal="right"/>
    </xf>
    <xf numFmtId="1" fontId="2" fillId="0" borderId="3" xfId="3" applyNumberFormat="1" applyFont="1" applyFill="1" applyBorder="1" applyAlignment="1">
      <alignment horizontal="left" wrapText="1"/>
    </xf>
    <xf numFmtId="1" fontId="2" fillId="0" borderId="12" xfId="3" applyNumberFormat="1" applyFont="1" applyFill="1" applyBorder="1" applyAlignment="1">
      <alignment horizontal="left" wrapText="1"/>
    </xf>
    <xf numFmtId="3" fontId="2" fillId="0" borderId="5" xfId="3" applyNumberFormat="1" applyFont="1" applyFill="1" applyBorder="1" applyAlignment="1">
      <alignment wrapText="1"/>
    </xf>
    <xf numFmtId="3" fontId="2" fillId="0" borderId="4" xfId="3" applyNumberFormat="1" applyFont="1" applyFill="1" applyBorder="1" applyAlignment="1">
      <alignment wrapText="1"/>
    </xf>
    <xf numFmtId="3" fontId="11" fillId="0" borderId="0" xfId="3" applyNumberFormat="1" applyFont="1" applyFill="1" applyBorder="1" applyAlignment="1">
      <alignment wrapText="1"/>
    </xf>
    <xf numFmtId="3" fontId="2" fillId="0" borderId="0" xfId="3" applyNumberFormat="1" applyFont="1" applyFill="1" applyAlignment="1">
      <alignment wrapText="1"/>
    </xf>
    <xf numFmtId="1" fontId="11" fillId="0" borderId="0" xfId="3" applyNumberFormat="1" applyFont="1" applyFill="1" applyAlignment="1">
      <alignment horizontal="left" wrapText="1"/>
    </xf>
    <xf numFmtId="3" fontId="11" fillId="0" borderId="0" xfId="3" applyNumberFormat="1" applyFont="1" applyFill="1" applyAlignment="1">
      <alignment wrapText="1"/>
    </xf>
    <xf numFmtId="3" fontId="11" fillId="0" borderId="0" xfId="0" applyNumberFormat="1" applyFont="1" applyFill="1" applyBorder="1" applyAlignment="1"/>
    <xf numFmtId="3" fontId="2" fillId="0" borderId="0" xfId="3" applyNumberFormat="1" applyFont="1" applyFill="1" applyBorder="1" applyAlignment="1"/>
    <xf numFmtId="3" fontId="11" fillId="0" borderId="24" xfId="3" applyNumberFormat="1" applyFont="1" applyFill="1" applyBorder="1" applyAlignment="1">
      <alignment horizontal="right"/>
    </xf>
    <xf numFmtId="3" fontId="11" fillId="0" borderId="47" xfId="3" applyNumberFormat="1" applyFont="1" applyFill="1" applyBorder="1" applyAlignment="1"/>
    <xf numFmtId="3" fontId="11" fillId="0" borderId="48" xfId="3" applyNumberFormat="1" applyFont="1" applyFill="1" applyBorder="1" applyAlignment="1"/>
    <xf numFmtId="3" fontId="11" fillId="0" borderId="49" xfId="3" applyNumberFormat="1" applyFont="1" applyFill="1" applyBorder="1" applyAlignment="1"/>
    <xf numFmtId="3" fontId="11" fillId="0" borderId="51" xfId="3" applyNumberFormat="1" applyFont="1" applyFill="1" applyBorder="1" applyAlignment="1"/>
    <xf numFmtId="3" fontId="11" fillId="0" borderId="64" xfId="3" applyNumberFormat="1" applyFont="1" applyFill="1" applyBorder="1" applyAlignment="1"/>
    <xf numFmtId="3" fontId="11" fillId="0" borderId="34" xfId="3" applyNumberFormat="1" applyFont="1" applyFill="1" applyBorder="1" applyAlignment="1"/>
    <xf numFmtId="3" fontId="2" fillId="0" borderId="65" xfId="3" applyNumberFormat="1" applyFont="1" applyFill="1" applyBorder="1" applyAlignment="1">
      <alignment wrapText="1"/>
    </xf>
    <xf numFmtId="3" fontId="11" fillId="0" borderId="66" xfId="3" applyNumberFormat="1" applyFont="1" applyFill="1" applyBorder="1" applyAlignment="1">
      <alignment wrapText="1"/>
    </xf>
    <xf numFmtId="3" fontId="2" fillId="0" borderId="66" xfId="3" applyNumberFormat="1" applyFont="1" applyFill="1" applyBorder="1" applyAlignment="1">
      <alignment wrapText="1"/>
    </xf>
    <xf numFmtId="4" fontId="34" fillId="0" borderId="66" xfId="0" applyNumberFormat="1" applyFont="1" applyFill="1" applyBorder="1" applyAlignment="1">
      <alignment horizontal="right"/>
    </xf>
    <xf numFmtId="3" fontId="2" fillId="0" borderId="67" xfId="3" applyNumberFormat="1" applyFont="1" applyFill="1" applyBorder="1" applyAlignment="1">
      <alignment wrapText="1"/>
    </xf>
    <xf numFmtId="0" fontId="4" fillId="0" borderId="68" xfId="0" applyFont="1" applyBorder="1" applyAlignment="1">
      <alignment wrapText="1"/>
    </xf>
    <xf numFmtId="0" fontId="4" fillId="0" borderId="63" xfId="0" applyFont="1" applyBorder="1" applyAlignment="1">
      <alignment wrapText="1"/>
    </xf>
    <xf numFmtId="0" fontId="4" fillId="3" borderId="55" xfId="0" applyFont="1" applyFill="1" applyBorder="1" applyAlignment="1">
      <alignment wrapText="1"/>
    </xf>
    <xf numFmtId="0" fontId="4" fillId="3" borderId="63" xfId="0" applyFont="1" applyFill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2" borderId="53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4" fillId="0" borderId="57" xfId="0" applyFont="1" applyBorder="1" applyAlignment="1">
      <alignment wrapText="1"/>
    </xf>
    <xf numFmtId="0" fontId="4" fillId="0" borderId="69" xfId="0" applyFont="1" applyBorder="1" applyAlignment="1">
      <alignment wrapText="1"/>
    </xf>
    <xf numFmtId="43" fontId="4" fillId="0" borderId="1" xfId="3" applyNumberFormat="1" applyFont="1" applyFill="1" applyBorder="1"/>
    <xf numFmtId="3" fontId="11" fillId="0" borderId="0" xfId="3" applyNumberFormat="1" applyFont="1" applyFill="1" applyAlignment="1">
      <alignment horizontal="center" vertical="center" wrapText="1"/>
    </xf>
    <xf numFmtId="3" fontId="11" fillId="0" borderId="0" xfId="3" applyNumberFormat="1" applyFont="1" applyFill="1" applyAlignment="1">
      <alignment horizontal="center"/>
    </xf>
    <xf numFmtId="3" fontId="2" fillId="0" borderId="0" xfId="3" applyNumberFormat="1" applyFont="1" applyFill="1" applyAlignment="1">
      <alignment vertical="justify" wrapText="1"/>
    </xf>
    <xf numFmtId="0" fontId="2" fillId="0" borderId="0" xfId="0" applyFont="1" applyFill="1" applyAlignment="1">
      <alignment horizontal="left" wrapText="1"/>
    </xf>
    <xf numFmtId="3" fontId="11" fillId="0" borderId="0" xfId="3" applyNumberFormat="1" applyFont="1" applyFill="1" applyBorder="1" applyAlignment="1">
      <alignment vertical="top" wrapText="1"/>
    </xf>
    <xf numFmtId="3" fontId="27" fillId="0" borderId="33" xfId="3" applyNumberFormat="1" applyFont="1" applyFill="1" applyBorder="1" applyAlignment="1">
      <alignment horizontal="center" vertical="center" wrapText="1"/>
    </xf>
    <xf numFmtId="3" fontId="27" fillId="0" borderId="2" xfId="3" applyNumberFormat="1" applyFont="1" applyFill="1" applyBorder="1" applyAlignment="1">
      <alignment horizontal="center" vertical="center" wrapText="1"/>
    </xf>
    <xf numFmtId="3" fontId="27" fillId="0" borderId="4" xfId="3" applyNumberFormat="1" applyFont="1" applyFill="1" applyBorder="1" applyAlignment="1">
      <alignment horizontal="center" vertical="center" wrapText="1"/>
    </xf>
    <xf numFmtId="3" fontId="27" fillId="0" borderId="76" xfId="3" applyNumberFormat="1" applyFont="1" applyFill="1" applyBorder="1" applyAlignment="1">
      <alignment horizontal="center" vertical="center" wrapText="1"/>
    </xf>
    <xf numFmtId="3" fontId="27" fillId="0" borderId="62" xfId="3" applyNumberFormat="1" applyFont="1" applyFill="1" applyBorder="1" applyAlignment="1">
      <alignment horizontal="center" vertical="center" wrapText="1"/>
    </xf>
    <xf numFmtId="3" fontId="27" fillId="0" borderId="39" xfId="3" applyNumberFormat="1" applyFont="1" applyFill="1" applyBorder="1" applyAlignment="1">
      <alignment horizontal="center" vertical="center" wrapText="1"/>
    </xf>
    <xf numFmtId="3" fontId="11" fillId="0" borderId="64" xfId="3" applyNumberFormat="1" applyFont="1" applyFill="1" applyBorder="1" applyAlignment="1">
      <alignment horizontal="left" vertical="top" wrapText="1"/>
    </xf>
    <xf numFmtId="179" fontId="32" fillId="0" borderId="0" xfId="3" applyNumberFormat="1" applyFont="1" applyFill="1" applyBorder="1" applyAlignment="1">
      <alignment horizontal="left" vertical="top" wrapText="1"/>
    </xf>
    <xf numFmtId="1" fontId="4" fillId="4" borderId="60" xfId="3" applyNumberFormat="1" applyFont="1" applyFill="1" applyBorder="1" applyAlignment="1">
      <alignment horizontal="center" wrapText="1"/>
    </xf>
    <xf numFmtId="3" fontId="27" fillId="0" borderId="50" xfId="3" applyNumberFormat="1" applyFont="1" applyFill="1" applyBorder="1" applyAlignment="1">
      <alignment horizontal="center" vertical="center" wrapText="1"/>
    </xf>
    <xf numFmtId="3" fontId="27" fillId="0" borderId="56" xfId="3" applyNumberFormat="1" applyFont="1" applyFill="1" applyBorder="1" applyAlignment="1">
      <alignment horizontal="center" vertical="center" wrapText="1"/>
    </xf>
    <xf numFmtId="3" fontId="27" fillId="0" borderId="14" xfId="3" applyNumberFormat="1" applyFont="1" applyFill="1" applyBorder="1" applyAlignment="1">
      <alignment horizontal="center" vertical="center" wrapText="1"/>
    </xf>
    <xf numFmtId="1" fontId="3" fillId="0" borderId="56" xfId="3" applyNumberFormat="1" applyFont="1" applyFill="1" applyBorder="1" applyAlignment="1">
      <alignment horizontal="center" vertical="center" wrapText="1"/>
    </xf>
    <xf numFmtId="1" fontId="3" fillId="0" borderId="14" xfId="3" applyNumberFormat="1" applyFont="1" applyFill="1" applyBorder="1" applyAlignment="1">
      <alignment horizontal="center" vertical="center" wrapText="1"/>
    </xf>
    <xf numFmtId="3" fontId="3" fillId="0" borderId="56" xfId="3" applyNumberFormat="1" applyFont="1" applyFill="1" applyBorder="1" applyAlignment="1">
      <alignment horizontal="center" vertical="center" wrapText="1"/>
    </xf>
    <xf numFmtId="3" fontId="3" fillId="0" borderId="14" xfId="3" applyNumberFormat="1" applyFont="1" applyFill="1" applyBorder="1" applyAlignment="1">
      <alignment horizontal="center" vertical="center" wrapText="1"/>
    </xf>
    <xf numFmtId="179" fontId="2" fillId="0" borderId="0" xfId="3" applyNumberFormat="1" applyFont="1" applyFill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3" fontId="5" fillId="0" borderId="0" xfId="3" applyNumberFormat="1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179" fontId="5" fillId="0" borderId="0" xfId="3" applyNumberFormat="1" applyFont="1" applyFill="1" applyAlignment="1">
      <alignment horizontal="center" wrapText="1"/>
    </xf>
    <xf numFmtId="179" fontId="2" fillId="0" borderId="0" xfId="3" applyNumberFormat="1" applyFont="1" applyFill="1" applyAlignment="1">
      <alignment horizontal="center" wrapText="1"/>
    </xf>
    <xf numFmtId="179" fontId="11" fillId="0" borderId="0" xfId="3" applyNumberFormat="1" applyFont="1" applyFill="1" applyAlignment="1">
      <alignment horizontal="center"/>
    </xf>
    <xf numFmtId="3" fontId="3" fillId="0" borderId="47" xfId="3" applyNumberFormat="1" applyFont="1" applyFill="1" applyBorder="1" applyAlignment="1">
      <alignment horizontal="center" vertical="center" wrapText="1"/>
    </xf>
    <xf numFmtId="3" fontId="3" fillId="0" borderId="46" xfId="3" applyNumberFormat="1" applyFont="1" applyFill="1" applyBorder="1" applyAlignment="1">
      <alignment horizontal="center" vertical="center" wrapText="1"/>
    </xf>
    <xf numFmtId="3" fontId="3" fillId="0" borderId="51" xfId="3" applyNumberFormat="1" applyFont="1" applyFill="1" applyBorder="1" applyAlignment="1">
      <alignment horizontal="center" vertical="center" wrapText="1"/>
    </xf>
    <xf numFmtId="1" fontId="3" fillId="0" borderId="52" xfId="3" applyNumberFormat="1" applyFont="1" applyFill="1" applyBorder="1" applyAlignment="1">
      <alignment horizontal="center" vertical="center" wrapText="1"/>
    </xf>
    <xf numFmtId="1" fontId="3" fillId="0" borderId="8" xfId="3" applyNumberFormat="1" applyFont="1" applyFill="1" applyBorder="1" applyAlignment="1">
      <alignment horizontal="center" vertical="center" wrapText="1"/>
    </xf>
    <xf numFmtId="1" fontId="3" fillId="0" borderId="23" xfId="3" applyNumberFormat="1" applyFont="1" applyFill="1" applyBorder="1" applyAlignment="1">
      <alignment horizontal="center" vertical="center" wrapText="1"/>
    </xf>
    <xf numFmtId="3" fontId="27" fillId="0" borderId="76" xfId="3" applyNumberFormat="1" applyFont="1" applyFill="1" applyBorder="1" applyAlignment="1">
      <alignment vertical="center" wrapText="1"/>
    </xf>
    <xf numFmtId="3" fontId="27" fillId="0" borderId="62" xfId="3" applyNumberFormat="1" applyFont="1" applyFill="1" applyBorder="1" applyAlignment="1">
      <alignment vertical="center" wrapText="1"/>
    </xf>
    <xf numFmtId="3" fontId="27" fillId="0" borderId="39" xfId="3" applyNumberFormat="1" applyFont="1" applyFill="1" applyBorder="1" applyAlignment="1">
      <alignment vertical="center" wrapText="1"/>
    </xf>
    <xf numFmtId="3" fontId="3" fillId="0" borderId="29" xfId="3" applyNumberFormat="1" applyFont="1" applyFill="1" applyBorder="1" applyAlignment="1">
      <alignment horizontal="center" vertical="center" wrapText="1"/>
    </xf>
    <xf numFmtId="3" fontId="3" fillId="0" borderId="26" xfId="3" applyNumberFormat="1" applyFont="1" applyFill="1" applyBorder="1" applyAlignment="1">
      <alignment horizontal="center" vertical="center" wrapText="1"/>
    </xf>
    <xf numFmtId="3" fontId="3" fillId="0" borderId="22" xfId="3" applyNumberFormat="1" applyFont="1" applyFill="1" applyBorder="1" applyAlignment="1">
      <alignment horizontal="center" vertical="center" wrapText="1"/>
    </xf>
    <xf numFmtId="1" fontId="3" fillId="0" borderId="50" xfId="3" applyNumberFormat="1" applyFont="1" applyFill="1" applyBorder="1" applyAlignment="1">
      <alignment horizontal="center" vertical="center" wrapText="1"/>
    </xf>
    <xf numFmtId="3" fontId="3" fillId="0" borderId="13" xfId="3" applyNumberFormat="1" applyFont="1" applyFill="1" applyBorder="1" applyAlignment="1">
      <alignment horizontal="center" vertical="center" wrapText="1"/>
    </xf>
    <xf numFmtId="3" fontId="3" fillId="0" borderId="28" xfId="3" applyNumberFormat="1" applyFont="1" applyFill="1" applyBorder="1" applyAlignment="1">
      <alignment horizontal="center" vertical="center" wrapText="1"/>
    </xf>
    <xf numFmtId="1" fontId="2" fillId="0" borderId="0" xfId="3" applyNumberFormat="1" applyFont="1" applyFill="1" applyAlignment="1">
      <alignment horizontal="justify" vertical="justify" wrapText="1"/>
    </xf>
    <xf numFmtId="179" fontId="3" fillId="3" borderId="68" xfId="3" applyNumberFormat="1" applyFont="1" applyFill="1" applyBorder="1" applyAlignment="1">
      <alignment horizontal="center" vertical="center" wrapText="1"/>
    </xf>
    <xf numFmtId="179" fontId="3" fillId="3" borderId="10" xfId="3" applyNumberFormat="1" applyFont="1" applyFill="1" applyBorder="1" applyAlignment="1">
      <alignment horizontal="center" vertical="center" wrapText="1"/>
    </xf>
    <xf numFmtId="179" fontId="3" fillId="3" borderId="33" xfId="3" applyNumberFormat="1" applyFont="1" applyFill="1" applyBorder="1" applyAlignment="1">
      <alignment horizontal="center" vertical="center" wrapText="1"/>
    </xf>
    <xf numFmtId="179" fontId="3" fillId="3" borderId="71" xfId="3" applyNumberFormat="1" applyFont="1" applyFill="1" applyBorder="1" applyAlignment="1">
      <alignment horizontal="center" vertical="center" wrapText="1"/>
    </xf>
    <xf numFmtId="179" fontId="3" fillId="3" borderId="29" xfId="3" applyNumberFormat="1" applyFont="1" applyFill="1" applyBorder="1" applyAlignment="1">
      <alignment horizontal="center" vertical="center" wrapText="1"/>
    </xf>
    <xf numFmtId="179" fontId="5" fillId="0" borderId="0" xfId="3" applyNumberFormat="1" applyFont="1" applyFill="1" applyAlignment="1">
      <alignment horizontal="center" vertical="justify" wrapText="1"/>
    </xf>
    <xf numFmtId="1" fontId="3" fillId="0" borderId="72" xfId="3" applyNumberFormat="1" applyFont="1" applyFill="1" applyBorder="1" applyAlignment="1">
      <alignment vertical="center" wrapText="1"/>
    </xf>
    <xf numFmtId="1" fontId="3" fillId="0" borderId="18" xfId="3" applyNumberFormat="1" applyFont="1" applyFill="1" applyBorder="1" applyAlignment="1">
      <alignment vertical="center" wrapText="1"/>
    </xf>
    <xf numFmtId="1" fontId="3" fillId="0" borderId="38" xfId="3" applyNumberFormat="1" applyFont="1" applyFill="1" applyBorder="1" applyAlignment="1">
      <alignment vertical="center" wrapText="1"/>
    </xf>
    <xf numFmtId="3" fontId="3" fillId="0" borderId="73" xfId="3" applyNumberFormat="1" applyFont="1" applyFill="1" applyBorder="1" applyAlignment="1">
      <alignment vertical="center" wrapText="1"/>
    </xf>
    <xf numFmtId="3" fontId="3" fillId="0" borderId="74" xfId="3" applyNumberFormat="1" applyFont="1" applyFill="1" applyBorder="1" applyAlignment="1">
      <alignment vertical="center" wrapText="1"/>
    </xf>
    <xf numFmtId="3" fontId="3" fillId="0" borderId="75" xfId="3" applyNumberFormat="1" applyFont="1" applyFill="1" applyBorder="1" applyAlignment="1">
      <alignment vertical="center" wrapText="1"/>
    </xf>
    <xf numFmtId="179" fontId="3" fillId="3" borderId="71" xfId="3" applyNumberFormat="1" applyFont="1" applyFill="1" applyBorder="1" applyAlignment="1">
      <alignment vertical="center" wrapText="1"/>
    </xf>
    <xf numFmtId="179" fontId="3" fillId="3" borderId="29" xfId="3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0" fillId="0" borderId="27" xfId="0" applyBorder="1"/>
    <xf numFmtId="0" fontId="0" fillId="0" borderId="28" xfId="0" applyBorder="1"/>
    <xf numFmtId="179" fontId="3" fillId="3" borderId="70" xfId="3" applyNumberFormat="1" applyFont="1" applyFill="1" applyBorder="1" applyAlignment="1">
      <alignment horizontal="center" vertical="center" wrapText="1"/>
    </xf>
    <xf numFmtId="179" fontId="3" fillId="3" borderId="70" xfId="3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6" fillId="0" borderId="1" xfId="13" applyNumberFormat="1" applyFont="1" applyFill="1" applyBorder="1" applyAlignment="1">
      <alignment horizontal="center" vertical="center" wrapText="1"/>
    </xf>
    <xf numFmtId="0" fontId="16" fillId="0" borderId="1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 wrapText="1"/>
    </xf>
    <xf numFmtId="0" fontId="11" fillId="0" borderId="0" xfId="13" applyFont="1" applyAlignment="1">
      <alignment horizontal="center"/>
    </xf>
    <xf numFmtId="0" fontId="11" fillId="0" borderId="0" xfId="13" applyFont="1" applyBorder="1" applyAlignment="1">
      <alignment horizontal="center"/>
    </xf>
    <xf numFmtId="0" fontId="2" fillId="0" borderId="27" xfId="0" applyFont="1" applyBorder="1" applyAlignment="1">
      <alignment horizontal="left" wrapText="1"/>
    </xf>
  </cellXfs>
  <cellStyles count="17">
    <cellStyle name="Estilo 1" xfId="1"/>
    <cellStyle name="Euro" xfId="2"/>
    <cellStyle name="Millares" xfId="3" builtinId="3"/>
    <cellStyle name="Millares 2" xfId="4"/>
    <cellStyle name="Millares 2 2" xfId="5"/>
    <cellStyle name="Millares 2 2 2" xfId="6"/>
    <cellStyle name="Millares 3" xfId="7"/>
    <cellStyle name="Normal" xfId="0" builtinId="0"/>
    <cellStyle name="Normal 2" xfId="8"/>
    <cellStyle name="Normal 2 2" xfId="9"/>
    <cellStyle name="Normal 3" xfId="10"/>
    <cellStyle name="Normal 3 2" xfId="11"/>
    <cellStyle name="Normal 4" xfId="12"/>
    <cellStyle name="Normal 5" xfId="13"/>
    <cellStyle name="Porcentual" xfId="14" builtinId="5"/>
    <cellStyle name="Porcentual 2" xfId="15"/>
    <cellStyle name="Porcentual_04-abril NOMINA ALCALDIA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ANA/marco_fiscal_santana_2010_-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_fiscal_cucaita_2010-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cc/Mis%20documentos/villa/villa%202010/estudios%20credito/Formato%207%208B%20y%209%20cumplimiento%20normas%2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CAITA/CUCAITA%20ACUERDO%20PPTO%202011/MFMP-CUCAITA-2010-2018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Datos Generales"/>
      <sheetName val="Ingresos Proyecciones"/>
      <sheetName val="Gastos Proyecciones"/>
      <sheetName val="resumen inversiones"/>
      <sheetName val="PROY DEUDA 2010"/>
      <sheetName val="PROY DEUDA PARQUE"/>
      <sheetName val="EJE ING 06"/>
      <sheetName val="EJE ING 07"/>
      <sheetName val="EJE ING 08"/>
      <sheetName val="EJE ING 09"/>
      <sheetName val="EJE ING 10"/>
      <sheetName val="EJE EGR 06"/>
      <sheetName val="EJE EGR 07"/>
      <sheetName val="EJE EGR 08"/>
      <sheetName val="EJE EGR 09"/>
      <sheetName val="EJE EGR 10"/>
      <sheetName val="INV 06"/>
      <sheetName val="INV 07"/>
      <sheetName val="INV 08"/>
      <sheetName val="INV 09"/>
      <sheetName val="INV 10"/>
      <sheetName val="FUNC 06"/>
      <sheetName val="FUNC 07 "/>
      <sheetName val="FUNC 08"/>
      <sheetName val="FUNC 09"/>
      <sheetName val="FUNC 10"/>
      <sheetName val="Variación Cuentas por Pagar"/>
      <sheetName val="Resumen Indicadores"/>
      <sheetName val="#¡REF"/>
    </sheetNames>
    <sheetDataSet>
      <sheetData sheetId="0" refreshError="1"/>
      <sheetData sheetId="1" refreshError="1"/>
      <sheetData sheetId="2" refreshError="1"/>
      <sheetData sheetId="3" refreshError="1">
        <row r="25">
          <cell r="A25" t="str">
            <v>2</v>
          </cell>
          <cell r="C25" t="str">
            <v>GASTOS</v>
          </cell>
          <cell r="D25">
            <v>4892.9727782099999</v>
          </cell>
          <cell r="E25">
            <v>7420.1012158699996</v>
          </cell>
          <cell r="F25">
            <v>7626.1205507900013</v>
          </cell>
          <cell r="G25">
            <v>7959.1082072999989</v>
          </cell>
          <cell r="H25">
            <v>5455.9828980000002</v>
          </cell>
          <cell r="I25">
            <v>5813.867761714374</v>
          </cell>
          <cell r="J25">
            <v>5979.3945938973757</v>
          </cell>
          <cell r="K25">
            <v>6131.4433788041451</v>
          </cell>
          <cell r="L25">
            <v>6439.0657684588941</v>
          </cell>
          <cell r="M25">
            <v>6711.375339566428</v>
          </cell>
          <cell r="N25">
            <v>6901.8922349404147</v>
          </cell>
          <cell r="O25">
            <v>7316.0057690368394</v>
          </cell>
          <cell r="P25">
            <v>7754.9661151790515</v>
          </cell>
          <cell r="Q25" t="str">
            <v>credimiento :6%</v>
          </cell>
        </row>
        <row r="26">
          <cell r="A26" t="str">
            <v>21</v>
          </cell>
          <cell r="C26" t="str">
            <v xml:space="preserve"> GASTOS DE FUNCIONAMIENTO</v>
          </cell>
          <cell r="D26">
            <v>475.35262526999986</v>
          </cell>
          <cell r="E26">
            <v>504.16219582000008</v>
          </cell>
          <cell r="F26">
            <v>592.19573299000001</v>
          </cell>
          <cell r="G26">
            <v>679.15657151999994</v>
          </cell>
          <cell r="H26">
            <v>863.4510600000001</v>
          </cell>
          <cell r="I26">
            <v>915.25812359999998</v>
          </cell>
          <cell r="J26">
            <v>943.76901101600004</v>
          </cell>
          <cell r="K26">
            <v>1000.3951516769602</v>
          </cell>
          <cell r="L26">
            <v>1060.4188607775779</v>
          </cell>
          <cell r="M26">
            <v>1124.0439924242323</v>
          </cell>
          <cell r="N26">
            <v>1191.4866319696866</v>
          </cell>
          <cell r="O26">
            <v>1262.9758298878678</v>
          </cell>
          <cell r="P26">
            <v>1338.7543796811401</v>
          </cell>
          <cell r="Q26">
            <v>0.06</v>
          </cell>
        </row>
        <row r="27">
          <cell r="A27" t="str">
            <v>211</v>
          </cell>
          <cell r="C27" t="str">
            <v xml:space="preserve">  GASTOS DE PERSONAL</v>
          </cell>
          <cell r="D27">
            <v>363.53580734999991</v>
          </cell>
          <cell r="E27">
            <v>368.98163795000005</v>
          </cell>
          <cell r="F27">
            <v>432.97455998999999</v>
          </cell>
          <cell r="G27">
            <v>472.80479428999996</v>
          </cell>
          <cell r="H27">
            <v>623.4510600000001</v>
          </cell>
          <cell r="I27">
            <v>660.8581236</v>
          </cell>
          <cell r="J27">
            <v>700.50961101600001</v>
          </cell>
          <cell r="K27">
            <v>742.54018767696016</v>
          </cell>
          <cell r="L27">
            <v>787.0925989375778</v>
          </cell>
          <cell r="M27">
            <v>834.31815487383244</v>
          </cell>
          <cell r="N27">
            <v>884.37724416626247</v>
          </cell>
          <cell r="O27">
            <v>937.43987881623832</v>
          </cell>
          <cell r="P27">
            <v>993.68627154521278</v>
          </cell>
        </row>
        <row r="28">
          <cell r="A28" t="str">
            <v>21101</v>
          </cell>
          <cell r="C28" t="str">
            <v xml:space="preserve">   Servicios Personales Asociados a la Nómina</v>
          </cell>
          <cell r="D28">
            <v>213.59404970999998</v>
          </cell>
          <cell r="E28">
            <v>206.30474362000001</v>
          </cell>
          <cell r="F28">
            <v>226.37312799000003</v>
          </cell>
          <cell r="G28">
            <v>245.71055598000001</v>
          </cell>
          <cell r="H28">
            <v>347.83874100000003</v>
          </cell>
          <cell r="I28">
            <v>368.70906546000003</v>
          </cell>
          <cell r="J28">
            <v>390.83160938760005</v>
          </cell>
          <cell r="K28">
            <v>414.28150595085606</v>
          </cell>
          <cell r="L28">
            <v>439.13839630790744</v>
          </cell>
          <cell r="M28">
            <v>465.48670008638192</v>
          </cell>
          <cell r="N28">
            <v>493.41590209156487</v>
          </cell>
          <cell r="O28">
            <v>523.02085621705885</v>
          </cell>
          <cell r="P28">
            <v>554.40210759008244</v>
          </cell>
        </row>
        <row r="29">
          <cell r="A29" t="str">
            <v>21102</v>
          </cell>
          <cell r="C29" t="str">
            <v xml:space="preserve">   Servicios Personales Indirectos</v>
          </cell>
          <cell r="D29">
            <v>82.587754999999987</v>
          </cell>
          <cell r="E29">
            <v>91.064564000000004</v>
          </cell>
          <cell r="F29">
            <v>139.33602500000001</v>
          </cell>
          <cell r="G29">
            <v>137.54062599999997</v>
          </cell>
          <cell r="H29">
            <v>153</v>
          </cell>
          <cell r="I29">
            <v>162.18</v>
          </cell>
          <cell r="J29">
            <v>171.91079999999999</v>
          </cell>
          <cell r="K29">
            <v>182.22544800000003</v>
          </cell>
          <cell r="L29">
            <v>193.15897488000005</v>
          </cell>
          <cell r="M29">
            <v>204.74851337280006</v>
          </cell>
          <cell r="N29">
            <v>217.03342417516808</v>
          </cell>
          <cell r="O29">
            <v>230.05542962567816</v>
          </cell>
          <cell r="P29">
            <v>243.85875540321888</v>
          </cell>
        </row>
        <row r="30">
          <cell r="A30" t="str">
            <v>2110201</v>
          </cell>
          <cell r="C30" t="str">
            <v xml:space="preserve">      Honorarios</v>
          </cell>
          <cell r="D30">
            <v>40.212356999999997</v>
          </cell>
          <cell r="E30">
            <v>49.45</v>
          </cell>
          <cell r="F30">
            <v>84.717500000000001</v>
          </cell>
          <cell r="G30">
            <v>77.834999999999994</v>
          </cell>
          <cell r="H30">
            <v>90</v>
          </cell>
          <cell r="I30">
            <v>95.4</v>
          </cell>
          <cell r="J30">
            <v>101.12400000000001</v>
          </cell>
          <cell r="K30">
            <v>107.19144000000001</v>
          </cell>
          <cell r="L30">
            <v>113.62292640000003</v>
          </cell>
          <cell r="M30">
            <v>120.44030198400003</v>
          </cell>
          <cell r="N30">
            <v>127.66672010304003</v>
          </cell>
          <cell r="O30">
            <v>135.32672330922244</v>
          </cell>
          <cell r="P30">
            <v>143.4463267077758</v>
          </cell>
        </row>
        <row r="31">
          <cell r="A31" t="str">
            <v>2110202</v>
          </cell>
          <cell r="C31" t="str">
            <v xml:space="preserve">      Jornales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2110203</v>
          </cell>
          <cell r="C32" t="str">
            <v xml:space="preserve">      Personal Supernumerario</v>
          </cell>
          <cell r="D32">
            <v>2.9727139999999999</v>
          </cell>
          <cell r="E32">
            <v>6.3992170000000002</v>
          </cell>
          <cell r="F32">
            <v>0</v>
          </cell>
          <cell r="G32">
            <v>1.160512</v>
          </cell>
          <cell r="H32">
            <v>1</v>
          </cell>
          <cell r="I32">
            <v>1.06</v>
          </cell>
          <cell r="J32">
            <v>1.1236000000000002</v>
          </cell>
          <cell r="K32">
            <v>1.1910160000000003</v>
          </cell>
          <cell r="L32">
            <v>1.2624769600000003</v>
          </cell>
          <cell r="M32">
            <v>1.3382255776000005</v>
          </cell>
          <cell r="N32">
            <v>1.4185191122560006</v>
          </cell>
          <cell r="O32">
            <v>1.5036302589913606</v>
          </cell>
          <cell r="P32">
            <v>1.5938480745308423</v>
          </cell>
        </row>
        <row r="33">
          <cell r="A33" t="str">
            <v>2110204</v>
          </cell>
          <cell r="C33" t="str">
            <v xml:space="preserve">      Remuneración por Servicios Técnicos</v>
          </cell>
          <cell r="D33">
            <v>39.402684000000001</v>
          </cell>
          <cell r="E33">
            <v>35.215347000000001</v>
          </cell>
          <cell r="F33">
            <v>54.618524999999998</v>
          </cell>
          <cell r="G33">
            <v>58.545113999999998</v>
          </cell>
          <cell r="H33">
            <v>62</v>
          </cell>
          <cell r="I33">
            <v>65.72</v>
          </cell>
          <cell r="J33">
            <v>69.663200000000003</v>
          </cell>
          <cell r="K33">
            <v>73.84299200000001</v>
          </cell>
          <cell r="L33">
            <v>78.273571520000019</v>
          </cell>
          <cell r="M33">
            <v>82.969985811200019</v>
          </cell>
          <cell r="N33">
            <v>87.948184959872023</v>
          </cell>
          <cell r="O33">
            <v>93.225076057464349</v>
          </cell>
          <cell r="P33">
            <v>98.818580620912215</v>
          </cell>
        </row>
        <row r="34">
          <cell r="A34" t="str">
            <v>2110298</v>
          </cell>
          <cell r="C34" t="str">
            <v xml:space="preserve">      Otros Servicios Personales Indirectos</v>
          </cell>
          <cell r="D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21103</v>
          </cell>
          <cell r="C35" t="str">
            <v xml:space="preserve">   Contribuciones Inherentes a la Nómina</v>
          </cell>
          <cell r="D35">
            <v>67.354002640000004</v>
          </cell>
          <cell r="E35">
            <v>71.612330330000006</v>
          </cell>
          <cell r="F35">
            <v>67.26540700000001</v>
          </cell>
          <cell r="G35">
            <v>89.553612309999991</v>
          </cell>
          <cell r="H35">
            <v>122.61231900000001</v>
          </cell>
          <cell r="I35">
            <v>129.96905814000002</v>
          </cell>
          <cell r="J35">
            <v>137.76720162840002</v>
          </cell>
          <cell r="K35">
            <v>146.03323372610404</v>
          </cell>
          <cell r="L35">
            <v>154.79522774967029</v>
          </cell>
          <cell r="M35">
            <v>164.08294141465049</v>
          </cell>
          <cell r="N35">
            <v>173.92791789952955</v>
          </cell>
          <cell r="O35">
            <v>184.36359297350131</v>
          </cell>
          <cell r="P35">
            <v>195.4254085519114</v>
          </cell>
        </row>
        <row r="36">
          <cell r="A36" t="str">
            <v>2110301</v>
          </cell>
          <cell r="C36" t="str">
            <v xml:space="preserve">      Al Sector Público</v>
          </cell>
          <cell r="D36">
            <v>7.8891180000000007</v>
          </cell>
          <cell r="E36">
            <v>13.126276000000001</v>
          </cell>
          <cell r="F36">
            <v>9.4678140000000006</v>
          </cell>
          <cell r="G36">
            <v>12.160731</v>
          </cell>
          <cell r="H36">
            <v>16.939954</v>
          </cell>
          <cell r="I36">
            <v>17.95635124</v>
          </cell>
          <cell r="J36">
            <v>19.033732314400002</v>
          </cell>
          <cell r="K36">
            <v>20.175756253264002</v>
          </cell>
          <cell r="L36">
            <v>21.386301628459844</v>
          </cell>
          <cell r="M36">
            <v>22.669479726167435</v>
          </cell>
          <cell r="N36">
            <v>24.029648509737481</v>
          </cell>
          <cell r="O36">
            <v>25.471427420321731</v>
          </cell>
          <cell r="P36">
            <v>26.999713065541037</v>
          </cell>
        </row>
        <row r="37">
          <cell r="A37" t="str">
            <v>211030101</v>
          </cell>
          <cell r="C37" t="str">
            <v xml:space="preserve">        Aportes Previsión Social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211030102</v>
          </cell>
          <cell r="C38" t="str">
            <v xml:space="preserve">        Aportes Parafiscales</v>
          </cell>
          <cell r="D38">
            <v>7.8891180000000007</v>
          </cell>
          <cell r="E38">
            <v>13.126276000000001</v>
          </cell>
          <cell r="F38">
            <v>9.4678140000000006</v>
          </cell>
          <cell r="G38">
            <v>12.160731</v>
          </cell>
          <cell r="H38">
            <v>16.939954</v>
          </cell>
          <cell r="I38">
            <v>17.95635124</v>
          </cell>
          <cell r="J38">
            <v>19.033732314400002</v>
          </cell>
          <cell r="K38">
            <v>20.175756253264002</v>
          </cell>
          <cell r="L38">
            <v>21.386301628459844</v>
          </cell>
          <cell r="M38">
            <v>22.669479726167435</v>
          </cell>
          <cell r="N38">
            <v>24.029648509737481</v>
          </cell>
          <cell r="O38">
            <v>25.471427420321731</v>
          </cell>
          <cell r="P38">
            <v>26.999713065541037</v>
          </cell>
        </row>
        <row r="39">
          <cell r="A39" t="str">
            <v>2110302</v>
          </cell>
          <cell r="C39" t="str">
            <v xml:space="preserve">      Al Sector Privado</v>
          </cell>
          <cell r="D39">
            <v>59.464884640000001</v>
          </cell>
          <cell r="E39">
            <v>58.486054330000002</v>
          </cell>
          <cell r="F39">
            <v>57.797593000000006</v>
          </cell>
          <cell r="G39">
            <v>77.392881309999993</v>
          </cell>
          <cell r="H39">
            <v>105.67236500000001</v>
          </cell>
          <cell r="I39">
            <v>112.01270690000001</v>
          </cell>
          <cell r="J39">
            <v>118.73346931400002</v>
          </cell>
          <cell r="K39">
            <v>125.85747747284003</v>
          </cell>
          <cell r="L39">
            <v>133.40892612121044</v>
          </cell>
          <cell r="M39">
            <v>141.41346168848307</v>
          </cell>
          <cell r="N39">
            <v>149.89826938979206</v>
          </cell>
          <cell r="O39">
            <v>158.89216555317958</v>
          </cell>
          <cell r="P39">
            <v>168.42569548637036</v>
          </cell>
        </row>
        <row r="40">
          <cell r="A40" t="str">
            <v>211030201</v>
          </cell>
          <cell r="C40" t="str">
            <v xml:space="preserve">        Aportes Previsión Social</v>
          </cell>
          <cell r="D40">
            <v>53.162383640000002</v>
          </cell>
          <cell r="E40">
            <v>47.985691330000002</v>
          </cell>
          <cell r="F40">
            <v>50.542792000000006</v>
          </cell>
          <cell r="G40">
            <v>68.500537309999999</v>
          </cell>
          <cell r="H40">
            <v>92.120402000000013</v>
          </cell>
          <cell r="I40">
            <v>97.647626120000012</v>
          </cell>
          <cell r="J40">
            <v>103.50648368720002</v>
          </cell>
          <cell r="K40">
            <v>109.71687270843202</v>
          </cell>
          <cell r="L40">
            <v>116.29988507093795</v>
          </cell>
          <cell r="M40">
            <v>123.27787817519423</v>
          </cell>
          <cell r="N40">
            <v>130.6745508657059</v>
          </cell>
          <cell r="O40">
            <v>138.51502391764825</v>
          </cell>
          <cell r="P40">
            <v>146.82592535270715</v>
          </cell>
        </row>
        <row r="41">
          <cell r="A41" t="str">
            <v>211030202</v>
          </cell>
          <cell r="C41" t="str">
            <v xml:space="preserve">        Aportes Parafiscales</v>
          </cell>
          <cell r="D41">
            <v>6.3025010000000004</v>
          </cell>
          <cell r="E41">
            <v>10.500363</v>
          </cell>
          <cell r="F41">
            <v>7.2548009999999996</v>
          </cell>
          <cell r="G41">
            <v>8.8923439999999996</v>
          </cell>
          <cell r="H41">
            <v>13.551963000000001</v>
          </cell>
          <cell r="I41">
            <v>14.365080780000001</v>
          </cell>
          <cell r="J41">
            <v>15.226985626800003</v>
          </cell>
          <cell r="K41">
            <v>16.140604764408003</v>
          </cell>
          <cell r="L41">
            <v>17.109041050272484</v>
          </cell>
          <cell r="M41">
            <v>18.135583513288836</v>
          </cell>
          <cell r="N41">
            <v>19.223718524086166</v>
          </cell>
          <cell r="O41">
            <v>20.377141635531338</v>
          </cell>
          <cell r="P41">
            <v>21.59977013366322</v>
          </cell>
        </row>
        <row r="42">
          <cell r="A42" t="str">
            <v>212</v>
          </cell>
          <cell r="C42" t="str">
            <v xml:space="preserve">  GASTOS GENERALES</v>
          </cell>
          <cell r="D42">
            <v>88.60444099999998</v>
          </cell>
          <cell r="E42">
            <v>111.80178036</v>
          </cell>
          <cell r="F42">
            <v>131.63273800000002</v>
          </cell>
          <cell r="G42">
            <v>181.80191923000001</v>
          </cell>
          <cell r="H42">
            <v>202.5</v>
          </cell>
          <cell r="I42">
            <v>214.65</v>
          </cell>
          <cell r="J42">
            <v>227.529</v>
          </cell>
          <cell r="K42">
            <v>241.18074000000001</v>
          </cell>
          <cell r="L42">
            <v>255.65158440000005</v>
          </cell>
          <cell r="M42">
            <v>270.99067946400004</v>
          </cell>
          <cell r="N42">
            <v>287.25012023184007</v>
          </cell>
          <cell r="O42">
            <v>304.48512744575049</v>
          </cell>
          <cell r="P42">
            <v>322.75423509249549</v>
          </cell>
        </row>
        <row r="43">
          <cell r="A43" t="str">
            <v>21201</v>
          </cell>
          <cell r="C43" t="str">
            <v xml:space="preserve">    Adquisición de Bienes</v>
          </cell>
          <cell r="D43">
            <v>30.171727999999998</v>
          </cell>
          <cell r="E43">
            <v>36.089849999999998</v>
          </cell>
          <cell r="F43">
            <v>48.713050000000003</v>
          </cell>
          <cell r="G43">
            <v>75.696700800000002</v>
          </cell>
          <cell r="H43">
            <v>82</v>
          </cell>
          <cell r="I43">
            <v>86.92</v>
          </cell>
          <cell r="J43">
            <v>92.135200000000012</v>
          </cell>
          <cell r="K43">
            <v>97.663312000000019</v>
          </cell>
          <cell r="L43">
            <v>103.52311072000002</v>
          </cell>
          <cell r="M43">
            <v>109.73449736320002</v>
          </cell>
          <cell r="N43">
            <v>116.31856720499202</v>
          </cell>
          <cell r="O43">
            <v>123.29768123729154</v>
          </cell>
          <cell r="P43">
            <v>130.69554211152905</v>
          </cell>
        </row>
        <row r="44">
          <cell r="A44" t="str">
            <v>21202</v>
          </cell>
          <cell r="C44" t="str">
            <v xml:space="preserve">    Adquisición de Servicios</v>
          </cell>
          <cell r="D44">
            <v>58.18104499999999</v>
          </cell>
          <cell r="E44">
            <v>75.711930359999997</v>
          </cell>
          <cell r="F44">
            <v>82.919688000000008</v>
          </cell>
          <cell r="G44">
            <v>106.10521843000001</v>
          </cell>
          <cell r="H44">
            <v>120.5</v>
          </cell>
          <cell r="I44">
            <v>127.73</v>
          </cell>
          <cell r="J44">
            <v>135.3938</v>
          </cell>
          <cell r="K44">
            <v>143.517428</v>
          </cell>
          <cell r="L44">
            <v>152.12847368000001</v>
          </cell>
          <cell r="M44">
            <v>161.25618210080003</v>
          </cell>
          <cell r="N44">
            <v>170.93155302684804</v>
          </cell>
          <cell r="O44">
            <v>181.18744620845894</v>
          </cell>
          <cell r="P44">
            <v>192.05869298096647</v>
          </cell>
        </row>
        <row r="45">
          <cell r="A45" t="str">
            <v>21298</v>
          </cell>
          <cell r="C45" t="str">
            <v xml:space="preserve">    Otros Gastos Generales</v>
          </cell>
          <cell r="D45">
            <v>0.251668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213</v>
          </cell>
          <cell r="C46" t="str">
            <v xml:space="preserve">  TRANSFERENCIAS</v>
          </cell>
          <cell r="D46">
            <v>23.212376920000001</v>
          </cell>
          <cell r="E46">
            <v>23.378777509999999</v>
          </cell>
          <cell r="F46">
            <v>27.588435</v>
          </cell>
          <cell r="G46">
            <v>24.549858</v>
          </cell>
          <cell r="H46">
            <v>37.5</v>
          </cell>
          <cell r="I46">
            <v>39.75</v>
          </cell>
          <cell r="J46">
            <v>15.730400000000001</v>
          </cell>
          <cell r="K46">
            <v>16.674224000000002</v>
          </cell>
          <cell r="L46">
            <v>17.674677440000004</v>
          </cell>
          <cell r="M46">
            <v>18.735158086400006</v>
          </cell>
          <cell r="N46">
            <v>19.859267571584006</v>
          </cell>
          <cell r="O46">
            <v>21.050823625879048</v>
          </cell>
          <cell r="P46">
            <v>22.313873043431791</v>
          </cell>
        </row>
        <row r="47">
          <cell r="A47" t="str">
            <v>21301</v>
          </cell>
          <cell r="C47" t="str">
            <v xml:space="preserve">   Al Sector Público</v>
          </cell>
          <cell r="D47">
            <v>18.712376920000001</v>
          </cell>
          <cell r="E47">
            <v>19.578777509999998</v>
          </cell>
          <cell r="F47">
            <v>19.788435</v>
          </cell>
          <cell r="G47">
            <v>20.549858</v>
          </cell>
          <cell r="H47">
            <v>23.5</v>
          </cell>
          <cell r="I47">
            <v>24.91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2130101</v>
          </cell>
          <cell r="C48" t="str">
            <v xml:space="preserve">      Pagos de Previsión Social</v>
          </cell>
          <cell r="D48">
            <v>18.712376920000001</v>
          </cell>
          <cell r="E48">
            <v>19.578777509999998</v>
          </cell>
          <cell r="F48">
            <v>19.788435</v>
          </cell>
          <cell r="G48">
            <v>20.549858</v>
          </cell>
          <cell r="H48">
            <v>23.5</v>
          </cell>
          <cell r="I48">
            <v>24.91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21301010101</v>
          </cell>
          <cell r="C49" t="str">
            <v xml:space="preserve">          Cesantías (pagos directos)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21301010102</v>
          </cell>
          <cell r="C50" t="str">
            <v xml:space="preserve">          Pensiones (mesadas)</v>
          </cell>
          <cell r="D50">
            <v>18.712376920000001</v>
          </cell>
          <cell r="E50">
            <v>19.578777509999998</v>
          </cell>
          <cell r="F50">
            <v>19.788435</v>
          </cell>
          <cell r="G50">
            <v>20.549858</v>
          </cell>
          <cell r="H50">
            <v>23.5</v>
          </cell>
          <cell r="I50">
            <v>24.91</v>
          </cell>
        </row>
        <row r="51">
          <cell r="A51" t="str">
            <v>21301010198</v>
          </cell>
          <cell r="C51" t="str">
            <v xml:space="preserve">          Otras Prestaciones Sociales</v>
          </cell>
          <cell r="D51">
            <v>0</v>
          </cell>
          <cell r="I51">
            <v>0</v>
          </cell>
        </row>
        <row r="52">
          <cell r="A52" t="str">
            <v>2130102</v>
          </cell>
          <cell r="C52" t="str">
            <v xml:space="preserve">      Pagos a Otras Entidades del Sector Público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213010201</v>
          </cell>
          <cell r="C53" t="str">
            <v xml:space="preserve">        Al Nivel Nacional (10% del S.G.P.- Forz. Inv.- Art. 49-Ley 863/03)</v>
          </cell>
          <cell r="I53">
            <v>0</v>
          </cell>
        </row>
        <row r="54">
          <cell r="A54" t="str">
            <v>213010202</v>
          </cell>
          <cell r="C54" t="str">
            <v xml:space="preserve">        Departamento (Administración Central)</v>
          </cell>
          <cell r="I54">
            <v>0</v>
          </cell>
        </row>
        <row r="55">
          <cell r="A55" t="str">
            <v>213010203</v>
          </cell>
          <cell r="C55" t="str">
            <v xml:space="preserve">        Distrito (Administración Central)</v>
          </cell>
          <cell r="I55">
            <v>0</v>
          </cell>
        </row>
        <row r="56">
          <cell r="A56" t="str">
            <v>213010204</v>
          </cell>
          <cell r="C56" t="str">
            <v xml:space="preserve">        Municipios (Administración Central)</v>
          </cell>
          <cell r="I56">
            <v>0</v>
          </cell>
        </row>
        <row r="57">
          <cell r="A57" t="str">
            <v>213010205</v>
          </cell>
          <cell r="C57" t="str">
            <v xml:space="preserve">        A Entidades Descentralizadas</v>
          </cell>
          <cell r="I57">
            <v>0</v>
          </cell>
        </row>
        <row r="58">
          <cell r="A58" t="str">
            <v>21302</v>
          </cell>
          <cell r="C58" t="str">
            <v xml:space="preserve">   Al Sector Privado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2130201</v>
          </cell>
          <cell r="C59" t="str">
            <v xml:space="preserve">      Pagos de Previsión Social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21302010101</v>
          </cell>
          <cell r="C60" t="str">
            <v xml:space="preserve">          Cesantías (pagos directos)</v>
          </cell>
          <cell r="I60">
            <v>0</v>
          </cell>
        </row>
        <row r="61">
          <cell r="A61" t="str">
            <v>21302010102</v>
          </cell>
          <cell r="C61" t="str">
            <v xml:space="preserve">          Pensiones (mesadas)</v>
          </cell>
          <cell r="I61">
            <v>0</v>
          </cell>
        </row>
        <row r="62">
          <cell r="A62" t="str">
            <v>21302010198</v>
          </cell>
          <cell r="C62" t="str">
            <v xml:space="preserve">          Otras Prestaciones Sociales</v>
          </cell>
          <cell r="I62">
            <v>0</v>
          </cell>
        </row>
        <row r="63">
          <cell r="A63" t="str">
            <v>2130202</v>
          </cell>
          <cell r="C63" t="str">
            <v xml:space="preserve">    Pagos/Déficit Generado Post Acuerdo (Aplica 617/00)</v>
          </cell>
        </row>
        <row r="64">
          <cell r="A64" t="str">
            <v>21303</v>
          </cell>
          <cell r="C64" t="str">
            <v xml:space="preserve">    Pagos a Organismos Internacionales</v>
          </cell>
        </row>
        <row r="65">
          <cell r="A65" t="str">
            <v>21304</v>
          </cell>
          <cell r="C65" t="str">
            <v xml:space="preserve">    Cuota de Auditaje</v>
          </cell>
        </row>
        <row r="66">
          <cell r="A66" t="str">
            <v>21305</v>
          </cell>
          <cell r="C66" t="str">
            <v xml:space="preserve">   Indemnizaciones por Retiros de Personal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21306</v>
          </cell>
          <cell r="C67" t="str">
            <v xml:space="preserve">   Sentencias y Conciliaciones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21398</v>
          </cell>
          <cell r="C68" t="str">
            <v xml:space="preserve">   Otras Transferencias (a Bomberos, CAR y otras similares de fuentes propias)</v>
          </cell>
          <cell r="D68">
            <v>4.5</v>
          </cell>
          <cell r="E68">
            <v>3.8</v>
          </cell>
          <cell r="F68">
            <v>7.8</v>
          </cell>
          <cell r="G68">
            <v>4</v>
          </cell>
          <cell r="H68">
            <v>14</v>
          </cell>
          <cell r="I68">
            <v>14.84</v>
          </cell>
          <cell r="J68">
            <v>15.730400000000001</v>
          </cell>
          <cell r="K68">
            <v>16.674224000000002</v>
          </cell>
          <cell r="L68">
            <v>17.674677440000004</v>
          </cell>
          <cell r="M68">
            <v>18.735158086400006</v>
          </cell>
          <cell r="N68">
            <v>19.859267571584006</v>
          </cell>
          <cell r="O68">
            <v>21.050823625879048</v>
          </cell>
          <cell r="P68">
            <v>22.313873043431791</v>
          </cell>
        </row>
        <row r="69">
          <cell r="A69" t="str">
            <v>217</v>
          </cell>
          <cell r="C69" t="str">
            <v xml:space="preserve">   DEFICIT FISCAL (FUNCIONAMIENTO) 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12A</v>
          </cell>
          <cell r="C70" t="str">
            <v xml:space="preserve"> DÉFICIT FISCAL VIGENCIAS 2.001 Y SIGUIENTES</v>
          </cell>
        </row>
        <row r="71">
          <cell r="A71" t="str">
            <v>13A</v>
          </cell>
          <cell r="C71" t="str">
            <v xml:space="preserve"> DEFICIT FISCAL VIGENCIA 2.000 Y ANTERIORES</v>
          </cell>
        </row>
        <row r="72">
          <cell r="A72" t="str">
            <v>22</v>
          </cell>
          <cell r="C72" t="str">
            <v>GASTOS DE INVERSION</v>
          </cell>
          <cell r="D72">
            <v>4082.6259559399996</v>
          </cell>
          <cell r="E72">
            <v>6624.4318610499995</v>
          </cell>
          <cell r="F72">
            <v>6730.5984798000009</v>
          </cell>
          <cell r="G72">
            <v>6592.54467845</v>
          </cell>
          <cell r="H72">
            <v>3855.8183399999998</v>
          </cell>
          <cell r="I72">
            <v>4087.1674403999996</v>
          </cell>
          <cell r="J72">
            <v>4332.3974868240002</v>
          </cell>
          <cell r="K72">
            <v>4592.3413360334398</v>
          </cell>
          <cell r="L72">
            <v>4867.8818161954478</v>
          </cell>
          <cell r="M72">
            <v>5159.9547251671738</v>
          </cell>
          <cell r="N72">
            <v>5469.5520086772058</v>
          </cell>
          <cell r="O72">
            <v>5797.7251291978382</v>
          </cell>
          <cell r="P72">
            <v>6145.5886369497093</v>
          </cell>
        </row>
        <row r="73">
          <cell r="A73" t="str">
            <v>223</v>
          </cell>
          <cell r="C73" t="str">
            <v xml:space="preserve">  CON RECURSOS DEL SGP</v>
          </cell>
          <cell r="D73">
            <v>1568.82993485</v>
          </cell>
          <cell r="E73">
            <v>2900.0014103899994</v>
          </cell>
          <cell r="F73">
            <v>2892.3862443900002</v>
          </cell>
          <cell r="G73">
            <v>3023.2964262300002</v>
          </cell>
          <cell r="H73">
            <v>2334.3433439999999</v>
          </cell>
          <cell r="I73">
            <v>2474.4039446399997</v>
          </cell>
          <cell r="J73">
            <v>2622.8681813184003</v>
          </cell>
          <cell r="K73">
            <v>2780.2402721975041</v>
          </cell>
          <cell r="L73">
            <v>2947.0546885293547</v>
          </cell>
          <cell r="M73">
            <v>3123.8779698411163</v>
          </cell>
          <cell r="N73">
            <v>3311.3106480315837</v>
          </cell>
          <cell r="O73">
            <v>3509.9892869134787</v>
          </cell>
          <cell r="P73">
            <v>3720.5886441282878</v>
          </cell>
        </row>
        <row r="74">
          <cell r="A74" t="str">
            <v>22310</v>
          </cell>
          <cell r="C74" t="str">
            <v xml:space="preserve">   EDUCACION</v>
          </cell>
          <cell r="D74">
            <v>150.20284903999999</v>
          </cell>
          <cell r="E74">
            <v>123.09151221</v>
          </cell>
          <cell r="F74">
            <v>160.369416</v>
          </cell>
          <cell r="G74">
            <v>215.73129614999999</v>
          </cell>
          <cell r="H74">
            <v>170.70811600000002</v>
          </cell>
          <cell r="I74">
            <v>180.95060296000005</v>
          </cell>
          <cell r="J74">
            <v>191.80763913760006</v>
          </cell>
          <cell r="K74">
            <v>203.31609748585606</v>
          </cell>
          <cell r="L74">
            <v>215.51506333500745</v>
          </cell>
          <cell r="M74">
            <v>228.44596713510791</v>
          </cell>
          <cell r="N74">
            <v>242.1527251632144</v>
          </cell>
          <cell r="O74">
            <v>256.68188867300728</v>
          </cell>
          <cell r="P74">
            <v>272.0828019933877</v>
          </cell>
        </row>
        <row r="75">
          <cell r="A75" t="str">
            <v>14A</v>
          </cell>
          <cell r="B75" t="str">
            <v xml:space="preserve">corresponde a la suma de las siguientes variables del formato CGR: 2231001,2231004 </v>
          </cell>
          <cell r="C75" t="str">
            <v xml:space="preserve">      Construcción, reparación y manteniemiento de Planteles para Preescolar, Primaria y Secundaria</v>
          </cell>
          <cell r="D75">
            <v>74.005752040000004</v>
          </cell>
          <cell r="E75">
            <v>58.93394121</v>
          </cell>
          <cell r="F75">
            <v>8.4058240000000009</v>
          </cell>
          <cell r="G75">
            <v>40.763089149999999</v>
          </cell>
          <cell r="H75">
            <v>6</v>
          </cell>
          <cell r="I75">
            <v>6.36</v>
          </cell>
          <cell r="J75">
            <v>6.7416000000000009</v>
          </cell>
          <cell r="K75">
            <v>7.1460960000000018</v>
          </cell>
          <cell r="L75">
            <v>7.5748617600000019</v>
          </cell>
          <cell r="M75">
            <v>8.0293534656000016</v>
          </cell>
          <cell r="N75">
            <v>8.511114673536003</v>
          </cell>
          <cell r="O75">
            <v>9.0217815539481645</v>
          </cell>
          <cell r="P75">
            <v>9.5630884471850557</v>
          </cell>
        </row>
        <row r="76">
          <cell r="A76" t="str">
            <v>2231007</v>
          </cell>
          <cell r="C76" t="str">
            <v xml:space="preserve">      Preinversión: Estudios, Proyectos, Diseños y Asesorías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2231008</v>
          </cell>
          <cell r="C77" t="str">
            <v xml:space="preserve">      Pago Personal Docente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2231009</v>
          </cell>
          <cell r="C78" t="str">
            <v xml:space="preserve">      Aportes de Seguridad Social del Personal del Sector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2231012</v>
          </cell>
          <cell r="C79" t="str">
            <v xml:space="preserve">      Subsidio para el Acceso de la Población a Servicios Educativos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15A</v>
          </cell>
          <cell r="B80" t="str">
            <v>Corresponde a la suma de las siguientes variables del formato de la CGR: 2231005;2231006;2231010;2231011;2231014;2231098</v>
          </cell>
          <cell r="C80" t="str">
            <v xml:space="preserve">      Otros Gastos Educación</v>
          </cell>
          <cell r="D80">
            <v>76.197096999999999</v>
          </cell>
          <cell r="E80">
            <v>64.157571000000004</v>
          </cell>
          <cell r="F80">
            <v>151.96359200000001</v>
          </cell>
          <cell r="G80">
            <v>174.96820700000001</v>
          </cell>
          <cell r="H80">
            <v>164.70811600000002</v>
          </cell>
          <cell r="I80">
            <v>174.59060296000004</v>
          </cell>
          <cell r="J80">
            <v>185.06603913760006</v>
          </cell>
          <cell r="K80">
            <v>196.17000148585606</v>
          </cell>
          <cell r="L80">
            <v>207.94020157500745</v>
          </cell>
          <cell r="M80">
            <v>220.41661366950791</v>
          </cell>
          <cell r="N80">
            <v>233.64161048967838</v>
          </cell>
          <cell r="O80">
            <v>247.66010711905909</v>
          </cell>
          <cell r="P80">
            <v>262.51971354620264</v>
          </cell>
        </row>
        <row r="81">
          <cell r="A81" t="str">
            <v>22316</v>
          </cell>
          <cell r="C81" t="str">
            <v xml:space="preserve">   SALUD</v>
          </cell>
          <cell r="D81">
            <v>750.15766626000016</v>
          </cell>
          <cell r="E81">
            <v>1126.6504434199996</v>
          </cell>
          <cell r="F81">
            <v>1382.4002602300002</v>
          </cell>
          <cell r="G81">
            <v>1449.9795327500001</v>
          </cell>
          <cell r="H81">
            <v>1198.6989969999997</v>
          </cell>
          <cell r="I81">
            <v>1270.6209368199998</v>
          </cell>
          <cell r="J81">
            <v>1346.8581930292</v>
          </cell>
          <cell r="K81">
            <v>1427.6696846109519</v>
          </cell>
          <cell r="L81">
            <v>1513.3298656876093</v>
          </cell>
          <cell r="M81">
            <v>1604.129657628866</v>
          </cell>
          <cell r="N81">
            <v>1700.3774370865981</v>
          </cell>
          <cell r="O81">
            <v>1802.4000833117941</v>
          </cell>
          <cell r="P81">
            <v>1910.5440883105018</v>
          </cell>
        </row>
        <row r="82">
          <cell r="A82" t="str">
            <v>16A</v>
          </cell>
          <cell r="B82" t="str">
            <v>corresponde a la suma de las siguientes variables del formato CGR: 2231601,2231603</v>
          </cell>
          <cell r="C82" t="str">
            <v xml:space="preserve">      Construcción y mantenimiento de Hospitales y Puestos de Salud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2231607</v>
          </cell>
          <cell r="C83" t="str">
            <v xml:space="preserve">      Preinversión: Estudios, Proyectos, Diseños y Asesorías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2231608</v>
          </cell>
          <cell r="C84" t="str">
            <v xml:space="preserve">      Pagos de Personal del Sector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2231609</v>
          </cell>
          <cell r="C85" t="str">
            <v xml:space="preserve">      Aportes de Seguridad Social del Personal del Sector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2231612</v>
          </cell>
          <cell r="C86" t="str">
            <v xml:space="preserve">      Subsidio para el Acceso de la Población a Servicios Medicos</v>
          </cell>
          <cell r="D86">
            <v>698.84559026000011</v>
          </cell>
          <cell r="E86">
            <v>1079.3775420199997</v>
          </cell>
          <cell r="F86">
            <v>1329.2928662300001</v>
          </cell>
          <cell r="G86">
            <v>1378.92860075</v>
          </cell>
          <cell r="H86">
            <v>1148.6811779999998</v>
          </cell>
          <cell r="I86">
            <v>1217.6020486799998</v>
          </cell>
          <cell r="J86">
            <v>1290.6581716008</v>
          </cell>
          <cell r="K86">
            <v>1368.097661896848</v>
          </cell>
          <cell r="L86">
            <v>1450.183521610659</v>
          </cell>
          <cell r="M86">
            <v>1537.1945329072987</v>
          </cell>
          <cell r="N86">
            <v>1629.4262048817368</v>
          </cell>
          <cell r="O86">
            <v>1727.1917771746412</v>
          </cell>
          <cell r="P86">
            <v>1830.8232838051197</v>
          </cell>
        </row>
        <row r="87">
          <cell r="A87" t="str">
            <v>17A</v>
          </cell>
          <cell r="B87" t="str">
            <v>Corresponde a la suma de las siguientes variables del formato de la CGR: 2231605;2231610;2231611;2231614;2231615;2231698</v>
          </cell>
          <cell r="C87" t="str">
            <v xml:space="preserve">      Otros Gastos Salud</v>
          </cell>
          <cell r="D87">
            <v>51.312075999999998</v>
          </cell>
          <cell r="E87">
            <v>47.272901400000002</v>
          </cell>
          <cell r="F87">
            <v>53.107393999999999</v>
          </cell>
          <cell r="G87">
            <v>71.050932000000003</v>
          </cell>
          <cell r="H87">
            <v>50.017819000000003</v>
          </cell>
          <cell r="I87">
            <v>53.018888140000008</v>
          </cell>
          <cell r="J87">
            <v>56.200021428400014</v>
          </cell>
          <cell r="K87">
            <v>59.572022714104016</v>
          </cell>
          <cell r="L87">
            <v>63.146344076950257</v>
          </cell>
          <cell r="M87">
            <v>66.935124721567277</v>
          </cell>
          <cell r="N87">
            <v>70.951232204861313</v>
          </cell>
          <cell r="O87">
            <v>75.208306137153002</v>
          </cell>
          <cell r="P87">
            <v>79.720804505382191</v>
          </cell>
        </row>
        <row r="88">
          <cell r="A88" t="str">
            <v>50A</v>
          </cell>
          <cell r="C88" t="str">
            <v xml:space="preserve">  CON RECURSOS DE PARTICIPACIONES DE PROPOSITO GENERAL - SGP</v>
          </cell>
          <cell r="D88">
            <v>668.46941954999988</v>
          </cell>
          <cell r="E88">
            <v>1650.2594547599999</v>
          </cell>
          <cell r="F88">
            <v>1349.61656816</v>
          </cell>
          <cell r="G88">
            <v>1357.5855973299999</v>
          </cell>
          <cell r="H88">
            <v>964.93623100000002</v>
          </cell>
          <cell r="I88">
            <v>1022.83240486</v>
          </cell>
          <cell r="J88">
            <v>1084.2023491516002</v>
          </cell>
          <cell r="K88">
            <v>1149.2544901006963</v>
          </cell>
          <cell r="L88">
            <v>1218.209759506738</v>
          </cell>
          <cell r="M88">
            <v>1291.3023450771425</v>
          </cell>
          <cell r="N88">
            <v>1368.7804857817714</v>
          </cell>
          <cell r="O88">
            <v>1450.9073149286774</v>
          </cell>
          <cell r="P88">
            <v>1537.9617538243983</v>
          </cell>
        </row>
        <row r="89">
          <cell r="A89" t="str">
            <v>51A</v>
          </cell>
          <cell r="C89" t="str">
            <v xml:space="preserve">    Pagos de personal y aportes a la seguridad  social</v>
          </cell>
          <cell r="D89">
            <v>13.362778</v>
          </cell>
          <cell r="E89">
            <v>14.833557000000001</v>
          </cell>
          <cell r="F89">
            <v>28.783943000000001</v>
          </cell>
          <cell r="G89">
            <v>52.617723519999998</v>
          </cell>
          <cell r="H89">
            <v>72.612989999999996</v>
          </cell>
          <cell r="I89">
            <v>76.969769400000004</v>
          </cell>
          <cell r="J89">
            <v>81.587955564000012</v>
          </cell>
          <cell r="K89">
            <v>86.483232897840011</v>
          </cell>
          <cell r="L89">
            <v>91.672226871710421</v>
          </cell>
          <cell r="M89">
            <v>97.172560484013047</v>
          </cell>
          <cell r="N89">
            <v>103.00291411305383</v>
          </cell>
          <cell r="O89">
            <v>109.18308895983706</v>
          </cell>
          <cell r="P89">
            <v>115.7340742974273</v>
          </cell>
        </row>
        <row r="90">
          <cell r="A90" t="str">
            <v>52A</v>
          </cell>
          <cell r="B90" t="str">
            <v>Variables 2250208 y 2250209 formato CGR</v>
          </cell>
          <cell r="C90" t="str">
            <v xml:space="preserve">       Agua Potable y Saneamiento Básico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53A</v>
          </cell>
          <cell r="B91" t="str">
            <v>Variables 2250608 y 2250609 formato CGR</v>
          </cell>
          <cell r="C91" t="str">
            <v xml:space="preserve">       Infraestructura Vial 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A92" t="str">
            <v>54A</v>
          </cell>
          <cell r="B92" t="str">
            <v>Variables 2250808 y  2250809 formato CGR</v>
          </cell>
          <cell r="C92" t="str">
            <v xml:space="preserve">       Vivienda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A93" t="str">
            <v>55A</v>
          </cell>
          <cell r="B93" t="str">
            <v>Variables 2251008 y 2251009 formato CGR</v>
          </cell>
          <cell r="C93" t="str">
            <v xml:space="preserve">       Educación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56A</v>
          </cell>
          <cell r="B94" t="str">
            <v>Variables 2251408 y 2251409 formato CGR</v>
          </cell>
          <cell r="C94" t="str">
            <v xml:space="preserve">       Educación Física, Deporte y Recreación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57A</v>
          </cell>
          <cell r="B95" t="str">
            <v>Variables 2251608 y 2251609 formato CGR</v>
          </cell>
          <cell r="C95" t="str">
            <v xml:space="preserve">       Salud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58A</v>
          </cell>
          <cell r="B96" t="str">
            <v>Variables 2251808 y 2251809  formato CGR</v>
          </cell>
          <cell r="C96" t="str">
            <v xml:space="preserve">       Cultura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59A</v>
          </cell>
          <cell r="B97" t="str">
            <v>Variables 2252008 y 2252009  formato CGR</v>
          </cell>
          <cell r="C97" t="str">
            <v xml:space="preserve">       Sector Energético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60A</v>
          </cell>
          <cell r="B98" t="str">
            <v>Variables 2252208 y 2252209 formato CGR</v>
          </cell>
          <cell r="C98" t="str">
            <v xml:space="preserve">       Desarrollo Agropecuario y Minero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61A</v>
          </cell>
          <cell r="B99" t="str">
            <v>Variables 2252408 y 2252409 formato CGR</v>
          </cell>
          <cell r="C99" t="str">
            <v xml:space="preserve">       Infraestructura Urbana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62A</v>
          </cell>
          <cell r="B100" t="str">
            <v>Variables 2253408 y 2253409 formato CGR</v>
          </cell>
          <cell r="C100" t="str">
            <v xml:space="preserve">       Desarrollo de la comunidad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63A</v>
          </cell>
          <cell r="B101" t="str">
            <v>Variables 2253608 y 2253609 formato CGR</v>
          </cell>
          <cell r="C101" t="str">
            <v xml:space="preserve">       Justicia, defensa y seguridad</v>
          </cell>
          <cell r="D101">
            <v>13.362778</v>
          </cell>
          <cell r="E101">
            <v>14.833557000000001</v>
          </cell>
          <cell r="F101">
            <v>28.783943000000001</v>
          </cell>
          <cell r="G101">
            <v>52.617723519999998</v>
          </cell>
          <cell r="H101">
            <v>72.612989999999996</v>
          </cell>
          <cell r="I101">
            <v>76.969769400000004</v>
          </cell>
          <cell r="J101">
            <v>81.587955564000012</v>
          </cell>
          <cell r="K101">
            <v>86.483232897840011</v>
          </cell>
          <cell r="L101">
            <v>91.672226871710421</v>
          </cell>
          <cell r="M101">
            <v>97.172560484013047</v>
          </cell>
          <cell r="N101">
            <v>103.00291411305383</v>
          </cell>
          <cell r="O101">
            <v>109.18308895983706</v>
          </cell>
          <cell r="P101">
            <v>115.7340742974273</v>
          </cell>
        </row>
        <row r="102">
          <cell r="A102" t="str">
            <v>64A</v>
          </cell>
          <cell r="B102" t="str">
            <v>Variables 2252608 y 2252609 formato CGR</v>
          </cell>
          <cell r="C102" t="str">
            <v xml:space="preserve">       Otros sectores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65A</v>
          </cell>
          <cell r="C103" t="str">
            <v xml:space="preserve">    Subsidios para el acceso de la población al servicio</v>
          </cell>
          <cell r="D103">
            <v>51.275576579999999</v>
          </cell>
          <cell r="E103">
            <v>7.633492480000001</v>
          </cell>
          <cell r="F103">
            <v>30</v>
          </cell>
          <cell r="G103">
            <v>311.25166780999996</v>
          </cell>
          <cell r="H103">
            <v>459.99746600000003</v>
          </cell>
          <cell r="I103">
            <v>487.59731396000006</v>
          </cell>
          <cell r="J103">
            <v>516.85315279760005</v>
          </cell>
          <cell r="K103">
            <v>547.86434196545611</v>
          </cell>
          <cell r="L103">
            <v>580.73620248338352</v>
          </cell>
          <cell r="M103">
            <v>615.58037463238668</v>
          </cell>
          <cell r="N103">
            <v>652.51519711032995</v>
          </cell>
          <cell r="O103">
            <v>691.66610893694974</v>
          </cell>
          <cell r="P103">
            <v>733.16607547316676</v>
          </cell>
        </row>
        <row r="104">
          <cell r="A104" t="str">
            <v>2250212</v>
          </cell>
          <cell r="C104" t="str">
            <v xml:space="preserve">       Agua Potable y Saneamiento Básico</v>
          </cell>
          <cell r="D104">
            <v>27.326999999999998</v>
          </cell>
          <cell r="E104">
            <v>0</v>
          </cell>
          <cell r="F104">
            <v>0</v>
          </cell>
          <cell r="G104">
            <v>253.18145113999998</v>
          </cell>
          <cell r="H104">
            <v>425.92146000000002</v>
          </cell>
          <cell r="I104">
            <v>451.47674760000007</v>
          </cell>
          <cell r="J104">
            <v>478.56535245600008</v>
          </cell>
          <cell r="K104">
            <v>507.27927360336014</v>
          </cell>
          <cell r="L104">
            <v>537.7160300195618</v>
          </cell>
          <cell r="M104">
            <v>569.97899182073559</v>
          </cell>
          <cell r="N104">
            <v>604.17773132997979</v>
          </cell>
          <cell r="O104">
            <v>640.42839520977861</v>
          </cell>
          <cell r="P104">
            <v>678.85409892236532</v>
          </cell>
        </row>
        <row r="105">
          <cell r="A105" t="str">
            <v>66A</v>
          </cell>
          <cell r="B105" t="str">
            <v>Variables 2250812 y 2250813 formato CGR</v>
          </cell>
          <cell r="C105" t="str">
            <v xml:space="preserve">       Vivienda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2251012</v>
          </cell>
          <cell r="C106" t="str">
            <v xml:space="preserve">       Educación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2251612</v>
          </cell>
          <cell r="C107" t="str">
            <v xml:space="preserve">       Salud</v>
          </cell>
          <cell r="D107">
            <v>23.948576580000001</v>
          </cell>
          <cell r="E107">
            <v>7.633492480000001</v>
          </cell>
          <cell r="F107">
            <v>30</v>
          </cell>
          <cell r="G107">
            <v>58.070216670000008</v>
          </cell>
          <cell r="H107">
            <v>34.076006</v>
          </cell>
          <cell r="I107">
            <v>36.120566359999998</v>
          </cell>
          <cell r="J107">
            <v>38.287800341599997</v>
          </cell>
          <cell r="K107">
            <v>40.585068362095996</v>
          </cell>
          <cell r="L107">
            <v>43.020172463821758</v>
          </cell>
          <cell r="M107">
            <v>45.601382811651064</v>
          </cell>
          <cell r="N107">
            <v>48.337465780350129</v>
          </cell>
          <cell r="O107">
            <v>51.23771372717114</v>
          </cell>
          <cell r="P107">
            <v>54.311976550801411</v>
          </cell>
        </row>
        <row r="108">
          <cell r="A108" t="str">
            <v>67A</v>
          </cell>
          <cell r="C108" t="str">
            <v xml:space="preserve">        Sector Energético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 t="str">
            <v>2252212</v>
          </cell>
          <cell r="C109" t="str">
            <v xml:space="preserve">       Desarrollo Agropecuario y Minero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68A</v>
          </cell>
          <cell r="C110" t="str">
            <v xml:space="preserve">    Formación Bruta de capital  y otros (construcción, reparación, mantenimiento, asistencia técnica, preinversión, etc)</v>
          </cell>
          <cell r="D110">
            <v>603.83106496999983</v>
          </cell>
          <cell r="E110">
            <v>1627.7924052799999</v>
          </cell>
          <cell r="F110">
            <v>1290.8326251600001</v>
          </cell>
          <cell r="G110">
            <v>993.71620599999983</v>
          </cell>
          <cell r="H110">
            <v>432.32577500000002</v>
          </cell>
          <cell r="I110">
            <v>458.26532149999997</v>
          </cell>
          <cell r="J110">
            <v>485.76124079000004</v>
          </cell>
          <cell r="K110">
            <v>514.90691523740009</v>
          </cell>
          <cell r="L110">
            <v>545.80133015164415</v>
          </cell>
          <cell r="M110">
            <v>578.54940996074288</v>
          </cell>
          <cell r="N110">
            <v>613.26237455838748</v>
          </cell>
          <cell r="O110">
            <v>650.05811703189056</v>
          </cell>
          <cell r="P110">
            <v>689.06160405380422</v>
          </cell>
        </row>
        <row r="111">
          <cell r="A111" t="str">
            <v>69A</v>
          </cell>
          <cell r="B111" t="str">
            <v>Variables 2250201, 2250202, 2250203, 2250204, 2250205, 2250207, 2250211 y 2250298 del  formato CGR</v>
          </cell>
          <cell r="C111" t="str">
            <v xml:space="preserve">       Agua Potable y Saneamiento Básico</v>
          </cell>
          <cell r="D111">
            <v>241.46680486999998</v>
          </cell>
          <cell r="E111">
            <v>643.00651168000002</v>
          </cell>
          <cell r="F111">
            <v>493.18495500000006</v>
          </cell>
          <cell r="G111">
            <v>339.32879500000001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A112" t="str">
            <v>70A</v>
          </cell>
          <cell r="B112" t="str">
            <v>Variables 2250601, 2250602, 2250603, 2250604, 2250605, 2250607, 2250611, 2250614 y 2250698 del  formato CGR</v>
          </cell>
          <cell r="C112" t="str">
            <v xml:space="preserve">       Infraestructura Vial </v>
          </cell>
          <cell r="D112">
            <v>22.305811000000002</v>
          </cell>
          <cell r="E112">
            <v>157.10940199999999</v>
          </cell>
          <cell r="F112">
            <v>166.55508616</v>
          </cell>
          <cell r="G112">
            <v>339.20034200000003</v>
          </cell>
          <cell r="H112">
            <v>18.150206000000001</v>
          </cell>
          <cell r="I112">
            <v>19.239218360000002</v>
          </cell>
          <cell r="J112">
            <v>20.393571461600004</v>
          </cell>
          <cell r="K112">
            <v>21.617185749296006</v>
          </cell>
          <cell r="L112">
            <v>22.914216894253766</v>
          </cell>
          <cell r="M112">
            <v>24.289069907908992</v>
          </cell>
          <cell r="N112">
            <v>25.746414102383532</v>
          </cell>
          <cell r="O112">
            <v>27.291198948526546</v>
          </cell>
          <cell r="P112">
            <v>28.928670885438141</v>
          </cell>
        </row>
        <row r="113">
          <cell r="A113" t="str">
            <v>71A</v>
          </cell>
          <cell r="B113" t="str">
            <v>Variables 2250801,  2250805, 2250807, 2250811, 2250814 y 2250898 del  formato CGR</v>
          </cell>
          <cell r="C113" t="str">
            <v xml:space="preserve">       Vivienda</v>
          </cell>
          <cell r="D113">
            <v>53.738790999999999</v>
          </cell>
          <cell r="E113">
            <v>222.09963799999997</v>
          </cell>
          <cell r="F113">
            <v>122.911286</v>
          </cell>
          <cell r="G113">
            <v>29.055827000000001</v>
          </cell>
          <cell r="H113">
            <v>25.924897000000001</v>
          </cell>
          <cell r="I113">
            <v>27.480390820000004</v>
          </cell>
          <cell r="J113">
            <v>29.129214269200006</v>
          </cell>
          <cell r="K113">
            <v>30.876967125352007</v>
          </cell>
          <cell r="L113">
            <v>32.729585152873128</v>
          </cell>
          <cell r="M113">
            <v>34.693360262045516</v>
          </cell>
          <cell r="N113">
            <v>36.774961877768249</v>
          </cell>
          <cell r="O113">
            <v>38.981459590434348</v>
          </cell>
          <cell r="P113">
            <v>41.320347165860412</v>
          </cell>
        </row>
        <row r="114">
          <cell r="A114" t="str">
            <v>72A</v>
          </cell>
          <cell r="B114" t="str">
            <v>Variables 2251001, 2251004, 2251005, 2251006, 2251007, 2251010, 2251011, 2251014 y 2251098 del  formato CGR</v>
          </cell>
          <cell r="C114" t="str">
            <v xml:space="preserve">       Educación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73A</v>
          </cell>
          <cell r="B115" t="str">
            <v>Variables 2251401, 2251403, 2251405, 2251407, 2251410, 2251411, 2251414 y 2251498 del  formato CGR</v>
          </cell>
          <cell r="C115" t="str">
            <v xml:space="preserve">       Educación Física, Deporte y Recreación</v>
          </cell>
          <cell r="D115">
            <v>37.898669999999996</v>
          </cell>
          <cell r="E115">
            <v>67.022244999999998</v>
          </cell>
          <cell r="F115">
            <v>62.068171999999997</v>
          </cell>
          <cell r="G115">
            <v>72.272794000000005</v>
          </cell>
          <cell r="H115">
            <v>79.973197999999996</v>
          </cell>
          <cell r="I115">
            <v>84.771589879999993</v>
          </cell>
          <cell r="J115">
            <v>89.857885272800004</v>
          </cell>
          <cell r="K115">
            <v>95.249358389168009</v>
          </cell>
          <cell r="L115">
            <v>100.96431989251809</v>
          </cell>
          <cell r="M115">
            <v>107.02217908606919</v>
          </cell>
          <cell r="N115">
            <v>113.44350983123334</v>
          </cell>
          <cell r="O115">
            <v>120.25012042110735</v>
          </cell>
          <cell r="P115">
            <v>127.4651276463738</v>
          </cell>
        </row>
        <row r="116">
          <cell r="A116" t="str">
            <v>74A</v>
          </cell>
          <cell r="B116" t="str">
            <v>Variables 2251601, 2251603, 2251605, 2251607, 2251610, 2251611, 2251614, 2251615 y 2251698 del  formato CGR</v>
          </cell>
          <cell r="C116" t="str">
            <v xml:space="preserve">       Salud</v>
          </cell>
          <cell r="D116">
            <v>35.819955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75A</v>
          </cell>
          <cell r="B117" t="str">
            <v>Variables 2251801, 2251803, 2251805, 2251807, 2251810, 2251811, 2251814 y  2251898 del  formato CGR</v>
          </cell>
          <cell r="C117" t="str">
            <v xml:space="preserve">       Cultura</v>
          </cell>
          <cell r="D117">
            <v>36.546999999999997</v>
          </cell>
          <cell r="E117">
            <v>53.672299999999993</v>
          </cell>
          <cell r="F117">
            <v>47.387257999999996</v>
          </cell>
          <cell r="G117">
            <v>70.375600000000006</v>
          </cell>
          <cell r="H117">
            <v>59.979899000000003</v>
          </cell>
          <cell r="I117">
            <v>63.578692940000003</v>
          </cell>
          <cell r="J117">
            <v>67.3934145164</v>
          </cell>
          <cell r="K117">
            <v>71.437019387383998</v>
          </cell>
          <cell r="L117">
            <v>75.72324055062704</v>
          </cell>
          <cell r="M117">
            <v>80.266634983664673</v>
          </cell>
          <cell r="N117">
            <v>85.082633082684552</v>
          </cell>
          <cell r="O117">
            <v>90.187591067645627</v>
          </cell>
          <cell r="P117">
            <v>95.598846531704368</v>
          </cell>
        </row>
        <row r="118">
          <cell r="A118" t="str">
            <v>76A</v>
          </cell>
          <cell r="B118" t="str">
            <v>Variables 2252001, 2252003, 2252005, 2252007,  2252011, 2252014 y 2252098 del  formato CGR</v>
          </cell>
          <cell r="C118" t="str">
            <v xml:space="preserve">       Sector Energético</v>
          </cell>
          <cell r="D118">
            <v>11.313547</v>
          </cell>
          <cell r="E118">
            <v>0</v>
          </cell>
          <cell r="F118">
            <v>24.416305999999999</v>
          </cell>
          <cell r="G118">
            <v>24.308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77A</v>
          </cell>
          <cell r="B119" t="str">
            <v>Variables 2252201, 2252203, 2252205, 2252206, 2252207, 2252210, 2252211, 2252214 y 2252215, 2252216, 2252217, 2252218 y 2252298 del  formato CGR</v>
          </cell>
          <cell r="C119" t="str">
            <v xml:space="preserve">       Desarrollo Agropecuario y Minero</v>
          </cell>
          <cell r="D119">
            <v>0</v>
          </cell>
          <cell r="E119">
            <v>128.96467100000001</v>
          </cell>
          <cell r="F119">
            <v>113.96250000000001</v>
          </cell>
          <cell r="G119">
            <v>35.999788000000002</v>
          </cell>
          <cell r="H119">
            <v>34</v>
          </cell>
          <cell r="I119">
            <v>36.04</v>
          </cell>
          <cell r="J119">
            <v>38.202400000000004</v>
          </cell>
          <cell r="K119">
            <v>40.494544000000005</v>
          </cell>
          <cell r="L119">
            <v>42.924216640000004</v>
          </cell>
          <cell r="M119">
            <v>45.499669638400007</v>
          </cell>
          <cell r="N119">
            <v>48.229649816704011</v>
          </cell>
          <cell r="O119">
            <v>51.123428805706254</v>
          </cell>
          <cell r="P119">
            <v>54.190834534048633</v>
          </cell>
        </row>
        <row r="120">
          <cell r="A120" t="str">
            <v>78A</v>
          </cell>
          <cell r="B120" t="str">
            <v>Variables 2252401,  2252402, 2252403, 2252405, 2252407,  2252411 y 2252498 del  formato CGR</v>
          </cell>
          <cell r="C120" t="str">
            <v xml:space="preserve">       Infraestructura Urbana</v>
          </cell>
          <cell r="D120">
            <v>114.2309511</v>
          </cell>
          <cell r="E120">
            <v>40.169028600000004</v>
          </cell>
          <cell r="F120">
            <v>74.829010999999994</v>
          </cell>
          <cell r="G120">
            <v>3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79A</v>
          </cell>
          <cell r="B121" t="str">
            <v>Variables 2253401,  2253403, 2253405, 2253407, 2253410, 2253411, 2253414, 2253415, 2253416 y 2253498 del  formato CGR</v>
          </cell>
          <cell r="C121" t="str">
            <v xml:space="preserve">       Desarrollo de la comunidad</v>
          </cell>
          <cell r="D121">
            <v>31.959534999999999</v>
          </cell>
          <cell r="E121">
            <v>144.76614800000002</v>
          </cell>
          <cell r="F121">
            <v>171.18238400000001</v>
          </cell>
          <cell r="G121">
            <v>67.838000999999991</v>
          </cell>
          <cell r="H121">
            <v>197.29757499999999</v>
          </cell>
          <cell r="I121">
            <v>209.13542950000001</v>
          </cell>
          <cell r="J121">
            <v>221.68355527000003</v>
          </cell>
          <cell r="K121">
            <v>234.98456858620006</v>
          </cell>
          <cell r="L121">
            <v>249.08364270137207</v>
          </cell>
          <cell r="M121">
            <v>264.02866126345441</v>
          </cell>
          <cell r="N121">
            <v>279.87038093926168</v>
          </cell>
          <cell r="O121">
            <v>296.66260379561737</v>
          </cell>
          <cell r="P121">
            <v>314.46236002335445</v>
          </cell>
        </row>
        <row r="122">
          <cell r="A122" t="str">
            <v>80A</v>
          </cell>
          <cell r="B122" t="str">
            <v>Variables 2253601,  2253603, 2253605, 2253607, 2253610, 2253611, 2253614, y 2253698 del  formato CGR</v>
          </cell>
          <cell r="C122" t="str">
            <v xml:space="preserve">       Justicia, defensa y seguridad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 t="str">
            <v>81A</v>
          </cell>
          <cell r="B123" t="str">
            <v>Variables 2255401,  2255403, 2255405, 2255407, 2255410, 2255411, 2255414, 2255416 y 2255498 del  formato CGR</v>
          </cell>
          <cell r="C123" t="str">
            <v xml:space="preserve">       Desarrollo Institucional</v>
          </cell>
          <cell r="D123">
            <v>18.55</v>
          </cell>
          <cell r="E123">
            <v>170.982461</v>
          </cell>
          <cell r="F123">
            <v>14.335666999999999</v>
          </cell>
          <cell r="G123">
            <v>12.337059</v>
          </cell>
          <cell r="H123">
            <v>17</v>
          </cell>
          <cell r="I123">
            <v>18.02</v>
          </cell>
          <cell r="J123">
            <v>19.101200000000002</v>
          </cell>
          <cell r="K123">
            <v>20.247272000000002</v>
          </cell>
          <cell r="L123">
            <v>21.462108320000002</v>
          </cell>
          <cell r="M123">
            <v>22.749834819200004</v>
          </cell>
          <cell r="N123">
            <v>24.114824908352006</v>
          </cell>
          <cell r="O123">
            <v>25.561714402853127</v>
          </cell>
          <cell r="P123">
            <v>27.095417267024317</v>
          </cell>
        </row>
        <row r="124">
          <cell r="A124" t="str">
            <v>82A</v>
          </cell>
          <cell r="B124" t="str">
            <v xml:space="preserve">Variables 2252601,  2252603, 2252605, 2252606, 2252607, 2252611, 2252698, 2252810, 2252811, 2252814, 2252816, 2252817,  2252898, 2253001, 2253003, 2253011, 2253014, 2253098, 2253214, 2253215, 2253216, 2253217, 2255201, 2255203, 2255205, 2255207, 2255211, </v>
          </cell>
          <cell r="C124" t="str">
            <v xml:space="preserve">       Otros sectores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224</v>
          </cell>
          <cell r="C125" t="str">
            <v xml:space="preserve">  CON RECURSOS DE REGALIAS Y FONDOS DE COFINANCIACIÓN</v>
          </cell>
          <cell r="D125">
            <v>1458.5047773499996</v>
          </cell>
          <cell r="E125">
            <v>1300.09276112</v>
          </cell>
          <cell r="F125">
            <v>1416.1947709199999</v>
          </cell>
          <cell r="G125">
            <v>912.32469479999997</v>
          </cell>
          <cell r="H125">
            <v>675.53609399999993</v>
          </cell>
          <cell r="I125">
            <v>716.06825963999995</v>
          </cell>
          <cell r="J125">
            <v>759.03235521839997</v>
          </cell>
          <cell r="K125">
            <v>804.57429653150405</v>
          </cell>
          <cell r="L125">
            <v>852.84875432339436</v>
          </cell>
          <cell r="M125">
            <v>904.01967958279806</v>
          </cell>
          <cell r="N125">
            <v>958.26086035776598</v>
          </cell>
          <cell r="O125">
            <v>1015.756511979232</v>
          </cell>
          <cell r="P125">
            <v>1076.701902697986</v>
          </cell>
        </row>
        <row r="126">
          <cell r="A126" t="str">
            <v>18A</v>
          </cell>
          <cell r="C126" t="str">
            <v xml:space="preserve">    Pagos de personal y aportes a la seguridad  social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19A</v>
          </cell>
          <cell r="B127" t="str">
            <v>Variables 2240208 y 2240209 formato CGR</v>
          </cell>
          <cell r="C127" t="str">
            <v xml:space="preserve">       Agua Potable y Saneamiento Básico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20A</v>
          </cell>
          <cell r="B128" t="str">
            <v>Variables 2240608 y 2240609 formato CGR</v>
          </cell>
          <cell r="C128" t="str">
            <v xml:space="preserve">       Infraestructura Vial 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21A</v>
          </cell>
          <cell r="B129" t="str">
            <v>Variables 2240808 y  2240809 formato CGR</v>
          </cell>
          <cell r="C129" t="str">
            <v xml:space="preserve">       Vivienda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22A</v>
          </cell>
          <cell r="B130" t="str">
            <v>Variables 2241008 y 2241009 formato CGR</v>
          </cell>
          <cell r="C130" t="str">
            <v xml:space="preserve">       Educación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23A</v>
          </cell>
          <cell r="B131" t="str">
            <v>Variables 2241408 y 2241409 formato CGR</v>
          </cell>
          <cell r="C131" t="str">
            <v xml:space="preserve">       Educación Física, Deporte y Recreación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24A</v>
          </cell>
          <cell r="B132" t="str">
            <v>Variables 2241608 y 2241609 formato CGR</v>
          </cell>
          <cell r="C132" t="str">
            <v xml:space="preserve">       Salud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25A</v>
          </cell>
          <cell r="B133" t="str">
            <v>Variables 2241808 y 2241809  formato CGR</v>
          </cell>
          <cell r="C133" t="str">
            <v xml:space="preserve">       Cultura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26A</v>
          </cell>
          <cell r="B134" t="str">
            <v>Variables 2242008 y 2242009  formato CGR</v>
          </cell>
          <cell r="C134" t="str">
            <v xml:space="preserve">       Sector Energético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27A</v>
          </cell>
          <cell r="B135" t="str">
            <v>Variables 2242208 y 2242209 formato CGR</v>
          </cell>
          <cell r="C135" t="str">
            <v xml:space="preserve">       Desarrollo Agropecuario y Minero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28A</v>
          </cell>
          <cell r="B136" t="str">
            <v>Variables 2242408 y 2242409 formato CGR</v>
          </cell>
          <cell r="C136" t="str">
            <v xml:space="preserve">       Infraestructura Urbana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29A</v>
          </cell>
          <cell r="B137" t="str">
            <v>Variables 2243408 y 2243409 formato CGR</v>
          </cell>
          <cell r="C137" t="str">
            <v xml:space="preserve">       Desarrollo de la comunidad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30A</v>
          </cell>
          <cell r="B138" t="str">
            <v>Variables 2243608 y 2243609 formato CGR</v>
          </cell>
          <cell r="C138" t="str">
            <v xml:space="preserve">       Justicia, defensa y seguridad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31A</v>
          </cell>
          <cell r="B139" t="str">
            <v>Variables 2242608 y 2242609 formato CGR</v>
          </cell>
          <cell r="C139" t="str">
            <v xml:space="preserve">       Otros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32A</v>
          </cell>
          <cell r="C140" t="str">
            <v xml:space="preserve">    Subsidios para el acceso de la población al servicio</v>
          </cell>
          <cell r="D140">
            <v>918.9644690299998</v>
          </cell>
          <cell r="E140">
            <v>684.2080867300001</v>
          </cell>
          <cell r="F140">
            <v>672.00471791999985</v>
          </cell>
          <cell r="G140">
            <v>749.6541588</v>
          </cell>
          <cell r="H140">
            <v>675.53609399999993</v>
          </cell>
          <cell r="I140">
            <v>716.06825963999995</v>
          </cell>
          <cell r="J140">
            <v>759.03235521839997</v>
          </cell>
          <cell r="K140">
            <v>804.57429653150405</v>
          </cell>
          <cell r="L140">
            <v>852.84875432339436</v>
          </cell>
          <cell r="M140">
            <v>904.01967958279806</v>
          </cell>
          <cell r="N140">
            <v>958.26086035776598</v>
          </cell>
          <cell r="O140">
            <v>1015.756511979232</v>
          </cell>
          <cell r="P140">
            <v>1076.701902697986</v>
          </cell>
        </row>
        <row r="141">
          <cell r="A141" t="str">
            <v>2240212</v>
          </cell>
          <cell r="C141" t="str">
            <v xml:space="preserve">       Agua Potable y Saneamiento Básico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33A</v>
          </cell>
          <cell r="B142" t="str">
            <v>Variables 2240812 y 2240813 formato CGR</v>
          </cell>
          <cell r="C142" t="str">
            <v xml:space="preserve">       Vivienda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2241012</v>
          </cell>
          <cell r="C143" t="str">
            <v xml:space="preserve">       Educación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2241612</v>
          </cell>
          <cell r="C144" t="str">
            <v xml:space="preserve">       Salud</v>
          </cell>
          <cell r="D144">
            <v>918.9644690299998</v>
          </cell>
          <cell r="E144">
            <v>684.2080867300001</v>
          </cell>
          <cell r="F144">
            <v>672.00471791999985</v>
          </cell>
          <cell r="G144">
            <v>749.6541588</v>
          </cell>
          <cell r="H144">
            <v>675.53609399999993</v>
          </cell>
          <cell r="I144">
            <v>716.06825963999995</v>
          </cell>
          <cell r="J144">
            <v>759.03235521839997</v>
          </cell>
          <cell r="K144">
            <v>804.57429653150405</v>
          </cell>
          <cell r="L144">
            <v>852.84875432339436</v>
          </cell>
          <cell r="M144">
            <v>904.01967958279806</v>
          </cell>
          <cell r="N144">
            <v>958.26086035776598</v>
          </cell>
          <cell r="O144">
            <v>1015.756511979232</v>
          </cell>
          <cell r="P144">
            <v>1076.701902697986</v>
          </cell>
        </row>
        <row r="145">
          <cell r="A145" t="str">
            <v>34A</v>
          </cell>
          <cell r="C145" t="str">
            <v xml:space="preserve">       Sector Energético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2242212</v>
          </cell>
          <cell r="C146" t="str">
            <v xml:space="preserve">       Desarrollo Agropecuario y Minero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35A</v>
          </cell>
          <cell r="C147" t="str">
            <v xml:space="preserve">    Formación Bruta de capital  y otros (construcción, reparación, mantenimiento, asistencia técnica, preinversión, etc)</v>
          </cell>
          <cell r="D147">
            <v>539.54030831999989</v>
          </cell>
          <cell r="E147">
            <v>615.88467438999999</v>
          </cell>
          <cell r="F147">
            <v>744.19005299999992</v>
          </cell>
          <cell r="G147">
            <v>162.670536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36A</v>
          </cell>
          <cell r="B148" t="str">
            <v>Variables 2240201, 2240202, 2240203, 2240204, 2240205, 2240207, 2240211 y 2240298 del  formato CGR</v>
          </cell>
          <cell r="C148" t="str">
            <v xml:space="preserve">       Agua Potable y Saneamiento Básico</v>
          </cell>
          <cell r="D148">
            <v>11.658652419999999</v>
          </cell>
          <cell r="E148">
            <v>0</v>
          </cell>
          <cell r="F148">
            <v>589.46547299999997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37A</v>
          </cell>
          <cell r="B149" t="str">
            <v>Variables 2240601, 2240602, 2240603, 2240604, 2240605, 2240607, 2240611, 2240614 y 2240698 del  formato CGR</v>
          </cell>
          <cell r="C149" t="str">
            <v xml:space="preserve">       Infraestructura Vial </v>
          </cell>
          <cell r="D149">
            <v>148.87384589999999</v>
          </cell>
          <cell r="E149">
            <v>184.31697439000001</v>
          </cell>
          <cell r="F149">
            <v>144.460554</v>
          </cell>
          <cell r="G149">
            <v>141.09067200000001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38A</v>
          </cell>
          <cell r="B150" t="str">
            <v>Variables 2240801,  2240805, 2240807, 2240811, 2240814 y 2240898 del  formato CGR</v>
          </cell>
          <cell r="C150" t="str">
            <v xml:space="preserve">       Vivienda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39A</v>
          </cell>
          <cell r="B151" t="str">
            <v>Variables 2241001, 2241004, 2241005, 2241006, 2241007, 2241010, 2241011, 2241014 y 2241098 del  formato CGR</v>
          </cell>
          <cell r="C151" t="str">
            <v xml:space="preserve">       Educación</v>
          </cell>
          <cell r="D151">
            <v>0</v>
          </cell>
          <cell r="E151">
            <v>256.79770000000002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40A</v>
          </cell>
          <cell r="B152" t="str">
            <v>Variables 2241401, 2241403, 2241405, 2241407, 2241410, 2241411, 2241414 y 2241498 del  formato CGR</v>
          </cell>
          <cell r="C152" t="str">
            <v xml:space="preserve">       Educación Física, Deporte y Recreación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41A</v>
          </cell>
          <cell r="B153" t="str">
            <v>Variables 2241601, 2241603, 2241605, 2241607, 2241610, 2241611, 2241614, 2241615 y 2241698 del  formato CGR</v>
          </cell>
          <cell r="C153" t="str">
            <v xml:space="preserve">       Salud</v>
          </cell>
          <cell r="D153">
            <v>4.4977580000000001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42A</v>
          </cell>
          <cell r="B154" t="str">
            <v>Variables 2241801, 2241803, 2241805, 2241807, 2241810, 2241811, 2241814 y  2241898 del  formato CGR</v>
          </cell>
          <cell r="C154" t="str">
            <v xml:space="preserve">       Cultura</v>
          </cell>
          <cell r="D154">
            <v>0</v>
          </cell>
          <cell r="E154">
            <v>0</v>
          </cell>
          <cell r="F154">
            <v>0</v>
          </cell>
          <cell r="G154">
            <v>7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43A</v>
          </cell>
          <cell r="B155" t="str">
            <v>Variables 2242001, 2242003, 2242005, 2242007,  2242011, 2242014 y 2242098 del  formato CGR</v>
          </cell>
          <cell r="C155" t="str">
            <v xml:space="preserve">       Sector Energético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44A</v>
          </cell>
          <cell r="B156" t="str">
            <v>Variables 2242201, 2242203, 2242205, 2242206, 2242207, 2242210, 2242211, 2242214 y 2242215, 2242216, 2242217, 2242218 y 2242298 del  formato CGR</v>
          </cell>
          <cell r="C156" t="str">
            <v xml:space="preserve">       Desarrollo Agropecuario y Minero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45A</v>
          </cell>
          <cell r="B157" t="str">
            <v>Variables 2242401,  2242402, 2242403, 2242405, 2242407,  2242411 y 2242498 del  formato CGR</v>
          </cell>
          <cell r="C157" t="str">
            <v xml:space="preserve">       Infraestructura Urbana</v>
          </cell>
          <cell r="D157">
            <v>349.54</v>
          </cell>
          <cell r="E157">
            <v>174.77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46A</v>
          </cell>
          <cell r="B158" t="str">
            <v>Variables 2243401,  2243403, 2243405, 2243407, 2243410, 2243411, 2243414, 2243415, 2243416 y 2243498 del  formato CGR</v>
          </cell>
          <cell r="C158" t="str">
            <v xml:space="preserve">       Desarrollo de la comunidad</v>
          </cell>
          <cell r="D158">
            <v>6.1721219999999999</v>
          </cell>
          <cell r="E158">
            <v>0</v>
          </cell>
          <cell r="F158">
            <v>6.5663459999999993</v>
          </cell>
          <cell r="G158">
            <v>3.5441199999999999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47A</v>
          </cell>
          <cell r="B159" t="str">
            <v>Variables 2243601,  2243603, 2243605, 2243607, 2243610, 2243611, 2243614, y 2243698 del  formato CGR</v>
          </cell>
          <cell r="C159" t="str">
            <v xml:space="preserve">       Justicia, defensa y seguridad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48A</v>
          </cell>
          <cell r="B160" t="str">
            <v>Variables 2245401,  2245403, 2245405, 2245407, 2245410, 2245411, 2245414, 2245416 y 2245498 del  formato CGR</v>
          </cell>
          <cell r="C160" t="str">
            <v xml:space="preserve">       Desarrollo Institucional</v>
          </cell>
          <cell r="D160">
            <v>18.797930000000001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49A</v>
          </cell>
          <cell r="B161" t="str">
            <v>Variables 2242601,  2242603, 2242605, 2242606, 2242607, 2242611, 2242698, 2242810, 2242811, 2242814, 2242816, 2242817,  2242898, 2243001, 2243003, 2243011, 2243014, 2243098, 2243214, 2243215, 2243216 y 2243217 del  formato CGR</v>
          </cell>
          <cell r="C161" t="str">
            <v xml:space="preserve">       Otros</v>
          </cell>
          <cell r="D161">
            <v>0</v>
          </cell>
          <cell r="E161">
            <v>0</v>
          </cell>
          <cell r="F161">
            <v>3.6976800000000001</v>
          </cell>
          <cell r="G161">
            <v>11.035743999999999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83A</v>
          </cell>
          <cell r="C162" t="str">
            <v xml:space="preserve">  CON RECURSOS PROPIOS Y OTROS</v>
          </cell>
          <cell r="D162">
            <v>1055.29124374</v>
          </cell>
          <cell r="E162">
            <v>2424.3376895399997</v>
          </cell>
          <cell r="F162">
            <v>2422.0174644900003</v>
          </cell>
          <cell r="G162">
            <v>2656.9235574200002</v>
          </cell>
          <cell r="H162">
            <v>845.9389020000001</v>
          </cell>
          <cell r="I162">
            <v>896.69523612</v>
          </cell>
          <cell r="J162">
            <v>950.49695028720009</v>
          </cell>
          <cell r="K162">
            <v>1007.5267673044323</v>
          </cell>
          <cell r="L162">
            <v>1067.978373342698</v>
          </cell>
          <cell r="M162">
            <v>1132.0570757432602</v>
          </cell>
          <cell r="N162">
            <v>1199.9805002878556</v>
          </cell>
          <cell r="O162">
            <v>1271.9793303051272</v>
          </cell>
          <cell r="P162">
            <v>1348.298090123435</v>
          </cell>
        </row>
        <row r="163">
          <cell r="A163" t="str">
            <v>84A</v>
          </cell>
          <cell r="C163" t="str">
            <v xml:space="preserve">    Pagos de personal y aportes a la seguridad  social</v>
          </cell>
          <cell r="D163">
            <v>60.747571000000001</v>
          </cell>
          <cell r="E163">
            <v>55.266602599999999</v>
          </cell>
          <cell r="F163">
            <v>70.999998000000005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85A</v>
          </cell>
          <cell r="B164" t="str">
            <v>Variables 2260208, 2256209, 2270208 y 2270209 formato CGR</v>
          </cell>
          <cell r="C164" t="str">
            <v xml:space="preserve">       Agua Potable y Saneamiento Básico</v>
          </cell>
          <cell r="D164">
            <v>60.747571000000001</v>
          </cell>
          <cell r="E164">
            <v>55.266602599999999</v>
          </cell>
          <cell r="F164">
            <v>70.999998000000005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86A</v>
          </cell>
          <cell r="B165" t="str">
            <v>Variables 2260608, 2260609, 2270608 y2270609 formato CGR</v>
          </cell>
          <cell r="C165" t="str">
            <v xml:space="preserve">       Infraestructura Vial 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87A</v>
          </cell>
          <cell r="B166" t="str">
            <v>Variables 2260808 y  2260809, 2270808 y 2270809 formato CGR</v>
          </cell>
          <cell r="C166" t="str">
            <v xml:space="preserve">       Vivienda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88A</v>
          </cell>
          <cell r="B167" t="str">
            <v>Variables 2261008, 2261009, 2271008 y 2271009 formato CGR</v>
          </cell>
          <cell r="C167" t="str">
            <v xml:space="preserve">       Educación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89A</v>
          </cell>
          <cell r="B168" t="str">
            <v>Variables 2261408, 2271408, 2261409 y 2271409 formato CGR</v>
          </cell>
          <cell r="C168" t="str">
            <v xml:space="preserve">       Educación Física, Deporte y Recreación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90A</v>
          </cell>
          <cell r="B169" t="str">
            <v>Variables 2261608, 2261609, 2271608 y 2271609 formato CGR</v>
          </cell>
          <cell r="C169" t="str">
            <v xml:space="preserve">       Salud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91A</v>
          </cell>
          <cell r="B170" t="str">
            <v>Variables 2261808, 2261809, 2271808 y 2271809  formato CGR</v>
          </cell>
          <cell r="C170" t="str">
            <v xml:space="preserve">       Cultura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92A</v>
          </cell>
          <cell r="B171" t="str">
            <v>Variables 2262008, 2262009, 2272008 y 2272009  formato CGR</v>
          </cell>
          <cell r="C171" t="str">
            <v xml:space="preserve">       Sector Energético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93A</v>
          </cell>
          <cell r="B172" t="str">
            <v>Variables 2262208, 2262209, 2272208 y 2272209  formato CGR</v>
          </cell>
          <cell r="C172" t="str">
            <v xml:space="preserve">       Desarrollo Agropecuario y Minero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94A</v>
          </cell>
          <cell r="B173" t="str">
            <v>Variables 2262408, 2262409, 2272408 y 2272409  formato CGR</v>
          </cell>
          <cell r="C173" t="str">
            <v xml:space="preserve">       Infraestructura Urbana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95A</v>
          </cell>
          <cell r="B174" t="str">
            <v>Variables 2263408, 2263409, 2273408 y 2273409  formato CGR</v>
          </cell>
          <cell r="C174" t="str">
            <v xml:space="preserve">       Desarrollo de la comunidad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96A</v>
          </cell>
          <cell r="B175" t="str">
            <v>Variables 2263608, 2263609, 2273608 y 2273609  formato CGR</v>
          </cell>
          <cell r="C175" t="str">
            <v xml:space="preserve">       Justicia, defensa y seguridad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97A</v>
          </cell>
          <cell r="B176" t="str">
            <v>Variables 2262608, 2262609, 2272608 y 2272609  formato CGR</v>
          </cell>
          <cell r="C176" t="str">
            <v xml:space="preserve">       Otros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98A</v>
          </cell>
          <cell r="C177" t="str">
            <v xml:space="preserve">    Subsidios para el acceso de la población al servicio</v>
          </cell>
          <cell r="D177">
            <v>77.910630440000006</v>
          </cell>
          <cell r="E177">
            <v>323.38405999000003</v>
          </cell>
          <cell r="F177">
            <v>396.12655702000001</v>
          </cell>
          <cell r="G177">
            <v>367.61510122999999</v>
          </cell>
          <cell r="H177">
            <v>278.67271099999999</v>
          </cell>
          <cell r="I177">
            <v>295.39307366000003</v>
          </cell>
          <cell r="J177">
            <v>313.11665807960003</v>
          </cell>
          <cell r="K177">
            <v>331.90365756437603</v>
          </cell>
          <cell r="L177">
            <v>351.81787701823862</v>
          </cell>
          <cell r="M177">
            <v>372.92694963933297</v>
          </cell>
          <cell r="N177">
            <v>395.30256661769295</v>
          </cell>
          <cell r="O177">
            <v>419.02072061475457</v>
          </cell>
          <cell r="P177">
            <v>444.16196385163988</v>
          </cell>
        </row>
        <row r="178">
          <cell r="A178" t="str">
            <v>311A</v>
          </cell>
          <cell r="B178" t="str">
            <v>Variables 2260212 y 2270212 formato CGR</v>
          </cell>
          <cell r="C178" t="str">
            <v xml:space="preserve">       Agua Potable y Saneamiento Básico</v>
          </cell>
          <cell r="D178">
            <v>0</v>
          </cell>
          <cell r="E178">
            <v>0</v>
          </cell>
          <cell r="F178">
            <v>0</v>
          </cell>
          <cell r="G178">
            <v>235.55663999999999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99A</v>
          </cell>
          <cell r="B179" t="str">
            <v>Variables 2260812, 2260813, 2270812 y 2270813 formato CGR</v>
          </cell>
          <cell r="C179" t="str">
            <v xml:space="preserve">       Vivienda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100A</v>
          </cell>
          <cell r="B180" t="str">
            <v>Variables 2261012 y 2271012 formato CGR</v>
          </cell>
          <cell r="C180" t="str">
            <v xml:space="preserve">       Educación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101A</v>
          </cell>
          <cell r="B181" t="str">
            <v>Variables 2261612 y 2271612 formato CGR</v>
          </cell>
          <cell r="C181" t="str">
            <v xml:space="preserve">       Salud</v>
          </cell>
          <cell r="D181">
            <v>77.910630440000006</v>
          </cell>
          <cell r="E181">
            <v>323.38405999000003</v>
          </cell>
          <cell r="F181">
            <v>396.12655702000001</v>
          </cell>
          <cell r="G181">
            <v>132.05846123000001</v>
          </cell>
          <cell r="H181">
            <v>278.67271099999999</v>
          </cell>
          <cell r="I181">
            <v>295.39307366000003</v>
          </cell>
          <cell r="J181">
            <v>313.11665807960003</v>
          </cell>
          <cell r="K181">
            <v>331.90365756437603</v>
          </cell>
          <cell r="L181">
            <v>351.81787701823862</v>
          </cell>
          <cell r="M181">
            <v>372.92694963933297</v>
          </cell>
          <cell r="N181">
            <v>395.30256661769295</v>
          </cell>
          <cell r="O181">
            <v>419.02072061475457</v>
          </cell>
          <cell r="P181">
            <v>444.16196385163988</v>
          </cell>
        </row>
        <row r="182">
          <cell r="A182" t="str">
            <v>102A</v>
          </cell>
          <cell r="B182" t="str">
            <v>Variables 2262212 y 2272212 formato CGR</v>
          </cell>
          <cell r="C182" t="str">
            <v xml:space="preserve">       Desarrollo Agropecuario y Minero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103A</v>
          </cell>
          <cell r="C183" t="str">
            <v xml:space="preserve">    Formación Bruta de capital  y otros (construcción, reparación, mantenimiento, asistencia técnica, preinversión, etc)</v>
          </cell>
          <cell r="D183">
            <v>916.63304229999994</v>
          </cell>
          <cell r="E183">
            <v>2045.6870269499998</v>
          </cell>
          <cell r="F183">
            <v>1954.8909094700002</v>
          </cell>
          <cell r="G183">
            <v>2289.30845619</v>
          </cell>
          <cell r="H183">
            <v>567.26619100000005</v>
          </cell>
          <cell r="I183">
            <v>601.30216245999998</v>
          </cell>
          <cell r="J183">
            <v>637.38029220760006</v>
          </cell>
          <cell r="K183">
            <v>675.62310974005618</v>
          </cell>
          <cell r="L183">
            <v>716.16049632445947</v>
          </cell>
          <cell r="M183">
            <v>759.13012610392718</v>
          </cell>
          <cell r="N183">
            <v>804.67793367016282</v>
          </cell>
          <cell r="O183">
            <v>852.95860969037267</v>
          </cell>
          <cell r="P183">
            <v>904.13612627179509</v>
          </cell>
        </row>
        <row r="184">
          <cell r="A184" t="str">
            <v>104A</v>
          </cell>
          <cell r="B184" t="str">
            <v>Variables 2260201, 2260202, 2260203, 2260204, 2260205, 2260207, 2260211, 2260298, 2270201, 2270202, 2270203, 2270204, 2270205, 2270207, 2270211 y 2270298del  formato CGR</v>
          </cell>
          <cell r="C184" t="str">
            <v xml:space="preserve">       Agua Potable y Saneamiento Básico</v>
          </cell>
          <cell r="D184">
            <v>12.799329999999999</v>
          </cell>
          <cell r="E184">
            <v>65.825608000000003</v>
          </cell>
          <cell r="F184">
            <v>26.099276</v>
          </cell>
          <cell r="G184">
            <v>989.36075854000001</v>
          </cell>
          <cell r="H184">
            <v>1</v>
          </cell>
          <cell r="I184">
            <v>1.06</v>
          </cell>
          <cell r="J184">
            <v>1.1236000000000002</v>
          </cell>
          <cell r="K184">
            <v>1.1910160000000003</v>
          </cell>
          <cell r="L184">
            <v>1.2624769600000003</v>
          </cell>
          <cell r="M184">
            <v>1.3382255776000005</v>
          </cell>
          <cell r="N184">
            <v>1.4185191122560006</v>
          </cell>
          <cell r="O184">
            <v>1.5036302589913606</v>
          </cell>
          <cell r="P184">
            <v>1.5938480745308423</v>
          </cell>
        </row>
        <row r="185">
          <cell r="A185" t="str">
            <v>105A</v>
          </cell>
          <cell r="B185" t="str">
            <v>Variables 2260601, 2260602, 2260603, 2260604, 2260605, 2260607, 2260611, 2260614, 2260698 2260601, 2260602, 2260603, 2260604, 2260605, 2260607, 2260611, 2260614 y 2260698del  formato CGR</v>
          </cell>
          <cell r="C185" t="str">
            <v xml:space="preserve">       Infraestructura Vial </v>
          </cell>
          <cell r="D185">
            <v>332.8427926</v>
          </cell>
          <cell r="E185">
            <v>350.97272121999998</v>
          </cell>
          <cell r="F185">
            <v>831.47889647</v>
          </cell>
          <cell r="G185">
            <v>680.1060775599999</v>
          </cell>
          <cell r="H185">
            <v>133.14530100000002</v>
          </cell>
          <cell r="I185">
            <v>141.13401906000001</v>
          </cell>
          <cell r="J185">
            <v>149.60206020360002</v>
          </cell>
          <cell r="K185">
            <v>158.57818381581603</v>
          </cell>
          <cell r="L185">
            <v>168.09287484476499</v>
          </cell>
          <cell r="M185">
            <v>178.1784473354509</v>
          </cell>
          <cell r="N185">
            <v>188.86915417557796</v>
          </cell>
          <cell r="O185">
            <v>200.20130342611264</v>
          </cell>
          <cell r="P185">
            <v>212.21338163167943</v>
          </cell>
        </row>
        <row r="186">
          <cell r="A186" t="str">
            <v>106A</v>
          </cell>
          <cell r="B186" t="str">
            <v>Variables 2260801,  2260805, 2260807, 2260811, 2260814,  2260898, 2270801,  2270805, 2270807, 2270811, 2270814 y 2270898 del  formato CGR</v>
          </cell>
          <cell r="C186" t="str">
            <v xml:space="preserve">       Vivienda</v>
          </cell>
          <cell r="D186">
            <v>0.25796000000000002</v>
          </cell>
          <cell r="E186">
            <v>215.99728709999999</v>
          </cell>
          <cell r="F186">
            <v>66.032026000000002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107A</v>
          </cell>
          <cell r="B187" t="str">
            <v>Variables 2261001, 2261004, 2261005, 2261006, 2261007, 2261010, 2261011, 2261014,  2261098, 2271001, 2271004, 2271005, 2271006, 2271007, 2271010, 2271011, 2271014 y 2271098 del  formato CGR</v>
          </cell>
          <cell r="C187" t="str">
            <v xml:space="preserve">       Educación</v>
          </cell>
          <cell r="D187">
            <v>0</v>
          </cell>
          <cell r="E187">
            <v>57.934938139999993</v>
          </cell>
          <cell r="F187">
            <v>451.35169200000001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108A</v>
          </cell>
          <cell r="B188" t="str">
            <v>Variables 2261401, 2261403, 2261405, 2261407, 2261410, 2261411, 2261414, 2261498, 2271401, 2271403, 2271405, 2271407, 2271410, 2271411, 2271414 y 2271498 del  formato CGR</v>
          </cell>
          <cell r="C188" t="str">
            <v xml:space="preserve">       Educación Física, Deporte y Recreación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0.1</v>
          </cell>
          <cell r="I188">
            <v>0.10600000000000001</v>
          </cell>
          <cell r="J188">
            <v>0.11236000000000002</v>
          </cell>
          <cell r="K188">
            <v>0.11910160000000002</v>
          </cell>
          <cell r="L188">
            <v>0.12624769600000002</v>
          </cell>
          <cell r="M188">
            <v>0.13382255776000002</v>
          </cell>
          <cell r="N188">
            <v>0.14185191122560004</v>
          </cell>
          <cell r="O188">
            <v>0.15036302589913605</v>
          </cell>
          <cell r="P188">
            <v>0.15938480745308423</v>
          </cell>
        </row>
        <row r="189">
          <cell r="A189" t="str">
            <v>109A</v>
          </cell>
          <cell r="B189" t="str">
            <v>Variables 2261601, 2261603, 2261605, 2261607, 2261610, 2261611, 2261614, 2261615, 2261698, 2271601, 2271603, 2271605, 2271607, 2271610, 2271611, 2271614, 2271615 y 2271698 del  formato CGR</v>
          </cell>
          <cell r="C189" t="str">
            <v xml:space="preserve">       Salud</v>
          </cell>
          <cell r="D189">
            <v>0</v>
          </cell>
          <cell r="E189">
            <v>41.121595489999997</v>
          </cell>
          <cell r="F189">
            <v>0</v>
          </cell>
          <cell r="G189">
            <v>15.96010952</v>
          </cell>
          <cell r="H189">
            <v>4.2824970000000002</v>
          </cell>
          <cell r="I189">
            <v>4.5394468200000002</v>
          </cell>
          <cell r="J189">
            <v>4.8118136292000004</v>
          </cell>
          <cell r="K189">
            <v>5.1005224469520005</v>
          </cell>
          <cell r="L189">
            <v>5.4065537937691213</v>
          </cell>
          <cell r="M189">
            <v>5.7309470213952691</v>
          </cell>
          <cell r="N189">
            <v>6.0748038426789854</v>
          </cell>
          <cell r="O189">
            <v>6.4392920732397245</v>
          </cell>
          <cell r="P189">
            <v>6.8256495976341087</v>
          </cell>
        </row>
        <row r="190">
          <cell r="A190" t="str">
            <v>110A</v>
          </cell>
          <cell r="B190" t="str">
            <v>Variables 2261801, 2261803, 2261805, 2261807, 2261810, 2261811, 2261814, 2261898, 2271801, 2271803, 2271805, 2271807, 2271810, 2271811, 2271814 y 2271898 del  formato CGR</v>
          </cell>
          <cell r="C190" t="str">
            <v xml:space="preserve">       Cultura</v>
          </cell>
          <cell r="D190">
            <v>314.05854999999997</v>
          </cell>
          <cell r="E190">
            <v>36.060020000000002</v>
          </cell>
          <cell r="F190">
            <v>51.551247000000004</v>
          </cell>
          <cell r="G190">
            <v>37.279200000000003</v>
          </cell>
          <cell r="H190">
            <v>14</v>
          </cell>
          <cell r="I190">
            <v>14.84</v>
          </cell>
          <cell r="J190">
            <v>15.730400000000001</v>
          </cell>
          <cell r="K190">
            <v>16.674224000000002</v>
          </cell>
          <cell r="L190">
            <v>17.674677440000004</v>
          </cell>
          <cell r="M190">
            <v>18.735158086400006</v>
          </cell>
          <cell r="N190">
            <v>19.859267571584006</v>
          </cell>
          <cell r="O190">
            <v>21.050823625879048</v>
          </cell>
          <cell r="P190">
            <v>22.313873043431791</v>
          </cell>
        </row>
        <row r="191">
          <cell r="A191" t="str">
            <v>111A</v>
          </cell>
          <cell r="B191" t="str">
            <v>Variables 2262001, 2262003, 2262005, 2262007,  2262011, 2262014, 2262098, 2272001, 2272003, 2272005, 2272007,  2272011, 2272014 y 2272098 del  formato CGR</v>
          </cell>
          <cell r="C191" t="str">
            <v xml:space="preserve">       Sector Energético</v>
          </cell>
          <cell r="D191">
            <v>5.0504980000000002</v>
          </cell>
          <cell r="E191">
            <v>48.057095000000004</v>
          </cell>
          <cell r="F191">
            <v>0</v>
          </cell>
          <cell r="G191">
            <v>14.796900000000001</v>
          </cell>
          <cell r="H191">
            <v>10</v>
          </cell>
          <cell r="I191">
            <v>10.600000000000001</v>
          </cell>
          <cell r="J191">
            <v>11.236000000000002</v>
          </cell>
          <cell r="K191">
            <v>11.910160000000003</v>
          </cell>
          <cell r="L191">
            <v>12.624769600000004</v>
          </cell>
          <cell r="M191">
            <v>13.382255776000004</v>
          </cell>
          <cell r="N191">
            <v>14.185191122560006</v>
          </cell>
          <cell r="O191">
            <v>15.036302589913607</v>
          </cell>
          <cell r="P191">
            <v>15.938480745308425</v>
          </cell>
        </row>
        <row r="192">
          <cell r="A192" t="str">
            <v>112A</v>
          </cell>
          <cell r="B192" t="str">
            <v>Variables 2262201, 2262203, 2262205, 2262206, 2262207, 2262210, 2262211, 2262214 y 2262215, 2262216, 2262217, 2262218, 2262298,  2272201, 2272203, 2272205, 2272206, 2272207, 2272210, 2272211, 2272214 y 2272215, 2272216, 2272217, 2272218 y 2272298 del  for</v>
          </cell>
          <cell r="C192" t="str">
            <v xml:space="preserve">       Desarrollo Agropecuario y Minero</v>
          </cell>
          <cell r="D192">
            <v>4</v>
          </cell>
          <cell r="E192">
            <v>0</v>
          </cell>
          <cell r="F192">
            <v>17.483352</v>
          </cell>
          <cell r="G192">
            <v>58.596077999999999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113A</v>
          </cell>
          <cell r="B193" t="str">
            <v>Variables 2262401,  2262402, 2262403, 2262405, 2262407,  2262411, 2262498, 2272401,  2272402, 2272403, 2272405, 2272407,  2272411 y 2272498 del  formato CGR</v>
          </cell>
          <cell r="C193" t="str">
            <v xml:space="preserve">       Infraestructura Urbana</v>
          </cell>
          <cell r="D193">
            <v>59.532654000000001</v>
          </cell>
          <cell r="E193">
            <v>785.42794299999991</v>
          </cell>
          <cell r="F193">
            <v>218.34103599999997</v>
          </cell>
          <cell r="G193">
            <v>4.6219999999999999</v>
          </cell>
          <cell r="H193">
            <v>1</v>
          </cell>
          <cell r="I193">
            <v>1.06</v>
          </cell>
          <cell r="J193">
            <v>1.1236000000000002</v>
          </cell>
          <cell r="K193">
            <v>1.1910160000000003</v>
          </cell>
          <cell r="L193">
            <v>1.2624769600000003</v>
          </cell>
          <cell r="M193">
            <v>1.3382255776000005</v>
          </cell>
          <cell r="N193">
            <v>1.4185191122560006</v>
          </cell>
          <cell r="O193">
            <v>1.5036302589913606</v>
          </cell>
          <cell r="P193">
            <v>1.5938480745308423</v>
          </cell>
        </row>
        <row r="194">
          <cell r="A194" t="str">
            <v>114A</v>
          </cell>
          <cell r="B194" t="str">
            <v>Variables 2263401,  2263403, 2263405, 2263407, 2263410, 2263411, 2263414, 2263415, 2263416, 2263498, 2273401,  2273403, 2273405, 2273407, 2273410, 2273411, 2273414, 2273415, 2273416 y 2273498 del  formato CGR</v>
          </cell>
          <cell r="C194" t="str">
            <v xml:space="preserve">       Desarrollo de la comunidad</v>
          </cell>
          <cell r="D194">
            <v>2.3005629999999999</v>
          </cell>
          <cell r="E194">
            <v>29.869814999999999</v>
          </cell>
          <cell r="F194">
            <v>68.636874000000006</v>
          </cell>
          <cell r="G194">
            <v>48.120350000000002</v>
          </cell>
          <cell r="H194">
            <v>170</v>
          </cell>
          <cell r="I194">
            <v>180.20000000000002</v>
          </cell>
          <cell r="J194">
            <v>191.01200000000003</v>
          </cell>
          <cell r="K194">
            <v>202.47272000000004</v>
          </cell>
          <cell r="L194">
            <v>214.62108320000004</v>
          </cell>
          <cell r="M194">
            <v>227.49834819200007</v>
          </cell>
          <cell r="N194">
            <v>241.14824908352008</v>
          </cell>
          <cell r="O194">
            <v>255.6171440285313</v>
          </cell>
          <cell r="P194">
            <v>270.95417267024317</v>
          </cell>
        </row>
        <row r="195">
          <cell r="A195" t="str">
            <v>115A</v>
          </cell>
          <cell r="B195" t="str">
            <v>Variables 2263601,  2263603, 2263605, 2263607, 2263610, 2263611, 2263614,  2263698, 2263601,  2263603, 2263605, 2263607, 2263610, 2263611, 2263614, y 2263698  del  formato CGR</v>
          </cell>
          <cell r="C195" t="str">
            <v xml:space="preserve">       Justicia, defensa y seguridad</v>
          </cell>
          <cell r="D195">
            <v>7.351367999999999</v>
          </cell>
          <cell r="E195">
            <v>41.696840000000002</v>
          </cell>
          <cell r="F195">
            <v>50.076333999999996</v>
          </cell>
          <cell r="G195">
            <v>61.566252999999996</v>
          </cell>
          <cell r="H195">
            <v>47</v>
          </cell>
          <cell r="I195">
            <v>49.82</v>
          </cell>
          <cell r="J195">
            <v>52.809200000000004</v>
          </cell>
          <cell r="K195">
            <v>55.97775200000001</v>
          </cell>
          <cell r="L195">
            <v>59.336417120000014</v>
          </cell>
          <cell r="M195">
            <v>62.896602147200021</v>
          </cell>
          <cell r="N195">
            <v>66.670398276032032</v>
          </cell>
          <cell r="O195">
            <v>70.670622172593951</v>
          </cell>
          <cell r="P195">
            <v>74.910859502949592</v>
          </cell>
        </row>
        <row r="196">
          <cell r="A196" t="str">
            <v>116A</v>
          </cell>
          <cell r="B196" t="str">
            <v>Variables 2265401,  2265403, 2265405, 2265407, 2265410, 2265411, 2265414, 2265416, 2265498, 2275401,  2275403, 2275405, 2275407, 2275410, 2275411, 2275414, 2275416 y 2275498 del  formato CGR</v>
          </cell>
          <cell r="C196" t="str">
            <v xml:space="preserve">       Desarrollo Institucional</v>
          </cell>
          <cell r="D196">
            <v>128.09532470000002</v>
          </cell>
          <cell r="E196">
            <v>321.76028099999996</v>
          </cell>
          <cell r="F196">
            <v>122.88350200000001</v>
          </cell>
          <cell r="G196">
            <v>260.44839457</v>
          </cell>
          <cell r="H196">
            <v>131.738393</v>
          </cell>
          <cell r="I196">
            <v>139.64269658000001</v>
          </cell>
          <cell r="J196">
            <v>148.02125837480003</v>
          </cell>
          <cell r="K196">
            <v>156.90253387728805</v>
          </cell>
          <cell r="L196">
            <v>166.31668590992535</v>
          </cell>
          <cell r="M196">
            <v>176.29568706452088</v>
          </cell>
          <cell r="N196">
            <v>186.87342828839215</v>
          </cell>
          <cell r="O196">
            <v>198.0858339856957</v>
          </cell>
          <cell r="P196">
            <v>209.97098402483746</v>
          </cell>
        </row>
        <row r="197">
          <cell r="A197" t="str">
            <v>117A</v>
          </cell>
          <cell r="B197" t="str">
            <v>Variables 2262601,  2262603, 2262605, 2262606, 2262607, 2262611, 2262698, 2262810, 2262811, 2262814, 2262816, 2262817,  2262898, 2263001, 2263003, 2263011, 2263014, 2263098, 2263214, 2263215, 2263216 y 2263217, 2265201, 2265203, 2265205, 2265207, 2265211,</v>
          </cell>
          <cell r="C197" t="str">
            <v xml:space="preserve">       Otros</v>
          </cell>
          <cell r="D197">
            <v>50.344002000000003</v>
          </cell>
          <cell r="E197">
            <v>50.962882999999998</v>
          </cell>
          <cell r="F197">
            <v>50.956674</v>
          </cell>
          <cell r="G197">
            <v>118.45233499999999</v>
          </cell>
          <cell r="H197">
            <v>55</v>
          </cell>
          <cell r="I197">
            <v>58.300000000000004</v>
          </cell>
          <cell r="J197">
            <v>61.798000000000009</v>
          </cell>
          <cell r="K197">
            <v>65.505880000000019</v>
          </cell>
          <cell r="L197">
            <v>69.436232800000028</v>
          </cell>
          <cell r="M197">
            <v>73.602406768000037</v>
          </cell>
          <cell r="N197">
            <v>78.018551174080045</v>
          </cell>
          <cell r="O197">
            <v>82.699664244524854</v>
          </cell>
          <cell r="P197">
            <v>87.661644099196351</v>
          </cell>
        </row>
        <row r="198">
          <cell r="A198" t="str">
            <v>228</v>
          </cell>
          <cell r="C198" t="str">
            <v xml:space="preserve">  DÉFICIT FISCAL (POR INVERSIÓN)</v>
          </cell>
        </row>
        <row r="199">
          <cell r="A199" t="str">
            <v>23</v>
          </cell>
          <cell r="B199" t="str">
            <v>Corresponde a la suma de las siguientes variables del formato de la CGR:       231, 232</v>
          </cell>
          <cell r="C199" t="str">
            <v xml:space="preserve"> SERVICIO DE LA DEUDA</v>
          </cell>
          <cell r="D199">
            <v>197.295523</v>
          </cell>
          <cell r="E199">
            <v>169.62384099999997</v>
          </cell>
          <cell r="F199">
            <v>150.21006</v>
          </cell>
          <cell r="G199">
            <v>523.71494232999999</v>
          </cell>
          <cell r="H199">
            <v>566.92121799999995</v>
          </cell>
          <cell r="I199">
            <v>631.46238091437499</v>
          </cell>
          <cell r="J199">
            <v>512.449490249375</v>
          </cell>
          <cell r="K199">
            <v>336.48156893726559</v>
          </cell>
          <cell r="L199">
            <v>296.40625</v>
          </cell>
          <cell r="M199">
            <v>200.15625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296A</v>
          </cell>
          <cell r="B200" t="str">
            <v>Corresponde a la suma de las siguientes variables del formato de la CGR:       23101, 23201</v>
          </cell>
          <cell r="C200" t="str">
            <v xml:space="preserve">    Deuda Interna</v>
          </cell>
          <cell r="D200">
            <v>197.295523</v>
          </cell>
          <cell r="E200">
            <v>169.62384099999997</v>
          </cell>
          <cell r="F200">
            <v>150.21006</v>
          </cell>
          <cell r="G200">
            <v>523.71494232999999</v>
          </cell>
          <cell r="H200">
            <v>566.92121799999995</v>
          </cell>
          <cell r="I200">
            <v>631.46238091437499</v>
          </cell>
          <cell r="J200">
            <v>512.449490249375</v>
          </cell>
          <cell r="K200">
            <v>336.48156893726559</v>
          </cell>
          <cell r="L200">
            <v>296.40625</v>
          </cell>
          <cell r="M200">
            <v>200.15625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297A</v>
          </cell>
          <cell r="B201" t="str">
            <v>Corresponde a la suma de las siguientes variables del formato de la CGR:       2310101,2320101</v>
          </cell>
          <cell r="C201" t="str">
            <v xml:space="preserve">      Amortización</v>
          </cell>
          <cell r="D201">
            <v>163.28375</v>
          </cell>
          <cell r="E201">
            <v>135.26576699999998</v>
          </cell>
          <cell r="F201">
            <v>63.963865999999996</v>
          </cell>
          <cell r="G201">
            <v>382.86676199999999</v>
          </cell>
          <cell r="H201">
            <v>418.1</v>
          </cell>
          <cell r="I201">
            <v>445.56582300000002</v>
          </cell>
          <cell r="J201">
            <v>387.5</v>
          </cell>
          <cell r="K201">
            <v>256.02052962499999</v>
          </cell>
          <cell r="L201">
            <v>250</v>
          </cell>
          <cell r="M201">
            <v>187.5</v>
          </cell>
        </row>
        <row r="202">
          <cell r="A202" t="str">
            <v>298A</v>
          </cell>
          <cell r="B202" t="str">
            <v>Corresponde a la suma de las siguientes variables del formato de la CGR:       2310102, 2320102</v>
          </cell>
          <cell r="C202" t="str">
            <v xml:space="preserve">      Intereses</v>
          </cell>
          <cell r="D202">
            <v>34.011772999999998</v>
          </cell>
          <cell r="E202">
            <v>34.358073999999995</v>
          </cell>
          <cell r="F202">
            <v>86.246194000000003</v>
          </cell>
          <cell r="G202">
            <v>140.84818032999999</v>
          </cell>
          <cell r="H202">
            <v>148.82121799999999</v>
          </cell>
          <cell r="I202">
            <v>185.89655791437499</v>
          </cell>
          <cell r="J202">
            <v>124.949490249375</v>
          </cell>
          <cell r="K202">
            <v>80.461039312265626</v>
          </cell>
          <cell r="L202">
            <v>46.40625</v>
          </cell>
          <cell r="M202">
            <v>12.65625</v>
          </cell>
        </row>
        <row r="203">
          <cell r="A203" t="str">
            <v>299A</v>
          </cell>
          <cell r="B203" t="str">
            <v>Corresponde a la suma de las siguientes variables del formato de la CGR:       2310103, 2320103</v>
          </cell>
          <cell r="C203" t="str">
            <v xml:space="preserve">      Comisiones y Otros</v>
          </cell>
        </row>
        <row r="204">
          <cell r="A204" t="str">
            <v>300A</v>
          </cell>
          <cell r="B204" t="str">
            <v>Corresponde a la suma de las siguientes variables del formato de la CGR:       2310104,2320104</v>
          </cell>
          <cell r="C204" t="str">
            <v xml:space="preserve">      Bonos Pensionales</v>
          </cell>
        </row>
        <row r="205">
          <cell r="A205" t="str">
            <v>301A</v>
          </cell>
          <cell r="B205" t="str">
            <v>Corresponde a la suma de las siguientes variables del formato de la CGR:       23102, 23202</v>
          </cell>
          <cell r="C205" t="str">
            <v xml:space="preserve">    Deuda Externa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302A</v>
          </cell>
          <cell r="B206" t="str">
            <v>Corresponde a la suma de las siguientes variables del formato de la CGR:       2310201, 2320201</v>
          </cell>
          <cell r="C206" t="str">
            <v xml:space="preserve">      Amortización</v>
          </cell>
        </row>
        <row r="207">
          <cell r="A207" t="str">
            <v>303A</v>
          </cell>
          <cell r="B207" t="str">
            <v xml:space="preserve"> </v>
          </cell>
          <cell r="C207" t="str">
            <v xml:space="preserve">      Intereses</v>
          </cell>
        </row>
        <row r="208">
          <cell r="A208" t="str">
            <v>304A</v>
          </cell>
          <cell r="B208" t="str">
            <v>Corresponde a la suma de las siguientes variables del formato de la CGR:       2310203, 2320203</v>
          </cell>
          <cell r="C208" t="str">
            <v xml:space="preserve">      Comisiones y Otros</v>
          </cell>
        </row>
        <row r="209">
          <cell r="A209" t="str">
            <v>118A</v>
          </cell>
          <cell r="B209">
            <v>0</v>
          </cell>
          <cell r="C209" t="str">
            <v>ORGANISMOS DE CONTROL</v>
          </cell>
          <cell r="D209">
            <v>137.69867399999998</v>
          </cell>
          <cell r="E209">
            <v>121.883318</v>
          </cell>
          <cell r="F209">
            <v>153.11627800000002</v>
          </cell>
          <cell r="G209">
            <v>163.692015</v>
          </cell>
          <cell r="H209">
            <v>169.79228000000001</v>
          </cell>
          <cell r="I209">
            <v>179.97981679999998</v>
          </cell>
          <cell r="J209">
            <v>190.77860580800001</v>
          </cell>
          <cell r="K209">
            <v>202.22532215648002</v>
          </cell>
          <cell r="L209">
            <v>214.35884148586882</v>
          </cell>
          <cell r="M209">
            <v>227.22037197502095</v>
          </cell>
          <cell r="N209">
            <v>240.85359429352224</v>
          </cell>
          <cell r="O209">
            <v>255.30480995113356</v>
          </cell>
          <cell r="P209">
            <v>270.6230985482016</v>
          </cell>
          <cell r="Q209">
            <v>0</v>
          </cell>
        </row>
        <row r="210">
          <cell r="A210" t="str">
            <v>242</v>
          </cell>
          <cell r="B210">
            <v>0</v>
          </cell>
          <cell r="C210" t="str">
            <v>Transferencias a Concejo</v>
          </cell>
          <cell r="D210">
            <v>76.500958999999995</v>
          </cell>
          <cell r="E210">
            <v>56.975447000000003</v>
          </cell>
          <cell r="F210">
            <v>84.732274000000004</v>
          </cell>
          <cell r="G210">
            <v>90.863011</v>
          </cell>
          <cell r="H210">
            <v>89.294479999999993</v>
          </cell>
          <cell r="I210">
            <v>94.652148799999992</v>
          </cell>
          <cell r="J210">
            <v>100.331277728</v>
          </cell>
          <cell r="K210">
            <v>106.35115439168001</v>
          </cell>
          <cell r="L210">
            <v>112.73222365518082</v>
          </cell>
          <cell r="M210">
            <v>119.49615707449168</v>
          </cell>
          <cell r="N210">
            <v>126.66592649896118</v>
          </cell>
          <cell r="O210">
            <v>134.26588208889885</v>
          </cell>
          <cell r="P210">
            <v>142.32183501423279</v>
          </cell>
          <cell r="Q210">
            <v>0</v>
          </cell>
        </row>
        <row r="211">
          <cell r="A211" t="str">
            <v>243</v>
          </cell>
          <cell r="B211">
            <v>0</v>
          </cell>
          <cell r="C211" t="str">
            <v xml:space="preserve">Transferencias a Contraloría 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244</v>
          </cell>
          <cell r="B212">
            <v>0</v>
          </cell>
          <cell r="C212" t="str">
            <v>Transferencias a Personería</v>
          </cell>
          <cell r="D212">
            <v>61.197715000000002</v>
          </cell>
          <cell r="E212">
            <v>64.907871</v>
          </cell>
          <cell r="F212">
            <v>68.384004000000004</v>
          </cell>
          <cell r="G212">
            <v>72.829003999999998</v>
          </cell>
          <cell r="H212">
            <v>80.497799999999998</v>
          </cell>
          <cell r="I212">
            <v>85.327668000000003</v>
          </cell>
          <cell r="J212">
            <v>90.447328080000005</v>
          </cell>
          <cell r="K212">
            <v>95.874167764800006</v>
          </cell>
          <cell r="L212">
            <v>101.62661783068801</v>
          </cell>
          <cell r="M212">
            <v>107.72421490052929</v>
          </cell>
          <cell r="N212">
            <v>114.18766779456105</v>
          </cell>
          <cell r="O212">
            <v>121.03892786223471</v>
          </cell>
          <cell r="P212">
            <v>128.30126353396881</v>
          </cell>
          <cell r="Q212">
            <v>0</v>
          </cell>
        </row>
        <row r="213">
          <cell r="A213" t="str">
            <v>341A</v>
          </cell>
          <cell r="B213">
            <v>0</v>
          </cell>
          <cell r="C213" t="str">
            <v>TRANSFERENCIAS A RESGUARDOS INDIGENAS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241</v>
          </cell>
          <cell r="B214">
            <v>0</v>
          </cell>
          <cell r="C214" t="str">
            <v>Resguardos Indigenas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Datos Generales"/>
      <sheetName val="Ingresos Proyecciones"/>
      <sheetName val="Gastos Proyecciones"/>
      <sheetName val="Balance Financiero"/>
      <sheetName val="PROY DEUDA ACTUAL"/>
      <sheetName val="PROY DEUDA 2010"/>
      <sheetName val="EJE ING 2006"/>
      <sheetName val="EJE ING 2007"/>
      <sheetName val="EJE ING 2008"/>
      <sheetName val="EJE ING 2009"/>
      <sheetName val="EJE ING 2010"/>
      <sheetName val="LIMITE DE GTOS"/>
      <sheetName val="SEMAFORO"/>
      <sheetName val="RENTA PIGNORADA"/>
      <sheetName val="GASTOS CONCEJO"/>
      <sheetName val="FTO 2006"/>
      <sheetName val="FTO 2007"/>
      <sheetName val="FTO 2008"/>
      <sheetName val="FTO 2009"/>
      <sheetName val="FTO 2010"/>
      <sheetName val="EJE EGR2006"/>
      <sheetName val="EJE EGR2007"/>
      <sheetName val="EJE EGR2008"/>
      <sheetName val="EJE EGR2009"/>
      <sheetName val="EJE EGR2010"/>
      <sheetName val="INV2006"/>
      <sheetName val="INV2007"/>
      <sheetName val="INV2008"/>
      <sheetName val="INV2009"/>
      <sheetName val="INV2010"/>
      <sheetName val="Balance Financiero2"/>
      <sheetName val="RESUMEN"/>
      <sheetName val="XX"/>
      <sheetName val="xxx"/>
      <sheetName val="RESUMEN INVERSION"/>
      <sheetName val="Variación Cuentas por Pagar"/>
      <sheetName val="Resumen Indicado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7 COMPLETO"/>
      <sheetName val="PROY DEUDA"/>
      <sheetName val="INGRESOS proyectados"/>
      <sheetName val="formato 8b"/>
      <sheetName val="formato 9"/>
      <sheetName val="INGRESOS JUN 2010"/>
      <sheetName val="GASTOS JUN 2010"/>
      <sheetName val="INGRESOS 2009"/>
      <sheetName val="GASTOS 2009"/>
      <sheetName val="INGRESOS 2008"/>
      <sheetName val="GASTOS 2008"/>
      <sheetName val="INGRESOS 2007"/>
      <sheetName val="GASTOS 2007 "/>
      <sheetName val="BALANCE 2009"/>
      <sheetName val="BALANCE 2008"/>
      <sheetName val="BALANCE 2007"/>
      <sheetName val="PIGNORACION"/>
      <sheetName val="PAGO DE DEUDA"/>
      <sheetName val="SALDO DE DEUDA"/>
      <sheetName val="GASTOS CONCEJO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Datos Generales"/>
      <sheetName val="Ingresos Proyecciones"/>
      <sheetName val="Gastos Proyecciones"/>
      <sheetName val="Balance Financiero"/>
      <sheetName val="PROY DEUDA ACTUAL"/>
      <sheetName val="PROY DEUDA 2010"/>
      <sheetName val="LIMITE DE GTOS"/>
      <sheetName val="SEMAFORO"/>
      <sheetName val="RENTA PIGNORADA"/>
      <sheetName val="GASTOS CONCEJO"/>
      <sheetName val="EJE ING 2006"/>
      <sheetName val="EJE ING 2007"/>
      <sheetName val="EJE ING 2008"/>
      <sheetName val="EJE ING 2009"/>
      <sheetName val="EJE ING 2010"/>
      <sheetName val="FTO 2006"/>
      <sheetName val="FTO 2007"/>
      <sheetName val="FTO 2008"/>
      <sheetName val="FTO 2009"/>
      <sheetName val="FTO 2010"/>
      <sheetName val="EJE EGR2006"/>
      <sheetName val="EJE EGR2007"/>
      <sheetName val="EJE EGR2008"/>
      <sheetName val="EJE EGR2009"/>
      <sheetName val="EJE EGR2010"/>
      <sheetName val="INV2006"/>
      <sheetName val="INV2007"/>
      <sheetName val="INV2008"/>
      <sheetName val="INV2009"/>
      <sheetName val="INV2010"/>
      <sheetName val="RESUMEN"/>
      <sheetName val="RESUMEN INVERSION"/>
      <sheetName val="Balance Financiero2"/>
      <sheetName val="XX"/>
      <sheetName val="xxx"/>
      <sheetName val="Variación Cuentas por Pagar"/>
      <sheetName val="Resumen 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02"/>
  <sheetViews>
    <sheetView topLeftCell="A91" zoomScaleNormal="100" workbookViewId="0">
      <selection activeCell="B139" sqref="B139"/>
    </sheetView>
  </sheetViews>
  <sheetFormatPr baseColWidth="10" defaultRowHeight="12.75"/>
  <cols>
    <col min="1" max="1" width="10.140625" style="438" customWidth="1"/>
    <col min="2" max="2" width="52.28515625" style="487" customWidth="1"/>
    <col min="3" max="3" width="14.28515625" style="487" customWidth="1"/>
    <col min="4" max="4" width="15.5703125" style="487" customWidth="1"/>
    <col min="5" max="5" width="13.42578125" style="487" customWidth="1"/>
    <col min="6" max="6" width="15.42578125" style="487" customWidth="1"/>
    <col min="7" max="7" width="15" style="487" customWidth="1"/>
    <col min="8" max="16384" width="11.42578125" style="276"/>
  </cols>
  <sheetData>
    <row r="1" spans="1:7" ht="13.5" customHeight="1">
      <c r="A1" s="514" t="str">
        <f>+POAI!A1</f>
        <v>PROYECTO DE ACUERDO No 016 DE 2011</v>
      </c>
      <c r="B1" s="514"/>
      <c r="C1" s="514"/>
      <c r="D1" s="514"/>
      <c r="E1" s="514"/>
      <c r="F1" s="514"/>
      <c r="G1" s="514"/>
    </row>
    <row r="2" spans="1:7" ht="13.5" customHeight="1">
      <c r="A2" s="514" t="str">
        <f>+POAI!A2</f>
        <v>(Noviembre 01 de 2011)</v>
      </c>
      <c r="B2" s="514"/>
      <c r="C2" s="514"/>
      <c r="D2" s="514"/>
      <c r="E2" s="514"/>
      <c r="F2" s="514"/>
      <c r="G2" s="514"/>
    </row>
    <row r="3" spans="1:7">
      <c r="A3" s="514"/>
      <c r="B3" s="514"/>
      <c r="C3" s="514"/>
      <c r="D3" s="514"/>
      <c r="E3" s="514"/>
      <c r="F3" s="514"/>
      <c r="G3" s="514"/>
    </row>
    <row r="4" spans="1:7" ht="27.75" customHeight="1">
      <c r="A4" s="514" t="str">
        <f>+POAI!A4</f>
        <v>POR MEDIO DEL CUAL SE ADOPTA EL PRESUPUESTO GENERAL DE RENTAS Y GASTOS DEL MUNICIPIO PARA LA VIGENCIA FISCAL DEL 1° DE ENERO AL 31 DE DICIEMBRE DEL 2012</v>
      </c>
      <c r="B4" s="514"/>
      <c r="C4" s="514"/>
      <c r="D4" s="514"/>
      <c r="E4" s="514"/>
      <c r="F4" s="514"/>
      <c r="G4" s="514"/>
    </row>
    <row r="5" spans="1:7" ht="32.25" customHeight="1">
      <c r="A5" s="514" t="str">
        <f>+POAI!A5</f>
        <v>EL CONCEJO MUNICIPAL EN USO DE SUS FACULTADES LEGALES Y CONSTITUCIONES, EN ESPECIAL EL DECRETO 111 DE 1996, LEY 1176 DE 2007,  LA LEY 617 DE 2000, LEY 819 DE 2002, EOP MUNICIPAL Y</v>
      </c>
      <c r="B5" s="514"/>
      <c r="C5" s="514"/>
      <c r="D5" s="514"/>
      <c r="E5" s="514"/>
      <c r="F5" s="514"/>
      <c r="G5" s="514"/>
    </row>
    <row r="6" spans="1:7">
      <c r="A6" s="514"/>
      <c r="B6" s="514"/>
      <c r="C6" s="514"/>
      <c r="D6" s="514"/>
      <c r="E6" s="514"/>
      <c r="F6" s="514"/>
      <c r="G6" s="514"/>
    </row>
    <row r="7" spans="1:7" ht="11.25" customHeight="1">
      <c r="A7" s="514" t="str">
        <f>+POAI!A7</f>
        <v>CONSIDERANDO</v>
      </c>
      <c r="B7" s="514"/>
      <c r="C7" s="514"/>
      <c r="D7" s="514"/>
      <c r="E7" s="514"/>
      <c r="F7" s="514"/>
      <c r="G7" s="514"/>
    </row>
    <row r="8" spans="1:7">
      <c r="A8" s="515"/>
      <c r="B8" s="515"/>
      <c r="C8" s="515"/>
      <c r="D8" s="515"/>
      <c r="E8" s="515"/>
      <c r="F8" s="515"/>
      <c r="G8" s="515"/>
    </row>
    <row r="9" spans="1:7" s="425" customFormat="1" ht="30" customHeight="1">
      <c r="A9" s="516" t="str">
        <f>+POAI!A9</f>
        <v>1. Que el estatuto de presupuesto municipal establece el procedimiento para la presentación y aprobación del presupuesto de cada vigencia acorde con el Decreto 111 de 1996</v>
      </c>
      <c r="B9" s="516"/>
      <c r="C9" s="516"/>
      <c r="D9" s="516"/>
      <c r="E9" s="516"/>
      <c r="F9" s="516"/>
      <c r="G9" s="516"/>
    </row>
    <row r="10" spans="1:7" s="425" customFormat="1" ht="30" customHeight="1">
      <c r="A10" s="516" t="str">
        <f>+POAI!A10</f>
        <v xml:space="preserve">2. Que el órgano de Asesoría y Consulta en materia de Hacienda conceptuó favorablemente sobre el POAI para la próxima vigencia ajustado al plan plurianual de inversiones, el cual se presenta en el anexo </v>
      </c>
      <c r="B10" s="516"/>
      <c r="C10" s="516"/>
      <c r="D10" s="516"/>
      <c r="E10" s="516"/>
      <c r="F10" s="516"/>
      <c r="G10" s="516"/>
    </row>
    <row r="11" spans="1:7" s="425" customFormat="1" ht="30" customHeight="1">
      <c r="A11" s="516" t="str">
        <f>+POAI!A11</f>
        <v>3. Que se han proyectado los ingresos que se calcula el municipio percibirá en la siguiente vigencia para financiar los gastos de funcionamiento así como los gastos sectoriales, sus programas y subprogramas</v>
      </c>
      <c r="B11" s="516"/>
      <c r="C11" s="516"/>
      <c r="D11" s="516"/>
      <c r="E11" s="516"/>
      <c r="F11" s="516"/>
      <c r="G11" s="516"/>
    </row>
    <row r="12" spans="1:7" s="425" customFormat="1" ht="30" customHeight="1">
      <c r="A12" s="516" t="str">
        <f>+POAI!A12</f>
        <v>4. Que el presupuesto debe estar acompañado por el MFMP el cual se presenta anexo y se encuentra acorde con las metas anuales de superávit primario con aval del órgano de Asesoría y Consulta en materia de hacienda</v>
      </c>
      <c r="B12" s="516"/>
      <c r="C12" s="516"/>
      <c r="D12" s="516"/>
      <c r="E12" s="516"/>
      <c r="F12" s="516"/>
      <c r="G12" s="516"/>
    </row>
    <row r="13" spans="1:7" s="425" customFormat="1" ht="30" customHeight="1">
      <c r="A13" s="516" t="str">
        <f>+POAI!A13</f>
        <v>5. Que se han incluido los anteproyectos de las diferentes secciones presupuestales, y aquellas que no lo hicieron se han presupuestado los valores aprobados por el concejo para la actual vigencia</v>
      </c>
      <c r="B13" s="516"/>
      <c r="C13" s="516"/>
      <c r="D13" s="516"/>
      <c r="E13" s="516"/>
      <c r="F13" s="516"/>
      <c r="G13" s="516"/>
    </row>
    <row r="14" spans="1:7" s="425" customFormat="1" ht="30" customHeight="1">
      <c r="A14" s="516" t="str">
        <f>+POAI!A14</f>
        <v>6. Que el presupuesto es de iniciativa del ejecutivo, el cual se ha estructurado según presupuesto programático y por resultados haciéndolo concordante con el plan de desarrollo aporbado por el Concejo Municipal</v>
      </c>
      <c r="B14" s="516"/>
      <c r="C14" s="516"/>
      <c r="D14" s="516"/>
      <c r="E14" s="516"/>
      <c r="F14" s="516"/>
      <c r="G14" s="516"/>
    </row>
    <row r="15" spans="1:7" s="425" customFormat="1" ht="30" customHeight="1">
      <c r="A15" s="516" t="str">
        <f>+POAI!A15</f>
        <v>7. Por lo anterior,</v>
      </c>
      <c r="B15" s="516"/>
      <c r="C15" s="516"/>
      <c r="D15" s="516"/>
      <c r="E15" s="516"/>
      <c r="F15" s="516"/>
      <c r="G15" s="516"/>
    </row>
    <row r="16" spans="1:7">
      <c r="A16" s="515" t="str">
        <f>+POAI!A16</f>
        <v>ACUERDA:</v>
      </c>
      <c r="B16" s="515"/>
      <c r="C16" s="515"/>
      <c r="D16" s="515"/>
      <c r="E16" s="515"/>
      <c r="F16" s="515"/>
      <c r="G16" s="515"/>
    </row>
    <row r="17" spans="1:7">
      <c r="A17" s="421"/>
      <c r="B17" s="421"/>
      <c r="C17" s="421"/>
      <c r="D17" s="421"/>
      <c r="E17" s="421"/>
      <c r="F17" s="421"/>
      <c r="G17" s="421"/>
    </row>
    <row r="18" spans="1:7">
      <c r="A18" s="426" t="str">
        <f>+POAI!A17</f>
        <v>ARTICULO PRIMERO: Calcular para la vigencia de 2012 el presupuesto de ingresos y conforme el siguiente pormenor la suma de:</v>
      </c>
      <c r="B18" s="426"/>
      <c r="C18" s="426"/>
      <c r="D18" s="426"/>
      <c r="E18" s="426"/>
      <c r="F18" s="426"/>
      <c r="G18" s="426">
        <f>+POAI!G17</f>
        <v>2990779389</v>
      </c>
    </row>
    <row r="19" spans="1:7">
      <c r="A19" s="426"/>
      <c r="B19" s="426"/>
      <c r="C19" s="426"/>
      <c r="D19" s="426"/>
      <c r="E19" s="426"/>
      <c r="F19" s="426"/>
      <c r="G19" s="426"/>
    </row>
    <row r="20" spans="1:7" s="429" customFormat="1">
      <c r="A20" s="427" t="str">
        <f>+POAI!A18</f>
        <v>1</v>
      </c>
      <c r="B20" s="427" t="str">
        <f>+POAI!B18</f>
        <v>INGRESOS MUNICIPIO DE CUCAITA</v>
      </c>
      <c r="C20" s="428"/>
      <c r="D20" s="428"/>
      <c r="E20" s="428"/>
      <c r="F20" s="428"/>
      <c r="G20" s="428">
        <f>+POAI!G18</f>
        <v>2990779389</v>
      </c>
    </row>
    <row r="21" spans="1:7" s="429" customFormat="1">
      <c r="A21" s="427"/>
      <c r="B21" s="427"/>
      <c r="C21" s="428"/>
      <c r="D21" s="428"/>
      <c r="E21" s="428"/>
      <c r="F21" s="428"/>
      <c r="G21" s="428"/>
    </row>
    <row r="22" spans="1:7" s="429" customFormat="1">
      <c r="A22" s="427">
        <f>+POAI!A20</f>
        <v>11</v>
      </c>
      <c r="B22" s="427" t="str">
        <f>+POAI!B20</f>
        <v>INGRESOS CORRIENTES DE LIBRE DESTINACIÓN</v>
      </c>
      <c r="C22" s="428"/>
      <c r="D22" s="428"/>
      <c r="E22" s="428"/>
      <c r="F22" s="428">
        <f>+POAI!F20</f>
        <v>812343520</v>
      </c>
      <c r="G22" s="428"/>
    </row>
    <row r="23" spans="1:7" s="429" customFormat="1">
      <c r="A23" s="427"/>
      <c r="B23" s="427"/>
      <c r="C23" s="428"/>
      <c r="D23" s="428"/>
      <c r="E23" s="428"/>
      <c r="F23" s="428"/>
      <c r="G23" s="428"/>
    </row>
    <row r="24" spans="1:7" s="429" customFormat="1">
      <c r="A24" s="427">
        <f>+POAI!A22</f>
        <v>111</v>
      </c>
      <c r="B24" s="427" t="str">
        <f>+POAI!B22</f>
        <v>INGRESOS TRIBUTARIOS</v>
      </c>
      <c r="C24" s="428"/>
      <c r="D24" s="428"/>
      <c r="E24" s="428">
        <f>+POAI!E22</f>
        <v>226850000</v>
      </c>
      <c r="F24" s="428"/>
      <c r="G24" s="428"/>
    </row>
    <row r="25" spans="1:7" s="429" customFormat="1">
      <c r="A25" s="427"/>
      <c r="B25" s="427"/>
      <c r="C25" s="428"/>
      <c r="D25" s="428"/>
      <c r="E25" s="428"/>
      <c r="F25" s="428"/>
      <c r="G25" s="428"/>
    </row>
    <row r="26" spans="1:7" s="429" customFormat="1">
      <c r="A26" s="427">
        <f>+POAI!A24</f>
        <v>1111</v>
      </c>
      <c r="B26" s="427" t="str">
        <f>+POAI!B24</f>
        <v>IMPUESTOS DIRECTOS</v>
      </c>
      <c r="C26" s="428"/>
      <c r="D26" s="428">
        <f>+POAI!D24</f>
        <v>60000000</v>
      </c>
      <c r="E26" s="428"/>
      <c r="F26" s="428"/>
      <c r="G26" s="428"/>
    </row>
    <row r="27" spans="1:7" s="429" customFormat="1">
      <c r="A27" s="430">
        <f>+POAI!A25</f>
        <v>111101</v>
      </c>
      <c r="B27" s="430" t="str">
        <f>+POAI!B25</f>
        <v>Impuesto predial unificado vigenci actual</v>
      </c>
      <c r="C27" s="431">
        <f>+POAI!C25</f>
        <v>45000000</v>
      </c>
      <c r="D27" s="431"/>
      <c r="E27" s="431"/>
      <c r="F27" s="431"/>
      <c r="G27" s="431"/>
    </row>
    <row r="28" spans="1:7" s="429" customFormat="1">
      <c r="A28" s="430">
        <f>+POAI!A26</f>
        <v>111102</v>
      </c>
      <c r="B28" s="430" t="str">
        <f>+POAI!B26</f>
        <v>Impuesto predial unificado vigencia anterior</v>
      </c>
      <c r="C28" s="431">
        <f>+POAI!C26</f>
        <v>5000000</v>
      </c>
      <c r="D28" s="431"/>
      <c r="E28" s="431"/>
      <c r="F28" s="431"/>
      <c r="G28" s="431"/>
    </row>
    <row r="29" spans="1:7" s="429" customFormat="1">
      <c r="A29" s="430">
        <f>+POAI!A27</f>
        <v>112103</v>
      </c>
      <c r="B29" s="430" t="str">
        <f>+POAI!B27</f>
        <v>Sobretasa Coporación Autónoma Regional</v>
      </c>
      <c r="C29" s="431">
        <f>+POAI!C27</f>
        <v>10000000</v>
      </c>
      <c r="D29" s="431"/>
      <c r="E29" s="431"/>
      <c r="F29" s="431"/>
      <c r="G29" s="431"/>
    </row>
    <row r="30" spans="1:7" s="429" customFormat="1" hidden="1">
      <c r="A30" s="430"/>
      <c r="B30" s="430"/>
      <c r="C30" s="431"/>
      <c r="D30" s="431"/>
      <c r="E30" s="431"/>
      <c r="F30" s="431"/>
      <c r="G30" s="431"/>
    </row>
    <row r="31" spans="1:7" s="432" customFormat="1">
      <c r="A31" s="427">
        <f>+POAI!A29</f>
        <v>1112</v>
      </c>
      <c r="B31" s="427" t="str">
        <f>+POAI!B29</f>
        <v>IMPUESTOS INDIRECTOS</v>
      </c>
      <c r="C31" s="428"/>
      <c r="D31" s="428">
        <f>+POAI!D29</f>
        <v>166850000</v>
      </c>
      <c r="E31" s="428"/>
      <c r="F31" s="428"/>
      <c r="G31" s="428"/>
    </row>
    <row r="32" spans="1:7" s="429" customFormat="1">
      <c r="A32" s="430">
        <f>+POAI!A30</f>
        <v>111201</v>
      </c>
      <c r="B32" s="430" t="str">
        <f>+POAI!B30</f>
        <v>Industria y comercio</v>
      </c>
      <c r="C32" s="431">
        <f>+POAI!C30</f>
        <v>30000000</v>
      </c>
      <c r="D32" s="431"/>
      <c r="E32" s="431"/>
      <c r="F32" s="431"/>
      <c r="G32" s="431"/>
    </row>
    <row r="33" spans="1:7" s="429" customFormat="1">
      <c r="A33" s="430">
        <f>+POAI!A31</f>
        <v>111202</v>
      </c>
      <c r="B33" s="430" t="str">
        <f>+POAI!B31</f>
        <v>Avisos y tableros</v>
      </c>
      <c r="C33" s="431">
        <f>+POAI!C31</f>
        <v>800000</v>
      </c>
      <c r="D33" s="431"/>
      <c r="E33" s="431"/>
      <c r="F33" s="431"/>
      <c r="G33" s="431"/>
    </row>
    <row r="34" spans="1:7" s="429" customFormat="1">
      <c r="A34" s="430">
        <f>+POAI!A32</f>
        <v>111203</v>
      </c>
      <c r="B34" s="430" t="str">
        <f>+POAI!B32</f>
        <v>Delineación urbana, estudios y licencias</v>
      </c>
      <c r="C34" s="431">
        <f>+POAI!C32</f>
        <v>1000000</v>
      </c>
      <c r="D34" s="431"/>
      <c r="E34" s="431"/>
      <c r="F34" s="431"/>
      <c r="G34" s="431"/>
    </row>
    <row r="35" spans="1:7" s="429" customFormat="1">
      <c r="A35" s="430">
        <f>+POAI!A33</f>
        <v>111204</v>
      </c>
      <c r="B35" s="430" t="str">
        <f>+POAI!B33</f>
        <v>Ocupación de vías</v>
      </c>
      <c r="C35" s="431">
        <f>+POAI!C33</f>
        <v>50000</v>
      </c>
      <c r="D35" s="431"/>
      <c r="E35" s="431"/>
      <c r="F35" s="431"/>
      <c r="G35" s="431"/>
    </row>
    <row r="36" spans="1:7" s="429" customFormat="1">
      <c r="A36" s="430">
        <f>+POAI!A34</f>
        <v>111205</v>
      </c>
      <c r="B36" s="430" t="str">
        <f>+POAI!B34</f>
        <v>Impuesto al transporte de gasoductos</v>
      </c>
      <c r="C36" s="431">
        <f>+POAI!C34</f>
        <v>5000000</v>
      </c>
      <c r="D36" s="431"/>
      <c r="E36" s="431"/>
      <c r="F36" s="431"/>
      <c r="G36" s="431"/>
    </row>
    <row r="37" spans="1:7" s="429" customFormat="1">
      <c r="A37" s="430">
        <f>+POAI!A35</f>
        <v>111206</v>
      </c>
      <c r="B37" s="430" t="str">
        <f>+POAI!B35</f>
        <v>Sobretasa a la Gasolina Motor</v>
      </c>
      <c r="C37" s="431">
        <f>+POAI!C35</f>
        <v>130000000</v>
      </c>
      <c r="D37" s="431"/>
      <c r="E37" s="431"/>
      <c r="F37" s="431"/>
      <c r="G37" s="431"/>
    </row>
    <row r="38" spans="1:7" s="432" customFormat="1">
      <c r="A38" s="427">
        <f>+POAI!A37</f>
        <v>112</v>
      </c>
      <c r="B38" s="427" t="str">
        <f>+POAI!B37</f>
        <v>INGRESOS NO TRIBUTARIOS</v>
      </c>
      <c r="C38" s="428"/>
      <c r="D38" s="428"/>
      <c r="E38" s="428">
        <f>+POAI!E37</f>
        <v>584493520</v>
      </c>
      <c r="F38" s="428"/>
      <c r="G38" s="428"/>
    </row>
    <row r="39" spans="1:7" s="432" customFormat="1">
      <c r="A39" s="427">
        <f>+POAI!A39</f>
        <v>1121</v>
      </c>
      <c r="B39" s="427" t="str">
        <f>+POAI!B39</f>
        <v>TRANSFERENCIAS Y PARTICIPACIONES NACIONALES</v>
      </c>
      <c r="C39" s="428"/>
      <c r="D39" s="428">
        <f>+POAI!D39</f>
        <v>547493518</v>
      </c>
      <c r="E39" s="428"/>
      <c r="F39" s="428"/>
      <c r="G39" s="428"/>
    </row>
    <row r="40" spans="1:7" s="429" customFormat="1">
      <c r="A40" s="430">
        <f>+POAI!A40</f>
        <v>112101</v>
      </c>
      <c r="B40" s="430" t="str">
        <f>+POAI!B40</f>
        <v>SGP-Proposito General - Libre Destinacion</v>
      </c>
      <c r="C40" s="431">
        <f>+POAI!C40</f>
        <v>545993518</v>
      </c>
      <c r="D40" s="431"/>
      <c r="E40" s="431"/>
      <c r="F40" s="431"/>
      <c r="G40" s="431"/>
    </row>
    <row r="41" spans="1:7" s="429" customFormat="1">
      <c r="A41" s="430">
        <f>+POAI!A41</f>
        <v>112102</v>
      </c>
      <c r="B41" s="430" t="str">
        <f>+POAI!B41</f>
        <v>Transferencia electrica Chivor S.A - Ley 99</v>
      </c>
      <c r="C41" s="431">
        <f>+POAI!C41</f>
        <v>1500000</v>
      </c>
      <c r="D41" s="431"/>
      <c r="E41" s="431"/>
      <c r="F41" s="431"/>
      <c r="G41" s="431"/>
    </row>
    <row r="42" spans="1:7" s="432" customFormat="1">
      <c r="A42" s="427">
        <f>+POAI!A43</f>
        <v>1122</v>
      </c>
      <c r="B42" s="427" t="str">
        <f>+POAI!B43</f>
        <v>TRANSFERENCIAS DEPARTAMENTALES</v>
      </c>
      <c r="C42" s="428"/>
      <c r="D42" s="428">
        <f>+POAI!D43</f>
        <v>5000000</v>
      </c>
      <c r="E42" s="428"/>
      <c r="F42" s="428"/>
      <c r="G42" s="428"/>
    </row>
    <row r="43" spans="1:7" s="429" customFormat="1">
      <c r="A43" s="430">
        <f>+POAI!A44</f>
        <v>112201</v>
      </c>
      <c r="B43" s="430" t="str">
        <f>+POAI!B44</f>
        <v>Impuesto a vehículos automotores</v>
      </c>
      <c r="C43" s="431">
        <f>+POAI!C44</f>
        <v>5000000</v>
      </c>
      <c r="D43" s="431"/>
      <c r="E43" s="431"/>
      <c r="F43" s="431"/>
      <c r="G43" s="431"/>
    </row>
    <row r="44" spans="1:7" s="432" customFormat="1">
      <c r="A44" s="427">
        <f>+POAI!A46</f>
        <v>1123</v>
      </c>
      <c r="B44" s="427" t="str">
        <f>+POAI!B46</f>
        <v>MULTAS Y SANCIONES</v>
      </c>
      <c r="C44" s="428"/>
      <c r="D44" s="428">
        <f>+POAI!D46</f>
        <v>1000000</v>
      </c>
      <c r="E44" s="428"/>
      <c r="F44" s="428"/>
      <c r="G44" s="428"/>
    </row>
    <row r="45" spans="1:7" s="429" customFormat="1">
      <c r="A45" s="430">
        <f>+POAI!A47</f>
        <v>112301</v>
      </c>
      <c r="B45" s="430" t="str">
        <f>+POAI!B47</f>
        <v>Multas</v>
      </c>
      <c r="C45" s="431">
        <f>+POAI!C47</f>
        <v>500000</v>
      </c>
      <c r="D45" s="431"/>
      <c r="E45" s="431"/>
      <c r="F45" s="431"/>
      <c r="G45" s="431"/>
    </row>
    <row r="46" spans="1:7" s="429" customFormat="1">
      <c r="A46" s="430">
        <f>+POAI!A48</f>
        <v>112302</v>
      </c>
      <c r="B46" s="430" t="str">
        <f>+POAI!B48</f>
        <v>Sanciones</v>
      </c>
      <c r="C46" s="431">
        <f>+POAI!C48</f>
        <v>500000</v>
      </c>
      <c r="D46" s="431"/>
      <c r="E46" s="431"/>
      <c r="F46" s="431"/>
      <c r="G46" s="431"/>
    </row>
    <row r="47" spans="1:7" s="432" customFormat="1">
      <c r="A47" s="427">
        <f>+POAI!A50</f>
        <v>1124</v>
      </c>
      <c r="B47" s="427" t="str">
        <f>+POAI!B50</f>
        <v>VENTA DE BIENES Y SERVICIOS</v>
      </c>
      <c r="C47" s="428"/>
      <c r="D47" s="428">
        <f>+POAI!D50</f>
        <v>31000000</v>
      </c>
      <c r="E47" s="428"/>
      <c r="F47" s="428"/>
      <c r="G47" s="428"/>
    </row>
    <row r="48" spans="1:7" s="429" customFormat="1">
      <c r="A48" s="430">
        <f>+POAI!A51</f>
        <v>112401</v>
      </c>
      <c r="B48" s="430" t="str">
        <f>+POAI!B51</f>
        <v>Alquiler de maquinaria</v>
      </c>
      <c r="C48" s="431">
        <f>+POAI!C51</f>
        <v>25000000</v>
      </c>
      <c r="D48" s="431"/>
      <c r="E48" s="431"/>
      <c r="F48" s="431"/>
      <c r="G48" s="431"/>
    </row>
    <row r="49" spans="1:7" s="429" customFormat="1">
      <c r="A49" s="430">
        <f>+POAI!A52</f>
        <v>112402</v>
      </c>
      <c r="B49" s="430" t="str">
        <f>+POAI!B52</f>
        <v>Publicación gaceta municipal</v>
      </c>
      <c r="C49" s="431">
        <f>+POAI!C52</f>
        <v>5000000</v>
      </c>
      <c r="D49" s="431"/>
      <c r="E49" s="431"/>
      <c r="F49" s="431"/>
      <c r="G49" s="431"/>
    </row>
    <row r="50" spans="1:7" s="429" customFormat="1">
      <c r="A50" s="430">
        <f>+POAI!A53</f>
        <v>112403</v>
      </c>
      <c r="B50" s="430" t="str">
        <f>+POAI!B53</f>
        <v>Venta de servicios e insumos</v>
      </c>
      <c r="C50" s="431">
        <f>+POAI!C53</f>
        <v>1000000</v>
      </c>
      <c r="D50" s="431"/>
      <c r="E50" s="431"/>
      <c r="F50" s="431"/>
      <c r="G50" s="431"/>
    </row>
    <row r="51" spans="1:7" s="432" customFormat="1">
      <c r="A51" s="427">
        <f>+POAI!A55</f>
        <v>1126</v>
      </c>
      <c r="B51" s="427" t="str">
        <f>+POAI!B55</f>
        <v>OTROS INGRESOS NO TRIBUTARIOS</v>
      </c>
      <c r="C51" s="428"/>
      <c r="D51" s="428">
        <f>+POAI!D55</f>
        <v>2</v>
      </c>
      <c r="E51" s="428"/>
      <c r="F51" s="428"/>
      <c r="G51" s="428"/>
    </row>
    <row r="52" spans="1:7" s="429" customFormat="1">
      <c r="A52" s="430">
        <f>+POAI!A56</f>
        <v>112601</v>
      </c>
      <c r="B52" s="430" t="str">
        <f>+POAI!B56</f>
        <v>Otros Ingresos no tributarios</v>
      </c>
      <c r="C52" s="431">
        <f>+POAI!C56</f>
        <v>1</v>
      </c>
      <c r="D52" s="431"/>
      <c r="E52" s="431"/>
      <c r="F52" s="431"/>
      <c r="G52" s="431"/>
    </row>
    <row r="53" spans="1:7" s="429" customFormat="1">
      <c r="A53" s="430">
        <f>+POAI!A57</f>
        <v>112602</v>
      </c>
      <c r="B53" s="430" t="str">
        <f>+POAI!B57</f>
        <v>licencias de maternidad</v>
      </c>
      <c r="C53" s="431">
        <f>+POAI!C57</f>
        <v>1</v>
      </c>
      <c r="D53" s="431"/>
      <c r="E53" s="431"/>
      <c r="F53" s="431"/>
      <c r="G53" s="431"/>
    </row>
    <row r="54" spans="1:7" s="432" customFormat="1">
      <c r="A54" s="427">
        <f>+POAI!A59</f>
        <v>113</v>
      </c>
      <c r="B54" s="427" t="str">
        <f>+POAI!B59</f>
        <v>RECURSOS DE CAPITAL RECURSOS PROPIOS</v>
      </c>
      <c r="C54" s="428"/>
      <c r="D54" s="428"/>
      <c r="E54" s="428">
        <f>+POAI!E59</f>
        <v>1000000</v>
      </c>
      <c r="F54" s="428"/>
      <c r="G54" s="428"/>
    </row>
    <row r="55" spans="1:7" s="432" customFormat="1">
      <c r="A55" s="427">
        <f>+POAI!A60</f>
        <v>1131</v>
      </c>
      <c r="B55" s="427" t="str">
        <f>+POAI!B60</f>
        <v>RENDIMIENTOS DE OPERACIONES FINANCIERAS</v>
      </c>
      <c r="C55" s="428"/>
      <c r="D55" s="428">
        <f>+POAI!D60</f>
        <v>1000000</v>
      </c>
      <c r="E55" s="428"/>
      <c r="F55" s="428"/>
      <c r="G55" s="428"/>
    </row>
    <row r="56" spans="1:7" s="429" customFormat="1">
      <c r="A56" s="430">
        <f>+POAI!A61</f>
        <v>113101</v>
      </c>
      <c r="B56" s="430" t="str">
        <f>+POAI!B61</f>
        <v>Intereses y dividendos recursos Propios</v>
      </c>
      <c r="C56" s="431">
        <f>+POAI!C61</f>
        <v>1000000</v>
      </c>
      <c r="D56" s="431"/>
      <c r="E56" s="431"/>
      <c r="F56" s="431"/>
      <c r="G56" s="431"/>
    </row>
    <row r="57" spans="1:7" s="432" customFormat="1">
      <c r="A57" s="427">
        <f>+POAI!A63</f>
        <v>12</v>
      </c>
      <c r="B57" s="427" t="str">
        <f>+POAI!B63</f>
        <v>SISTEMA GENERAL DE PARTICIPACIONES</v>
      </c>
      <c r="C57" s="428"/>
      <c r="D57" s="428"/>
      <c r="E57" s="428"/>
      <c r="F57" s="428">
        <f>+POAI!F63</f>
        <v>1359199079</v>
      </c>
      <c r="G57" s="428"/>
    </row>
    <row r="58" spans="1:7" s="432" customFormat="1">
      <c r="A58" s="427">
        <f>+POAI!A64</f>
        <v>1201</v>
      </c>
      <c r="B58" s="427" t="str">
        <f>+POAI!B64</f>
        <v>SGP EDUCACIÓN</v>
      </c>
      <c r="C58" s="428"/>
      <c r="D58" s="428"/>
      <c r="E58" s="428">
        <f>+POAI!E64</f>
        <v>114914354</v>
      </c>
      <c r="F58" s="428"/>
      <c r="G58" s="428"/>
    </row>
    <row r="59" spans="1:7" s="429" customFormat="1">
      <c r="A59" s="430">
        <f>+POAI!A65</f>
        <v>120101</v>
      </c>
      <c r="B59" s="430" t="str">
        <f>+POAI!B65</f>
        <v>SGP Educacion Calidad</v>
      </c>
      <c r="C59" s="431">
        <f>+POAI!C65</f>
        <v>82267354</v>
      </c>
      <c r="D59" s="431"/>
      <c r="E59" s="431"/>
      <c r="F59" s="431"/>
      <c r="G59" s="431"/>
    </row>
    <row r="60" spans="1:7" s="429" customFormat="1">
      <c r="A60" s="430">
        <f>+POAI!A66</f>
        <v>120102</v>
      </c>
      <c r="B60" s="430" t="str">
        <f>+POAI!B66</f>
        <v>SGP Educacion Gratuidad</v>
      </c>
      <c r="C60" s="431">
        <f>+POAI!C66</f>
        <v>32647000</v>
      </c>
      <c r="D60" s="431"/>
      <c r="E60" s="431"/>
      <c r="F60" s="431"/>
      <c r="G60" s="431"/>
    </row>
    <row r="61" spans="1:7" s="432" customFormat="1">
      <c r="A61" s="427">
        <f>+POAI!A67</f>
        <v>1202</v>
      </c>
      <c r="B61" s="427" t="str">
        <f>+POAI!B67</f>
        <v>SGP ALIMENT ESCOLAR</v>
      </c>
      <c r="C61" s="428"/>
      <c r="D61" s="428"/>
      <c r="E61" s="428">
        <f>+POAI!E67</f>
        <v>16780115</v>
      </c>
      <c r="F61" s="428"/>
      <c r="G61" s="428"/>
    </row>
    <row r="62" spans="1:7" s="429" customFormat="1">
      <c r="A62" s="430">
        <f>+POAI!A68</f>
        <v>120201</v>
      </c>
      <c r="B62" s="430" t="str">
        <f>+POAI!B68</f>
        <v>SGP Alimentacion Escolar</v>
      </c>
      <c r="C62" s="431">
        <f>+POAI!C68</f>
        <v>16780115</v>
      </c>
      <c r="D62" s="431"/>
      <c r="E62" s="431"/>
      <c r="F62" s="431"/>
      <c r="G62" s="431"/>
    </row>
    <row r="63" spans="1:7" s="432" customFormat="1">
      <c r="A63" s="427">
        <f>+POAI!A69</f>
        <v>1204</v>
      </c>
      <c r="B63" s="427" t="str">
        <f>+POAI!B69</f>
        <v>SGP AGUA POTABLE Y SANEAMIENTO BASICO</v>
      </c>
      <c r="C63" s="428"/>
      <c r="D63" s="428"/>
      <c r="E63" s="428">
        <f>+POAI!E69</f>
        <v>276310740</v>
      </c>
      <c r="F63" s="428"/>
      <c r="G63" s="428"/>
    </row>
    <row r="64" spans="1:7" s="429" customFormat="1">
      <c r="A64" s="430">
        <f>+POAI!A70</f>
        <v>120401</v>
      </c>
      <c r="B64" s="430" t="str">
        <f>+POAI!B70</f>
        <v>SGP Agua Potable y Saneamiento Basico</v>
      </c>
      <c r="C64" s="431">
        <f>+POAI!C70</f>
        <v>276310740</v>
      </c>
      <c r="D64" s="431"/>
      <c r="E64" s="431"/>
      <c r="F64" s="431"/>
      <c r="G64" s="431"/>
    </row>
    <row r="65" spans="1:7" s="432" customFormat="1">
      <c r="A65" s="427">
        <f>+POAI!A71</f>
        <v>1205</v>
      </c>
      <c r="B65" s="427" t="str">
        <f>+POAI!B71</f>
        <v>SGP PROPÓSITO GENERAL INVERSIÓN</v>
      </c>
      <c r="C65" s="428"/>
      <c r="D65" s="428"/>
      <c r="E65" s="428">
        <f>+POAI!E71</f>
        <v>951193870</v>
      </c>
      <c r="F65" s="428"/>
      <c r="G65" s="428"/>
    </row>
    <row r="66" spans="1:7" s="429" customFormat="1">
      <c r="A66" s="430">
        <f>+POAI!A72</f>
        <v>120501</v>
      </c>
      <c r="B66" s="430" t="str">
        <f>+POAI!B72</f>
        <v xml:space="preserve">   SGP- PG Deporte</v>
      </c>
      <c r="C66" s="431">
        <f>+POAI!C72</f>
        <v>66295935</v>
      </c>
      <c r="D66" s="431"/>
      <c r="E66" s="431"/>
      <c r="F66" s="431"/>
      <c r="G66" s="431"/>
    </row>
    <row r="67" spans="1:7" s="429" customFormat="1">
      <c r="A67" s="430">
        <f>+POAI!A73</f>
        <v>120502</v>
      </c>
      <c r="B67" s="430" t="str">
        <f>+POAI!B73</f>
        <v xml:space="preserve">   SGP- PG Cultura</v>
      </c>
      <c r="C67" s="431">
        <f>+POAI!C73</f>
        <v>49720950</v>
      </c>
      <c r="D67" s="431"/>
      <c r="E67" s="431"/>
      <c r="F67" s="431"/>
      <c r="G67" s="431"/>
    </row>
    <row r="68" spans="1:7" s="429" customFormat="1">
      <c r="A68" s="430">
        <f>+POAI!A74</f>
        <v>120503</v>
      </c>
      <c r="B68" s="430" t="str">
        <f>+POAI!B74</f>
        <v xml:space="preserve">   SGP- PG Libre Inversion</v>
      </c>
      <c r="C68" s="431">
        <f>+POAI!C74</f>
        <v>835176985</v>
      </c>
      <c r="D68" s="431"/>
      <c r="E68" s="431"/>
      <c r="F68" s="431"/>
      <c r="G68" s="431"/>
    </row>
    <row r="69" spans="1:7" s="432" customFormat="1">
      <c r="A69" s="427">
        <f>+POAI!A76</f>
        <v>13</v>
      </c>
      <c r="B69" s="427" t="str">
        <f>+POAI!B76</f>
        <v>TRANSFERENCIAS, COFINANCIACIONES Y PARTICIPACIONES</v>
      </c>
      <c r="C69" s="428"/>
      <c r="D69" s="428"/>
      <c r="E69" s="428"/>
      <c r="F69" s="428">
        <f>+POAI!F76</f>
        <v>16501000</v>
      </c>
      <c r="G69" s="428"/>
    </row>
    <row r="70" spans="1:7" s="432" customFormat="1">
      <c r="A70" s="427">
        <f>+POAI!A77</f>
        <v>1301</v>
      </c>
      <c r="B70" s="427" t="str">
        <f>+POAI!B77</f>
        <v>TRANSFERENCIAS Y COFINANCIACIONES DEL NIVEL NACIONAL</v>
      </c>
      <c r="C70" s="428"/>
      <c r="D70" s="428"/>
      <c r="E70" s="428">
        <f>+POAI!E77</f>
        <v>13500000</v>
      </c>
      <c r="F70" s="428"/>
      <c r="G70" s="428"/>
    </row>
    <row r="71" spans="1:7" s="429" customFormat="1">
      <c r="A71" s="430">
        <f>+POAI!A78</f>
        <v>130101</v>
      </c>
      <c r="B71" s="430" t="str">
        <f>+POAI!B78</f>
        <v>Transferencia electrica Chivor S.A - Ley 99</v>
      </c>
      <c r="C71" s="431">
        <f>+POAI!C78</f>
        <v>13500000</v>
      </c>
      <c r="D71" s="431"/>
      <c r="E71" s="431"/>
      <c r="F71" s="431"/>
      <c r="G71" s="431"/>
    </row>
    <row r="72" spans="1:7" s="432" customFormat="1">
      <c r="A72" s="427">
        <f>+POAI!A80</f>
        <v>1302</v>
      </c>
      <c r="B72" s="427" t="str">
        <f>+POAI!B80</f>
        <v>TRANSFERENCIAS Y COFINANCIACIONES DEL NIVEL DEPARTAMENTAL</v>
      </c>
      <c r="C72" s="428"/>
      <c r="D72" s="428"/>
      <c r="E72" s="428">
        <f>+POAI!E80</f>
        <v>1000</v>
      </c>
      <c r="F72" s="428"/>
      <c r="G72" s="428"/>
    </row>
    <row r="73" spans="1:7" s="429" customFormat="1">
      <c r="A73" s="430">
        <f>+POAI!A81</f>
        <v>130201</v>
      </c>
      <c r="B73" s="430" t="str">
        <f>+POAI!B81</f>
        <v>Participación en impuesto a los cigarrillos</v>
      </c>
      <c r="C73" s="431">
        <f>+POAI!C81</f>
        <v>1000</v>
      </c>
      <c r="D73" s="431"/>
      <c r="E73" s="431"/>
      <c r="F73" s="431"/>
      <c r="G73" s="431"/>
    </row>
    <row r="74" spans="1:7" s="432" customFormat="1">
      <c r="A74" s="427">
        <f>+POAI!A83</f>
        <v>1303</v>
      </c>
      <c r="B74" s="427" t="str">
        <f>+POAI!B83</f>
        <v>PARTICIPACIONES POR REGALIAS</v>
      </c>
      <c r="C74" s="428"/>
      <c r="D74" s="428"/>
      <c r="E74" s="428">
        <f>+POAI!E83</f>
        <v>3000000</v>
      </c>
      <c r="F74" s="428"/>
      <c r="G74" s="428"/>
    </row>
    <row r="75" spans="1:7" s="429" customFormat="1">
      <c r="A75" s="430">
        <f>+POAI!A84</f>
        <v>130301</v>
      </c>
      <c r="B75" s="430" t="str">
        <f>+POAI!B84</f>
        <v>Regalías carboníferas</v>
      </c>
      <c r="C75" s="431">
        <f>+POAI!C84</f>
        <v>3000000</v>
      </c>
      <c r="D75" s="431"/>
      <c r="E75" s="431"/>
      <c r="F75" s="431"/>
      <c r="G75" s="431"/>
    </row>
    <row r="76" spans="1:7" s="432" customFormat="1">
      <c r="A76" s="427">
        <f>+POAI!A86</f>
        <v>14</v>
      </c>
      <c r="B76" s="427" t="str">
        <f>+POAI!B86</f>
        <v>FONDOS DE DESTINACION ESPECIFICA</v>
      </c>
      <c r="C76" s="428"/>
      <c r="D76" s="428"/>
      <c r="E76" s="428"/>
      <c r="F76" s="428">
        <f>+POAI!F86</f>
        <v>802735790</v>
      </c>
      <c r="G76" s="428"/>
    </row>
    <row r="77" spans="1:7" s="432" customFormat="1">
      <c r="A77" s="427">
        <f>+POAI!A87</f>
        <v>1401</v>
      </c>
      <c r="B77" s="427" t="str">
        <f>+POAI!B87</f>
        <v>SOBRETASA BOMBERIL</v>
      </c>
      <c r="C77" s="428"/>
      <c r="D77" s="428"/>
      <c r="E77" s="428">
        <f>+POAI!E87</f>
        <v>7000000</v>
      </c>
      <c r="F77" s="428"/>
      <c r="G77" s="428"/>
    </row>
    <row r="78" spans="1:7" s="429" customFormat="1">
      <c r="A78" s="430">
        <f>+POAI!A88</f>
        <v>140101</v>
      </c>
      <c r="B78" s="430" t="str">
        <f>+POAI!B88</f>
        <v>Sobretasa bomberil</v>
      </c>
      <c r="C78" s="431">
        <f>+POAI!C88</f>
        <v>7000000</v>
      </c>
      <c r="D78" s="431"/>
      <c r="E78" s="431"/>
      <c r="F78" s="431"/>
      <c r="G78" s="431"/>
    </row>
    <row r="79" spans="1:7" s="432" customFormat="1">
      <c r="A79" s="427">
        <f>+POAI!A90</f>
        <v>1402</v>
      </c>
      <c r="B79" s="427" t="str">
        <f>+POAI!B90</f>
        <v>ESTAMPILLA PRO CULTURA</v>
      </c>
      <c r="C79" s="428"/>
      <c r="D79" s="428"/>
      <c r="E79" s="428">
        <f>+POAI!E90</f>
        <v>10000000</v>
      </c>
      <c r="F79" s="428"/>
      <c r="G79" s="428"/>
    </row>
    <row r="80" spans="1:7" s="429" customFormat="1">
      <c r="A80" s="430">
        <f>+POAI!A91</f>
        <v>140201</v>
      </c>
      <c r="B80" s="430" t="str">
        <f>+POAI!B91</f>
        <v>Estampilla pro cultura</v>
      </c>
      <c r="C80" s="431">
        <f>+POAI!C91</f>
        <v>10000000</v>
      </c>
      <c r="D80" s="431"/>
      <c r="E80" s="431"/>
      <c r="F80" s="431"/>
      <c r="G80" s="431"/>
    </row>
    <row r="81" spans="1:7" s="432" customFormat="1">
      <c r="A81" s="427">
        <f>+POAI!A93</f>
        <v>1403</v>
      </c>
      <c r="B81" s="427" t="str">
        <f>+POAI!B93</f>
        <v>ESTAMPILLA PRO ANCIANO</v>
      </c>
      <c r="C81" s="428"/>
      <c r="D81" s="428"/>
      <c r="E81" s="428">
        <f>+POAI!E93</f>
        <v>5000000</v>
      </c>
      <c r="F81" s="428"/>
      <c r="G81" s="428"/>
    </row>
    <row r="82" spans="1:7" s="429" customFormat="1">
      <c r="A82" s="430">
        <f>+POAI!A94</f>
        <v>140301</v>
      </c>
      <c r="B82" s="430" t="str">
        <f>+POAI!B94</f>
        <v>Estampilla pro bienestar del anciano</v>
      </c>
      <c r="C82" s="431">
        <f>+POAI!C94</f>
        <v>5000000</v>
      </c>
      <c r="D82" s="431"/>
      <c r="E82" s="431"/>
      <c r="F82" s="431"/>
      <c r="G82" s="431"/>
    </row>
    <row r="83" spans="1:7" s="432" customFormat="1">
      <c r="A83" s="427">
        <f>+POAI!A96</f>
        <v>1404</v>
      </c>
      <c r="B83" s="427" t="str">
        <f>+POAI!B96</f>
        <v>FONDO DE SEGURIDAD</v>
      </c>
      <c r="C83" s="428"/>
      <c r="D83" s="428"/>
      <c r="E83" s="428">
        <f>+POAI!E96</f>
        <v>12000000</v>
      </c>
      <c r="F83" s="428"/>
      <c r="G83" s="428"/>
    </row>
    <row r="84" spans="1:7" s="429" customFormat="1">
      <c r="A84" s="430">
        <f>+POAI!A97</f>
        <v>140401</v>
      </c>
      <c r="B84" s="430" t="str">
        <f>+POAI!B97</f>
        <v xml:space="preserve">Fondo de seguridad ley 418 de 1997 </v>
      </c>
      <c r="C84" s="431">
        <f>+POAI!C97</f>
        <v>12000000</v>
      </c>
      <c r="D84" s="431"/>
      <c r="E84" s="431"/>
      <c r="F84" s="431"/>
      <c r="G84" s="431"/>
    </row>
    <row r="85" spans="1:7" s="432" customFormat="1">
      <c r="A85" s="427">
        <f>+POAI!A99</f>
        <v>1405</v>
      </c>
      <c r="B85" s="427" t="str">
        <f>+POAI!B99</f>
        <v>FONDO LOCAL DE SALUD</v>
      </c>
      <c r="C85" s="428"/>
      <c r="D85" s="428"/>
      <c r="E85" s="428">
        <f>+POAI!E99</f>
        <v>768735790</v>
      </c>
      <c r="F85" s="428"/>
      <c r="G85" s="428"/>
    </row>
    <row r="86" spans="1:7" s="432" customFormat="1">
      <c r="A86" s="427">
        <f>+POAI!A100</f>
        <v>14051</v>
      </c>
      <c r="B86" s="427" t="str">
        <f>+POAI!B100</f>
        <v>PROGRAMA REGIMEN SUBSIDIADO</v>
      </c>
      <c r="C86" s="428"/>
      <c r="D86" s="428">
        <f>+POAI!D100</f>
        <v>746774185</v>
      </c>
      <c r="E86" s="428"/>
      <c r="F86" s="428"/>
      <c r="G86" s="428"/>
    </row>
    <row r="87" spans="1:7" s="432" customFormat="1">
      <c r="A87" s="430">
        <f>+POAI!A101</f>
        <v>1405101</v>
      </c>
      <c r="B87" s="430" t="str">
        <f>+POAI!B101</f>
        <v>SGP SALUD RÉGIMEN SUBSIDIADO</v>
      </c>
      <c r="C87" s="431">
        <f>+POAI!C101</f>
        <v>547054416</v>
      </c>
      <c r="D87" s="431"/>
      <c r="E87" s="431"/>
      <c r="F87" s="431"/>
      <c r="G87" s="431"/>
    </row>
    <row r="88" spans="1:7" s="432" customFormat="1">
      <c r="A88" s="430">
        <f>+POAI!A102</f>
        <v>1405102</v>
      </c>
      <c r="B88" s="430" t="str">
        <f>+POAI!B102</f>
        <v>SGP PG - LIBRE DESTINACION</v>
      </c>
      <c r="C88" s="431">
        <f>+POAI!C102</f>
        <v>62819769</v>
      </c>
      <c r="D88" s="431"/>
      <c r="E88" s="431"/>
      <c r="F88" s="431"/>
      <c r="G88" s="431"/>
    </row>
    <row r="89" spans="1:7" s="432" customFormat="1">
      <c r="A89" s="430">
        <f>+POAI!A103</f>
        <v>1405103</v>
      </c>
      <c r="B89" s="430" t="str">
        <f>+POAI!B103</f>
        <v>Recursos ETESA - Régimen subsidiado Continuidad</v>
      </c>
      <c r="C89" s="431">
        <f>+POAI!C103</f>
        <v>6000000</v>
      </c>
      <c r="D89" s="431"/>
      <c r="E89" s="431"/>
      <c r="F89" s="431"/>
      <c r="G89" s="431"/>
    </row>
    <row r="90" spans="1:7" s="429" customFormat="1">
      <c r="A90" s="430">
        <f>+POAI!A104</f>
        <v>1405104</v>
      </c>
      <c r="B90" s="430" t="str">
        <f>+POAI!B104</f>
        <v>FOSYGA CORRIENTE - Régimen subsidiado Continuidad</v>
      </c>
      <c r="C90" s="431">
        <f>+POAI!C104</f>
        <v>55000000</v>
      </c>
      <c r="D90" s="431"/>
      <c r="E90" s="431"/>
      <c r="F90" s="431"/>
      <c r="G90" s="431"/>
    </row>
    <row r="91" spans="1:7" s="429" customFormat="1">
      <c r="A91" s="430">
        <f>+POAI!A105</f>
        <v>1405105</v>
      </c>
      <c r="B91" s="430" t="str">
        <f>+POAI!B105</f>
        <v>Aportes Departamento para regimen subsidiado</v>
      </c>
      <c r="C91" s="431">
        <f>+POAI!C105</f>
        <v>75400000</v>
      </c>
      <c r="D91" s="431"/>
      <c r="E91" s="431"/>
      <c r="F91" s="431"/>
      <c r="G91" s="431"/>
    </row>
    <row r="92" spans="1:7" s="432" customFormat="1">
      <c r="A92" s="430">
        <f>+POAI!A106</f>
        <v>1405108</v>
      </c>
      <c r="B92" s="430" t="str">
        <f>+POAI!B106</f>
        <v>RECURSOS DE CAPITAL</v>
      </c>
      <c r="C92" s="431"/>
      <c r="D92" s="431"/>
      <c r="E92" s="431"/>
      <c r="F92" s="431"/>
      <c r="G92" s="431"/>
    </row>
    <row r="93" spans="1:7" s="429" customFormat="1">
      <c r="A93" s="430">
        <f>+POAI!A107</f>
        <v>140510801</v>
      </c>
      <c r="B93" s="430" t="str">
        <f>+POAI!B107</f>
        <v>Rendimientos Financieros Regimen Subsidiado</v>
      </c>
      <c r="C93" s="431">
        <f>+POAI!C107</f>
        <v>500000</v>
      </c>
      <c r="D93" s="431"/>
      <c r="E93" s="431"/>
      <c r="F93" s="431"/>
      <c r="G93" s="431"/>
    </row>
    <row r="94" spans="1:7" s="432" customFormat="1">
      <c r="A94" s="427">
        <f>+POAI!A109</f>
        <v>14052</v>
      </c>
      <c r="B94" s="427" t="str">
        <f>+POAI!B109</f>
        <v>PROGRAMA SALUD PUBLICA</v>
      </c>
      <c r="C94" s="428"/>
      <c r="D94" s="428">
        <f>+POAI!D109</f>
        <v>21961605</v>
      </c>
      <c r="E94" s="428"/>
      <c r="F94" s="428"/>
      <c r="G94" s="428"/>
    </row>
    <row r="95" spans="1:7" s="429" customFormat="1">
      <c r="A95" s="430">
        <f>+POAI!A110</f>
        <v>1405201</v>
      </c>
      <c r="B95" s="430" t="str">
        <f>+POAI!B110</f>
        <v>SGP-SALUD Plan territorial de salud</v>
      </c>
      <c r="C95" s="431">
        <f>+POAI!C110</f>
        <v>21961605</v>
      </c>
      <c r="D95" s="431"/>
      <c r="E95" s="431"/>
      <c r="F95" s="431"/>
      <c r="G95" s="431"/>
    </row>
    <row r="96" spans="1:7" s="432" customFormat="1" hidden="1">
      <c r="A96" s="427">
        <f>+POAI!A112</f>
        <v>1405208</v>
      </c>
      <c r="B96" s="427" t="str">
        <f>+POAI!B112</f>
        <v>RECURSOS DE CAPITAL</v>
      </c>
      <c r="C96" s="428"/>
      <c r="D96" s="428">
        <f>+POAI!D112</f>
        <v>0</v>
      </c>
      <c r="E96" s="428"/>
      <c r="F96" s="428"/>
      <c r="G96" s="428"/>
    </row>
    <row r="97" spans="1:7" s="432" customFormat="1" hidden="1">
      <c r="A97" s="430">
        <f>+POAI!A113</f>
        <v>140520801</v>
      </c>
      <c r="B97" s="430" t="str">
        <f>+POAI!B113</f>
        <v>Rendimientos Financieros Salud Publica</v>
      </c>
      <c r="C97" s="431">
        <f>+POAI!C113</f>
        <v>0</v>
      </c>
      <c r="D97" s="431"/>
      <c r="E97" s="431"/>
      <c r="F97" s="431"/>
      <c r="G97" s="431"/>
    </row>
    <row r="98" spans="1:7" s="432" customFormat="1" hidden="1">
      <c r="A98" s="427">
        <f>+POAI!A115</f>
        <v>15</v>
      </c>
      <c r="B98" s="427" t="str">
        <f>+POAI!B115</f>
        <v>RECURSOS DE CAPITAL</v>
      </c>
      <c r="C98" s="428"/>
      <c r="D98" s="428"/>
      <c r="E98" s="428">
        <f>+POAI!E115</f>
        <v>0</v>
      </c>
      <c r="F98" s="428"/>
      <c r="G98" s="428"/>
    </row>
    <row r="99" spans="1:7" s="432" customFormat="1" hidden="1">
      <c r="A99" s="427">
        <f>+POAI!A117</f>
        <v>151</v>
      </c>
      <c r="B99" s="427" t="str">
        <f>+POAI!B117</f>
        <v>RENDIMIENTOS DE OPERACIONES FINANCIERAS</v>
      </c>
      <c r="C99" s="428"/>
      <c r="D99" s="428">
        <f>+POAI!D117</f>
        <v>0</v>
      </c>
      <c r="E99" s="428">
        <f>+POAI!E117</f>
        <v>0</v>
      </c>
      <c r="F99" s="428"/>
      <c r="G99" s="428"/>
    </row>
    <row r="100" spans="1:7" s="429" customFormat="1" hidden="1">
      <c r="A100" s="430">
        <f>+POAI!A118</f>
        <v>15101</v>
      </c>
      <c r="B100" s="430" t="str">
        <f>+POAI!B118</f>
        <v>Intereses y dividendos recursos SGP Proposito General</v>
      </c>
      <c r="C100" s="431">
        <f>+POAI!C118</f>
        <v>0</v>
      </c>
      <c r="D100" s="431"/>
      <c r="E100" s="431"/>
      <c r="F100" s="431"/>
      <c r="G100" s="431"/>
    </row>
    <row r="101" spans="1:7" s="432" customFormat="1" hidden="1">
      <c r="A101" s="430">
        <f>+POAI!A119</f>
        <v>15102</v>
      </c>
      <c r="B101" s="430" t="str">
        <f>+POAI!B119</f>
        <v>Intereses y dividendos recursos de regalìas</v>
      </c>
      <c r="C101" s="431">
        <f>+POAI!C119</f>
        <v>0</v>
      </c>
      <c r="D101" s="431"/>
      <c r="E101" s="431"/>
      <c r="F101" s="431"/>
      <c r="G101" s="431"/>
    </row>
    <row r="102" spans="1:7">
      <c r="A102" s="433"/>
      <c r="B102" s="434"/>
      <c r="C102" s="435"/>
      <c r="D102" s="435"/>
      <c r="E102" s="435"/>
      <c r="F102" s="435"/>
      <c r="G102" s="435"/>
    </row>
    <row r="103" spans="1:7" ht="13.5" thickBot="1">
      <c r="A103" s="436"/>
      <c r="B103" s="437"/>
      <c r="C103" s="437"/>
      <c r="D103" s="437"/>
      <c r="E103" s="437"/>
      <c r="F103" s="437"/>
      <c r="G103" s="437"/>
    </row>
    <row r="104" spans="1:7">
      <c r="B104" s="439" t="s">
        <v>183</v>
      </c>
      <c r="C104" s="440">
        <f>+POAI!C122</f>
        <v>875163289</v>
      </c>
      <c r="D104" s="441"/>
      <c r="E104" s="441"/>
      <c r="F104" s="441"/>
      <c r="G104" s="441"/>
    </row>
    <row r="105" spans="1:7">
      <c r="B105" s="442" t="s">
        <v>211</v>
      </c>
      <c r="C105" s="443">
        <f>+POAI!C123</f>
        <v>700130631.20000005</v>
      </c>
      <c r="D105" s="441"/>
      <c r="E105" s="441"/>
      <c r="F105" s="441"/>
      <c r="G105" s="441"/>
    </row>
    <row r="106" spans="1:7">
      <c r="B106" s="442" t="s">
        <v>180</v>
      </c>
      <c r="C106" s="443">
        <f>+POAI!C124</f>
        <v>499837400</v>
      </c>
      <c r="D106" s="441"/>
      <c r="E106" s="441"/>
      <c r="F106" s="441"/>
      <c r="G106" s="441"/>
    </row>
    <row r="107" spans="1:7">
      <c r="B107" s="442" t="s">
        <v>605</v>
      </c>
      <c r="C107" s="443">
        <f>+POAI!C125</f>
        <v>92041050</v>
      </c>
      <c r="D107" s="441"/>
      <c r="E107" s="441"/>
      <c r="F107" s="441"/>
      <c r="G107" s="441"/>
    </row>
    <row r="108" spans="1:7">
      <c r="B108" s="442" t="s">
        <v>606</v>
      </c>
      <c r="C108" s="443">
        <f>+POAI!C126</f>
        <v>83553600</v>
      </c>
      <c r="D108" s="441"/>
      <c r="E108" s="441"/>
      <c r="F108" s="441"/>
      <c r="G108" s="441"/>
    </row>
    <row r="109" spans="1:7">
      <c r="B109" s="444" t="s">
        <v>181</v>
      </c>
      <c r="C109" s="443">
        <f>+POAI!C127</f>
        <v>675432050</v>
      </c>
      <c r="D109" s="445">
        <f>+C105-C109</f>
        <v>24698581.200000048</v>
      </c>
      <c r="E109" s="441"/>
      <c r="F109" s="441"/>
      <c r="G109" s="441"/>
    </row>
    <row r="110" spans="1:7">
      <c r="B110" s="442" t="s">
        <v>182</v>
      </c>
      <c r="C110" s="443">
        <f>+POAI!C128</f>
        <v>199731239</v>
      </c>
      <c r="D110" s="445">
        <f>+C106/(C104-C107)</f>
        <v>0.63826229815445201</v>
      </c>
      <c r="E110" s="441"/>
      <c r="F110" s="441"/>
      <c r="G110" s="441"/>
    </row>
    <row r="111" spans="1:7">
      <c r="B111" s="442" t="s">
        <v>469</v>
      </c>
      <c r="C111" s="443">
        <f>+POAI!C129</f>
        <v>2115616100</v>
      </c>
      <c r="D111" s="445">
        <f>+C106/C104*100</f>
        <v>57.113615971156214</v>
      </c>
      <c r="E111" s="441"/>
      <c r="F111" s="441"/>
      <c r="G111" s="441"/>
    </row>
    <row r="112" spans="1:7">
      <c r="B112" s="444" t="s">
        <v>85</v>
      </c>
      <c r="C112" s="443">
        <f>+POAI!C130</f>
        <v>2315347339</v>
      </c>
      <c r="D112" s="441"/>
      <c r="E112" s="441"/>
      <c r="F112" s="441"/>
      <c r="G112" s="441"/>
    </row>
    <row r="113" spans="1:12">
      <c r="B113" s="442" t="s">
        <v>184</v>
      </c>
      <c r="C113" s="443">
        <f>+POAI!C131</f>
        <v>2990779389</v>
      </c>
      <c r="D113" s="441"/>
      <c r="E113" s="441"/>
      <c r="F113" s="441"/>
      <c r="G113" s="441"/>
      <c r="H113" s="446"/>
      <c r="I113" s="447" t="s">
        <v>86</v>
      </c>
      <c r="J113" s="447" t="s">
        <v>87</v>
      </c>
      <c r="K113" s="447" t="s">
        <v>88</v>
      </c>
      <c r="L113" s="447" t="s">
        <v>89</v>
      </c>
    </row>
    <row r="114" spans="1:12" ht="13.5" thickBot="1">
      <c r="B114" s="448" t="s">
        <v>150</v>
      </c>
      <c r="C114" s="449">
        <f>+POAI!C132</f>
        <v>0</v>
      </c>
      <c r="D114" s="441"/>
      <c r="E114" s="441"/>
      <c r="F114" s="441"/>
      <c r="G114" s="441"/>
      <c r="H114" s="446"/>
      <c r="I114" s="446"/>
      <c r="J114" s="446"/>
      <c r="K114" s="446"/>
      <c r="L114" s="446"/>
    </row>
    <row r="115" spans="1:12" s="451" customFormat="1">
      <c r="A115" s="450"/>
      <c r="B115" s="441"/>
      <c r="C115" s="441"/>
      <c r="D115" s="441"/>
      <c r="E115" s="441"/>
      <c r="F115" s="441"/>
      <c r="G115" s="441"/>
      <c r="H115" s="446"/>
      <c r="I115" s="446"/>
      <c r="J115" s="446"/>
      <c r="K115" s="446"/>
      <c r="L115" s="446"/>
    </row>
    <row r="116" spans="1:12" s="451" customFormat="1">
      <c r="A116" s="450"/>
      <c r="B116" s="441"/>
      <c r="C116" s="441"/>
      <c r="D116" s="441"/>
      <c r="E116" s="441"/>
      <c r="F116" s="441"/>
      <c r="G116" s="441"/>
      <c r="H116" s="446"/>
      <c r="I116" s="446"/>
      <c r="J116" s="446"/>
      <c r="K116" s="446"/>
      <c r="L116" s="446"/>
    </row>
    <row r="117" spans="1:12" s="279" customFormat="1" ht="12" customHeight="1">
      <c r="A117" s="518" t="str">
        <f>+POAI!A135</f>
        <v>ARTICULO 2.- Autorizar para la vigencia del 2012 el presupuesto de gastos conforme el siguiente pormenor por la suma de:</v>
      </c>
      <c r="B117" s="518"/>
      <c r="C117" s="518"/>
      <c r="D117" s="518"/>
      <c r="E117" s="518"/>
      <c r="F117" s="518"/>
      <c r="G117" s="277">
        <f>+POAI!G135</f>
        <v>2990779389</v>
      </c>
      <c r="H117" s="452">
        <f>+G117-G18</f>
        <v>0</v>
      </c>
      <c r="I117" s="452">
        <f>+G20-G119</f>
        <v>0</v>
      </c>
      <c r="J117" s="453"/>
      <c r="K117" s="452"/>
      <c r="L117" s="452"/>
    </row>
    <row r="118" spans="1:12" s="279" customFormat="1" ht="12" customHeight="1" thickBot="1">
      <c r="A118" s="454"/>
      <c r="B118" s="454"/>
      <c r="C118" s="454"/>
      <c r="D118" s="454"/>
      <c r="E118" s="454"/>
      <c r="F118" s="454"/>
      <c r="G118" s="277"/>
    </row>
    <row r="119" spans="1:12">
      <c r="A119" s="455" t="s">
        <v>173</v>
      </c>
      <c r="B119" s="456" t="s">
        <v>20</v>
      </c>
      <c r="C119" s="456"/>
      <c r="D119" s="457"/>
      <c r="E119" s="457"/>
      <c r="F119" s="457" t="s">
        <v>115</v>
      </c>
      <c r="G119" s="458">
        <f>+G120+G124+G128</f>
        <v>2990779389</v>
      </c>
    </row>
    <row r="120" spans="1:12">
      <c r="A120" s="459" t="s">
        <v>188</v>
      </c>
      <c r="B120" s="460" t="s">
        <v>161</v>
      </c>
      <c r="C120" s="461"/>
      <c r="D120" s="460"/>
      <c r="E120" s="460"/>
      <c r="F120" s="460"/>
      <c r="G120" s="462">
        <f>+F121+F122+F123</f>
        <v>675432050</v>
      </c>
    </row>
    <row r="121" spans="1:12">
      <c r="A121" s="459" t="str">
        <f>+'ANEXO1. GASTOS FUNCIONAMIENTO'!A3</f>
        <v>213</v>
      </c>
      <c r="B121" s="463" t="str">
        <f>+'ANEXO1. GASTOS FUNCIONAMIENTO'!B3</f>
        <v>ALCALDIA  Y SUS DEPENDENCIAS</v>
      </c>
      <c r="C121" s="461"/>
      <c r="D121" s="464"/>
      <c r="E121" s="463"/>
      <c r="F121" s="460">
        <f>+'ANEXO1. GASTOS FUNCIONAMIENTO'!F3</f>
        <v>499837400</v>
      </c>
      <c r="G121" s="465"/>
    </row>
    <row r="122" spans="1:12">
      <c r="A122" s="459" t="s">
        <v>189</v>
      </c>
      <c r="B122" s="460" t="s">
        <v>218</v>
      </c>
      <c r="C122" s="461"/>
      <c r="D122" s="460"/>
      <c r="E122" s="276"/>
      <c r="F122" s="460">
        <f>+'GASTOS CONCEJO'!B24</f>
        <v>92041050</v>
      </c>
      <c r="G122" s="462"/>
    </row>
    <row r="123" spans="1:12">
      <c r="A123" s="459" t="s">
        <v>190</v>
      </c>
      <c r="B123" s="460" t="s">
        <v>219</v>
      </c>
      <c r="C123" s="466"/>
      <c r="D123" s="467"/>
      <c r="E123" s="276"/>
      <c r="F123" s="460">
        <f>+'ANEXO X. PROYECCION DE NOMINA'!K5*150</f>
        <v>83553600</v>
      </c>
      <c r="G123" s="468"/>
    </row>
    <row r="124" spans="1:12">
      <c r="A124" s="469">
        <v>22</v>
      </c>
      <c r="B124" s="470" t="s">
        <v>65</v>
      </c>
      <c r="C124" s="471"/>
      <c r="D124" s="471"/>
      <c r="E124" s="472"/>
      <c r="F124" s="467"/>
      <c r="G124" s="462">
        <f>+D125</f>
        <v>266600000</v>
      </c>
    </row>
    <row r="125" spans="1:12">
      <c r="A125" s="469">
        <v>221</v>
      </c>
      <c r="B125" s="470" t="s">
        <v>64</v>
      </c>
      <c r="C125" s="471"/>
      <c r="D125" s="472">
        <f>SUM(C126:C127)</f>
        <v>266600000</v>
      </c>
      <c r="E125" s="467"/>
      <c r="F125" s="467"/>
      <c r="G125" s="468"/>
    </row>
    <row r="126" spans="1:12">
      <c r="A126" s="473">
        <v>22101</v>
      </c>
      <c r="B126" s="474" t="str">
        <f>+POAI!B443</f>
        <v>Amortización capital servicio a la deuda otros sectores</v>
      </c>
      <c r="C126" s="475">
        <f>+POAI!C443</f>
        <v>234600000</v>
      </c>
      <c r="D126" s="471"/>
      <c r="E126" s="467"/>
      <c r="F126" s="467"/>
      <c r="G126" s="468"/>
    </row>
    <row r="127" spans="1:12">
      <c r="A127" s="473">
        <v>22102</v>
      </c>
      <c r="B127" s="474" t="str">
        <f>+POAI!B444</f>
        <v>Amortización intereses servicio a la deuda otros sectores</v>
      </c>
      <c r="C127" s="475">
        <f>+POAI!C444</f>
        <v>32000000</v>
      </c>
      <c r="D127" s="471"/>
      <c r="E127" s="467"/>
      <c r="F127" s="467"/>
      <c r="G127" s="468"/>
    </row>
    <row r="128" spans="1:12">
      <c r="A128" s="469">
        <v>23</v>
      </c>
      <c r="B128" s="470" t="s">
        <v>98</v>
      </c>
      <c r="C128" s="471"/>
      <c r="D128" s="471"/>
      <c r="E128" s="467"/>
      <c r="F128" s="467"/>
      <c r="G128" s="476">
        <f>+F129+F274+F382+F400</f>
        <v>2048747339</v>
      </c>
    </row>
    <row r="129" spans="1:7" ht="12" customHeight="1">
      <c r="A129" s="469">
        <v>231</v>
      </c>
      <c r="B129" s="470" t="s">
        <v>63</v>
      </c>
      <c r="C129" s="471"/>
      <c r="D129" s="471"/>
      <c r="E129" s="467"/>
      <c r="F129" s="472">
        <f>SUM(E130:E198)</f>
        <v>1105510549</v>
      </c>
      <c r="G129" s="468"/>
    </row>
    <row r="130" spans="1:7">
      <c r="A130" s="469">
        <v>2311</v>
      </c>
      <c r="B130" s="477" t="str">
        <f>+POAI!A220</f>
        <v>SECTOR DE INVERSION</v>
      </c>
      <c r="C130" s="471"/>
      <c r="D130" s="471"/>
      <c r="E130" s="472">
        <f>SUM(D131:D143)</f>
        <v>125914354</v>
      </c>
      <c r="F130" s="467"/>
      <c r="G130" s="468"/>
    </row>
    <row r="131" spans="1:7" ht="25.5">
      <c r="A131" s="469">
        <v>231101</v>
      </c>
      <c r="B131" s="477" t="str">
        <f>+POAI!B224</f>
        <v>PROGRAMA: LA EDUCACION, RESPONSABILIDAD Y CONCIENCIA DE TODOS</v>
      </c>
      <c r="C131" s="471"/>
      <c r="D131" s="472">
        <f>SUM(C132:C137)</f>
        <v>105647000</v>
      </c>
      <c r="E131" s="467"/>
      <c r="F131" s="467"/>
      <c r="G131" s="468"/>
    </row>
    <row r="132" spans="1:7">
      <c r="A132" s="473">
        <v>23110101</v>
      </c>
      <c r="B132" s="474" t="str">
        <f>+POAI!B225</f>
        <v>Subprograma: matrícula gratuita en instituciones educativas</v>
      </c>
      <c r="C132" s="475">
        <f>+POAI!C225</f>
        <v>32647000</v>
      </c>
      <c r="D132" s="471"/>
      <c r="E132" s="467"/>
      <c r="F132" s="467"/>
      <c r="G132" s="468"/>
    </row>
    <row r="133" spans="1:7" ht="25.5" hidden="1">
      <c r="A133" s="473">
        <f>+A132+1</f>
        <v>23110102</v>
      </c>
      <c r="B133" s="474" t="str">
        <f>+POAI!B226</f>
        <v>Subprograma: Construccion Aulas en Instituciones Educativas</v>
      </c>
      <c r="C133" s="475">
        <f>+POAI!C226</f>
        <v>0</v>
      </c>
      <c r="D133" s="471"/>
      <c r="E133" s="467"/>
      <c r="F133" s="467"/>
      <c r="G133" s="468"/>
    </row>
    <row r="134" spans="1:7">
      <c r="A134" s="473">
        <f>+A133+1</f>
        <v>23110103</v>
      </c>
      <c r="B134" s="474" t="str">
        <f>+POAI!B227</f>
        <v>Subprograma: Canasta educativa</v>
      </c>
      <c r="C134" s="475">
        <f>+POAI!H227</f>
        <v>13000000</v>
      </c>
      <c r="D134" s="471"/>
      <c r="E134" s="467"/>
      <c r="F134" s="467"/>
      <c r="G134" s="468"/>
    </row>
    <row r="135" spans="1:7">
      <c r="A135" s="473">
        <f>+A134+1</f>
        <v>23110104</v>
      </c>
      <c r="B135" s="474" t="str">
        <f>+POAI!B228</f>
        <v>Subporgrama: Transporte escolar</v>
      </c>
      <c r="C135" s="475">
        <f>+POAI!H228</f>
        <v>26000000</v>
      </c>
      <c r="D135" s="471"/>
      <c r="E135" s="467"/>
      <c r="F135" s="467"/>
      <c r="G135" s="468"/>
    </row>
    <row r="136" spans="1:7">
      <c r="A136" s="473">
        <f>+A135+1</f>
        <v>23110105</v>
      </c>
      <c r="B136" s="474" t="str">
        <f>+POAI!B229</f>
        <v>Subporgrama: Amplicion planta fisica Centros Educativos</v>
      </c>
      <c r="C136" s="475">
        <f>+POAI!C229</f>
        <v>12000000</v>
      </c>
      <c r="D136" s="471"/>
      <c r="E136" s="467"/>
      <c r="F136" s="467"/>
      <c r="G136" s="468"/>
    </row>
    <row r="137" spans="1:7">
      <c r="A137" s="473">
        <f>+A136+1</f>
        <v>23110106</v>
      </c>
      <c r="B137" s="474" t="str">
        <f>+POAI!B230</f>
        <v>Subporgrama: Mantenimiento Instituciones Educativas</v>
      </c>
      <c r="C137" s="475">
        <f>+POAI!C230</f>
        <v>22000000</v>
      </c>
      <c r="D137" s="471"/>
      <c r="E137" s="467"/>
      <c r="F137" s="467"/>
      <c r="G137" s="468"/>
    </row>
    <row r="138" spans="1:7" s="480" customFormat="1" ht="25.5">
      <c r="A138" s="469">
        <v>231102</v>
      </c>
      <c r="B138" s="477" t="str">
        <f>+POAI!B232</f>
        <v>PROGRAMA: INTERNET Y COMUNICACIÓN, BIENESTAR GENERAL</v>
      </c>
      <c r="C138" s="478"/>
      <c r="D138" s="479">
        <f>SUM(C139:C140)</f>
        <v>3267354</v>
      </c>
      <c r="E138" s="460"/>
      <c r="F138" s="460"/>
      <c r="G138" s="462"/>
    </row>
    <row r="139" spans="1:7" ht="25.5">
      <c r="A139" s="473">
        <v>23110201</v>
      </c>
      <c r="B139" s="474" t="str">
        <f>+POAI!B233</f>
        <v>Subprograma: Mantenimiento red inalambrica y sala de informatica</v>
      </c>
      <c r="C139" s="475">
        <f>+POAI!C233</f>
        <v>3267354</v>
      </c>
      <c r="D139" s="471"/>
      <c r="E139" s="467"/>
      <c r="F139" s="467"/>
      <c r="G139" s="468"/>
    </row>
    <row r="140" spans="1:7" ht="25.5" hidden="1">
      <c r="A140" s="473">
        <v>23110202</v>
      </c>
      <c r="B140" s="474" t="str">
        <f>+POAI!B234</f>
        <v>Subprograma: Masificación del acceso a la informática y las comunicaciones TIC</v>
      </c>
      <c r="C140" s="475">
        <f>+POAI!C234</f>
        <v>0</v>
      </c>
      <c r="D140" s="471"/>
      <c r="E140" s="467"/>
      <c r="F140" s="467"/>
      <c r="G140" s="468"/>
    </row>
    <row r="141" spans="1:7" s="480" customFormat="1">
      <c r="A141" s="469">
        <v>231103</v>
      </c>
      <c r="B141" s="477" t="str">
        <f>+POAI!B236</f>
        <v>PROGRAMA: OTROS PROGRAMAS</v>
      </c>
      <c r="C141" s="478"/>
      <c r="D141" s="479">
        <f>SUM(C142:C143)</f>
        <v>17000000</v>
      </c>
      <c r="E141" s="460"/>
      <c r="F141" s="460"/>
      <c r="G141" s="462"/>
    </row>
    <row r="142" spans="1:7" ht="25.5">
      <c r="A142" s="473">
        <v>23110301</v>
      </c>
      <c r="B142" s="474" t="str">
        <f>+POAI!B237</f>
        <v>Subprograma: Capacitación a la población docente y dicente municipal</v>
      </c>
      <c r="C142" s="475">
        <f>+POAI!C237</f>
        <v>2000000</v>
      </c>
      <c r="D142" s="471"/>
      <c r="E142" s="467"/>
      <c r="F142" s="467"/>
      <c r="G142" s="468"/>
    </row>
    <row r="143" spans="1:7" ht="25.5">
      <c r="A143" s="473">
        <v>23110302</v>
      </c>
      <c r="B143" s="474" t="str">
        <f>+POAI!B238</f>
        <v>Subprograma: Servicios públicos domiciliarios de centros educativos municipales</v>
      </c>
      <c r="C143" s="475">
        <f>+POAI!H238</f>
        <v>15000000</v>
      </c>
      <c r="D143" s="471"/>
      <c r="E143" s="467"/>
      <c r="F143" s="467"/>
      <c r="G143" s="468"/>
    </row>
    <row r="144" spans="1:7">
      <c r="A144" s="469">
        <v>2312</v>
      </c>
      <c r="B144" s="479" t="str">
        <f>+POAI!B243</f>
        <v>SECTOR ALIMENTACION ESCOLAR</v>
      </c>
      <c r="C144" s="471"/>
      <c r="D144" s="471"/>
      <c r="E144" s="472">
        <f>+D145</f>
        <v>16780115</v>
      </c>
      <c r="F144" s="467"/>
      <c r="G144" s="468"/>
    </row>
    <row r="145" spans="1:7">
      <c r="A145" s="469">
        <v>231204</v>
      </c>
      <c r="B145" s="477" t="str">
        <f>+POAI!B247</f>
        <v>PROGRAMA: ALIMENTACION ESCOLAR</v>
      </c>
      <c r="C145" s="471"/>
      <c r="D145" s="472">
        <f>SUM(C146:C147)</f>
        <v>16780115</v>
      </c>
      <c r="E145" s="467"/>
      <c r="F145" s="467"/>
      <c r="G145" s="468"/>
    </row>
    <row r="146" spans="1:7" ht="25.5">
      <c r="A146" s="473">
        <v>23120401</v>
      </c>
      <c r="B146" s="474" t="str">
        <f>+POAI!B248</f>
        <v>Subprograma: Complemento nutricional para la población escolar</v>
      </c>
      <c r="C146" s="475">
        <f>+POAI!C248</f>
        <v>16780115</v>
      </c>
      <c r="D146" s="471"/>
      <c r="E146" s="467"/>
      <c r="F146" s="467"/>
      <c r="G146" s="468"/>
    </row>
    <row r="147" spans="1:7">
      <c r="A147" s="473">
        <v>23120402</v>
      </c>
      <c r="B147" s="474" t="str">
        <f>+POAI!B249</f>
        <v>Subprograma: Dotación de los restaurantes escolares</v>
      </c>
      <c r="C147" s="475">
        <f>+POAI!C249</f>
        <v>0</v>
      </c>
      <c r="D147" s="471"/>
      <c r="E147" s="467"/>
      <c r="F147" s="467"/>
      <c r="G147" s="468"/>
    </row>
    <row r="148" spans="1:7">
      <c r="A148" s="469">
        <v>2314</v>
      </c>
      <c r="B148" s="477" t="str">
        <f>+POAI!B291</f>
        <v>SECTOR AGUA Y SANEAMIENTO BÁSICO</v>
      </c>
      <c r="C148" s="467"/>
      <c r="D148" s="471"/>
      <c r="E148" s="472">
        <f>SUM(D149:D169)</f>
        <v>278222210</v>
      </c>
      <c r="F148" s="467"/>
      <c r="G148" s="468"/>
    </row>
    <row r="149" spans="1:7">
      <c r="A149" s="469">
        <v>231401</v>
      </c>
      <c r="B149" s="477" t="str">
        <f>+POAI!B296</f>
        <v>PROGRAMA: COBERTURA DE A.A.A.</v>
      </c>
      <c r="C149" s="467"/>
      <c r="D149" s="472">
        <f>SUM(C150:C160)</f>
        <v>233222210</v>
      </c>
      <c r="E149" s="467"/>
      <c r="F149" s="467"/>
      <c r="G149" s="468"/>
    </row>
    <row r="150" spans="1:7">
      <c r="A150" s="473">
        <v>23140101</v>
      </c>
      <c r="B150" s="474" t="str">
        <f>+POAI!B297</f>
        <v>Subprograma: Ampliaciòn alcantarillados municipales</v>
      </c>
      <c r="C150" s="475">
        <f>+POAI!C297</f>
        <v>36650000</v>
      </c>
      <c r="D150" s="471"/>
      <c r="E150" s="467"/>
      <c r="F150" s="467"/>
      <c r="G150" s="468"/>
    </row>
    <row r="151" spans="1:7" ht="25.5">
      <c r="A151" s="473">
        <v>23140102</v>
      </c>
      <c r="B151" s="474" t="str">
        <f>+POAI!B298</f>
        <v>Subprograma: Construcción  plantas de tratamiento municipales</v>
      </c>
      <c r="C151" s="475">
        <f>+POAI!H298</f>
        <v>30572210</v>
      </c>
      <c r="D151" s="471"/>
      <c r="E151" s="467"/>
      <c r="F151" s="467"/>
      <c r="G151" s="468"/>
    </row>
    <row r="152" spans="1:7">
      <c r="A152" s="473">
        <v>23140103</v>
      </c>
      <c r="B152" s="474" t="str">
        <f>+POAI!B299</f>
        <v>Subprograma: Ampliacion redes acueductos rurales</v>
      </c>
      <c r="C152" s="475">
        <f>+POAI!H299</f>
        <v>50000000</v>
      </c>
      <c r="D152" s="471"/>
      <c r="E152" s="467"/>
      <c r="F152" s="467"/>
      <c r="G152" s="468"/>
    </row>
    <row r="153" spans="1:7">
      <c r="A153" s="473">
        <v>23140104</v>
      </c>
      <c r="B153" s="474" t="str">
        <f>+POAI!B300</f>
        <v xml:space="preserve">subprograma, ampliación redes acueducto urbano </v>
      </c>
      <c r="C153" s="475">
        <f>+POAI!H300</f>
        <v>40000000</v>
      </c>
      <c r="D153" s="471"/>
      <c r="E153" s="467"/>
      <c r="F153" s="467"/>
      <c r="G153" s="468"/>
    </row>
    <row r="154" spans="1:7">
      <c r="A154" s="473">
        <v>23140105</v>
      </c>
      <c r="B154" s="474" t="str">
        <f>+POAI!B301</f>
        <v xml:space="preserve">subprograma, mantenimiento acueductos municipales </v>
      </c>
      <c r="C154" s="475">
        <f>+POAI!H301</f>
        <v>46000000</v>
      </c>
      <c r="D154" s="471"/>
      <c r="E154" s="467"/>
      <c r="F154" s="467"/>
      <c r="G154" s="468"/>
    </row>
    <row r="155" spans="1:7" ht="25.5" hidden="1">
      <c r="A155" s="473">
        <v>23140106</v>
      </c>
      <c r="B155" s="474" t="str">
        <f>+POAI!B302</f>
        <v>subprograma,optimización planta tratamiento vereda Llano grande</v>
      </c>
      <c r="C155" s="475">
        <f>+POAI!C302</f>
        <v>0</v>
      </c>
      <c r="D155" s="471"/>
      <c r="E155" s="467"/>
      <c r="F155" s="467"/>
      <c r="G155" s="468"/>
    </row>
    <row r="156" spans="1:7" hidden="1">
      <c r="A156" s="473">
        <v>23140107</v>
      </c>
      <c r="B156" s="474" t="str">
        <f>+POAI!B303</f>
        <v xml:space="preserve">subprograma, ampliación redes acueducto vereda escalones </v>
      </c>
      <c r="C156" s="475">
        <f>+POAI!C303</f>
        <v>0</v>
      </c>
      <c r="D156" s="471"/>
      <c r="E156" s="467"/>
      <c r="F156" s="467"/>
      <c r="G156" s="468"/>
    </row>
    <row r="157" spans="1:7" hidden="1">
      <c r="A157" s="473">
        <v>23140108</v>
      </c>
      <c r="B157" s="474" t="str">
        <f>+POAI!B304</f>
        <v>Subporgrama: Vigencias futuras contraidas para el PDA</v>
      </c>
      <c r="C157" s="475">
        <v>0</v>
      </c>
      <c r="D157" s="471"/>
      <c r="E157" s="467"/>
      <c r="F157" s="467"/>
      <c r="G157" s="468"/>
    </row>
    <row r="158" spans="1:7">
      <c r="A158" s="473">
        <v>23140109</v>
      </c>
      <c r="B158" s="474" t="str">
        <f>+POAI!B305</f>
        <v>Subprograma: Servicios públicos del sector</v>
      </c>
      <c r="C158" s="475">
        <f>+POAI!C305</f>
        <v>30000000</v>
      </c>
      <c r="D158" s="471"/>
      <c r="E158" s="467"/>
      <c r="F158" s="467"/>
      <c r="G158" s="468"/>
    </row>
    <row r="159" spans="1:7" ht="25.5" hidden="1">
      <c r="A159" s="473">
        <v>23140110</v>
      </c>
      <c r="B159" s="474" t="str">
        <f>+POAI!B306</f>
        <v>Subprograma; Construcción sistema almacenamiento acueducto vereda cuesta en medio</v>
      </c>
      <c r="C159" s="475">
        <f>+POAI!C306</f>
        <v>0</v>
      </c>
      <c r="D159" s="471"/>
      <c r="E159" s="467"/>
      <c r="F159" s="467"/>
      <c r="G159" s="468"/>
    </row>
    <row r="160" spans="1:7" ht="25.5" hidden="1">
      <c r="A160" s="473">
        <v>23140111</v>
      </c>
      <c r="B160" s="474" t="str">
        <f>+POAI!B307</f>
        <v xml:space="preserve">Subprograma: Terminacion Red acueducto el chorro Sector san felipe </v>
      </c>
      <c r="C160" s="475">
        <f>+POAI!C307</f>
        <v>0</v>
      </c>
      <c r="D160" s="471"/>
      <c r="E160" s="467"/>
      <c r="F160" s="467"/>
      <c r="G160" s="468"/>
    </row>
    <row r="161" spans="1:7" ht="25.5">
      <c r="A161" s="469">
        <v>231402</v>
      </c>
      <c r="B161" s="477" t="str">
        <f>+POAI!B309</f>
        <v>PROGRAMA: SUBSIDIO A LA DEMANDA SERVICIOS PUBLICOS DE AAA</v>
      </c>
      <c r="C161" s="478"/>
      <c r="D161" s="479">
        <f>SUM(C162:C165)</f>
        <v>45000000</v>
      </c>
      <c r="E161" s="467"/>
      <c r="F161" s="467"/>
      <c r="G161" s="468"/>
    </row>
    <row r="162" spans="1:7" ht="25.5">
      <c r="A162" s="473">
        <v>23140201</v>
      </c>
      <c r="B162" s="474" t="str">
        <f>+POAI!B310</f>
        <v>Subprograma: Subsidio a la demanda de servicios públicos domiciliarios acueducto</v>
      </c>
      <c r="C162" s="475">
        <f>+POAI!C310</f>
        <v>31500000</v>
      </c>
      <c r="D162" s="471"/>
      <c r="E162" s="467"/>
      <c r="F162" s="467"/>
      <c r="G162" s="468"/>
    </row>
    <row r="163" spans="1:7" ht="25.5">
      <c r="A163" s="473">
        <v>23140202</v>
      </c>
      <c r="B163" s="474" t="str">
        <f>+POAI!B311</f>
        <v>Subprograma: Subsidio a la demanda de servicios públicos domiciliarios alcantarillado</v>
      </c>
      <c r="C163" s="475">
        <f>+POAI!C311</f>
        <v>3600000</v>
      </c>
      <c r="D163" s="471"/>
      <c r="E163" s="467"/>
      <c r="F163" s="467"/>
      <c r="G163" s="468"/>
    </row>
    <row r="164" spans="1:7" ht="25.5">
      <c r="A164" s="473">
        <v>23140203</v>
      </c>
      <c r="B164" s="474" t="str">
        <f>+POAI!B312</f>
        <v>Subprograma: Subsidio a la demanda de servicios públicos domiciliarios aseo</v>
      </c>
      <c r="C164" s="475">
        <f>+POAI!C312</f>
        <v>9900000</v>
      </c>
      <c r="D164" s="471"/>
      <c r="E164" s="467"/>
      <c r="F164" s="467"/>
      <c r="G164" s="468"/>
    </row>
    <row r="165" spans="1:7" hidden="1">
      <c r="A165" s="469"/>
      <c r="B165" s="474"/>
      <c r="C165" s="475"/>
      <c r="D165" s="471"/>
      <c r="E165" s="467"/>
      <c r="F165" s="467"/>
      <c r="G165" s="468"/>
    </row>
    <row r="166" spans="1:7" hidden="1">
      <c r="A166" s="469">
        <v>231403</v>
      </c>
      <c r="B166" s="477" t="str">
        <f>+POAI!B314</f>
        <v>PROGRAMA: SERVICIO A LA DEUDA DEL SECTOR</v>
      </c>
      <c r="C166" s="478"/>
      <c r="D166" s="479">
        <f>SUM(C167:C169)</f>
        <v>0</v>
      </c>
      <c r="E166" s="467"/>
      <c r="F166" s="467"/>
      <c r="G166" s="468"/>
    </row>
    <row r="167" spans="1:7" hidden="1">
      <c r="A167" s="473">
        <v>23140301</v>
      </c>
      <c r="B167" s="474" t="str">
        <f>+POAI!B315</f>
        <v>Amortización servicio a la deuda sector de agua potable</v>
      </c>
      <c r="C167" s="475">
        <f>+POAI!C315</f>
        <v>0</v>
      </c>
      <c r="D167" s="471"/>
      <c r="E167" s="467"/>
      <c r="F167" s="467"/>
      <c r="G167" s="468"/>
    </row>
    <row r="168" spans="1:7" hidden="1">
      <c r="A168" s="473">
        <v>23140302</v>
      </c>
      <c r="B168" s="474" t="str">
        <f>+POAI!B316</f>
        <v>Intereses servicio a la deuda sector de agua potable</v>
      </c>
      <c r="C168" s="475">
        <f>+POAI!C316</f>
        <v>0</v>
      </c>
      <c r="D168" s="471"/>
      <c r="E168" s="467"/>
      <c r="F168" s="467"/>
      <c r="G168" s="468"/>
    </row>
    <row r="169" spans="1:7" hidden="1">
      <c r="A169" s="469"/>
      <c r="B169" s="474"/>
      <c r="C169" s="475"/>
      <c r="D169" s="471"/>
      <c r="E169" s="467"/>
      <c r="F169" s="467"/>
      <c r="G169" s="468"/>
    </row>
    <row r="170" spans="1:7">
      <c r="A170" s="469">
        <v>2315</v>
      </c>
      <c r="B170" s="477" t="str">
        <f>+POAI!B321</f>
        <v>SECTOR DEPORTE Y TIEMPO LIBRE</v>
      </c>
      <c r="C170" s="467"/>
      <c r="D170" s="471"/>
      <c r="E170" s="472">
        <f>SUM(D172:D181)</f>
        <v>66295935</v>
      </c>
      <c r="F170" s="467"/>
      <c r="G170" s="468"/>
    </row>
    <row r="171" spans="1:7" hidden="1">
      <c r="A171" s="469"/>
      <c r="B171" s="470"/>
      <c r="C171" s="472"/>
      <c r="D171" s="471"/>
      <c r="E171" s="467"/>
      <c r="F171" s="467"/>
      <c r="G171" s="468"/>
    </row>
    <row r="172" spans="1:7">
      <c r="A172" s="469">
        <v>231501</v>
      </c>
      <c r="B172" s="477" t="str">
        <f>+POAI!B326</f>
        <v>PROGRAMA: INFRAESTRUCTURA</v>
      </c>
      <c r="C172" s="467"/>
      <c r="D172" s="472">
        <f>SUM(C173:C176)</f>
        <v>40000000</v>
      </c>
      <c r="E172" s="467"/>
      <c r="F172" s="467"/>
      <c r="G172" s="468"/>
    </row>
    <row r="173" spans="1:7">
      <c r="A173" s="473">
        <v>23150101</v>
      </c>
      <c r="B173" s="474" t="str">
        <f>+POAI!B327</f>
        <v>Subprograma: construcción escenarios deportivos</v>
      </c>
      <c r="C173" s="475">
        <f>+POAI!C327</f>
        <v>25000000</v>
      </c>
      <c r="D173" s="471"/>
      <c r="E173" s="467"/>
      <c r="F173" s="467"/>
      <c r="G173" s="468"/>
    </row>
    <row r="174" spans="1:7">
      <c r="A174" s="473">
        <v>23150102</v>
      </c>
      <c r="B174" s="474" t="str">
        <f>+POAI!B328</f>
        <v>Subprograma: mantenimiento de escenarios deportivos</v>
      </c>
      <c r="C174" s="475">
        <f>+POAI!C328</f>
        <v>15000000</v>
      </c>
      <c r="D174" s="471"/>
      <c r="E174" s="467"/>
      <c r="F174" s="467"/>
      <c r="G174" s="468"/>
    </row>
    <row r="175" spans="1:7" hidden="1">
      <c r="A175" s="473">
        <v>23150103</v>
      </c>
      <c r="B175" s="474" t="str">
        <f>+POAI!B329</f>
        <v>Subprograma: construcción graderia movil</v>
      </c>
      <c r="C175" s="475">
        <f>+POAI!C329</f>
        <v>0</v>
      </c>
      <c r="D175" s="471"/>
      <c r="E175" s="467"/>
      <c r="F175" s="467"/>
      <c r="G175" s="468"/>
    </row>
    <row r="176" spans="1:7" hidden="1">
      <c r="A176" s="469"/>
      <c r="B176" s="474"/>
      <c r="C176" s="475"/>
      <c r="D176" s="471"/>
      <c r="E176" s="467"/>
      <c r="F176" s="467"/>
      <c r="G176" s="468"/>
    </row>
    <row r="177" spans="1:7" s="480" customFormat="1">
      <c r="A177" s="469">
        <v>231502</v>
      </c>
      <c r="B177" s="477" t="str">
        <f>+POAI!B331</f>
        <v>PROGRAMA: MASIFICACIÓN DEPORTIVA</v>
      </c>
      <c r="C177" s="478"/>
      <c r="D177" s="479">
        <f>SUM(C178:C181)</f>
        <v>26295935</v>
      </c>
      <c r="E177" s="460"/>
      <c r="F177" s="460"/>
      <c r="G177" s="462"/>
    </row>
    <row r="178" spans="1:7">
      <c r="A178" s="473">
        <v>23150201</v>
      </c>
      <c r="B178" s="474" t="str">
        <f>+POAI!B332</f>
        <v xml:space="preserve">Subprograma: Dotación implementos deportivos </v>
      </c>
      <c r="C178" s="475">
        <f>+POAI!C332</f>
        <v>10000000</v>
      </c>
      <c r="D178" s="471"/>
      <c r="E178" s="467"/>
      <c r="F178" s="467"/>
      <c r="G178" s="468"/>
    </row>
    <row r="179" spans="1:7" ht="25.5">
      <c r="A179" s="473">
        <v>23150202</v>
      </c>
      <c r="B179" s="474" t="str">
        <f>+POAI!B333</f>
        <v>Subprograma: Promoción eventos de recreación aprovechamiento del tiempo libre</v>
      </c>
      <c r="C179" s="475">
        <f>+POAI!C333</f>
        <v>10000000</v>
      </c>
      <c r="D179" s="471"/>
      <c r="E179" s="467"/>
      <c r="F179" s="467"/>
      <c r="G179" s="468"/>
    </row>
    <row r="180" spans="1:7">
      <c r="A180" s="473">
        <v>23150203</v>
      </c>
      <c r="B180" s="474" t="str">
        <f>+POAI!B334</f>
        <v>Subprograma: Escuelas de formacion deportiva</v>
      </c>
      <c r="C180" s="475">
        <f>+POAI!C334</f>
        <v>6295935</v>
      </c>
      <c r="D180" s="471"/>
      <c r="E180" s="467"/>
      <c r="F180" s="467"/>
      <c r="G180" s="468"/>
    </row>
    <row r="181" spans="1:7" hidden="1">
      <c r="A181" s="469"/>
      <c r="B181" s="474"/>
      <c r="C181" s="475"/>
      <c r="D181" s="471"/>
      <c r="E181" s="467"/>
      <c r="F181" s="467"/>
      <c r="G181" s="468"/>
    </row>
    <row r="182" spans="1:7">
      <c r="A182" s="469">
        <v>2316</v>
      </c>
      <c r="B182" s="477" t="str">
        <f>+POAI!B341</f>
        <v>SECTOR CULTURA</v>
      </c>
      <c r="C182" s="467"/>
      <c r="D182" s="471"/>
      <c r="E182" s="472">
        <f>SUM(D184:D195)</f>
        <v>49720950</v>
      </c>
      <c r="F182" s="467"/>
      <c r="G182" s="468"/>
    </row>
    <row r="183" spans="1:7" hidden="1">
      <c r="A183" s="469"/>
      <c r="B183" s="470"/>
      <c r="C183" s="472"/>
      <c r="D183" s="471"/>
      <c r="E183" s="467"/>
      <c r="F183" s="467"/>
      <c r="G183" s="468"/>
    </row>
    <row r="184" spans="1:7" ht="25.5">
      <c r="A184" s="469">
        <v>231601</v>
      </c>
      <c r="B184" s="477" t="str">
        <f>+POAI!B346</f>
        <v>PROGRAMA: MEJORAMIENTO DE LA INFRAESTRUCTURA CULTURAL</v>
      </c>
      <c r="C184" s="467"/>
      <c r="D184" s="472">
        <f>SUM(C185:C188)</f>
        <v>1800000</v>
      </c>
      <c r="E184" s="467"/>
      <c r="F184" s="467"/>
      <c r="G184" s="468"/>
    </row>
    <row r="185" spans="1:7" ht="25.5">
      <c r="A185" s="473">
        <v>23160101</v>
      </c>
      <c r="B185" s="474" t="str">
        <f>+POAI!B347</f>
        <v>Subprograma: Mantenimiento de escenarios de cultura municipales</v>
      </c>
      <c r="C185" s="475">
        <f>+POAI!C347</f>
        <v>1000000</v>
      </c>
      <c r="D185" s="471"/>
      <c r="E185" s="467"/>
      <c r="F185" s="467"/>
      <c r="G185" s="468"/>
    </row>
    <row r="186" spans="1:7">
      <c r="A186" s="473">
        <v>23160102</v>
      </c>
      <c r="B186" s="474" t="str">
        <f>+POAI!B348</f>
        <v>Subprograma: Servicios pùblicos del sector</v>
      </c>
      <c r="C186" s="475">
        <f>+POAI!C348</f>
        <v>800000</v>
      </c>
      <c r="D186" s="471"/>
      <c r="E186" s="467"/>
      <c r="F186" s="467"/>
      <c r="G186" s="468"/>
    </row>
    <row r="187" spans="1:7" ht="25.5" hidden="1">
      <c r="A187" s="473">
        <v>23160103</v>
      </c>
      <c r="B187" s="474" t="str">
        <f>+POAI!B349</f>
        <v>Subprograma: Construcción escenarios de cultura municipales</v>
      </c>
      <c r="C187" s="475">
        <f>+POAI!C349</f>
        <v>0</v>
      </c>
      <c r="D187" s="471"/>
      <c r="E187" s="467"/>
      <c r="F187" s="467"/>
      <c r="G187" s="468"/>
    </row>
    <row r="188" spans="1:7" hidden="1">
      <c r="A188" s="469"/>
      <c r="B188" s="474"/>
      <c r="C188" s="475"/>
      <c r="D188" s="471"/>
      <c r="E188" s="467"/>
      <c r="F188" s="467"/>
      <c r="G188" s="468"/>
    </row>
    <row r="189" spans="1:7" ht="25.5">
      <c r="A189" s="469">
        <v>231602</v>
      </c>
      <c r="B189" s="477" t="str">
        <f>+POAI!B351</f>
        <v>PROGRAMA: MASIFICACIÓN DEL TIEMPO LIBRE Y RESCATE CULTURAL</v>
      </c>
      <c r="C189" s="475"/>
      <c r="D189" s="472">
        <f>SUM(C190:C196)</f>
        <v>47920950</v>
      </c>
      <c r="E189" s="467"/>
      <c r="F189" s="467"/>
      <c r="G189" s="468"/>
    </row>
    <row r="190" spans="1:7">
      <c r="A190" s="473">
        <v>23160201</v>
      </c>
      <c r="B190" s="474" t="str">
        <f>+POAI!B352</f>
        <v xml:space="preserve">Subprograma: Promoción de eventos culturales </v>
      </c>
      <c r="C190" s="475">
        <f>+POAI!C352</f>
        <v>29920950</v>
      </c>
      <c r="D190" s="471"/>
      <c r="E190" s="467"/>
      <c r="F190" s="467"/>
      <c r="G190" s="468"/>
    </row>
    <row r="191" spans="1:7" ht="25.5">
      <c r="A191" s="473">
        <v>23160202</v>
      </c>
      <c r="B191" s="474" t="str">
        <f>+POAI!B353</f>
        <v>Subprograma: Operación escuelas de formación artística y cultural</v>
      </c>
      <c r="C191" s="475">
        <f>+POAI!C353</f>
        <v>18000000</v>
      </c>
      <c r="D191" s="471"/>
      <c r="E191" s="467"/>
      <c r="F191" s="467"/>
      <c r="G191" s="468"/>
    </row>
    <row r="192" spans="1:7" ht="25.5" hidden="1">
      <c r="A192" s="473">
        <v>23160203</v>
      </c>
      <c r="B192" s="474" t="str">
        <f>+POAI!B354</f>
        <v>Subprograma: Apoyo a la investigaciòn de la historia Cucaitense</v>
      </c>
      <c r="C192" s="475">
        <f>+POAI!C354</f>
        <v>0</v>
      </c>
      <c r="D192" s="471"/>
      <c r="E192" s="467"/>
      <c r="F192" s="467"/>
      <c r="G192" s="468"/>
    </row>
    <row r="193" spans="1:7" hidden="1">
      <c r="A193" s="473">
        <v>23160204</v>
      </c>
      <c r="B193" s="474" t="str">
        <f>+POAI!B355</f>
        <v>Subprograma: 10% seguridad social gestor de cultura</v>
      </c>
      <c r="C193" s="475">
        <f>+POAI!C355</f>
        <v>0</v>
      </c>
      <c r="D193" s="471"/>
      <c r="E193" s="467"/>
      <c r="F193" s="467"/>
      <c r="G193" s="468"/>
    </row>
    <row r="194" spans="1:7" hidden="1">
      <c r="A194" s="473">
        <v>23160205</v>
      </c>
      <c r="B194" s="474" t="str">
        <f>+POAI!B356</f>
        <v>Subprograma: 20% fonpet</v>
      </c>
      <c r="C194" s="475">
        <f>+POAI!C356</f>
        <v>0</v>
      </c>
      <c r="D194" s="471"/>
      <c r="E194" s="467"/>
      <c r="F194" s="467"/>
      <c r="G194" s="468"/>
    </row>
    <row r="195" spans="1:7" hidden="1">
      <c r="A195" s="473">
        <v>23160206</v>
      </c>
      <c r="B195" s="474" t="str">
        <f>+POAI!B357</f>
        <v>Subprograma: 10% sostenimiento de bibliotecas publicas</v>
      </c>
      <c r="C195" s="475">
        <f>+POAI!C357</f>
        <v>0</v>
      </c>
      <c r="D195" s="471"/>
      <c r="E195" s="467"/>
      <c r="F195" s="467"/>
      <c r="G195" s="468"/>
    </row>
    <row r="196" spans="1:7" hidden="1">
      <c r="A196" s="469"/>
      <c r="B196" s="470"/>
      <c r="C196" s="472"/>
      <c r="D196" s="471"/>
      <c r="E196" s="467"/>
      <c r="F196" s="467"/>
      <c r="G196" s="468"/>
    </row>
    <row r="197" spans="1:7" s="480" customFormat="1">
      <c r="A197" s="469">
        <v>2317</v>
      </c>
      <c r="B197" s="477" t="str">
        <f>+POAI!B362</f>
        <v>SECTOR OTROS SECTORES</v>
      </c>
      <c r="C197" s="460"/>
      <c r="D197" s="479"/>
      <c r="E197" s="472">
        <f>SUM(D199:D273)</f>
        <v>568576985</v>
      </c>
      <c r="F197" s="460"/>
      <c r="G197" s="462"/>
    </row>
    <row r="198" spans="1:7" hidden="1">
      <c r="A198" s="469"/>
      <c r="B198" s="470"/>
      <c r="C198" s="472"/>
      <c r="D198" s="471"/>
      <c r="E198" s="467"/>
      <c r="F198" s="467"/>
      <c r="G198" s="468"/>
    </row>
    <row r="199" spans="1:7" s="480" customFormat="1">
      <c r="A199" s="469">
        <v>231707</v>
      </c>
      <c r="B199" s="477" t="str">
        <f>+POAI!B367</f>
        <v>PROGRAMA: VIVIENDA SALUDABLE</v>
      </c>
      <c r="C199" s="460"/>
      <c r="D199" s="472">
        <f>SUM(C200:C202)</f>
        <v>100000000</v>
      </c>
      <c r="E199" s="460"/>
      <c r="F199" s="460"/>
      <c r="G199" s="462"/>
    </row>
    <row r="200" spans="1:7">
      <c r="A200" s="473">
        <v>23170701</v>
      </c>
      <c r="B200" s="474" t="str">
        <f>+POAI!B368</f>
        <v>Subprograma: Mejoramiento Vivienda de interés social</v>
      </c>
      <c r="C200" s="475">
        <f>+POAI!C368</f>
        <v>50000000</v>
      </c>
      <c r="D200" s="471"/>
      <c r="E200" s="467"/>
      <c r="F200" s="467"/>
      <c r="G200" s="468"/>
    </row>
    <row r="201" spans="1:7">
      <c r="A201" s="473">
        <v>23170702</v>
      </c>
      <c r="B201" s="474" t="str">
        <f>+POAI!B369</f>
        <v>Subprograma: Construcción vivienda de interes social</v>
      </c>
      <c r="C201" s="475">
        <f>+POAI!C369</f>
        <v>50000000</v>
      </c>
      <c r="D201" s="471"/>
      <c r="E201" s="467"/>
      <c r="F201" s="467"/>
      <c r="G201" s="468"/>
    </row>
    <row r="202" spans="1:7" hidden="1">
      <c r="A202" s="469"/>
      <c r="B202" s="474"/>
      <c r="C202" s="475"/>
      <c r="D202" s="471"/>
      <c r="E202" s="467"/>
      <c r="F202" s="467"/>
      <c r="G202" s="468"/>
    </row>
    <row r="203" spans="1:7" s="480" customFormat="1">
      <c r="A203" s="469">
        <v>231708</v>
      </c>
      <c r="B203" s="477" t="str">
        <f>+POAI!B371</f>
        <v xml:space="preserve">PROGRAMA:  PRODUCTIVIDAD AGROPECUARIA </v>
      </c>
      <c r="C203" s="478"/>
      <c r="D203" s="472">
        <f>SUM(C204:C207)</f>
        <v>52000000</v>
      </c>
      <c r="E203" s="460"/>
      <c r="F203" s="460"/>
      <c r="G203" s="462"/>
    </row>
    <row r="204" spans="1:7">
      <c r="A204" s="473">
        <v>23170801</v>
      </c>
      <c r="B204" s="474" t="str">
        <f>+POAI!B372</f>
        <v>Subprograma: Asistencia técnica agropecuaria</v>
      </c>
      <c r="C204" s="475">
        <f>+POAI!C372</f>
        <v>43000000</v>
      </c>
      <c r="D204" s="471"/>
      <c r="E204" s="467"/>
      <c r="F204" s="467"/>
      <c r="G204" s="468"/>
    </row>
    <row r="205" spans="1:7">
      <c r="A205" s="473">
        <v>23170802</v>
      </c>
      <c r="B205" s="474" t="str">
        <f>+POAI!B373</f>
        <v>Subprograma: Apoyo proyectos productivos agropecuarios</v>
      </c>
      <c r="C205" s="475">
        <f>+POAI!C373</f>
        <v>5000000</v>
      </c>
      <c r="D205" s="471"/>
      <c r="E205" s="467"/>
      <c r="F205" s="467"/>
      <c r="G205" s="468"/>
    </row>
    <row r="206" spans="1:7">
      <c r="A206" s="473">
        <v>23170803</v>
      </c>
      <c r="B206" s="474" t="str">
        <f>+POAI!B374</f>
        <v>Subprograma: Apoyo a la feria técnica agropecuaria</v>
      </c>
      <c r="C206" s="475">
        <f>+POAI!C374</f>
        <v>4000000</v>
      </c>
      <c r="D206" s="471"/>
      <c r="E206" s="467"/>
      <c r="F206" s="467"/>
      <c r="G206" s="468"/>
    </row>
    <row r="207" spans="1:7" hidden="1">
      <c r="A207" s="469"/>
      <c r="B207" s="474"/>
      <c r="C207" s="475"/>
      <c r="D207" s="471"/>
      <c r="E207" s="467"/>
      <c r="F207" s="467"/>
      <c r="G207" s="468"/>
    </row>
    <row r="208" spans="1:7" s="480" customFormat="1">
      <c r="A208" s="469">
        <v>231709</v>
      </c>
      <c r="B208" s="477" t="str">
        <f>+POAI!B376</f>
        <v>PROGRAMA:  VÍAS Y MOVILIDAD MUNICIPAL</v>
      </c>
      <c r="C208" s="478"/>
      <c r="D208" s="472">
        <f>SUM(C209:C213)</f>
        <v>151724363</v>
      </c>
      <c r="E208" s="460"/>
      <c r="F208" s="460"/>
      <c r="G208" s="462"/>
    </row>
    <row r="209" spans="1:7">
      <c r="A209" s="473">
        <v>23170901</v>
      </c>
      <c r="B209" s="474" t="str">
        <f>+POAI!B377</f>
        <v xml:space="preserve">Subprograma: Mantenimiento de la red vial municipal </v>
      </c>
      <c r="C209" s="475">
        <f>+POAI!C377+1724363</f>
        <v>66724363</v>
      </c>
      <c r="D209" s="471"/>
      <c r="E209" s="467"/>
      <c r="F209" s="467"/>
      <c r="G209" s="468"/>
    </row>
    <row r="210" spans="1:7">
      <c r="A210" s="473">
        <v>23170902</v>
      </c>
      <c r="B210" s="474" t="str">
        <f>+POAI!B378</f>
        <v>Subprograma: Mejoramiento de vias urbanas</v>
      </c>
      <c r="C210" s="475">
        <f>+POAI!C378</f>
        <v>85000000</v>
      </c>
      <c r="D210" s="471"/>
      <c r="E210" s="467"/>
      <c r="F210" s="467"/>
      <c r="G210" s="468"/>
    </row>
    <row r="211" spans="1:7" ht="25.5" hidden="1">
      <c r="A211" s="473">
        <v>23170903</v>
      </c>
      <c r="B211" s="474" t="str">
        <f>+POAI!B379</f>
        <v xml:space="preserve"> Subprograma: Operación y Mantenimiento de Maquinaria Municipal</v>
      </c>
      <c r="C211" s="475">
        <f>+POAI!C379</f>
        <v>0</v>
      </c>
      <c r="D211" s="471"/>
      <c r="E211" s="467"/>
      <c r="F211" s="467"/>
      <c r="G211" s="468"/>
    </row>
    <row r="212" spans="1:7" hidden="1">
      <c r="A212" s="473">
        <v>23170904</v>
      </c>
      <c r="B212" s="474" t="str">
        <f>+POAI!B380</f>
        <v xml:space="preserve"> Subprograma: Construccion puente con juirsdiccion Sora</v>
      </c>
      <c r="C212" s="475">
        <v>0</v>
      </c>
      <c r="D212" s="471"/>
      <c r="E212" s="467"/>
      <c r="F212" s="467"/>
      <c r="G212" s="468"/>
    </row>
    <row r="213" spans="1:7" hidden="1">
      <c r="A213" s="469"/>
      <c r="B213" s="474"/>
      <c r="C213" s="475"/>
      <c r="D213" s="471"/>
      <c r="E213" s="467"/>
      <c r="F213" s="467"/>
      <c r="G213" s="468"/>
    </row>
    <row r="214" spans="1:7" s="480" customFormat="1" ht="25.5">
      <c r="A214" s="469">
        <v>231710</v>
      </c>
      <c r="B214" s="477" t="str">
        <f>+POAI!B382</f>
        <v>PROGRAMA: PROTEGIENDO LOS RECURSOS NATURALES</v>
      </c>
      <c r="C214" s="478"/>
      <c r="D214" s="472">
        <f>SUM(C215:C218)</f>
        <v>38800000</v>
      </c>
      <c r="E214" s="460"/>
      <c r="F214" s="460"/>
      <c r="G214" s="462"/>
    </row>
    <row r="215" spans="1:7">
      <c r="A215" s="473">
        <v>23171001</v>
      </c>
      <c r="B215" s="474" t="str">
        <f>+POAI!B383</f>
        <v>Subprograma: Reforestación protectora y proudctiva</v>
      </c>
      <c r="C215" s="475">
        <f>+POAI!C383</f>
        <v>8800000</v>
      </c>
      <c r="D215" s="471"/>
      <c r="E215" s="467"/>
      <c r="F215" s="467"/>
      <c r="G215" s="468"/>
    </row>
    <row r="216" spans="1:7" ht="25.5">
      <c r="A216" s="473">
        <v>23171002</v>
      </c>
      <c r="B216" s="474" t="str">
        <f>+POAI!B384</f>
        <v>Subprograma: Adquisición y mantenimiento de predios de micro cuencas  (Art 106 ley 1151 de 2006)</v>
      </c>
      <c r="C216" s="475">
        <f>+POAI!C384</f>
        <v>30000000</v>
      </c>
      <c r="D216" s="471"/>
      <c r="E216" s="467"/>
      <c r="F216" s="467"/>
      <c r="G216" s="468"/>
    </row>
    <row r="217" spans="1:7" hidden="1">
      <c r="A217" s="473">
        <v>23171003</v>
      </c>
      <c r="B217" s="474" t="str">
        <f>+POAI!B385</f>
        <v>Sistema local areas protegidas</v>
      </c>
      <c r="C217" s="475">
        <f>+POAI!C385</f>
        <v>0</v>
      </c>
      <c r="D217" s="471"/>
      <c r="E217" s="467"/>
      <c r="F217" s="467"/>
      <c r="G217" s="468"/>
    </row>
    <row r="218" spans="1:7" hidden="1">
      <c r="A218" s="469"/>
      <c r="B218" s="474"/>
      <c r="C218" s="475"/>
      <c r="D218" s="471"/>
      <c r="E218" s="467"/>
      <c r="F218" s="467"/>
      <c r="G218" s="468"/>
    </row>
    <row r="219" spans="1:7" s="480" customFormat="1">
      <c r="A219" s="469">
        <v>231711</v>
      </c>
      <c r="B219" s="477" t="str">
        <f>+POAI!B387</f>
        <v>PROGRAMA: SECTOR ELECTRIFICACION</v>
      </c>
      <c r="C219" s="478"/>
      <c r="D219" s="472">
        <f>SUM(C220:C222)</f>
        <v>20000000</v>
      </c>
      <c r="E219" s="460"/>
      <c r="F219" s="460"/>
      <c r="G219" s="462"/>
    </row>
    <row r="220" spans="1:7">
      <c r="A220" s="473">
        <v>23171101</v>
      </c>
      <c r="B220" s="474" t="str">
        <f>+POAI!B388</f>
        <v>Subprograma: alumbrado publico</v>
      </c>
      <c r="C220" s="475">
        <f>+POAI!C388</f>
        <v>10000000</v>
      </c>
      <c r="D220" s="471"/>
      <c r="E220" s="467"/>
      <c r="F220" s="467"/>
      <c r="G220" s="468"/>
    </row>
    <row r="221" spans="1:7">
      <c r="A221" s="473">
        <v>23171102</v>
      </c>
      <c r="B221" s="474" t="str">
        <f>+POAI!B389</f>
        <v>Subprograma: Mantenimiento alumbrado publico municipal</v>
      </c>
      <c r="C221" s="475">
        <f>+POAI!C389</f>
        <v>10000000</v>
      </c>
      <c r="D221" s="471"/>
      <c r="E221" s="467"/>
      <c r="F221" s="467"/>
      <c r="G221" s="468"/>
    </row>
    <row r="222" spans="1:7" hidden="1">
      <c r="A222" s="469"/>
      <c r="B222" s="474"/>
      <c r="C222" s="475"/>
      <c r="D222" s="471"/>
      <c r="E222" s="467"/>
      <c r="F222" s="467"/>
      <c r="G222" s="468"/>
    </row>
    <row r="223" spans="1:7" s="480" customFormat="1" ht="25.5">
      <c r="A223" s="469">
        <v>231712</v>
      </c>
      <c r="B223" s="477" t="str">
        <f>+POAI!B391</f>
        <v>PROGRAMA: PREVENCIÓN Y ATENCIÓN DE DESASTRES</v>
      </c>
      <c r="C223" s="478"/>
      <c r="D223" s="472">
        <f>SUM(C224:C228)</f>
        <v>18400000</v>
      </c>
      <c r="E223" s="460"/>
      <c r="F223" s="460"/>
      <c r="G223" s="462"/>
    </row>
    <row r="224" spans="1:7">
      <c r="A224" s="473">
        <v>23171201</v>
      </c>
      <c r="B224" s="474" t="str">
        <f>+POAI!B392</f>
        <v>Subprograma: Prevención y atención de desastres</v>
      </c>
      <c r="C224" s="475">
        <f>+POAI!C392</f>
        <v>10000000</v>
      </c>
      <c r="D224" s="471"/>
      <c r="E224" s="467"/>
      <c r="F224" s="467"/>
      <c r="G224" s="468"/>
    </row>
    <row r="225" spans="1:7">
      <c r="A225" s="473">
        <v>23171202</v>
      </c>
      <c r="B225" s="474" t="str">
        <f>+POAI!B393</f>
        <v>Subprograma: Atención a calamidades y emergencias</v>
      </c>
      <c r="C225" s="475">
        <f>+POAI!C393</f>
        <v>8400000</v>
      </c>
      <c r="D225" s="471"/>
      <c r="E225" s="467"/>
      <c r="F225" s="467"/>
      <c r="G225" s="468"/>
    </row>
    <row r="226" spans="1:7" hidden="1">
      <c r="A226" s="473">
        <v>23171203</v>
      </c>
      <c r="B226" s="474" t="str">
        <f>+POAI!B394</f>
        <v xml:space="preserve">Subprograma: Servicio de cuerpo de bomberos </v>
      </c>
      <c r="C226" s="475">
        <f>+POAI!C394</f>
        <v>0</v>
      </c>
      <c r="D226" s="471"/>
      <c r="E226" s="467"/>
      <c r="F226" s="467"/>
      <c r="G226" s="468"/>
    </row>
    <row r="227" spans="1:7" hidden="1">
      <c r="A227" s="473">
        <v>23171204</v>
      </c>
      <c r="B227" s="474" t="str">
        <f>+POAI!B395</f>
        <v xml:space="preserve">Subprograma: Limpeza de lechos de quebradas </v>
      </c>
      <c r="C227" s="475">
        <f>+POAI!C395</f>
        <v>0</v>
      </c>
      <c r="D227" s="471"/>
      <c r="E227" s="467"/>
      <c r="F227" s="467"/>
      <c r="G227" s="468"/>
    </row>
    <row r="228" spans="1:7" hidden="1">
      <c r="A228" s="469"/>
      <c r="B228" s="474"/>
      <c r="C228" s="475"/>
      <c r="D228" s="471"/>
      <c r="E228" s="467"/>
      <c r="F228" s="467"/>
      <c r="G228" s="468"/>
    </row>
    <row r="229" spans="1:7" s="480" customFormat="1">
      <c r="A229" s="469">
        <v>231713</v>
      </c>
      <c r="B229" s="477" t="str">
        <f>+POAI!B397</f>
        <v>PROGRAMA: PROMOCIÓN DEL DESARROLLO</v>
      </c>
      <c r="C229" s="478"/>
      <c r="D229" s="472">
        <f>SUM(C230:C231)</f>
        <v>3000000</v>
      </c>
      <c r="E229" s="460"/>
      <c r="F229" s="460"/>
      <c r="G229" s="462"/>
    </row>
    <row r="230" spans="1:7">
      <c r="A230" s="473">
        <v>23171301</v>
      </c>
      <c r="B230" s="474" t="str">
        <f>+POAI!B398</f>
        <v>Subprograma: Fomento a la participación comunitaria</v>
      </c>
      <c r="C230" s="475">
        <f>+POAI!C398</f>
        <v>3000000</v>
      </c>
      <c r="D230" s="471"/>
      <c r="E230" s="467"/>
      <c r="F230" s="467"/>
      <c r="G230" s="468"/>
    </row>
    <row r="231" spans="1:7" hidden="1">
      <c r="A231" s="469"/>
      <c r="B231" s="474"/>
      <c r="C231" s="475"/>
      <c r="D231" s="471"/>
      <c r="E231" s="467"/>
      <c r="F231" s="467"/>
      <c r="G231" s="468"/>
    </row>
    <row r="232" spans="1:7" s="480" customFormat="1">
      <c r="A232" s="469">
        <v>231714</v>
      </c>
      <c r="B232" s="477" t="str">
        <f>+POAI!B400</f>
        <v>PROGRAMA: POBLACIÓN VULNERABLE</v>
      </c>
      <c r="C232" s="478"/>
      <c r="D232" s="472">
        <f>SUM(C233:C249)</f>
        <v>44000000</v>
      </c>
      <c r="E232" s="460"/>
      <c r="F232" s="460"/>
      <c r="G232" s="462"/>
    </row>
    <row r="233" spans="1:7" ht="25.5">
      <c r="A233" s="473">
        <v>23171401</v>
      </c>
      <c r="B233" s="474" t="str">
        <f>+POAI!B401</f>
        <v>Subprograma:  Inhumación de cadáveres pobres de solemnidad</v>
      </c>
      <c r="C233" s="475">
        <f>+POAI!C401</f>
        <v>3000000</v>
      </c>
      <c r="D233" s="471"/>
      <c r="E233" s="467"/>
      <c r="F233" s="467"/>
      <c r="G233" s="468"/>
    </row>
    <row r="234" spans="1:7" ht="25.5">
      <c r="A234" s="473">
        <f>+A233+1</f>
        <v>23171402</v>
      </c>
      <c r="B234" s="474" t="str">
        <f>+POAI!B402</f>
        <v xml:space="preserve">Subprograma: Prevención, atención, protección de desplazados </v>
      </c>
      <c r="C234" s="475">
        <f>+POAI!C402</f>
        <v>3000000</v>
      </c>
      <c r="D234" s="471"/>
      <c r="E234" s="467"/>
      <c r="F234" s="467"/>
      <c r="G234" s="468"/>
    </row>
    <row r="235" spans="1:7">
      <c r="A235" s="473">
        <f t="shared" ref="A235:A248" si="0">+A234+1</f>
        <v>23171403</v>
      </c>
      <c r="B235" s="474" t="str">
        <f>+POAI!B403</f>
        <v>Subprograma: Familias en Acción</v>
      </c>
      <c r="C235" s="475">
        <f>+POAI!C403</f>
        <v>14000000</v>
      </c>
      <c r="D235" s="471"/>
      <c r="E235" s="467"/>
      <c r="F235" s="467"/>
      <c r="G235" s="468"/>
    </row>
    <row r="236" spans="1:7">
      <c r="A236" s="473">
        <f t="shared" si="0"/>
        <v>23171404</v>
      </c>
      <c r="B236" s="474" t="str">
        <f>+POAI!B404</f>
        <v>Subprograma: Red Unidos</v>
      </c>
      <c r="C236" s="475">
        <f>+POAI!C404</f>
        <v>1000000</v>
      </c>
      <c r="D236" s="471"/>
      <c r="E236" s="467"/>
      <c r="F236" s="467"/>
      <c r="G236" s="468"/>
    </row>
    <row r="237" spans="1:7" ht="25.5">
      <c r="A237" s="473">
        <f t="shared" si="0"/>
        <v>23171405</v>
      </c>
      <c r="B237" s="474" t="str">
        <f>+POAI!B405</f>
        <v>Subprograma: Centro Especializado de Servicios para el adolescente Infractor</v>
      </c>
      <c r="C237" s="475">
        <f>+POAI!C405</f>
        <v>2000000</v>
      </c>
      <c r="D237" s="471"/>
      <c r="E237" s="467"/>
      <c r="F237" s="467"/>
      <c r="G237" s="468"/>
    </row>
    <row r="238" spans="1:7">
      <c r="A238" s="473">
        <f t="shared" si="0"/>
        <v>23171406</v>
      </c>
      <c r="B238" s="474" t="str">
        <f>+POAI!B406</f>
        <v>Subprograma: Apoyo Casa del Menor</v>
      </c>
      <c r="C238" s="475">
        <f>+POAI!C406</f>
        <v>2000000</v>
      </c>
      <c r="D238" s="471"/>
      <c r="E238" s="467"/>
      <c r="F238" s="467"/>
      <c r="G238" s="468"/>
    </row>
    <row r="239" spans="1:7" hidden="1">
      <c r="A239" s="473">
        <f t="shared" si="0"/>
        <v>23171407</v>
      </c>
      <c r="B239" s="474" t="str">
        <f>+POAI!B407</f>
        <v>Subprograma: Familias en Acción</v>
      </c>
      <c r="C239" s="475">
        <f>+POAI!C407</f>
        <v>0</v>
      </c>
      <c r="D239" s="471"/>
      <c r="E239" s="467"/>
      <c r="F239" s="467"/>
      <c r="G239" s="468"/>
    </row>
    <row r="240" spans="1:7">
      <c r="A240" s="473">
        <f t="shared" si="0"/>
        <v>23171408</v>
      </c>
      <c r="B240" s="474" t="str">
        <f>+POAI!B408</f>
        <v>Subprograma: Clubes juveniles</v>
      </c>
      <c r="C240" s="475">
        <f>+POAI!C408</f>
        <v>2000000</v>
      </c>
      <c r="D240" s="471"/>
      <c r="E240" s="467"/>
      <c r="F240" s="467"/>
      <c r="G240" s="468"/>
    </row>
    <row r="241" spans="1:7">
      <c r="A241" s="473">
        <f t="shared" si="0"/>
        <v>23171409</v>
      </c>
      <c r="B241" s="474" t="str">
        <f>+POAI!B409</f>
        <v>Subprograma: Clubes pre juveniles</v>
      </c>
      <c r="C241" s="475">
        <f>+POAI!C409</f>
        <v>2000000</v>
      </c>
      <c r="D241" s="471"/>
      <c r="E241" s="467"/>
      <c r="F241" s="467"/>
      <c r="G241" s="468"/>
    </row>
    <row r="242" spans="1:7">
      <c r="A242" s="473">
        <f t="shared" si="0"/>
        <v>23171410</v>
      </c>
      <c r="B242" s="474" t="str">
        <f>+POAI!B410</f>
        <v>Subprograma: nutrición y seguridad alimentaria</v>
      </c>
      <c r="C242" s="475">
        <f>+POAI!C410</f>
        <v>1000000</v>
      </c>
      <c r="D242" s="471"/>
      <c r="E242" s="467"/>
      <c r="F242" s="467"/>
      <c r="G242" s="468"/>
    </row>
    <row r="243" spans="1:7">
      <c r="A243" s="473">
        <f t="shared" si="0"/>
        <v>23171411</v>
      </c>
      <c r="B243" s="474" t="str">
        <f>+POAI!B411</f>
        <v>Subprograma: Atenciòn al adulto mayor</v>
      </c>
      <c r="C243" s="475">
        <f>+POAI!C411</f>
        <v>4000000</v>
      </c>
      <c r="D243" s="471"/>
      <c r="E243" s="467"/>
      <c r="F243" s="467"/>
      <c r="G243" s="468"/>
    </row>
    <row r="244" spans="1:7">
      <c r="A244" s="473">
        <f t="shared" si="0"/>
        <v>23171412</v>
      </c>
      <c r="B244" s="474" t="str">
        <f>+POAI!B412</f>
        <v xml:space="preserve">Subprograma: Atencion a la niñez, infancia y adolescencia </v>
      </c>
      <c r="C244" s="475">
        <f>+POAI!C412</f>
        <v>4000000</v>
      </c>
      <c r="D244" s="471"/>
      <c r="E244" s="467"/>
      <c r="F244" s="467"/>
      <c r="G244" s="468"/>
    </row>
    <row r="245" spans="1:7" ht="25.5">
      <c r="A245" s="473">
        <f t="shared" si="0"/>
        <v>23171413</v>
      </c>
      <c r="B245" s="474" t="str">
        <f>+POAI!B413</f>
        <v>Subprograma: Atencion a madres gestantes y primera infancia</v>
      </c>
      <c r="C245" s="475">
        <f>+POAI!C413</f>
        <v>1000000</v>
      </c>
      <c r="D245" s="471"/>
      <c r="E245" s="467"/>
      <c r="F245" s="467"/>
      <c r="G245" s="468"/>
    </row>
    <row r="246" spans="1:7">
      <c r="A246" s="473">
        <f t="shared" si="0"/>
        <v>23171414</v>
      </c>
      <c r="B246" s="474" t="str">
        <f>+POAI!B414</f>
        <v>Subprograma: Atencion a discapacitados</v>
      </c>
      <c r="C246" s="475">
        <f>+POAI!C414</f>
        <v>1000000</v>
      </c>
      <c r="D246" s="471"/>
      <c r="E246" s="467"/>
      <c r="F246" s="467"/>
      <c r="G246" s="468"/>
    </row>
    <row r="247" spans="1:7">
      <c r="A247" s="473">
        <f t="shared" si="0"/>
        <v>23171415</v>
      </c>
      <c r="B247" s="474" t="str">
        <f>+POAI!B415</f>
        <v>Subprograma: Apoyo a hogares infantiles</v>
      </c>
      <c r="C247" s="475">
        <f>+POAI!C415</f>
        <v>1000000</v>
      </c>
      <c r="D247" s="471"/>
      <c r="E247" s="467"/>
      <c r="F247" s="467"/>
      <c r="G247" s="468"/>
    </row>
    <row r="248" spans="1:7">
      <c r="A248" s="473">
        <f t="shared" si="0"/>
        <v>23171416</v>
      </c>
      <c r="B248" s="474" t="str">
        <f>+POAI!B416</f>
        <v>Subprograma: Operación hogares de paso</v>
      </c>
      <c r="C248" s="475">
        <f>+POAI!C416</f>
        <v>3000000</v>
      </c>
      <c r="D248" s="471"/>
      <c r="E248" s="467"/>
      <c r="F248" s="467"/>
      <c r="G248" s="468"/>
    </row>
    <row r="249" spans="1:7" hidden="1">
      <c r="A249" s="469"/>
      <c r="B249" s="474"/>
      <c r="C249" s="475"/>
      <c r="D249" s="471"/>
      <c r="E249" s="467"/>
      <c r="F249" s="467"/>
      <c r="G249" s="468"/>
    </row>
    <row r="250" spans="1:7" s="480" customFormat="1" ht="25.5">
      <c r="A250" s="469">
        <v>231715</v>
      </c>
      <c r="B250" s="477" t="str">
        <f>+POAI!B418</f>
        <v>PROGRAMA: EQUIPAMIENTO MUNICIPAL Y BIENES PÚBLICOS</v>
      </c>
      <c r="C250" s="478"/>
      <c r="D250" s="472">
        <f>SUM(C251:C258)</f>
        <v>19000000</v>
      </c>
      <c r="E250" s="460"/>
      <c r="F250" s="460"/>
      <c r="G250" s="462"/>
    </row>
    <row r="251" spans="1:7">
      <c r="A251" s="473">
        <v>23171501</v>
      </c>
      <c r="B251" s="474" t="str">
        <f>+POAI!B419</f>
        <v>Subprograma: Mantenimiento bienes publicos municipales</v>
      </c>
      <c r="C251" s="475">
        <f>+POAI!C419</f>
        <v>2000000</v>
      </c>
      <c r="D251" s="471"/>
      <c r="E251" s="467"/>
      <c r="F251" s="467"/>
      <c r="G251" s="468"/>
    </row>
    <row r="252" spans="1:7">
      <c r="A252" s="473">
        <v>23171502</v>
      </c>
      <c r="B252" s="474" t="str">
        <f>+POAI!B420</f>
        <v>Sub programa: Mantenimiento parques municipales</v>
      </c>
      <c r="C252" s="475">
        <f>+POAI!C420</f>
        <v>5000000</v>
      </c>
      <c r="D252" s="471"/>
      <c r="E252" s="467"/>
      <c r="F252" s="467"/>
      <c r="G252" s="468"/>
    </row>
    <row r="253" spans="1:7" ht="25.5">
      <c r="A253" s="473">
        <f>+A252+1</f>
        <v>23171503</v>
      </c>
      <c r="B253" s="474" t="str">
        <f>+POAI!B421</f>
        <v>Sub programa: Construcciòn y mantenimiento de la morque municipal</v>
      </c>
      <c r="C253" s="475">
        <f>+POAI!C421</f>
        <v>2000000</v>
      </c>
      <c r="D253" s="471"/>
      <c r="E253" s="467"/>
      <c r="F253" s="467"/>
      <c r="G253" s="468"/>
    </row>
    <row r="254" spans="1:7" ht="25.5" hidden="1">
      <c r="A254" s="473">
        <f>+A253+1</f>
        <v>23171504</v>
      </c>
      <c r="B254" s="474" t="str">
        <f>+POAI!B422</f>
        <v>Sub programa: Construccion salon sector mata redonda vereda pijaos</v>
      </c>
      <c r="C254" s="475">
        <f>+POAI!C422</f>
        <v>0</v>
      </c>
      <c r="D254" s="471"/>
      <c r="E254" s="467"/>
      <c r="F254" s="467"/>
      <c r="G254" s="468"/>
    </row>
    <row r="255" spans="1:7">
      <c r="A255" s="473">
        <f>+A254+1</f>
        <v>23171505</v>
      </c>
      <c r="B255" s="474" t="str">
        <f>+POAI!B423</f>
        <v>Sub programa: Ornato Municipal</v>
      </c>
      <c r="C255" s="475">
        <f>+POAI!C423</f>
        <v>5000000</v>
      </c>
      <c r="D255" s="471"/>
      <c r="E255" s="467"/>
      <c r="F255" s="467"/>
      <c r="G255" s="468"/>
    </row>
    <row r="256" spans="1:7" hidden="1">
      <c r="A256" s="473">
        <f>+A255+1</f>
        <v>23171506</v>
      </c>
      <c r="B256" s="474" t="str">
        <f>+POAI!B424</f>
        <v>Sub programa: Adquisicion vehiculo Alcaldia</v>
      </c>
      <c r="C256" s="475">
        <f>+POAI!C424</f>
        <v>0</v>
      </c>
      <c r="D256" s="471"/>
      <c r="E256" s="467"/>
      <c r="F256" s="467"/>
      <c r="G256" s="468"/>
    </row>
    <row r="257" spans="1:7" ht="25.5">
      <c r="A257" s="473">
        <f>+A256+1</f>
        <v>23171507</v>
      </c>
      <c r="B257" s="474" t="str">
        <f>+POAI!B425</f>
        <v>Sub programa: Terminacion de salon comunal vereda lluviosos</v>
      </c>
      <c r="C257" s="475">
        <f>+POAI!C425</f>
        <v>5000000</v>
      </c>
      <c r="D257" s="471"/>
      <c r="E257" s="467"/>
      <c r="F257" s="467"/>
      <c r="G257" s="468"/>
    </row>
    <row r="258" spans="1:7" hidden="1">
      <c r="A258" s="469"/>
      <c r="B258" s="474"/>
      <c r="C258" s="475"/>
      <c r="D258" s="471"/>
      <c r="E258" s="467"/>
      <c r="F258" s="467"/>
      <c r="G258" s="468"/>
    </row>
    <row r="259" spans="1:7" s="480" customFormat="1">
      <c r="A259" s="469">
        <v>231716</v>
      </c>
      <c r="B259" s="477" t="str">
        <f>+POAI!B427</f>
        <v>PROGRAMA: CENTROS DE RECLUSIÓN</v>
      </c>
      <c r="C259" s="478"/>
      <c r="D259" s="472">
        <f>SUM(C260:C261)</f>
        <v>1000000</v>
      </c>
      <c r="E259" s="460"/>
      <c r="F259" s="460"/>
      <c r="G259" s="462"/>
    </row>
    <row r="260" spans="1:7" ht="25.5">
      <c r="A260" s="473">
        <v>23171601</v>
      </c>
      <c r="B260" s="474" t="str">
        <f>+POAI!B428</f>
        <v>Subprograma: Operación y funcionamiento de cárceles municipales (Ley 65/93)</v>
      </c>
      <c r="C260" s="475">
        <f>+POAI!C428</f>
        <v>1000000</v>
      </c>
      <c r="D260" s="471"/>
      <c r="E260" s="467"/>
      <c r="F260" s="467"/>
      <c r="G260" s="468"/>
    </row>
    <row r="261" spans="1:7" hidden="1">
      <c r="A261" s="469"/>
      <c r="B261" s="474"/>
      <c r="C261" s="475"/>
      <c r="D261" s="471"/>
      <c r="E261" s="467"/>
      <c r="F261" s="467"/>
      <c r="G261" s="468"/>
    </row>
    <row r="262" spans="1:7" s="480" customFormat="1" ht="25.5">
      <c r="A262" s="469">
        <v>231717</v>
      </c>
      <c r="B262" s="477" t="str">
        <f>+POAI!B430</f>
        <v>PROGRAMA: GOBIERNO, PLANEACIÓN Y DESARROLLO INSTITUCIONAL</v>
      </c>
      <c r="C262" s="478"/>
      <c r="D262" s="472">
        <f>SUM(C263:C268)</f>
        <v>40530622</v>
      </c>
      <c r="E262" s="460"/>
      <c r="F262" s="460"/>
      <c r="G262" s="462"/>
    </row>
    <row r="263" spans="1:7">
      <c r="A263" s="473">
        <v>23171701</v>
      </c>
      <c r="B263" s="474" t="str">
        <f>+POAI!B431</f>
        <v>Sub programa: Capacitación de funcionarios municipales</v>
      </c>
      <c r="C263" s="475">
        <f>+POAI!C431</f>
        <v>9030622</v>
      </c>
      <c r="D263" s="471"/>
      <c r="E263" s="467"/>
      <c r="F263" s="467"/>
      <c r="G263" s="468"/>
    </row>
    <row r="264" spans="1:7" ht="25.5">
      <c r="A264" s="473">
        <f>+A263+1</f>
        <v>23171702</v>
      </c>
      <c r="B264" s="474" t="str">
        <f>+POAI!B432</f>
        <v>Sub programa: Evaluación institucional y esquemas organizacionales para el mejoramiento de gestión</v>
      </c>
      <c r="C264" s="475">
        <f>+POAI!C432</f>
        <v>18000000</v>
      </c>
      <c r="D264" s="471"/>
      <c r="E264" s="467"/>
      <c r="F264" s="467"/>
      <c r="G264" s="468"/>
    </row>
    <row r="265" spans="1:7">
      <c r="A265" s="473">
        <f>+A264+1</f>
        <v>23171703</v>
      </c>
      <c r="B265" s="474" t="str">
        <f>+POAI!B433</f>
        <v>Apoyo consejo territorial de planeacion</v>
      </c>
      <c r="C265" s="475">
        <f>+POAI!C433</f>
        <v>2500000</v>
      </c>
      <c r="D265" s="471"/>
      <c r="E265" s="467"/>
      <c r="F265" s="467"/>
      <c r="G265" s="468"/>
    </row>
    <row r="266" spans="1:7">
      <c r="A266" s="473">
        <f>+A265+1</f>
        <v>23171704</v>
      </c>
      <c r="B266" s="474" t="str">
        <f>+POAI!B434</f>
        <v>Sub programa: Sistema de archivo municipal</v>
      </c>
      <c r="C266" s="475">
        <f>+POAI!C434</f>
        <v>5000000</v>
      </c>
      <c r="D266" s="471"/>
      <c r="E266" s="467"/>
      <c r="F266" s="467"/>
      <c r="G266" s="468"/>
    </row>
    <row r="267" spans="1:7">
      <c r="A267" s="473">
        <f>+A266+1</f>
        <v>23171705</v>
      </c>
      <c r="B267" s="474" t="str">
        <f>+POAI!B435</f>
        <v>Sub programa: Elaboracion Plan de Desarrollo Municipal</v>
      </c>
      <c r="C267" s="475">
        <f>+POAI!C435</f>
        <v>6000000</v>
      </c>
      <c r="D267" s="471"/>
      <c r="E267" s="467"/>
      <c r="F267" s="467"/>
      <c r="G267" s="468"/>
    </row>
    <row r="268" spans="1:7" hidden="1">
      <c r="A268" s="469"/>
      <c r="B268" s="474"/>
      <c r="C268" s="475"/>
      <c r="D268" s="471"/>
      <c r="E268" s="467"/>
      <c r="F268" s="467"/>
      <c r="G268" s="468"/>
    </row>
    <row r="269" spans="1:7" s="480" customFormat="1">
      <c r="A269" s="469">
        <v>231718</v>
      </c>
      <c r="B269" s="477" t="str">
        <f>+POAI!B437</f>
        <v>PROGRAMA: JUSTICIA</v>
      </c>
      <c r="C269" s="478"/>
      <c r="D269" s="472">
        <f>SUM(C270:C273)</f>
        <v>80122000</v>
      </c>
      <c r="E269" s="460"/>
      <c r="F269" s="460"/>
      <c r="G269" s="462"/>
    </row>
    <row r="270" spans="1:7">
      <c r="A270" s="473">
        <v>23171801</v>
      </c>
      <c r="B270" s="474" t="str">
        <f>+POAI!B438</f>
        <v>Subprograma: Operación de Inspecciones de Policia</v>
      </c>
      <c r="C270" s="475">
        <f>+POAI!C438</f>
        <v>28424000</v>
      </c>
      <c r="D270" s="471"/>
      <c r="E270" s="467"/>
      <c r="F270" s="467"/>
      <c r="G270" s="468"/>
    </row>
    <row r="271" spans="1:7">
      <c r="A271" s="473">
        <v>23171802</v>
      </c>
      <c r="B271" s="474" t="str">
        <f>+POAI!B439</f>
        <v>Subprograma: Operación Comisaría de Familia</v>
      </c>
      <c r="C271" s="475">
        <f>+POAI!C439</f>
        <v>51698000</v>
      </c>
      <c r="D271" s="471"/>
      <c r="E271" s="467"/>
      <c r="F271" s="467"/>
      <c r="G271" s="468"/>
    </row>
    <row r="272" spans="1:7" hidden="1">
      <c r="A272" s="473">
        <v>23171803</v>
      </c>
      <c r="B272" s="474" t="str">
        <f>+POAI!B440</f>
        <v>Subprograma: Fondo de protección ciudadana</v>
      </c>
      <c r="C272" s="475">
        <f>+POAI!C440</f>
        <v>0</v>
      </c>
      <c r="D272" s="471"/>
      <c r="E272" s="467"/>
      <c r="F272" s="467"/>
      <c r="G272" s="468"/>
    </row>
    <row r="273" spans="1:7" hidden="1">
      <c r="A273" s="469"/>
      <c r="B273" s="474"/>
      <c r="C273" s="475"/>
      <c r="D273" s="471"/>
      <c r="E273" s="467"/>
      <c r="F273" s="467"/>
      <c r="G273" s="468"/>
    </row>
    <row r="274" spans="1:7">
      <c r="A274" s="469">
        <v>232</v>
      </c>
      <c r="B274" s="470" t="s">
        <v>50</v>
      </c>
      <c r="C274" s="471"/>
      <c r="D274" s="471"/>
      <c r="E274" s="467"/>
      <c r="F274" s="472">
        <f>+E276+E282+E288+E295+E305</f>
        <v>124000000</v>
      </c>
      <c r="G274" s="468"/>
    </row>
    <row r="275" spans="1:7" hidden="1">
      <c r="A275" s="469"/>
      <c r="B275" s="470"/>
      <c r="C275" s="472"/>
      <c r="D275" s="471"/>
      <c r="E275" s="467"/>
      <c r="F275" s="467"/>
      <c r="G275" s="468"/>
    </row>
    <row r="276" spans="1:7">
      <c r="A276" s="469">
        <v>2321</v>
      </c>
      <c r="B276" s="477" t="str">
        <f>+POAI!A220</f>
        <v>SECTOR DE INVERSION</v>
      </c>
      <c r="C276" s="467"/>
      <c r="D276" s="471"/>
      <c r="E276" s="472">
        <f>+D278</f>
        <v>0</v>
      </c>
      <c r="F276" s="467"/>
      <c r="G276" s="468"/>
    </row>
    <row r="277" spans="1:7" hidden="1">
      <c r="A277" s="469"/>
      <c r="B277" s="470"/>
      <c r="C277" s="472"/>
      <c r="D277" s="471"/>
      <c r="E277" s="467"/>
      <c r="F277" s="467"/>
      <c r="G277" s="468"/>
    </row>
    <row r="278" spans="1:7" ht="25.5" hidden="1">
      <c r="A278" s="469">
        <v>232101</v>
      </c>
      <c r="B278" s="477" t="str">
        <f>+POAI!B224</f>
        <v>PROGRAMA: LA EDUCACION, RESPONSABILIDAD Y CONCIENCIA DE TODOS</v>
      </c>
      <c r="C278" s="467"/>
      <c r="D278" s="472">
        <f>SUM(C279:C280)</f>
        <v>0</v>
      </c>
      <c r="E278" s="467"/>
      <c r="F278" s="467"/>
      <c r="G278" s="468"/>
    </row>
    <row r="279" spans="1:7" hidden="1">
      <c r="A279" s="473">
        <v>23210101</v>
      </c>
      <c r="B279" s="474" t="str">
        <f>+POAI!B225</f>
        <v>Subprograma: matrícula gratuita en instituciones educativas</v>
      </c>
      <c r="C279" s="481">
        <f>+POAI!D225</f>
        <v>0</v>
      </c>
      <c r="D279" s="471"/>
      <c r="E279" s="467"/>
      <c r="F279" s="467"/>
      <c r="G279" s="468"/>
    </row>
    <row r="280" spans="1:7" ht="25.5" hidden="1">
      <c r="A280" s="473">
        <v>23210102</v>
      </c>
      <c r="B280" s="474" t="str">
        <f>+POAI!B226</f>
        <v>Subprograma: Construccion Aulas en Instituciones Educativas</v>
      </c>
      <c r="C280" s="481">
        <f>+POAI!D226</f>
        <v>0</v>
      </c>
      <c r="D280" s="471"/>
      <c r="E280" s="467"/>
      <c r="F280" s="467"/>
      <c r="G280" s="468"/>
    </row>
    <row r="281" spans="1:7" hidden="1">
      <c r="A281" s="469"/>
      <c r="B281" s="470"/>
      <c r="C281" s="472"/>
      <c r="D281" s="471"/>
      <c r="E281" s="467"/>
      <c r="F281" s="467"/>
      <c r="G281" s="468"/>
    </row>
    <row r="282" spans="1:7">
      <c r="A282" s="469">
        <v>2321</v>
      </c>
      <c r="B282" s="477" t="str">
        <f>+POAI!B243</f>
        <v>SECTOR ALIMENTACION ESCOLAR</v>
      </c>
      <c r="C282" s="467"/>
      <c r="D282" s="471"/>
      <c r="E282" s="472">
        <f>+D284</f>
        <v>26000000</v>
      </c>
      <c r="F282" s="467"/>
      <c r="G282" s="468"/>
    </row>
    <row r="283" spans="1:7" hidden="1">
      <c r="A283" s="469"/>
      <c r="B283" s="470"/>
      <c r="C283" s="472"/>
      <c r="D283" s="471"/>
      <c r="E283" s="467"/>
      <c r="F283" s="467"/>
      <c r="G283" s="468"/>
    </row>
    <row r="284" spans="1:7">
      <c r="A284" s="469">
        <v>232101</v>
      </c>
      <c r="B284" s="477" t="str">
        <f>+POAI!B247</f>
        <v>PROGRAMA: ALIMENTACION ESCOLAR</v>
      </c>
      <c r="C284" s="467"/>
      <c r="D284" s="472">
        <f>SUM(C285:C286)</f>
        <v>26000000</v>
      </c>
      <c r="E284" s="467"/>
      <c r="F284" s="467"/>
      <c r="G284" s="468"/>
    </row>
    <row r="285" spans="1:7" ht="25.5">
      <c r="A285" s="473">
        <v>23210101</v>
      </c>
      <c r="B285" s="474" t="str">
        <f>+POAI!B248</f>
        <v>Subprograma: Complemento nutricional para la población escolar</v>
      </c>
      <c r="C285" s="481">
        <f>+POAI!D248</f>
        <v>26000000</v>
      </c>
      <c r="D285" s="471"/>
      <c r="E285" s="467"/>
      <c r="F285" s="467"/>
      <c r="G285" s="468"/>
    </row>
    <row r="286" spans="1:7">
      <c r="A286" s="473">
        <v>23210102</v>
      </c>
      <c r="B286" s="474" t="str">
        <f>+POAI!B249</f>
        <v>Subprograma: Dotación de los restaurantes escolares</v>
      </c>
      <c r="C286" s="481">
        <f>+POAI!D249</f>
        <v>0</v>
      </c>
      <c r="D286" s="471"/>
      <c r="E286" s="467"/>
      <c r="F286" s="467"/>
      <c r="G286" s="468"/>
    </row>
    <row r="287" spans="1:7" hidden="1">
      <c r="A287" s="469"/>
      <c r="B287" s="470"/>
      <c r="C287" s="472"/>
      <c r="D287" s="471"/>
      <c r="E287" s="467"/>
      <c r="F287" s="467"/>
      <c r="G287" s="468"/>
    </row>
    <row r="288" spans="1:7" hidden="1">
      <c r="A288" s="469">
        <v>2325</v>
      </c>
      <c r="B288" s="477" t="str">
        <f>+POAI!B321</f>
        <v>SECTOR DEPORTE Y TIEMPO LIBRE</v>
      </c>
      <c r="C288" s="467"/>
      <c r="D288" s="471"/>
      <c r="E288" s="472">
        <f>+D290</f>
        <v>0</v>
      </c>
      <c r="F288" s="467"/>
      <c r="G288" s="468"/>
    </row>
    <row r="289" spans="1:7" hidden="1">
      <c r="A289" s="469"/>
      <c r="B289" s="470"/>
      <c r="C289" s="472"/>
      <c r="D289" s="471"/>
      <c r="E289" s="467"/>
      <c r="F289" s="467"/>
      <c r="G289" s="468"/>
    </row>
    <row r="290" spans="1:7" hidden="1">
      <c r="A290" s="469">
        <v>232502</v>
      </c>
      <c r="B290" s="477" t="str">
        <f>+POAI!B331</f>
        <v>PROGRAMA: MASIFICACIÓN DEPORTIVA</v>
      </c>
      <c r="C290" s="467"/>
      <c r="D290" s="472">
        <f>SUM(C291:C293)</f>
        <v>0</v>
      </c>
      <c r="E290" s="467"/>
      <c r="F290" s="467"/>
      <c r="G290" s="468"/>
    </row>
    <row r="291" spans="1:7" hidden="1">
      <c r="A291" s="473">
        <v>23250201</v>
      </c>
      <c r="B291" s="474" t="str">
        <f>+POAI!B332</f>
        <v xml:space="preserve">Subprograma: Dotación implementos deportivos </v>
      </c>
      <c r="C291" s="481">
        <f>+POAI!D332</f>
        <v>0</v>
      </c>
      <c r="D291" s="471"/>
      <c r="E291" s="467"/>
      <c r="F291" s="467"/>
      <c r="G291" s="468"/>
    </row>
    <row r="292" spans="1:7" ht="25.5" hidden="1">
      <c r="A292" s="473">
        <v>23250202</v>
      </c>
      <c r="B292" s="474" t="str">
        <f>+POAI!B333</f>
        <v>Subprograma: Promoción eventos de recreación aprovechamiento del tiempo libre</v>
      </c>
      <c r="C292" s="481">
        <f>+POAI!D333</f>
        <v>0</v>
      </c>
      <c r="D292" s="471"/>
      <c r="E292" s="467"/>
      <c r="F292" s="467"/>
      <c r="G292" s="468"/>
    </row>
    <row r="293" spans="1:7" hidden="1">
      <c r="A293" s="473">
        <v>23250203</v>
      </c>
      <c r="B293" s="474" t="str">
        <f>+POAI!B334</f>
        <v>Subprograma: Escuelas de formacion deportiva</v>
      </c>
      <c r="C293" s="481">
        <f>+POAI!D334</f>
        <v>0</v>
      </c>
      <c r="D293" s="471"/>
      <c r="E293" s="467"/>
      <c r="F293" s="467"/>
      <c r="G293" s="468"/>
    </row>
    <row r="294" spans="1:7" hidden="1">
      <c r="A294" s="469"/>
      <c r="B294" s="470"/>
      <c r="C294" s="472"/>
      <c r="D294" s="471"/>
      <c r="E294" s="467"/>
      <c r="F294" s="467"/>
      <c r="G294" s="468"/>
    </row>
    <row r="295" spans="1:7">
      <c r="A295" s="469">
        <v>2326</v>
      </c>
      <c r="B295" s="477" t="str">
        <f>+POAI!B341</f>
        <v>SECTOR CULTURA</v>
      </c>
      <c r="C295" s="467"/>
      <c r="D295" s="471"/>
      <c r="E295" s="472">
        <f>+D297</f>
        <v>34000000</v>
      </c>
      <c r="F295" s="467"/>
      <c r="G295" s="468"/>
    </row>
    <row r="296" spans="1:7" hidden="1">
      <c r="A296" s="469"/>
      <c r="B296" s="470"/>
      <c r="C296" s="472"/>
      <c r="D296" s="471"/>
      <c r="E296" s="467"/>
      <c r="F296" s="467"/>
      <c r="G296" s="468"/>
    </row>
    <row r="297" spans="1:7" ht="25.5">
      <c r="A297" s="469">
        <v>232602</v>
      </c>
      <c r="B297" s="477" t="str">
        <f>+POAI!B351</f>
        <v>PROGRAMA: MASIFICACIÓN DEL TIEMPO LIBRE Y RESCATE CULTURAL</v>
      </c>
      <c r="C297" s="467"/>
      <c r="D297" s="472">
        <f>SUM(C298:C303)</f>
        <v>34000000</v>
      </c>
      <c r="E297" s="467"/>
      <c r="F297" s="467"/>
      <c r="G297" s="468"/>
    </row>
    <row r="298" spans="1:7">
      <c r="A298" s="473">
        <v>23260201</v>
      </c>
      <c r="B298" s="474" t="str">
        <f>+POAI!B352</f>
        <v xml:space="preserve">Subprograma: Promoción de eventos culturales </v>
      </c>
      <c r="C298" s="481">
        <f>+POAI!D352</f>
        <v>30000000</v>
      </c>
      <c r="D298" s="471"/>
      <c r="E298" s="467"/>
      <c r="F298" s="467"/>
      <c r="G298" s="468"/>
    </row>
    <row r="299" spans="1:7" ht="25.5">
      <c r="A299" s="473">
        <v>23260202</v>
      </c>
      <c r="B299" s="474" t="str">
        <f>+POAI!B353</f>
        <v>Subprograma: Operación escuelas de formación artística y cultural</v>
      </c>
      <c r="C299" s="481">
        <f>+POAI!D353</f>
        <v>4000000</v>
      </c>
      <c r="D299" s="471"/>
      <c r="E299" s="467"/>
      <c r="F299" s="467"/>
      <c r="G299" s="468"/>
    </row>
    <row r="300" spans="1:7" ht="25.5">
      <c r="A300" s="473">
        <v>23260203</v>
      </c>
      <c r="B300" s="474" t="str">
        <f>+POAI!B354</f>
        <v>Subprograma: Apoyo a la investigaciòn de la historia Cucaitense</v>
      </c>
      <c r="C300" s="481">
        <f>+POAI!D354</f>
        <v>0</v>
      </c>
      <c r="D300" s="471"/>
      <c r="E300" s="467"/>
      <c r="F300" s="467"/>
      <c r="G300" s="468"/>
    </row>
    <row r="301" spans="1:7">
      <c r="A301" s="473">
        <v>23260204</v>
      </c>
      <c r="B301" s="474" t="str">
        <f>+POAI!B355</f>
        <v>Subprograma: 10% seguridad social gestor de cultura</v>
      </c>
      <c r="C301" s="481">
        <f>+POAI!D355</f>
        <v>0</v>
      </c>
      <c r="D301" s="471"/>
      <c r="E301" s="467"/>
      <c r="F301" s="467"/>
      <c r="G301" s="468"/>
    </row>
    <row r="302" spans="1:7">
      <c r="A302" s="473">
        <v>23260205</v>
      </c>
      <c r="B302" s="474" t="str">
        <f>+POAI!B356</f>
        <v>Subprograma: 20% fonpet</v>
      </c>
      <c r="C302" s="481">
        <f>+POAI!D356</f>
        <v>0</v>
      </c>
      <c r="D302" s="471"/>
      <c r="E302" s="467"/>
      <c r="F302" s="467"/>
      <c r="G302" s="468"/>
    </row>
    <row r="303" spans="1:7">
      <c r="A303" s="473">
        <v>23260206</v>
      </c>
      <c r="B303" s="474" t="str">
        <f>+POAI!B357</f>
        <v>Subprograma: 10% sostenimiento de bibliotecas publicas</v>
      </c>
      <c r="C303" s="481">
        <f>+POAI!D357</f>
        <v>0</v>
      </c>
      <c r="D303" s="471"/>
      <c r="E303" s="467"/>
      <c r="F303" s="467"/>
      <c r="G303" s="468"/>
    </row>
    <row r="304" spans="1:7" hidden="1">
      <c r="A304" s="469"/>
      <c r="B304" s="470"/>
      <c r="C304" s="472"/>
      <c r="D304" s="471"/>
      <c r="E304" s="467"/>
      <c r="F304" s="467"/>
      <c r="G304" s="468"/>
    </row>
    <row r="305" spans="1:7">
      <c r="A305" s="469">
        <v>2327</v>
      </c>
      <c r="B305" s="470" t="s">
        <v>118</v>
      </c>
      <c r="C305" s="467"/>
      <c r="D305" s="471"/>
      <c r="E305" s="472">
        <f>SUM(D307:D381)</f>
        <v>64000000</v>
      </c>
      <c r="F305" s="467"/>
      <c r="G305" s="468"/>
    </row>
    <row r="306" spans="1:7" hidden="1">
      <c r="A306" s="469"/>
      <c r="B306" s="470"/>
      <c r="C306" s="472"/>
      <c r="D306" s="471"/>
      <c r="E306" s="467"/>
      <c r="F306" s="467"/>
      <c r="G306" s="468"/>
    </row>
    <row r="307" spans="1:7" hidden="1">
      <c r="A307" s="469">
        <v>232707</v>
      </c>
      <c r="B307" s="477" t="str">
        <f>+POAI!B367</f>
        <v>PROGRAMA: VIVIENDA SALUDABLE</v>
      </c>
      <c r="C307" s="467"/>
      <c r="D307" s="472">
        <f>SUM(C308:C310)</f>
        <v>0</v>
      </c>
      <c r="E307" s="467"/>
      <c r="F307" s="467"/>
      <c r="G307" s="468"/>
    </row>
    <row r="308" spans="1:7" hidden="1">
      <c r="A308" s="473">
        <v>23270701</v>
      </c>
      <c r="B308" s="474" t="str">
        <f>+POAI!B368</f>
        <v>Subprograma: Mejoramiento Vivienda de interés social</v>
      </c>
      <c r="C308" s="481">
        <f>+POAI!D368</f>
        <v>0</v>
      </c>
      <c r="D308" s="471"/>
      <c r="E308" s="467"/>
      <c r="F308" s="467"/>
      <c r="G308" s="468"/>
    </row>
    <row r="309" spans="1:7" hidden="1">
      <c r="A309" s="473">
        <v>23270702</v>
      </c>
      <c r="B309" s="474" t="str">
        <f>+POAI!B369</f>
        <v>Subprograma: Construcción vivienda de interes social</v>
      </c>
      <c r="C309" s="481">
        <f>+POAI!D369</f>
        <v>0</v>
      </c>
      <c r="D309" s="471"/>
      <c r="E309" s="467"/>
      <c r="F309" s="467"/>
      <c r="G309" s="468"/>
    </row>
    <row r="310" spans="1:7" hidden="1">
      <c r="A310" s="469"/>
      <c r="B310" s="474"/>
      <c r="C310" s="481"/>
      <c r="D310" s="471"/>
      <c r="E310" s="467"/>
      <c r="F310" s="467"/>
      <c r="G310" s="468"/>
    </row>
    <row r="311" spans="1:7" s="480" customFormat="1" hidden="1">
      <c r="A311" s="469">
        <v>232708</v>
      </c>
      <c r="B311" s="477" t="str">
        <f>+POAI!B371</f>
        <v xml:space="preserve">PROGRAMA:  PRODUCTIVIDAD AGROPECUARIA </v>
      </c>
      <c r="C311" s="481"/>
      <c r="D311" s="472">
        <f>SUM(C312:C315)</f>
        <v>0</v>
      </c>
      <c r="E311" s="460"/>
      <c r="F311" s="460"/>
      <c r="G311" s="462"/>
    </row>
    <row r="312" spans="1:7" hidden="1">
      <c r="A312" s="473">
        <v>23270801</v>
      </c>
      <c r="B312" s="474" t="str">
        <f>+POAI!B372</f>
        <v>Subprograma: Asistencia técnica agropecuaria</v>
      </c>
      <c r="C312" s="481">
        <f>+POAI!D372</f>
        <v>0</v>
      </c>
      <c r="D312" s="471"/>
      <c r="E312" s="467"/>
      <c r="F312" s="467"/>
      <c r="G312" s="468"/>
    </row>
    <row r="313" spans="1:7" hidden="1">
      <c r="A313" s="473">
        <v>23270802</v>
      </c>
      <c r="B313" s="474" t="str">
        <f>+POAI!B373</f>
        <v>Subprograma: Apoyo proyectos productivos agropecuarios</v>
      </c>
      <c r="C313" s="481">
        <f>+POAI!D373</f>
        <v>0</v>
      </c>
      <c r="D313" s="471"/>
      <c r="E313" s="467"/>
      <c r="F313" s="467"/>
      <c r="G313" s="468"/>
    </row>
    <row r="314" spans="1:7" hidden="1">
      <c r="A314" s="473">
        <v>23270803</v>
      </c>
      <c r="B314" s="474" t="str">
        <f>+POAI!B374</f>
        <v>Subprograma: Apoyo a la feria técnica agropecuaria</v>
      </c>
      <c r="C314" s="481">
        <f>+POAI!D374</f>
        <v>0</v>
      </c>
      <c r="D314" s="471"/>
      <c r="E314" s="467"/>
      <c r="F314" s="467"/>
      <c r="G314" s="468"/>
    </row>
    <row r="315" spans="1:7" hidden="1">
      <c r="A315" s="473"/>
      <c r="B315" s="474"/>
      <c r="C315" s="481"/>
      <c r="D315" s="471"/>
      <c r="E315" s="467"/>
      <c r="F315" s="467"/>
      <c r="G315" s="468"/>
    </row>
    <row r="316" spans="1:7" s="480" customFormat="1">
      <c r="A316" s="469">
        <v>232709</v>
      </c>
      <c r="B316" s="477" t="str">
        <f>+POAI!B376</f>
        <v>PROGRAMA:  VÍAS Y MOVILIDAD MUNICIPAL</v>
      </c>
      <c r="C316" s="481"/>
      <c r="D316" s="479"/>
      <c r="E316" s="460"/>
      <c r="F316" s="460"/>
      <c r="G316" s="462"/>
    </row>
    <row r="317" spans="1:7">
      <c r="A317" s="469">
        <v>23270901</v>
      </c>
      <c r="B317" s="477" t="str">
        <f>+POAI!B377</f>
        <v xml:space="preserve">Subprograma: Mantenimiento de la red vial municipal </v>
      </c>
      <c r="C317" s="481">
        <f>+POAI!D377</f>
        <v>0</v>
      </c>
      <c r="D317" s="472">
        <f>SUM(C318:C321)</f>
        <v>50000000</v>
      </c>
      <c r="E317" s="467"/>
      <c r="F317" s="467"/>
      <c r="G317" s="468"/>
    </row>
    <row r="318" spans="1:7" hidden="1">
      <c r="A318" s="473">
        <v>23270902</v>
      </c>
      <c r="B318" s="474" t="str">
        <f>+POAI!B378</f>
        <v>Subprograma: Mejoramiento de vias urbanas</v>
      </c>
      <c r="C318" s="481">
        <f>+POAI!D378</f>
        <v>0</v>
      </c>
      <c r="D318" s="471"/>
      <c r="E318" s="467"/>
      <c r="F318" s="467"/>
      <c r="G318" s="468"/>
    </row>
    <row r="319" spans="1:7" ht="25.5">
      <c r="A319" s="473">
        <v>23270903</v>
      </c>
      <c r="B319" s="474" t="str">
        <f>+POAI!B379</f>
        <v xml:space="preserve"> Subprograma: Operación y Mantenimiento de Maquinaria Municipal</v>
      </c>
      <c r="C319" s="481">
        <f>+POAI!D379</f>
        <v>50000000</v>
      </c>
      <c r="D319" s="471"/>
      <c r="E319" s="467"/>
      <c r="F319" s="467"/>
      <c r="G319" s="468"/>
    </row>
    <row r="320" spans="1:7" hidden="1">
      <c r="A320" s="473">
        <v>23270904</v>
      </c>
      <c r="B320" s="474" t="str">
        <f>+POAI!B380</f>
        <v xml:space="preserve"> Subprograma: Construccion puente con juirsdiccion Sora</v>
      </c>
      <c r="C320" s="481">
        <f>+POAI!D380</f>
        <v>0</v>
      </c>
      <c r="D320" s="471"/>
      <c r="E320" s="467"/>
      <c r="F320" s="467"/>
      <c r="G320" s="468"/>
    </row>
    <row r="321" spans="1:7" hidden="1">
      <c r="A321" s="473"/>
      <c r="B321" s="474"/>
      <c r="C321" s="481"/>
      <c r="D321" s="471"/>
      <c r="E321" s="467"/>
      <c r="F321" s="467"/>
      <c r="G321" s="468"/>
    </row>
    <row r="322" spans="1:7" s="480" customFormat="1" ht="25.5" hidden="1">
      <c r="A322" s="469">
        <v>232710</v>
      </c>
      <c r="B322" s="477" t="str">
        <f>+POAI!B382</f>
        <v>PROGRAMA: PROTEGIENDO LOS RECURSOS NATURALES</v>
      </c>
      <c r="C322" s="481"/>
      <c r="D322" s="472">
        <f>SUM(C323:C326)</f>
        <v>0</v>
      </c>
      <c r="E322" s="460"/>
      <c r="F322" s="460"/>
      <c r="G322" s="462"/>
    </row>
    <row r="323" spans="1:7" hidden="1">
      <c r="A323" s="473">
        <v>23271001</v>
      </c>
      <c r="B323" s="474" t="str">
        <f>+POAI!B383</f>
        <v>Subprograma: Reforestación protectora y proudctiva</v>
      </c>
      <c r="C323" s="481">
        <f>+POAI!D383</f>
        <v>0</v>
      </c>
      <c r="D323" s="471"/>
      <c r="E323" s="467"/>
      <c r="F323" s="467"/>
      <c r="G323" s="468"/>
    </row>
    <row r="324" spans="1:7" ht="25.5" hidden="1">
      <c r="A324" s="473">
        <v>23271002</v>
      </c>
      <c r="B324" s="474" t="str">
        <f>+POAI!B384</f>
        <v>Subprograma: Adquisición y mantenimiento de predios de micro cuencas  (Art 106 ley 1151 de 2006)</v>
      </c>
      <c r="C324" s="481">
        <f>+POAI!D384</f>
        <v>0</v>
      </c>
      <c r="D324" s="471"/>
      <c r="E324" s="467"/>
      <c r="F324" s="467"/>
      <c r="G324" s="468"/>
    </row>
    <row r="325" spans="1:7" hidden="1">
      <c r="A325" s="473">
        <v>23271003</v>
      </c>
      <c r="B325" s="474" t="str">
        <f>+POAI!B385</f>
        <v>Sistema local areas protegidas</v>
      </c>
      <c r="C325" s="481">
        <f>+POAI!D385</f>
        <v>0</v>
      </c>
      <c r="D325" s="471"/>
      <c r="E325" s="467"/>
      <c r="F325" s="467"/>
      <c r="G325" s="468"/>
    </row>
    <row r="326" spans="1:7" hidden="1">
      <c r="A326" s="473"/>
      <c r="B326" s="474"/>
      <c r="C326" s="481"/>
      <c r="D326" s="471"/>
      <c r="E326" s="467"/>
      <c r="F326" s="467"/>
      <c r="G326" s="468"/>
    </row>
    <row r="327" spans="1:7" s="480" customFormat="1" hidden="1">
      <c r="A327" s="469">
        <v>232711</v>
      </c>
      <c r="B327" s="477" t="str">
        <f>+POAI!B387</f>
        <v>PROGRAMA: SECTOR ELECTRIFICACION</v>
      </c>
      <c r="C327" s="481"/>
      <c r="D327" s="472">
        <f>SUM(C328:C330)</f>
        <v>0</v>
      </c>
      <c r="E327" s="460"/>
      <c r="F327" s="460"/>
      <c r="G327" s="462"/>
    </row>
    <row r="328" spans="1:7" hidden="1">
      <c r="A328" s="473">
        <v>23271101</v>
      </c>
      <c r="B328" s="474" t="str">
        <f>+POAI!B388</f>
        <v>Subprograma: alumbrado publico</v>
      </c>
      <c r="C328" s="481">
        <f>+POAI!D388</f>
        <v>0</v>
      </c>
      <c r="D328" s="471"/>
      <c r="E328" s="467"/>
      <c r="F328" s="467"/>
      <c r="G328" s="468"/>
    </row>
    <row r="329" spans="1:7" hidden="1">
      <c r="A329" s="473">
        <v>23271102</v>
      </c>
      <c r="B329" s="474" t="str">
        <f>+POAI!B389</f>
        <v>Subprograma: Mantenimiento alumbrado publico municipal</v>
      </c>
      <c r="C329" s="481">
        <f>+POAI!D389</f>
        <v>0</v>
      </c>
      <c r="D329" s="471"/>
      <c r="E329" s="467"/>
      <c r="F329" s="467"/>
      <c r="G329" s="468"/>
    </row>
    <row r="330" spans="1:7" hidden="1">
      <c r="A330" s="473"/>
      <c r="B330" s="474"/>
      <c r="C330" s="481"/>
      <c r="D330" s="471"/>
      <c r="E330" s="467"/>
      <c r="F330" s="467"/>
      <c r="G330" s="468"/>
    </row>
    <row r="331" spans="1:7" s="480" customFormat="1" ht="25.5">
      <c r="A331" s="469">
        <v>232712</v>
      </c>
      <c r="B331" s="477" t="str">
        <f>+POAI!B391</f>
        <v>PROGRAMA: PREVENCIÓN Y ATENCIÓN DE DESASTRES</v>
      </c>
      <c r="C331" s="481"/>
      <c r="D331" s="472">
        <f>SUM(C332:C336)</f>
        <v>14000000</v>
      </c>
      <c r="E331" s="460"/>
      <c r="F331" s="460"/>
      <c r="G331" s="462"/>
    </row>
    <row r="332" spans="1:7">
      <c r="A332" s="473">
        <v>23271201</v>
      </c>
      <c r="B332" s="474" t="str">
        <f>+POAI!B392</f>
        <v>Subprograma: Prevención y atención de desastres</v>
      </c>
      <c r="C332" s="481">
        <f>+POAI!D392</f>
        <v>5000000</v>
      </c>
      <c r="D332" s="471"/>
      <c r="E332" s="467"/>
      <c r="F332" s="467"/>
      <c r="G332" s="468"/>
    </row>
    <row r="333" spans="1:7" hidden="1">
      <c r="A333" s="473">
        <v>23271202</v>
      </c>
      <c r="B333" s="474" t="str">
        <f>+POAI!B393</f>
        <v>Subprograma: Atención a calamidades y emergencias</v>
      </c>
      <c r="C333" s="481">
        <f>+POAI!D393</f>
        <v>0</v>
      </c>
      <c r="D333" s="471"/>
      <c r="E333" s="467"/>
      <c r="F333" s="467"/>
      <c r="G333" s="468"/>
    </row>
    <row r="334" spans="1:7" hidden="1">
      <c r="A334" s="473">
        <v>23271203</v>
      </c>
      <c r="B334" s="474" t="str">
        <f>+POAI!B394</f>
        <v xml:space="preserve">Subprograma: Servicio de cuerpo de bomberos </v>
      </c>
      <c r="C334" s="481">
        <f>+POAI!D394</f>
        <v>0</v>
      </c>
      <c r="D334" s="471"/>
      <c r="E334" s="467"/>
      <c r="F334" s="467"/>
      <c r="G334" s="468"/>
    </row>
    <row r="335" spans="1:7">
      <c r="A335" s="473">
        <v>23271204</v>
      </c>
      <c r="B335" s="474" t="str">
        <f>+POAI!B395</f>
        <v xml:space="preserve">Subprograma: Limpeza de lechos de quebradas </v>
      </c>
      <c r="C335" s="481">
        <f>+POAI!D395</f>
        <v>9000000</v>
      </c>
      <c r="D335" s="471"/>
      <c r="E335" s="467"/>
      <c r="F335" s="467"/>
      <c r="G335" s="468"/>
    </row>
    <row r="336" spans="1:7" hidden="1">
      <c r="A336" s="473"/>
      <c r="B336" s="474"/>
      <c r="C336" s="481"/>
      <c r="D336" s="471"/>
      <c r="E336" s="467"/>
      <c r="F336" s="467"/>
      <c r="G336" s="468"/>
    </row>
    <row r="337" spans="1:7" s="480" customFormat="1" hidden="1">
      <c r="A337" s="469">
        <v>232713</v>
      </c>
      <c r="B337" s="477" t="str">
        <f>+POAI!B397</f>
        <v>PROGRAMA: PROMOCIÓN DEL DESARROLLO</v>
      </c>
      <c r="C337" s="481"/>
      <c r="D337" s="472">
        <f>SUM(C338:C339)</f>
        <v>0</v>
      </c>
      <c r="E337" s="460"/>
      <c r="F337" s="460"/>
      <c r="G337" s="462"/>
    </row>
    <row r="338" spans="1:7" hidden="1">
      <c r="A338" s="473">
        <v>23271301</v>
      </c>
      <c r="B338" s="474" t="str">
        <f>+POAI!B398</f>
        <v>Subprograma: Fomento a la participación comunitaria</v>
      </c>
      <c r="C338" s="481">
        <f>+POAI!D398</f>
        <v>0</v>
      </c>
      <c r="D338" s="471"/>
      <c r="E338" s="467"/>
      <c r="F338" s="467"/>
      <c r="G338" s="468"/>
    </row>
    <row r="339" spans="1:7" hidden="1">
      <c r="A339" s="473"/>
      <c r="B339" s="474"/>
      <c r="C339" s="481"/>
      <c r="D339" s="471"/>
      <c r="E339" s="467"/>
      <c r="F339" s="467"/>
      <c r="G339" s="468"/>
    </row>
    <row r="340" spans="1:7" s="480" customFormat="1" hidden="1">
      <c r="A340" s="469">
        <v>232714</v>
      </c>
      <c r="B340" s="477" t="str">
        <f>+POAI!B400</f>
        <v>PROGRAMA: POBLACIÓN VULNERABLE</v>
      </c>
      <c r="C340" s="481"/>
      <c r="D340" s="472">
        <f>SUM(C341:C357)</f>
        <v>0</v>
      </c>
      <c r="E340" s="460"/>
      <c r="F340" s="460"/>
      <c r="G340" s="462"/>
    </row>
    <row r="341" spans="1:7" ht="25.5" hidden="1">
      <c r="A341" s="473">
        <v>23271401</v>
      </c>
      <c r="B341" s="474" t="str">
        <f>+POAI!B401</f>
        <v>Subprograma:  Inhumación de cadáveres pobres de solemnidad</v>
      </c>
      <c r="C341" s="481">
        <f>+POAI!D401</f>
        <v>0</v>
      </c>
      <c r="D341" s="471"/>
      <c r="E341" s="467"/>
      <c r="F341" s="467"/>
      <c r="G341" s="468"/>
    </row>
    <row r="342" spans="1:7" ht="25.5" hidden="1">
      <c r="A342" s="473">
        <v>23271402</v>
      </c>
      <c r="B342" s="474" t="str">
        <f>+POAI!B402</f>
        <v xml:space="preserve">Subprograma: Prevención, atención, protección de desplazados </v>
      </c>
      <c r="C342" s="481">
        <f>+POAI!D402</f>
        <v>0</v>
      </c>
      <c r="D342" s="471"/>
      <c r="E342" s="467"/>
      <c r="F342" s="467"/>
      <c r="G342" s="468"/>
    </row>
    <row r="343" spans="1:7" hidden="1">
      <c r="A343" s="473">
        <v>23271403</v>
      </c>
      <c r="B343" s="474" t="str">
        <f>+POAI!B403</f>
        <v>Subprograma: Familias en Acción</v>
      </c>
      <c r="C343" s="481">
        <f>+POAI!D403</f>
        <v>0</v>
      </c>
      <c r="D343" s="471"/>
      <c r="E343" s="467"/>
      <c r="F343" s="467"/>
      <c r="G343" s="468"/>
    </row>
    <row r="344" spans="1:7" hidden="1">
      <c r="A344" s="473">
        <v>23271404</v>
      </c>
      <c r="B344" s="474" t="str">
        <f>+POAI!B404</f>
        <v>Subprograma: Red Unidos</v>
      </c>
      <c r="C344" s="481">
        <f>+POAI!D404</f>
        <v>0</v>
      </c>
      <c r="D344" s="471"/>
      <c r="E344" s="467"/>
      <c r="F344" s="467"/>
      <c r="G344" s="468"/>
    </row>
    <row r="345" spans="1:7" ht="25.5" hidden="1">
      <c r="A345" s="473">
        <v>23271405</v>
      </c>
      <c r="B345" s="474" t="str">
        <f>+POAI!B405</f>
        <v>Subprograma: Centro Especializado de Servicios para el adolescente Infractor</v>
      </c>
      <c r="C345" s="481">
        <f>+POAI!D405</f>
        <v>0</v>
      </c>
      <c r="D345" s="471"/>
      <c r="E345" s="467"/>
      <c r="F345" s="467"/>
      <c r="G345" s="468"/>
    </row>
    <row r="346" spans="1:7" hidden="1">
      <c r="A346" s="473">
        <v>23271406</v>
      </c>
      <c r="B346" s="474" t="str">
        <f>+POAI!B406</f>
        <v>Subprograma: Apoyo Casa del Menor</v>
      </c>
      <c r="C346" s="481">
        <f>+POAI!D406</f>
        <v>0</v>
      </c>
      <c r="D346" s="471"/>
      <c r="E346" s="467"/>
      <c r="F346" s="467"/>
      <c r="G346" s="468"/>
    </row>
    <row r="347" spans="1:7" hidden="1">
      <c r="A347" s="473">
        <v>23271407</v>
      </c>
      <c r="B347" s="474" t="str">
        <f>+POAI!B407</f>
        <v>Subprograma: Familias en Acción</v>
      </c>
      <c r="C347" s="481">
        <f>+POAI!D407</f>
        <v>0</v>
      </c>
      <c r="D347" s="471"/>
      <c r="E347" s="467"/>
      <c r="F347" s="467"/>
      <c r="G347" s="468"/>
    </row>
    <row r="348" spans="1:7" hidden="1">
      <c r="A348" s="473">
        <v>23271408</v>
      </c>
      <c r="B348" s="474" t="str">
        <f>+POAI!B408</f>
        <v>Subprograma: Clubes juveniles</v>
      </c>
      <c r="C348" s="481">
        <f>+POAI!D408</f>
        <v>0</v>
      </c>
      <c r="D348" s="471"/>
      <c r="E348" s="467"/>
      <c r="F348" s="467"/>
      <c r="G348" s="468"/>
    </row>
    <row r="349" spans="1:7" hidden="1">
      <c r="A349" s="473">
        <v>23271409</v>
      </c>
      <c r="B349" s="474" t="str">
        <f>+POAI!B409</f>
        <v>Subprograma: Clubes pre juveniles</v>
      </c>
      <c r="C349" s="481">
        <f>+POAI!D409</f>
        <v>0</v>
      </c>
      <c r="D349" s="471"/>
      <c r="E349" s="467"/>
      <c r="F349" s="467"/>
      <c r="G349" s="468"/>
    </row>
    <row r="350" spans="1:7" hidden="1">
      <c r="A350" s="473">
        <v>23271410</v>
      </c>
      <c r="B350" s="474" t="str">
        <f>+POAI!B410</f>
        <v>Subprograma: nutrición y seguridad alimentaria</v>
      </c>
      <c r="C350" s="481">
        <f>+POAI!D410</f>
        <v>0</v>
      </c>
      <c r="D350" s="471"/>
      <c r="E350" s="467"/>
      <c r="F350" s="467"/>
      <c r="G350" s="468"/>
    </row>
    <row r="351" spans="1:7" hidden="1">
      <c r="A351" s="473">
        <v>23271411</v>
      </c>
      <c r="B351" s="474" t="str">
        <f>+POAI!B411</f>
        <v>Subprograma: Atenciòn al adulto mayor</v>
      </c>
      <c r="C351" s="481">
        <f>+POAI!D411</f>
        <v>0</v>
      </c>
      <c r="D351" s="471"/>
      <c r="E351" s="467"/>
      <c r="F351" s="467"/>
      <c r="G351" s="468"/>
    </row>
    <row r="352" spans="1:7" hidden="1">
      <c r="A352" s="473">
        <v>23271412</v>
      </c>
      <c r="B352" s="474" t="str">
        <f>+POAI!B412</f>
        <v xml:space="preserve">Subprograma: Atencion a la niñez, infancia y adolescencia </v>
      </c>
      <c r="C352" s="481">
        <f>+POAI!D412</f>
        <v>0</v>
      </c>
      <c r="D352" s="471"/>
      <c r="E352" s="467"/>
      <c r="F352" s="467"/>
      <c r="G352" s="468"/>
    </row>
    <row r="353" spans="1:7" ht="25.5" hidden="1">
      <c r="A353" s="473">
        <v>23271413</v>
      </c>
      <c r="B353" s="474" t="str">
        <f>+POAI!B413</f>
        <v>Subprograma: Atencion a madres gestantes y primera infancia</v>
      </c>
      <c r="C353" s="481">
        <f>+POAI!D413</f>
        <v>0</v>
      </c>
      <c r="D353" s="471"/>
      <c r="E353" s="467"/>
      <c r="F353" s="467"/>
      <c r="G353" s="468"/>
    </row>
    <row r="354" spans="1:7" hidden="1">
      <c r="A354" s="473">
        <v>23271414</v>
      </c>
      <c r="B354" s="474" t="str">
        <f>+POAI!B414</f>
        <v>Subprograma: Atencion a discapacitados</v>
      </c>
      <c r="C354" s="481">
        <f>+POAI!D414</f>
        <v>0</v>
      </c>
      <c r="D354" s="471"/>
      <c r="E354" s="467"/>
      <c r="F354" s="467"/>
      <c r="G354" s="468"/>
    </row>
    <row r="355" spans="1:7" hidden="1">
      <c r="A355" s="473">
        <v>23271415</v>
      </c>
      <c r="B355" s="474" t="str">
        <f>+POAI!B415</f>
        <v>Subprograma: Apoyo a hogares infantiles</v>
      </c>
      <c r="C355" s="481">
        <f>+POAI!D415</f>
        <v>0</v>
      </c>
      <c r="D355" s="471"/>
      <c r="E355" s="467"/>
      <c r="F355" s="467"/>
      <c r="G355" s="468"/>
    </row>
    <row r="356" spans="1:7" hidden="1">
      <c r="A356" s="473">
        <v>23271416</v>
      </c>
      <c r="B356" s="474" t="str">
        <f>+POAI!B416</f>
        <v>Subprograma: Operación hogares de paso</v>
      </c>
      <c r="C356" s="481">
        <f>+POAI!D416</f>
        <v>0</v>
      </c>
      <c r="D356" s="471"/>
      <c r="E356" s="467"/>
      <c r="F356" s="467"/>
      <c r="G356" s="468"/>
    </row>
    <row r="357" spans="1:7" hidden="1">
      <c r="A357" s="473"/>
      <c r="B357" s="474"/>
      <c r="C357" s="481"/>
      <c r="D357" s="471"/>
      <c r="E357" s="467"/>
      <c r="F357" s="467"/>
      <c r="G357" s="468"/>
    </row>
    <row r="358" spans="1:7" s="480" customFormat="1" ht="25.5" hidden="1">
      <c r="A358" s="469">
        <v>232715</v>
      </c>
      <c r="B358" s="477" t="str">
        <f>+POAI!B418</f>
        <v>PROGRAMA: EQUIPAMIENTO MUNICIPAL Y BIENES PÚBLICOS</v>
      </c>
      <c r="C358" s="481"/>
      <c r="D358" s="472">
        <f>SUM(C359:C369)</f>
        <v>0</v>
      </c>
      <c r="E358" s="460"/>
      <c r="F358" s="460"/>
      <c r="G358" s="462"/>
    </row>
    <row r="359" spans="1:7" hidden="1">
      <c r="A359" s="473">
        <v>23271501</v>
      </c>
      <c r="B359" s="474" t="str">
        <f>+POAI!B419</f>
        <v>Subprograma: Mantenimiento bienes publicos municipales</v>
      </c>
      <c r="C359" s="481">
        <f>+POAI!D419</f>
        <v>0</v>
      </c>
      <c r="D359" s="471"/>
      <c r="E359" s="467"/>
      <c r="F359" s="467"/>
      <c r="G359" s="468"/>
    </row>
    <row r="360" spans="1:7" hidden="1">
      <c r="A360" s="473">
        <v>23271502</v>
      </c>
      <c r="B360" s="474" t="str">
        <f>+POAI!B420</f>
        <v>Sub programa: Mantenimiento parques municipales</v>
      </c>
      <c r="C360" s="481">
        <f>+POAI!D420</f>
        <v>0</v>
      </c>
      <c r="D360" s="471"/>
      <c r="E360" s="467"/>
      <c r="F360" s="467"/>
      <c r="G360" s="468"/>
    </row>
    <row r="361" spans="1:7" ht="25.5" hidden="1">
      <c r="A361" s="473">
        <v>23271503</v>
      </c>
      <c r="B361" s="474" t="str">
        <f>+POAI!B421</f>
        <v>Sub programa: Construcciòn y mantenimiento de la morque municipal</v>
      </c>
      <c r="C361" s="481">
        <f>+POAI!D421</f>
        <v>0</v>
      </c>
      <c r="D361" s="471"/>
      <c r="E361" s="467"/>
      <c r="F361" s="467"/>
      <c r="G361" s="468"/>
    </row>
    <row r="362" spans="1:7" ht="25.5" hidden="1">
      <c r="A362" s="473">
        <v>23271504</v>
      </c>
      <c r="B362" s="474" t="str">
        <f>+POAI!B422</f>
        <v>Sub programa: Construccion salon sector mata redonda vereda pijaos</v>
      </c>
      <c r="C362" s="481">
        <f>+POAI!D422</f>
        <v>0</v>
      </c>
      <c r="D362" s="471"/>
      <c r="E362" s="467"/>
      <c r="F362" s="467"/>
      <c r="G362" s="468"/>
    </row>
    <row r="363" spans="1:7" hidden="1">
      <c r="A363" s="473">
        <v>23271505</v>
      </c>
      <c r="B363" s="474" t="str">
        <f>+POAI!B423</f>
        <v>Sub programa: Ornato Municipal</v>
      </c>
      <c r="C363" s="481">
        <f>+POAI!D423</f>
        <v>0</v>
      </c>
      <c r="D363" s="471"/>
      <c r="E363" s="467"/>
      <c r="F363" s="467"/>
      <c r="G363" s="468"/>
    </row>
    <row r="364" spans="1:7" hidden="1">
      <c r="A364" s="473">
        <v>23271506</v>
      </c>
      <c r="B364" s="474" t="str">
        <f>+POAI!B424</f>
        <v>Sub programa: Adquisicion vehiculo Alcaldia</v>
      </c>
      <c r="C364" s="481">
        <f>+POAI!D424</f>
        <v>0</v>
      </c>
      <c r="D364" s="471"/>
      <c r="E364" s="467"/>
      <c r="F364" s="467"/>
      <c r="G364" s="468"/>
    </row>
    <row r="365" spans="1:7" ht="25.5" hidden="1">
      <c r="A365" s="473">
        <v>23271507</v>
      </c>
      <c r="B365" s="474" t="str">
        <f>+POAI!B425</f>
        <v>Sub programa: Terminacion de salon comunal vereda lluviosos</v>
      </c>
      <c r="C365" s="481">
        <f>+POAI!D425</f>
        <v>0</v>
      </c>
      <c r="D365" s="471"/>
      <c r="E365" s="467"/>
      <c r="F365" s="467"/>
      <c r="G365" s="468"/>
    </row>
    <row r="366" spans="1:7" hidden="1">
      <c r="A366" s="473"/>
      <c r="B366" s="474"/>
      <c r="C366" s="481"/>
      <c r="D366" s="471"/>
      <c r="E366" s="467"/>
      <c r="F366" s="467"/>
      <c r="G366" s="468"/>
    </row>
    <row r="367" spans="1:7" s="480" customFormat="1" hidden="1">
      <c r="A367" s="469">
        <v>232716</v>
      </c>
      <c r="B367" s="477" t="str">
        <f>+POAI!B427</f>
        <v>PROGRAMA: CENTROS DE RECLUSIÓN</v>
      </c>
      <c r="C367" s="481"/>
      <c r="D367" s="472">
        <f>SUM(C368:C376)</f>
        <v>0</v>
      </c>
      <c r="E367" s="460"/>
      <c r="F367" s="460"/>
      <c r="G367" s="462"/>
    </row>
    <row r="368" spans="1:7" ht="25.5" hidden="1">
      <c r="A368" s="473">
        <v>23271601</v>
      </c>
      <c r="B368" s="474" t="str">
        <f>+POAI!B428</f>
        <v>Subprograma: Operación y funcionamiento de cárceles municipales (Ley 65/93)</v>
      </c>
      <c r="C368" s="481">
        <f>+POAI!D428</f>
        <v>0</v>
      </c>
      <c r="D368" s="471"/>
      <c r="E368" s="467"/>
      <c r="F368" s="467"/>
      <c r="G368" s="468"/>
    </row>
    <row r="369" spans="1:7" hidden="1">
      <c r="A369" s="473"/>
      <c r="B369" s="474"/>
      <c r="C369" s="481"/>
      <c r="D369" s="471"/>
      <c r="E369" s="467"/>
      <c r="F369" s="467"/>
      <c r="G369" s="468"/>
    </row>
    <row r="370" spans="1:7" s="480" customFormat="1" ht="25.5" hidden="1">
      <c r="A370" s="469">
        <v>232717</v>
      </c>
      <c r="B370" s="477" t="str">
        <f>+POAI!B430</f>
        <v>PROGRAMA: GOBIERNO, PLANEACIÓN Y DESARROLLO INSTITUCIONAL</v>
      </c>
      <c r="C370" s="481"/>
      <c r="D370" s="479"/>
      <c r="E370" s="460"/>
      <c r="F370" s="460"/>
      <c r="G370" s="462"/>
    </row>
    <row r="371" spans="1:7" hidden="1">
      <c r="A371" s="473">
        <v>23271701</v>
      </c>
      <c r="B371" s="474" t="str">
        <f>+POAI!B431</f>
        <v>Sub programa: Capacitación de funcionarios municipales</v>
      </c>
      <c r="C371" s="481">
        <f>+POAI!D431</f>
        <v>0</v>
      </c>
      <c r="D371" s="471"/>
      <c r="E371" s="467"/>
      <c r="F371" s="467"/>
      <c r="G371" s="468"/>
    </row>
    <row r="372" spans="1:7" ht="25.5" hidden="1">
      <c r="A372" s="473">
        <v>23271702</v>
      </c>
      <c r="B372" s="474" t="str">
        <f>+POAI!B432</f>
        <v>Sub programa: Evaluación institucional y esquemas organizacionales para el mejoramiento de gestión</v>
      </c>
      <c r="C372" s="481">
        <f>+POAI!D432</f>
        <v>0</v>
      </c>
      <c r="D372" s="471"/>
      <c r="E372" s="467"/>
      <c r="F372" s="467"/>
      <c r="G372" s="468"/>
    </row>
    <row r="373" spans="1:7" hidden="1">
      <c r="A373" s="473">
        <v>23271703</v>
      </c>
      <c r="B373" s="474" t="str">
        <f>+POAI!B433</f>
        <v>Apoyo consejo territorial de planeacion</v>
      </c>
      <c r="C373" s="481">
        <f>+POAI!D433</f>
        <v>0</v>
      </c>
      <c r="D373" s="471"/>
      <c r="E373" s="467"/>
      <c r="F373" s="467"/>
      <c r="G373" s="468"/>
    </row>
    <row r="374" spans="1:7" hidden="1">
      <c r="A374" s="473">
        <v>23271704</v>
      </c>
      <c r="B374" s="474" t="str">
        <f>+POAI!B434</f>
        <v>Sub programa: Sistema de archivo municipal</v>
      </c>
      <c r="C374" s="481">
        <f>+POAI!D434</f>
        <v>0</v>
      </c>
      <c r="D374" s="471"/>
      <c r="E374" s="467"/>
      <c r="F374" s="467"/>
      <c r="G374" s="468"/>
    </row>
    <row r="375" spans="1:7" hidden="1">
      <c r="A375" s="473">
        <v>23271705</v>
      </c>
      <c r="B375" s="474" t="str">
        <f>+POAI!B435</f>
        <v>Sub programa: Elaboracion Plan de Desarrollo Municipal</v>
      </c>
      <c r="C375" s="481">
        <f>+POAI!D435</f>
        <v>0</v>
      </c>
      <c r="D375" s="471"/>
      <c r="E375" s="467"/>
      <c r="F375" s="467"/>
      <c r="G375" s="468"/>
    </row>
    <row r="376" spans="1:7" hidden="1">
      <c r="A376" s="473"/>
      <c r="B376" s="474"/>
      <c r="C376" s="481"/>
      <c r="D376" s="471"/>
      <c r="E376" s="467"/>
      <c r="F376" s="467"/>
      <c r="G376" s="468"/>
    </row>
    <row r="377" spans="1:7" s="480" customFormat="1" hidden="1">
      <c r="A377" s="469">
        <v>232718</v>
      </c>
      <c r="B377" s="477" t="str">
        <f>+POAI!B437</f>
        <v>PROGRAMA: JUSTICIA</v>
      </c>
      <c r="C377" s="481"/>
      <c r="D377" s="472">
        <f>SUM(C378:C381)</f>
        <v>0</v>
      </c>
      <c r="E377" s="460"/>
      <c r="F377" s="460"/>
      <c r="G377" s="462"/>
    </row>
    <row r="378" spans="1:7" hidden="1">
      <c r="A378" s="473">
        <v>23271801</v>
      </c>
      <c r="B378" s="474" t="str">
        <f>+POAI!B438</f>
        <v>Subprograma: Operación de Inspecciones de Policia</v>
      </c>
      <c r="C378" s="481">
        <f>+POAI!D438</f>
        <v>0</v>
      </c>
      <c r="D378" s="471"/>
      <c r="E378" s="467"/>
      <c r="F378" s="467"/>
      <c r="G378" s="468"/>
    </row>
    <row r="379" spans="1:7" hidden="1">
      <c r="A379" s="473">
        <v>23271802</v>
      </c>
      <c r="B379" s="474" t="str">
        <f>+POAI!B439</f>
        <v>Subprograma: Operación Comisaría de Familia</v>
      </c>
      <c r="C379" s="481">
        <f>+POAI!D439</f>
        <v>0</v>
      </c>
      <c r="D379" s="471"/>
      <c r="E379" s="467"/>
      <c r="F379" s="467"/>
      <c r="G379" s="468"/>
    </row>
    <row r="380" spans="1:7" hidden="1">
      <c r="A380" s="473">
        <v>23271803</v>
      </c>
      <c r="B380" s="474" t="str">
        <f>+POAI!B440</f>
        <v>Subprograma: Fondo de protección ciudadana</v>
      </c>
      <c r="C380" s="481">
        <f>+POAI!D440</f>
        <v>0</v>
      </c>
      <c r="D380" s="471"/>
      <c r="E380" s="467"/>
      <c r="F380" s="467"/>
      <c r="G380" s="468"/>
    </row>
    <row r="381" spans="1:7" hidden="1">
      <c r="A381" s="473"/>
      <c r="B381" s="474"/>
      <c r="C381" s="481"/>
      <c r="D381" s="471"/>
      <c r="E381" s="467"/>
      <c r="F381" s="467"/>
      <c r="G381" s="468"/>
    </row>
    <row r="382" spans="1:7" ht="25.5">
      <c r="A382" s="469">
        <v>233</v>
      </c>
      <c r="B382" s="470" t="s">
        <v>8</v>
      </c>
      <c r="C382" s="471"/>
      <c r="D382" s="471"/>
      <c r="E382" s="467"/>
      <c r="F382" s="472">
        <f>SUM(E384:E398)</f>
        <v>16501000</v>
      </c>
      <c r="G382" s="468"/>
    </row>
    <row r="383" spans="1:7" hidden="1">
      <c r="A383" s="469"/>
      <c r="B383" s="470"/>
      <c r="C383" s="471"/>
      <c r="D383" s="471"/>
      <c r="E383" s="467"/>
      <c r="F383" s="472"/>
      <c r="G383" s="468"/>
    </row>
    <row r="384" spans="1:7" ht="25.5">
      <c r="A384" s="469">
        <v>2332</v>
      </c>
      <c r="B384" s="470" t="s">
        <v>9</v>
      </c>
      <c r="C384" s="471"/>
      <c r="D384" s="471"/>
      <c r="E384" s="472">
        <f>+D386</f>
        <v>3000000</v>
      </c>
      <c r="F384" s="467"/>
      <c r="G384" s="468"/>
    </row>
    <row r="385" spans="1:7" hidden="1">
      <c r="A385" s="469"/>
      <c r="B385" s="470"/>
      <c r="C385" s="472"/>
      <c r="D385" s="471"/>
      <c r="E385" s="467"/>
      <c r="F385" s="467"/>
      <c r="G385" s="468"/>
    </row>
    <row r="386" spans="1:7">
      <c r="A386" s="469">
        <v>233204</v>
      </c>
      <c r="B386" s="477" t="str">
        <f>+POAI!B247</f>
        <v>PROGRAMA: ALIMENTACION ESCOLAR</v>
      </c>
      <c r="C386" s="471"/>
      <c r="D386" s="472">
        <f>SUM(C387:C387)</f>
        <v>3000000</v>
      </c>
      <c r="E386" s="467"/>
      <c r="F386" s="467"/>
      <c r="G386" s="468"/>
    </row>
    <row r="387" spans="1:7" ht="25.5">
      <c r="A387" s="473">
        <v>23320401</v>
      </c>
      <c r="B387" s="474" t="str">
        <f>+POAI!B248</f>
        <v>Subprograma: Complemento nutricional para la población escolar</v>
      </c>
      <c r="C387" s="475">
        <f>+POAI!E248</f>
        <v>3000000</v>
      </c>
      <c r="D387" s="471"/>
      <c r="E387" s="467"/>
      <c r="F387" s="467"/>
      <c r="G387" s="468"/>
    </row>
    <row r="388" spans="1:7" hidden="1">
      <c r="A388" s="469"/>
      <c r="B388" s="470"/>
      <c r="C388" s="472"/>
      <c r="D388" s="471"/>
      <c r="E388" s="467"/>
      <c r="F388" s="467"/>
      <c r="G388" s="468"/>
    </row>
    <row r="389" spans="1:7">
      <c r="A389" s="469">
        <v>2335</v>
      </c>
      <c r="B389" s="470" t="s">
        <v>47</v>
      </c>
      <c r="C389" s="471"/>
      <c r="D389" s="471"/>
      <c r="E389" s="472">
        <f>+D391</f>
        <v>1000</v>
      </c>
      <c r="F389" s="467"/>
      <c r="G389" s="468"/>
    </row>
    <row r="390" spans="1:7" hidden="1">
      <c r="A390" s="469"/>
      <c r="B390" s="470"/>
      <c r="C390" s="472"/>
      <c r="D390" s="471"/>
      <c r="E390" s="467"/>
      <c r="F390" s="467"/>
      <c r="G390" s="468"/>
    </row>
    <row r="391" spans="1:7">
      <c r="A391" s="469">
        <v>233502</v>
      </c>
      <c r="B391" s="477" t="str">
        <f>+POAI!B331</f>
        <v>PROGRAMA: MASIFICACIÓN DEPORTIVA</v>
      </c>
      <c r="C391" s="471"/>
      <c r="D391" s="472">
        <f>SUM(C392:C392)</f>
        <v>1000</v>
      </c>
      <c r="E391" s="467"/>
      <c r="F391" s="467"/>
      <c r="G391" s="468"/>
    </row>
    <row r="392" spans="1:7" ht="25.5">
      <c r="A392" s="473">
        <v>23350202</v>
      </c>
      <c r="B392" s="474" t="str">
        <f>+POAI!B333</f>
        <v>Subprograma: Promoción eventos de recreación aprovechamiento del tiempo libre</v>
      </c>
      <c r="C392" s="481">
        <f>+POAI!E333</f>
        <v>1000</v>
      </c>
      <c r="D392" s="471"/>
      <c r="E392" s="467"/>
      <c r="F392" s="467"/>
      <c r="G392" s="468"/>
    </row>
    <row r="393" spans="1:7" hidden="1">
      <c r="A393" s="469"/>
      <c r="B393" s="470"/>
      <c r="C393" s="472"/>
      <c r="D393" s="471"/>
      <c r="E393" s="467"/>
      <c r="F393" s="467"/>
      <c r="G393" s="468"/>
    </row>
    <row r="394" spans="1:7" ht="25.5">
      <c r="A394" s="469">
        <v>2337</v>
      </c>
      <c r="B394" s="470" t="s">
        <v>37</v>
      </c>
      <c r="C394" s="471"/>
      <c r="D394" s="471"/>
      <c r="E394" s="472">
        <f>+D396</f>
        <v>13500000</v>
      </c>
      <c r="F394" s="467"/>
      <c r="G394" s="468"/>
    </row>
    <row r="395" spans="1:7" hidden="1">
      <c r="A395" s="469"/>
      <c r="B395" s="470"/>
      <c r="C395" s="472"/>
      <c r="D395" s="471"/>
      <c r="E395" s="467"/>
      <c r="F395" s="467"/>
      <c r="G395" s="468"/>
    </row>
    <row r="396" spans="1:7" ht="25.5">
      <c r="A396" s="469">
        <v>233710</v>
      </c>
      <c r="B396" s="477" t="str">
        <f>+POAI!B382</f>
        <v>PROGRAMA: PROTEGIENDO LOS RECURSOS NATURALES</v>
      </c>
      <c r="C396" s="471"/>
      <c r="D396" s="472">
        <f>SUM(C397:C398)</f>
        <v>13500000</v>
      </c>
      <c r="E396" s="467"/>
      <c r="F396" s="467"/>
      <c r="G396" s="468"/>
    </row>
    <row r="397" spans="1:7" ht="25.5">
      <c r="A397" s="473">
        <v>23371002</v>
      </c>
      <c r="B397" s="474" t="str">
        <f>+POAI!B384</f>
        <v>Subprograma: Adquisición y mantenimiento de predios de micro cuencas  (Art 106 ley 1151 de 2006)</v>
      </c>
      <c r="C397" s="481">
        <f>+POAI!E384</f>
        <v>6500000</v>
      </c>
      <c r="D397" s="471"/>
      <c r="E397" s="467"/>
      <c r="F397" s="467"/>
      <c r="G397" s="468"/>
    </row>
    <row r="398" spans="1:7">
      <c r="A398" s="473">
        <v>23371003</v>
      </c>
      <c r="B398" s="474" t="str">
        <f>+POAI!B385</f>
        <v>Sistema local areas protegidas</v>
      </c>
      <c r="C398" s="481">
        <f>+POAI!E385</f>
        <v>7000000</v>
      </c>
      <c r="D398" s="471"/>
      <c r="E398" s="467"/>
      <c r="F398" s="467"/>
      <c r="G398" s="468"/>
    </row>
    <row r="399" spans="1:7" hidden="1">
      <c r="A399" s="482"/>
      <c r="B399" s="467"/>
      <c r="C399" s="467"/>
      <c r="D399" s="467"/>
      <c r="E399" s="467"/>
      <c r="F399" s="467"/>
      <c r="G399" s="468"/>
    </row>
    <row r="400" spans="1:7" ht="25.5">
      <c r="A400" s="469">
        <v>234</v>
      </c>
      <c r="B400" s="470" t="s">
        <v>10</v>
      </c>
      <c r="C400" s="471"/>
      <c r="D400" s="471"/>
      <c r="E400" s="467"/>
      <c r="F400" s="472">
        <f>+E402+E430+E438+E443+E448</f>
        <v>802735790</v>
      </c>
      <c r="G400" s="468"/>
    </row>
    <row r="401" spans="1:7" hidden="1">
      <c r="A401" s="482"/>
      <c r="B401" s="467"/>
      <c r="C401" s="467"/>
      <c r="D401" s="467"/>
      <c r="E401" s="467"/>
      <c r="F401" s="467"/>
      <c r="G401" s="468"/>
    </row>
    <row r="402" spans="1:7">
      <c r="A402" s="469">
        <v>2342</v>
      </c>
      <c r="B402" s="470" t="s">
        <v>35</v>
      </c>
      <c r="C402" s="467"/>
      <c r="D402" s="471"/>
      <c r="E402" s="472">
        <f>+D404+D425</f>
        <v>768735790</v>
      </c>
      <c r="F402" s="467"/>
      <c r="G402" s="468"/>
    </row>
    <row r="403" spans="1:7" hidden="1">
      <c r="A403" s="469"/>
      <c r="B403" s="470"/>
      <c r="C403" s="472"/>
      <c r="D403" s="471"/>
      <c r="E403" s="467"/>
      <c r="F403" s="467"/>
      <c r="G403" s="468"/>
    </row>
    <row r="404" spans="1:7">
      <c r="A404" s="469">
        <v>23421</v>
      </c>
      <c r="B404" s="470" t="s">
        <v>34</v>
      </c>
      <c r="C404" s="467"/>
      <c r="D404" s="472">
        <f>+D406+D409+D415+D419+D422</f>
        <v>746774185</v>
      </c>
      <c r="E404" s="467"/>
      <c r="F404" s="467"/>
      <c r="G404" s="468"/>
    </row>
    <row r="405" spans="1:7" hidden="1">
      <c r="A405" s="469"/>
      <c r="B405" s="470"/>
      <c r="C405" s="472"/>
      <c r="D405" s="471"/>
      <c r="E405" s="467"/>
      <c r="F405" s="467"/>
      <c r="G405" s="468"/>
    </row>
    <row r="406" spans="1:7">
      <c r="A406" s="469">
        <v>234211</v>
      </c>
      <c r="B406" s="477" t="s">
        <v>11</v>
      </c>
      <c r="C406" s="467"/>
      <c r="D406" s="472">
        <f>SUM(C407:C408)</f>
        <v>547054416</v>
      </c>
      <c r="E406" s="467"/>
      <c r="F406" s="467"/>
      <c r="G406" s="468"/>
    </row>
    <row r="407" spans="1:7">
      <c r="A407" s="473">
        <v>23421101</v>
      </c>
      <c r="B407" s="474" t="str">
        <f>+POAI!B274</f>
        <v>Subprograma: Continuación Régimen Subsidiado</v>
      </c>
      <c r="C407" s="481">
        <f>+POAI!C274</f>
        <v>547054416</v>
      </c>
      <c r="D407" s="471"/>
      <c r="E407" s="467"/>
      <c r="F407" s="467"/>
      <c r="G407" s="468"/>
    </row>
    <row r="408" spans="1:7" hidden="1">
      <c r="A408" s="469"/>
      <c r="B408" s="474"/>
      <c r="C408" s="472"/>
      <c r="D408" s="471"/>
      <c r="E408" s="467"/>
      <c r="F408" s="467"/>
      <c r="G408" s="468"/>
    </row>
    <row r="409" spans="1:7">
      <c r="A409" s="469">
        <v>2342112</v>
      </c>
      <c r="B409" s="470" t="s">
        <v>12</v>
      </c>
      <c r="C409" s="467"/>
      <c r="D409" s="472">
        <f>SUM(C410:C413)</f>
        <v>62819769</v>
      </c>
      <c r="E409" s="467"/>
      <c r="F409" s="467"/>
      <c r="G409" s="468"/>
    </row>
    <row r="410" spans="1:7">
      <c r="A410" s="473">
        <v>234211201</v>
      </c>
      <c r="B410" s="474" t="str">
        <f>+POAI!B274</f>
        <v>Subprograma: Continuación Régimen Subsidiado</v>
      </c>
      <c r="C410" s="481">
        <f>+POAI!D274</f>
        <v>40819769</v>
      </c>
      <c r="D410" s="471"/>
      <c r="E410" s="467"/>
      <c r="F410" s="467"/>
      <c r="G410" s="468"/>
    </row>
    <row r="411" spans="1:7" ht="25.5">
      <c r="A411" s="473">
        <v>234211203</v>
      </c>
      <c r="B411" s="474" t="str">
        <f>+POAI!B279</f>
        <v>Subprograma: Cuota Inpección, vigilancia y control Supersalud</v>
      </c>
      <c r="C411" s="481">
        <f>+POAI!D279</f>
        <v>2000000</v>
      </c>
      <c r="D411" s="471"/>
      <c r="E411" s="467"/>
      <c r="F411" s="467"/>
      <c r="G411" s="468"/>
    </row>
    <row r="412" spans="1:7">
      <c r="A412" s="473">
        <v>234211204</v>
      </c>
      <c r="B412" s="474" t="str">
        <f>+POAI!B280</f>
        <v>Subprograma: Interventoría regimen subsidiado</v>
      </c>
      <c r="C412" s="481">
        <f>+POAI!D280</f>
        <v>15000000</v>
      </c>
      <c r="D412" s="471"/>
      <c r="E412" s="467"/>
      <c r="F412" s="467"/>
      <c r="G412" s="468"/>
    </row>
    <row r="413" spans="1:7" ht="25.5">
      <c r="A413" s="473">
        <v>234211207</v>
      </c>
      <c r="B413" s="474" t="str">
        <f>+POAI!B281</f>
        <v>Subprograma: Liquidacion contratos Régimen subsidiado en salud</v>
      </c>
      <c r="C413" s="481">
        <f>+POAI!D281</f>
        <v>5000000</v>
      </c>
      <c r="D413" s="471"/>
      <c r="E413" s="467"/>
      <c r="F413" s="467"/>
      <c r="G413" s="468"/>
    </row>
    <row r="414" spans="1:7" hidden="1">
      <c r="A414" s="469"/>
      <c r="B414" s="470"/>
      <c r="C414" s="472"/>
      <c r="D414" s="471"/>
      <c r="E414" s="467"/>
      <c r="F414" s="467"/>
      <c r="G414" s="468"/>
    </row>
    <row r="415" spans="1:7">
      <c r="A415" s="469">
        <v>2342113</v>
      </c>
      <c r="B415" s="470" t="s">
        <v>33</v>
      </c>
      <c r="C415" s="467"/>
      <c r="D415" s="472">
        <f>SUM(C416:C417)</f>
        <v>61500000</v>
      </c>
      <c r="E415" s="467"/>
      <c r="F415" s="467"/>
      <c r="G415" s="468"/>
    </row>
    <row r="416" spans="1:7">
      <c r="A416" s="473">
        <v>234211301</v>
      </c>
      <c r="B416" s="474" t="str">
        <f>+POAI!B275</f>
        <v>Subprograma: Continuación Régimen Subsidiado - Etesa</v>
      </c>
      <c r="C416" s="481">
        <v>6500000</v>
      </c>
      <c r="D416" s="471"/>
      <c r="E416" s="467"/>
      <c r="F416" s="467"/>
      <c r="G416" s="468"/>
    </row>
    <row r="417" spans="1:7">
      <c r="A417" s="473">
        <v>234211302</v>
      </c>
      <c r="B417" s="474" t="str">
        <f>+POAI!B276</f>
        <v>Subprograma: Continuación Régimen Subsidiado - FOSYGA</v>
      </c>
      <c r="C417" s="481">
        <f>+POAI!E276</f>
        <v>55000000</v>
      </c>
      <c r="D417" s="471"/>
      <c r="E417" s="467"/>
      <c r="F417" s="467"/>
      <c r="G417" s="468"/>
    </row>
    <row r="418" spans="1:7" hidden="1">
      <c r="A418" s="469"/>
      <c r="B418" s="470"/>
      <c r="C418" s="472"/>
      <c r="D418" s="471"/>
      <c r="E418" s="467"/>
      <c r="F418" s="467"/>
      <c r="G418" s="468"/>
    </row>
    <row r="419" spans="1:7">
      <c r="A419" s="469">
        <v>2342114</v>
      </c>
      <c r="B419" s="470" t="s">
        <v>624</v>
      </c>
      <c r="C419" s="467"/>
      <c r="D419" s="472">
        <f>SUM(C420:C420)</f>
        <v>75400000</v>
      </c>
      <c r="E419" s="467"/>
      <c r="F419" s="467"/>
      <c r="G419" s="468"/>
    </row>
    <row r="420" spans="1:7" ht="25.5">
      <c r="A420" s="473">
        <v>234211401</v>
      </c>
      <c r="B420" s="474" t="str">
        <f>+POAI!B277</f>
        <v>Subprograma: Continuación Régimen Subsidiado - Aportes Depto</v>
      </c>
      <c r="C420" s="481">
        <f>+POAI!E277</f>
        <v>75400000</v>
      </c>
      <c r="D420" s="471"/>
      <c r="E420" s="467"/>
      <c r="F420" s="467"/>
      <c r="G420" s="468"/>
    </row>
    <row r="421" spans="1:7" hidden="1">
      <c r="A421" s="469"/>
      <c r="B421" s="470"/>
      <c r="C421" s="472"/>
      <c r="D421" s="471"/>
      <c r="E421" s="467"/>
      <c r="F421" s="467"/>
      <c r="G421" s="468"/>
    </row>
    <row r="422" spans="1:7" hidden="1">
      <c r="A422" s="469">
        <v>2342115</v>
      </c>
      <c r="B422" s="470" t="s">
        <v>113</v>
      </c>
      <c r="C422" s="467"/>
      <c r="D422" s="472">
        <f>+C423</f>
        <v>0</v>
      </c>
      <c r="E422" s="467"/>
      <c r="F422" s="467"/>
      <c r="G422" s="468"/>
    </row>
    <row r="423" spans="1:7" ht="25.5" hidden="1">
      <c r="A423" s="473">
        <v>234211501</v>
      </c>
      <c r="B423" s="474" t="str">
        <f>+POAI!B278</f>
        <v>Subprograma: Continuación Régimen Subsidiado - Recursos de Capital</v>
      </c>
      <c r="C423" s="481">
        <v>0</v>
      </c>
      <c r="D423" s="471"/>
      <c r="E423" s="467"/>
      <c r="F423" s="467"/>
      <c r="G423" s="468"/>
    </row>
    <row r="424" spans="1:7" hidden="1">
      <c r="A424" s="469"/>
      <c r="B424" s="470"/>
      <c r="C424" s="472"/>
      <c r="D424" s="471"/>
      <c r="E424" s="467"/>
      <c r="F424" s="467"/>
      <c r="G424" s="468"/>
    </row>
    <row r="425" spans="1:7">
      <c r="A425" s="469">
        <v>23422</v>
      </c>
      <c r="B425" s="477" t="str">
        <f>+POAI!B283</f>
        <v xml:space="preserve">PROGRAMA: ACCIONES DE SALUD PÚBLICA </v>
      </c>
      <c r="C425" s="467"/>
      <c r="D425" s="472">
        <f>+D427</f>
        <v>21961605</v>
      </c>
      <c r="E425" s="467"/>
      <c r="F425" s="467"/>
      <c r="G425" s="468"/>
    </row>
    <row r="426" spans="1:7" hidden="1">
      <c r="A426" s="469"/>
      <c r="B426" s="470"/>
      <c r="C426" s="472"/>
      <c r="D426" s="467"/>
      <c r="E426" s="467"/>
      <c r="F426" s="467"/>
      <c r="G426" s="468"/>
    </row>
    <row r="427" spans="1:7">
      <c r="A427" s="469">
        <v>234221</v>
      </c>
      <c r="B427" s="477" t="str">
        <f>+POAI!B283</f>
        <v xml:space="preserve">PROGRAMA: ACCIONES DE SALUD PÚBLICA </v>
      </c>
      <c r="C427" s="467"/>
      <c r="D427" s="472">
        <f>SUM(C428:C428)</f>
        <v>21961605</v>
      </c>
      <c r="E427" s="467"/>
      <c r="F427" s="467"/>
      <c r="G427" s="468"/>
    </row>
    <row r="428" spans="1:7">
      <c r="A428" s="473">
        <v>23422101</v>
      </c>
      <c r="B428" s="474" t="str">
        <f>+POAI!B284</f>
        <v>Subprograma: Plan territorial de salud</v>
      </c>
      <c r="C428" s="475">
        <f>+POAI!C284</f>
        <v>21961605</v>
      </c>
      <c r="D428" s="467"/>
      <c r="E428" s="467"/>
      <c r="F428" s="467"/>
      <c r="G428" s="468"/>
    </row>
    <row r="429" spans="1:7" hidden="1">
      <c r="A429" s="469"/>
      <c r="B429" s="470"/>
      <c r="C429" s="472"/>
      <c r="D429" s="471"/>
      <c r="E429" s="467"/>
      <c r="F429" s="467"/>
      <c r="G429" s="468"/>
    </row>
    <row r="430" spans="1:7">
      <c r="A430" s="469">
        <v>2346</v>
      </c>
      <c r="B430" s="470" t="s">
        <v>46</v>
      </c>
      <c r="C430" s="471"/>
      <c r="D430" s="472"/>
      <c r="E430" s="460">
        <f>SUM(D432:D436)</f>
        <v>10000000</v>
      </c>
      <c r="F430" s="467"/>
      <c r="G430" s="468"/>
    </row>
    <row r="431" spans="1:7" hidden="1">
      <c r="A431" s="469"/>
      <c r="B431" s="470"/>
      <c r="C431" s="472"/>
      <c r="D431" s="471"/>
      <c r="E431" s="467"/>
      <c r="F431" s="467"/>
      <c r="G431" s="468"/>
    </row>
    <row r="432" spans="1:7" ht="25.5">
      <c r="A432" s="469">
        <v>234602</v>
      </c>
      <c r="B432" s="477" t="str">
        <f>+POAI!B351</f>
        <v>PROGRAMA: MASIFICACIÓN DEL TIEMPO LIBRE Y RESCATE CULTURAL</v>
      </c>
      <c r="C432" s="471"/>
      <c r="D432" s="472">
        <f>SUM(C433:C437)</f>
        <v>10000000</v>
      </c>
      <c r="E432" s="467"/>
      <c r="F432" s="467"/>
      <c r="G432" s="468"/>
    </row>
    <row r="433" spans="1:7">
      <c r="A433" s="473">
        <v>23460201</v>
      </c>
      <c r="B433" s="474" t="str">
        <f>+POAI!B352</f>
        <v xml:space="preserve">Subprograma: Promoción de eventos culturales </v>
      </c>
      <c r="C433" s="481">
        <f>+POAI!F352</f>
        <v>6000000</v>
      </c>
      <c r="D433" s="471"/>
      <c r="E433" s="467"/>
      <c r="F433" s="467"/>
      <c r="G433" s="468"/>
    </row>
    <row r="434" spans="1:7">
      <c r="A434" s="473">
        <v>23460204</v>
      </c>
      <c r="B434" s="474" t="str">
        <f>+POAI!B355</f>
        <v>Subprograma: 10% seguridad social gestor de cultura</v>
      </c>
      <c r="C434" s="481">
        <f>+POAI!F355</f>
        <v>1000000</v>
      </c>
      <c r="D434" s="471"/>
      <c r="E434" s="467"/>
      <c r="F434" s="467"/>
      <c r="G434" s="468"/>
    </row>
    <row r="435" spans="1:7">
      <c r="A435" s="473">
        <v>23460205</v>
      </c>
      <c r="B435" s="474" t="str">
        <f>+POAI!B356</f>
        <v>Subprograma: 20% fonpet</v>
      </c>
      <c r="C435" s="481">
        <f>+POAI!F356</f>
        <v>2000000</v>
      </c>
      <c r="D435" s="471"/>
      <c r="E435" s="467"/>
      <c r="F435" s="467"/>
      <c r="G435" s="468"/>
    </row>
    <row r="436" spans="1:7">
      <c r="A436" s="473">
        <v>23460206</v>
      </c>
      <c r="B436" s="474" t="str">
        <f>+POAI!B357</f>
        <v>Subprograma: 10% sostenimiento de bibliotecas publicas</v>
      </c>
      <c r="C436" s="481">
        <f>+POAI!F357</f>
        <v>1000000</v>
      </c>
      <c r="D436" s="471"/>
      <c r="E436" s="467"/>
      <c r="F436" s="467"/>
      <c r="G436" s="468"/>
    </row>
    <row r="437" spans="1:7" hidden="1">
      <c r="A437" s="469"/>
      <c r="B437" s="470"/>
      <c r="C437" s="472"/>
      <c r="D437" s="471"/>
      <c r="E437" s="467"/>
      <c r="F437" s="467"/>
      <c r="G437" s="468"/>
    </row>
    <row r="438" spans="1:7">
      <c r="A438" s="469">
        <v>2347</v>
      </c>
      <c r="B438" s="470" t="s">
        <v>43</v>
      </c>
      <c r="C438" s="471"/>
      <c r="D438" s="471"/>
      <c r="E438" s="472">
        <f>+D440</f>
        <v>7000000</v>
      </c>
      <c r="F438" s="467"/>
      <c r="G438" s="468"/>
    </row>
    <row r="439" spans="1:7" hidden="1">
      <c r="A439" s="469"/>
      <c r="B439" s="470"/>
      <c r="C439" s="472"/>
      <c r="D439" s="471"/>
      <c r="E439" s="467"/>
      <c r="F439" s="467"/>
      <c r="G439" s="468"/>
    </row>
    <row r="440" spans="1:7" ht="25.5">
      <c r="A440" s="469">
        <v>234712</v>
      </c>
      <c r="B440" s="477" t="str">
        <f>+POAI!B391</f>
        <v>PROGRAMA: PREVENCIÓN Y ATENCIÓN DE DESASTRES</v>
      </c>
      <c r="C440" s="471"/>
      <c r="D440" s="472">
        <f>SUM(C441:C441)</f>
        <v>7000000</v>
      </c>
      <c r="E440" s="467"/>
      <c r="F440" s="467"/>
      <c r="G440" s="468"/>
    </row>
    <row r="441" spans="1:7">
      <c r="A441" s="473">
        <v>23471203</v>
      </c>
      <c r="B441" s="474" t="str">
        <f>+POAI!B394</f>
        <v xml:space="preserve">Subprograma: Servicio de cuerpo de bomberos </v>
      </c>
      <c r="C441" s="481">
        <v>7000000</v>
      </c>
      <c r="D441" s="471"/>
      <c r="E441" s="467"/>
      <c r="F441" s="467"/>
      <c r="G441" s="468"/>
    </row>
    <row r="442" spans="1:7" hidden="1">
      <c r="A442" s="469"/>
      <c r="B442" s="470"/>
      <c r="C442" s="472"/>
      <c r="D442" s="471"/>
      <c r="E442" s="467"/>
      <c r="F442" s="467"/>
      <c r="G442" s="468"/>
    </row>
    <row r="443" spans="1:7" ht="25.5">
      <c r="A443" s="469">
        <v>2348</v>
      </c>
      <c r="B443" s="470" t="s">
        <v>39</v>
      </c>
      <c r="C443" s="471"/>
      <c r="D443" s="471"/>
      <c r="E443" s="472">
        <f>+D445</f>
        <v>5000000</v>
      </c>
      <c r="F443" s="467"/>
      <c r="G443" s="468"/>
    </row>
    <row r="444" spans="1:7" hidden="1">
      <c r="A444" s="469"/>
      <c r="B444" s="470"/>
      <c r="C444" s="472"/>
      <c r="D444" s="471"/>
      <c r="E444" s="467"/>
      <c r="F444" s="467"/>
      <c r="G444" s="468"/>
    </row>
    <row r="445" spans="1:7">
      <c r="A445" s="469">
        <v>234814</v>
      </c>
      <c r="B445" s="477" t="str">
        <f>+POAI!B400</f>
        <v>PROGRAMA: POBLACIÓN VULNERABLE</v>
      </c>
      <c r="C445" s="471"/>
      <c r="D445" s="472">
        <f>+C446</f>
        <v>5000000</v>
      </c>
      <c r="E445" s="467"/>
      <c r="F445" s="467"/>
      <c r="G445" s="468"/>
    </row>
    <row r="446" spans="1:7">
      <c r="A446" s="473">
        <v>23481411</v>
      </c>
      <c r="B446" s="474" t="str">
        <f>+POAI!B411</f>
        <v>Subprograma: Atenciòn al adulto mayor</v>
      </c>
      <c r="C446" s="481">
        <f>+POAI!F411</f>
        <v>5000000</v>
      </c>
      <c r="D446" s="471"/>
      <c r="E446" s="467"/>
      <c r="F446" s="467"/>
      <c r="G446" s="468"/>
    </row>
    <row r="447" spans="1:7" hidden="1">
      <c r="A447" s="469"/>
      <c r="B447" s="470"/>
      <c r="C447" s="472"/>
      <c r="D447" s="471"/>
      <c r="E447" s="467"/>
      <c r="F447" s="467"/>
      <c r="G447" s="468"/>
    </row>
    <row r="448" spans="1:7">
      <c r="A448" s="469">
        <v>2349</v>
      </c>
      <c r="B448" s="470" t="s">
        <v>41</v>
      </c>
      <c r="C448" s="471"/>
      <c r="D448" s="471"/>
      <c r="E448" s="472">
        <f>+D450</f>
        <v>12000000</v>
      </c>
      <c r="F448" s="467"/>
      <c r="G448" s="468"/>
    </row>
    <row r="449" spans="1:7" hidden="1">
      <c r="A449" s="469"/>
      <c r="B449" s="470"/>
      <c r="C449" s="472"/>
      <c r="D449" s="471"/>
      <c r="E449" s="467"/>
      <c r="F449" s="467"/>
      <c r="G449" s="468"/>
    </row>
    <row r="450" spans="1:7">
      <c r="A450" s="469">
        <v>234918</v>
      </c>
      <c r="B450" s="477" t="str">
        <f>+POAI!B437</f>
        <v>PROGRAMA: JUSTICIA</v>
      </c>
      <c r="C450" s="471"/>
      <c r="D450" s="472">
        <f>+C451</f>
        <v>12000000</v>
      </c>
      <c r="E450" s="467"/>
      <c r="F450" s="467"/>
      <c r="G450" s="468"/>
    </row>
    <row r="451" spans="1:7">
      <c r="A451" s="473">
        <v>23451803</v>
      </c>
      <c r="B451" s="474" t="str">
        <f>+POAI!B440</f>
        <v>Subprograma: Fondo de protección ciudadana</v>
      </c>
      <c r="C451" s="481">
        <f>+POAI!F440</f>
        <v>12000000</v>
      </c>
      <c r="D451" s="471"/>
      <c r="E451" s="467"/>
      <c r="F451" s="467"/>
      <c r="G451" s="468"/>
    </row>
    <row r="452" spans="1:7" hidden="1">
      <c r="A452" s="469"/>
      <c r="B452" s="470"/>
      <c r="C452" s="472"/>
      <c r="D452" s="471"/>
      <c r="E452" s="467"/>
      <c r="F452" s="467"/>
      <c r="G452" s="468"/>
    </row>
    <row r="453" spans="1:7" hidden="1">
      <c r="A453" s="469">
        <v>235</v>
      </c>
      <c r="B453" s="470" t="s">
        <v>112</v>
      </c>
      <c r="C453" s="471"/>
      <c r="D453" s="471"/>
      <c r="E453" s="467"/>
      <c r="F453" s="472">
        <f>+E455</f>
        <v>0</v>
      </c>
      <c r="G453" s="468"/>
    </row>
    <row r="454" spans="1:7" hidden="1">
      <c r="A454" s="482"/>
      <c r="B454" s="467"/>
      <c r="C454" s="467"/>
      <c r="D454" s="467"/>
      <c r="E454" s="467"/>
      <c r="F454" s="467"/>
      <c r="G454" s="468"/>
    </row>
    <row r="455" spans="1:7" ht="25.5" hidden="1">
      <c r="A455" s="469">
        <v>2351</v>
      </c>
      <c r="B455" s="470" t="s">
        <v>21</v>
      </c>
      <c r="C455" s="467"/>
      <c r="D455" s="471"/>
      <c r="E455" s="472">
        <f>+D456+D457</f>
        <v>0</v>
      </c>
      <c r="F455" s="467"/>
      <c r="G455" s="468"/>
    </row>
    <row r="456" spans="1:7" ht="25.5" hidden="1">
      <c r="A456" s="469">
        <v>235101</v>
      </c>
      <c r="B456" s="470" t="s">
        <v>22</v>
      </c>
      <c r="C456" s="467"/>
      <c r="D456" s="472">
        <v>0</v>
      </c>
      <c r="E456" s="467"/>
      <c r="F456" s="467"/>
      <c r="G456" s="468"/>
    </row>
    <row r="457" spans="1:7" hidden="1">
      <c r="A457" s="469">
        <v>235102</v>
      </c>
      <c r="B457" s="470" t="s">
        <v>23</v>
      </c>
      <c r="C457" s="467"/>
      <c r="D457" s="472">
        <v>0</v>
      </c>
      <c r="E457" s="467"/>
      <c r="F457" s="467"/>
      <c r="G457" s="468"/>
    </row>
    <row r="458" spans="1:7" ht="13.5" hidden="1" thickBot="1">
      <c r="A458" s="483"/>
      <c r="B458" s="484"/>
      <c r="C458" s="484"/>
      <c r="D458" s="484"/>
      <c r="E458" s="484"/>
      <c r="F458" s="484"/>
      <c r="G458" s="485"/>
    </row>
    <row r="459" spans="1:7">
      <c r="A459" s="450"/>
      <c r="B459" s="441"/>
      <c r="C459" s="441"/>
      <c r="D459" s="441"/>
      <c r="E459" s="441"/>
      <c r="F459" s="441"/>
      <c r="G459" s="441"/>
    </row>
    <row r="460" spans="1:7">
      <c r="A460" s="450"/>
      <c r="B460" s="441"/>
      <c r="C460" s="441"/>
      <c r="D460" s="441"/>
      <c r="E460" s="441"/>
      <c r="F460" s="441"/>
      <c r="G460" s="441"/>
    </row>
    <row r="461" spans="1:7" s="425" customFormat="1" ht="27.75" customHeight="1">
      <c r="A461" s="517" t="s">
        <v>616</v>
      </c>
      <c r="B461" s="517"/>
      <c r="C461" s="517"/>
      <c r="D461" s="517"/>
      <c r="E461" s="517"/>
      <c r="F461" s="517"/>
      <c r="G461" s="517"/>
    </row>
    <row r="462" spans="1:7">
      <c r="A462" s="486"/>
      <c r="B462" s="486"/>
      <c r="C462" s="441"/>
      <c r="D462" s="441"/>
      <c r="E462" s="441"/>
      <c r="G462" s="276"/>
    </row>
    <row r="463" spans="1:7">
      <c r="A463" s="441"/>
      <c r="B463" s="441"/>
      <c r="C463" s="441"/>
      <c r="D463" s="441"/>
      <c r="E463" s="441"/>
      <c r="G463" s="276"/>
    </row>
    <row r="464" spans="1:7">
      <c r="A464" s="441"/>
      <c r="B464" s="441"/>
      <c r="C464" s="441"/>
      <c r="D464" s="441"/>
      <c r="E464" s="441"/>
      <c r="F464" s="441"/>
      <c r="G464" s="276"/>
    </row>
    <row r="465" spans="1:7">
      <c r="A465" s="420" t="s">
        <v>631</v>
      </c>
      <c r="B465" s="441"/>
      <c r="C465" s="441"/>
      <c r="D465" s="420" t="s">
        <v>630</v>
      </c>
      <c r="E465" s="441"/>
      <c r="F465" s="276"/>
      <c r="G465" s="276"/>
    </row>
    <row r="466" spans="1:7">
      <c r="A466" s="130" t="s">
        <v>202</v>
      </c>
      <c r="B466" s="441"/>
      <c r="C466" s="441"/>
      <c r="D466" s="130" t="s">
        <v>502</v>
      </c>
      <c r="E466" s="441"/>
      <c r="F466" s="276"/>
      <c r="G466" s="276"/>
    </row>
    <row r="467" spans="1:7">
      <c r="A467" s="130"/>
      <c r="B467" s="441"/>
      <c r="C467" s="441"/>
      <c r="D467" s="130"/>
      <c r="E467" s="441"/>
      <c r="F467" s="276"/>
      <c r="G467" s="276"/>
    </row>
    <row r="468" spans="1:7">
      <c r="A468" s="130"/>
      <c r="B468" s="441"/>
      <c r="C468" s="441"/>
      <c r="D468" s="130"/>
      <c r="E468" s="441"/>
      <c r="F468" s="276"/>
      <c r="G468" s="276"/>
    </row>
    <row r="469" spans="1:7">
      <c r="A469" s="130"/>
      <c r="B469" s="441"/>
      <c r="C469" s="441"/>
      <c r="D469" s="130"/>
      <c r="E469" s="441"/>
      <c r="F469" s="276"/>
      <c r="G469" s="276"/>
    </row>
    <row r="470" spans="1:7">
      <c r="A470" s="420" t="s">
        <v>365</v>
      </c>
      <c r="B470" s="441"/>
      <c r="C470" s="441"/>
      <c r="D470" s="420" t="s">
        <v>501</v>
      </c>
      <c r="E470" s="441"/>
      <c r="F470" s="276"/>
      <c r="G470" s="276"/>
    </row>
    <row r="471" spans="1:7">
      <c r="A471" s="130" t="s">
        <v>366</v>
      </c>
      <c r="B471" s="441"/>
      <c r="C471" s="441"/>
      <c r="D471" s="130" t="s">
        <v>201</v>
      </c>
      <c r="E471" s="441"/>
      <c r="F471" s="276"/>
      <c r="G471" s="276"/>
    </row>
    <row r="472" spans="1:7">
      <c r="A472" s="487"/>
      <c r="G472" s="276"/>
    </row>
    <row r="473" spans="1:7">
      <c r="A473" s="450"/>
      <c r="B473" s="441"/>
      <c r="C473" s="441"/>
      <c r="D473" s="441"/>
      <c r="E473" s="441"/>
      <c r="F473" s="441"/>
      <c r="G473" s="441"/>
    </row>
    <row r="474" spans="1:7">
      <c r="A474" s="450"/>
      <c r="B474" s="441"/>
      <c r="C474" s="441"/>
      <c r="D474" s="441"/>
      <c r="E474" s="441"/>
      <c r="F474" s="441"/>
      <c r="G474" s="441"/>
    </row>
    <row r="475" spans="1:7">
      <c r="A475" s="450"/>
      <c r="B475" s="441"/>
      <c r="C475" s="441"/>
      <c r="D475" s="441"/>
      <c r="E475" s="441"/>
      <c r="F475" s="441"/>
      <c r="G475" s="441"/>
    </row>
    <row r="476" spans="1:7">
      <c r="A476" s="450"/>
      <c r="B476" s="441"/>
      <c r="C476" s="441"/>
      <c r="D476" s="441"/>
      <c r="E476" s="441"/>
      <c r="F476" s="441"/>
      <c r="G476" s="441"/>
    </row>
    <row r="477" spans="1:7">
      <c r="A477" s="450"/>
      <c r="B477" s="441"/>
      <c r="C477" s="441"/>
      <c r="D477" s="441"/>
      <c r="E477" s="441"/>
      <c r="F477" s="441"/>
      <c r="G477" s="441"/>
    </row>
    <row r="478" spans="1:7">
      <c r="A478" s="450"/>
      <c r="B478" s="441"/>
      <c r="C478" s="441"/>
      <c r="D478" s="441"/>
      <c r="E478" s="441"/>
      <c r="F478" s="441"/>
      <c r="G478" s="441"/>
    </row>
    <row r="479" spans="1:7">
      <c r="A479" s="450"/>
      <c r="B479" s="441"/>
      <c r="C479" s="441"/>
      <c r="D479" s="441"/>
      <c r="E479" s="441"/>
      <c r="F479" s="441"/>
      <c r="G479" s="441"/>
    </row>
    <row r="480" spans="1:7">
      <c r="A480" s="450"/>
      <c r="B480" s="441"/>
      <c r="C480" s="441"/>
      <c r="D480" s="441"/>
      <c r="E480" s="441"/>
      <c r="F480" s="441"/>
      <c r="G480" s="441"/>
    </row>
    <row r="481" spans="1:7">
      <c r="A481" s="450"/>
      <c r="B481" s="441"/>
      <c r="C481" s="441"/>
      <c r="D481" s="441"/>
      <c r="E481" s="441"/>
      <c r="F481" s="441"/>
      <c r="G481" s="441"/>
    </row>
    <row r="482" spans="1:7">
      <c r="A482" s="450"/>
      <c r="B482" s="441"/>
      <c r="C482" s="441"/>
      <c r="D482" s="441"/>
      <c r="E482" s="441"/>
      <c r="F482" s="441"/>
      <c r="G482" s="441"/>
    </row>
    <row r="483" spans="1:7">
      <c r="A483" s="450"/>
      <c r="B483" s="441"/>
      <c r="C483" s="441"/>
      <c r="D483" s="441"/>
      <c r="E483" s="441"/>
      <c r="F483" s="441"/>
      <c r="G483" s="441"/>
    </row>
    <row r="484" spans="1:7">
      <c r="A484" s="450"/>
      <c r="B484" s="441"/>
      <c r="C484" s="441"/>
      <c r="D484" s="441"/>
      <c r="E484" s="441"/>
      <c r="F484" s="441"/>
      <c r="G484" s="441"/>
    </row>
    <row r="485" spans="1:7">
      <c r="A485" s="450"/>
      <c r="B485" s="441"/>
      <c r="C485" s="441"/>
      <c r="D485" s="441"/>
      <c r="E485" s="441"/>
      <c r="F485" s="441"/>
      <c r="G485" s="441"/>
    </row>
    <row r="486" spans="1:7">
      <c r="A486" s="450"/>
      <c r="B486" s="441"/>
      <c r="C486" s="441"/>
      <c r="D486" s="441"/>
      <c r="E486" s="441"/>
      <c r="F486" s="441"/>
      <c r="G486" s="441"/>
    </row>
    <row r="487" spans="1:7">
      <c r="A487" s="450"/>
      <c r="B487" s="441"/>
      <c r="C487" s="441"/>
      <c r="D487" s="441"/>
      <c r="E487" s="441"/>
      <c r="F487" s="441"/>
      <c r="G487" s="441"/>
    </row>
    <row r="488" spans="1:7">
      <c r="A488" s="450"/>
      <c r="B488" s="441"/>
      <c r="C488" s="441"/>
      <c r="D488" s="441"/>
      <c r="E488" s="441"/>
      <c r="F488" s="441"/>
      <c r="G488" s="441"/>
    </row>
    <row r="489" spans="1:7" s="480" customFormat="1">
      <c r="A489" s="488"/>
      <c r="B489" s="489"/>
      <c r="C489" s="489"/>
      <c r="D489" s="489"/>
      <c r="E489" s="489"/>
      <c r="F489" s="489"/>
      <c r="G489" s="489"/>
    </row>
    <row r="492" spans="1:7">
      <c r="B492" s="419" t="s">
        <v>616</v>
      </c>
      <c r="C492" s="490"/>
      <c r="D492" s="491"/>
      <c r="E492" s="491"/>
      <c r="F492" s="491"/>
      <c r="G492" s="414"/>
    </row>
    <row r="493" spans="1:7">
      <c r="B493" s="486"/>
      <c r="C493" s="486"/>
      <c r="D493" s="441"/>
      <c r="E493" s="441"/>
      <c r="F493" s="441"/>
    </row>
    <row r="494" spans="1:7">
      <c r="B494" s="441"/>
      <c r="C494" s="441"/>
      <c r="D494" s="441"/>
      <c r="E494" s="441"/>
      <c r="F494" s="441"/>
    </row>
    <row r="495" spans="1:7">
      <c r="B495" s="441"/>
      <c r="C495" s="441"/>
      <c r="D495" s="441"/>
      <c r="E495" s="441"/>
      <c r="F495" s="441"/>
      <c r="G495" s="441"/>
    </row>
    <row r="496" spans="1:7">
      <c r="B496" s="420" t="s">
        <v>364</v>
      </c>
      <c r="C496" s="441"/>
      <c r="D496" s="441"/>
      <c r="E496" s="441"/>
      <c r="F496" s="441"/>
      <c r="G496" s="420" t="s">
        <v>413</v>
      </c>
    </row>
    <row r="497" spans="2:7">
      <c r="B497" s="130" t="s">
        <v>202</v>
      </c>
      <c r="C497" s="441"/>
      <c r="D497" s="441"/>
      <c r="E497" s="441"/>
      <c r="F497" s="441"/>
      <c r="G497" s="130" t="s">
        <v>502</v>
      </c>
    </row>
    <row r="498" spans="2:7">
      <c r="B498" s="130"/>
      <c r="C498" s="441"/>
      <c r="D498" s="441"/>
      <c r="E498" s="441"/>
      <c r="F498" s="441"/>
      <c r="G498" s="130"/>
    </row>
    <row r="499" spans="2:7">
      <c r="B499" s="130"/>
      <c r="C499" s="441"/>
      <c r="D499" s="441"/>
      <c r="E499" s="441"/>
      <c r="F499" s="441"/>
      <c r="G499" s="130"/>
    </row>
    <row r="500" spans="2:7">
      <c r="B500" s="130"/>
      <c r="C500" s="441"/>
      <c r="D500" s="441"/>
      <c r="E500" s="441"/>
      <c r="F500" s="441"/>
      <c r="G500" s="130"/>
    </row>
    <row r="501" spans="2:7">
      <c r="B501" s="420" t="s">
        <v>365</v>
      </c>
      <c r="C501" s="441"/>
      <c r="D501" s="441"/>
      <c r="E501" s="441"/>
      <c r="F501" s="441"/>
      <c r="G501" s="420" t="s">
        <v>501</v>
      </c>
    </row>
    <row r="502" spans="2:7">
      <c r="B502" s="130" t="s">
        <v>366</v>
      </c>
      <c r="C502" s="441"/>
      <c r="D502" s="441"/>
      <c r="E502" s="441"/>
      <c r="F502" s="441"/>
      <c r="G502" s="130" t="s">
        <v>201</v>
      </c>
    </row>
  </sheetData>
  <mergeCells count="18">
    <mergeCell ref="A461:G461"/>
    <mergeCell ref="A8:G8"/>
    <mergeCell ref="A9:G9"/>
    <mergeCell ref="A10:G10"/>
    <mergeCell ref="A11:G11"/>
    <mergeCell ref="A12:G12"/>
    <mergeCell ref="A13:G13"/>
    <mergeCell ref="A15:G15"/>
    <mergeCell ref="A117:F117"/>
    <mergeCell ref="A1:G1"/>
    <mergeCell ref="A2:G2"/>
    <mergeCell ref="A3:G3"/>
    <mergeCell ref="A4:G4"/>
    <mergeCell ref="A5:G5"/>
    <mergeCell ref="A16:G16"/>
    <mergeCell ref="A6:G6"/>
    <mergeCell ref="A7:G7"/>
    <mergeCell ref="A14:G14"/>
  </mergeCells>
  <phoneticPr fontId="31" type="noConversion"/>
  <pageMargins left="0.78740157480314965" right="0.15748031496062992" top="1.2204724409448819" bottom="0.9055118110236221" header="0.31496062992125984" footer="0.31496062992125984"/>
  <pageSetup scale="70" orientation="portrait" verticalDpi="0" r:id="rId1"/>
  <headerFooter>
    <oddHeader>&amp;L                            &amp;G&amp;C
PRESUPUESTO DE RENTAS Y GASTOS</oddHeader>
    <oddFooter xml:space="preserve">&amp;C&amp;7
&amp;10Casa  de  Gobierno  Calle 8   6-48  - Telefax: (8) 734 01 27 -  NIT.  891. 802.089-1
www.cucaita-boyaca.gov.co   E mail.  alcucaita@yahoo.es
&amp;"Agency FB,Negrita"&amp;12&amp;P&amp;"Arial,Normal"&amp;10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465"/>
  <sheetViews>
    <sheetView tabSelected="1" zoomScale="77" zoomScaleNormal="77" workbookViewId="0">
      <selection activeCell="D121" sqref="D121"/>
    </sheetView>
  </sheetViews>
  <sheetFormatPr baseColWidth="10" defaultRowHeight="11.25"/>
  <cols>
    <col min="1" max="1" width="11.42578125" style="206"/>
    <col min="2" max="2" width="37.85546875" style="122" customWidth="1"/>
    <col min="3" max="3" width="14" style="122" customWidth="1"/>
    <col min="4" max="4" width="13.85546875" style="122" customWidth="1"/>
    <col min="5" max="5" width="16.28515625" style="122" customWidth="1"/>
    <col min="6" max="6" width="15.5703125" style="122" customWidth="1"/>
    <col min="7" max="8" width="12.85546875" style="122" customWidth="1"/>
    <col min="9" max="9" width="26.42578125" style="82" customWidth="1"/>
    <col min="10" max="10" width="5.5703125" style="82" customWidth="1"/>
    <col min="11" max="11" width="8.5703125" style="82" customWidth="1"/>
    <col min="12" max="12" width="38.5703125" style="82" customWidth="1"/>
    <col min="13" max="13" width="7.85546875" style="82" customWidth="1"/>
    <col min="14" max="14" width="9.7109375" style="82" customWidth="1"/>
    <col min="15" max="15" width="17" style="82" customWidth="1"/>
    <col min="16" max="16384" width="11.42578125" style="82"/>
  </cols>
  <sheetData>
    <row r="1" spans="1:8" ht="15.75">
      <c r="A1" s="537" t="s">
        <v>629</v>
      </c>
      <c r="B1" s="537"/>
      <c r="C1" s="537"/>
      <c r="D1" s="537"/>
      <c r="E1" s="537"/>
      <c r="F1" s="537"/>
      <c r="G1" s="537"/>
      <c r="H1" s="537"/>
    </row>
    <row r="2" spans="1:8" ht="12.75">
      <c r="A2" s="538" t="s">
        <v>599</v>
      </c>
      <c r="B2" s="538"/>
      <c r="C2" s="538"/>
      <c r="D2" s="538"/>
      <c r="E2" s="538"/>
      <c r="F2" s="538"/>
      <c r="G2" s="538"/>
      <c r="H2" s="538"/>
    </row>
    <row r="3" spans="1:8">
      <c r="A3" s="539"/>
      <c r="B3" s="539"/>
      <c r="C3" s="539"/>
      <c r="D3" s="539"/>
      <c r="E3" s="539"/>
      <c r="F3" s="539"/>
      <c r="G3" s="539"/>
      <c r="H3" s="539"/>
    </row>
    <row r="4" spans="1:8" ht="39" customHeight="1">
      <c r="A4" s="540" t="s">
        <v>600</v>
      </c>
      <c r="B4" s="540"/>
      <c r="C4" s="540"/>
      <c r="D4" s="540"/>
      <c r="E4" s="540"/>
      <c r="F4" s="540"/>
      <c r="G4" s="540"/>
      <c r="H4" s="540"/>
    </row>
    <row r="5" spans="1:8" ht="27.75" customHeight="1">
      <c r="A5" s="541" t="s">
        <v>468</v>
      </c>
      <c r="B5" s="541"/>
      <c r="C5" s="541"/>
      <c r="D5" s="541"/>
      <c r="E5" s="541"/>
      <c r="F5" s="541"/>
      <c r="G5" s="541"/>
      <c r="H5" s="541"/>
    </row>
    <row r="6" spans="1:8">
      <c r="A6" s="539"/>
      <c r="B6" s="539"/>
      <c r="C6" s="539"/>
      <c r="D6" s="539"/>
      <c r="E6" s="539"/>
      <c r="F6" s="539"/>
      <c r="G6" s="539"/>
      <c r="H6" s="539"/>
    </row>
    <row r="7" spans="1:8" ht="12.75">
      <c r="A7" s="542" t="s">
        <v>144</v>
      </c>
      <c r="B7" s="542"/>
      <c r="C7" s="542"/>
      <c r="D7" s="542"/>
      <c r="E7" s="542"/>
      <c r="F7" s="542"/>
      <c r="G7" s="542"/>
      <c r="H7" s="542"/>
    </row>
    <row r="8" spans="1:8">
      <c r="A8" s="539"/>
      <c r="B8" s="539"/>
      <c r="C8" s="539"/>
      <c r="D8" s="539"/>
      <c r="E8" s="539"/>
      <c r="F8" s="539"/>
      <c r="G8" s="539"/>
      <c r="H8" s="539"/>
    </row>
    <row r="9" spans="1:8" s="273" customFormat="1" ht="27.75" customHeight="1">
      <c r="A9" s="535" t="s">
        <v>178</v>
      </c>
      <c r="B9" s="535"/>
      <c r="C9" s="535"/>
      <c r="D9" s="535"/>
      <c r="E9" s="535"/>
      <c r="F9" s="535"/>
      <c r="G9" s="535"/>
      <c r="H9" s="535"/>
    </row>
    <row r="10" spans="1:8" s="273" customFormat="1" ht="25.5" customHeight="1">
      <c r="A10" s="535" t="s">
        <v>214</v>
      </c>
      <c r="B10" s="536"/>
      <c r="C10" s="536"/>
      <c r="D10" s="536"/>
      <c r="E10" s="536"/>
      <c r="F10" s="536"/>
      <c r="G10" s="536"/>
      <c r="H10" s="536"/>
    </row>
    <row r="11" spans="1:8" s="273" customFormat="1" ht="27.75" customHeight="1">
      <c r="A11" s="535" t="s">
        <v>30</v>
      </c>
      <c r="B11" s="536"/>
      <c r="C11" s="536"/>
      <c r="D11" s="536"/>
      <c r="E11" s="536"/>
      <c r="F11" s="536"/>
      <c r="G11" s="536"/>
      <c r="H11" s="536"/>
    </row>
    <row r="12" spans="1:8" s="273" customFormat="1" ht="25.5" customHeight="1">
      <c r="A12" s="535" t="s">
        <v>193</v>
      </c>
      <c r="B12" s="535"/>
      <c r="C12" s="535"/>
      <c r="D12" s="535"/>
      <c r="E12" s="535"/>
      <c r="F12" s="535"/>
      <c r="G12" s="535"/>
      <c r="H12" s="535"/>
    </row>
    <row r="13" spans="1:8" s="273" customFormat="1" ht="26.25" customHeight="1">
      <c r="A13" s="535" t="s">
        <v>204</v>
      </c>
      <c r="B13" s="536"/>
      <c r="C13" s="536"/>
      <c r="D13" s="536"/>
      <c r="E13" s="536"/>
      <c r="F13" s="536"/>
      <c r="G13" s="536"/>
      <c r="H13" s="536"/>
    </row>
    <row r="14" spans="1:8" s="273" customFormat="1" ht="29.25" customHeight="1">
      <c r="A14" s="535" t="s">
        <v>203</v>
      </c>
      <c r="B14" s="535"/>
      <c r="C14" s="535"/>
      <c r="D14" s="535"/>
      <c r="E14" s="535"/>
      <c r="F14" s="535"/>
      <c r="G14" s="535"/>
      <c r="H14" s="535"/>
    </row>
    <row r="15" spans="1:8" s="273" customFormat="1" ht="18" customHeight="1">
      <c r="A15" s="558" t="s">
        <v>194</v>
      </c>
      <c r="B15" s="558"/>
      <c r="C15" s="558"/>
      <c r="D15" s="558"/>
      <c r="E15" s="558"/>
      <c r="F15" s="558"/>
      <c r="G15" s="558"/>
      <c r="H15" s="558"/>
    </row>
    <row r="16" spans="1:8" s="274" customFormat="1" ht="15.75">
      <c r="A16" s="564" t="s">
        <v>154</v>
      </c>
      <c r="B16" s="564"/>
      <c r="C16" s="564"/>
      <c r="D16" s="564"/>
      <c r="E16" s="564"/>
      <c r="F16" s="564"/>
      <c r="G16" s="564"/>
      <c r="H16" s="564"/>
    </row>
    <row r="17" spans="1:7" s="276" customFormat="1" ht="13.5" customHeight="1" thickBot="1">
      <c r="A17" s="526" t="s">
        <v>617</v>
      </c>
      <c r="B17" s="526"/>
      <c r="C17" s="526"/>
      <c r="D17" s="526"/>
      <c r="E17" s="526"/>
      <c r="F17" s="526"/>
      <c r="G17" s="275">
        <f>+G18</f>
        <v>2990779389</v>
      </c>
    </row>
    <row r="18" spans="1:7">
      <c r="A18" s="205" t="s">
        <v>172</v>
      </c>
      <c r="B18" s="182" t="s">
        <v>620</v>
      </c>
      <c r="C18" s="182"/>
      <c r="D18" s="182"/>
      <c r="E18" s="182"/>
      <c r="F18" s="182"/>
      <c r="G18" s="184">
        <f>SUM(F20:F115)</f>
        <v>2990779389</v>
      </c>
    </row>
    <row r="19" spans="1:7">
      <c r="A19" s="191"/>
      <c r="B19" s="88"/>
      <c r="C19" s="88"/>
      <c r="D19" s="88"/>
      <c r="E19" s="88"/>
      <c r="F19" s="88"/>
      <c r="G19" s="99"/>
    </row>
    <row r="20" spans="1:7">
      <c r="A20" s="191">
        <v>11</v>
      </c>
      <c r="B20" s="87" t="s">
        <v>164</v>
      </c>
      <c r="C20" s="88"/>
      <c r="D20" s="88"/>
      <c r="E20" s="88"/>
      <c r="F20" s="88">
        <f>SUM(E22:E59)</f>
        <v>812343520</v>
      </c>
      <c r="G20" s="101"/>
    </row>
    <row r="21" spans="1:7">
      <c r="A21" s="191"/>
      <c r="B21" s="88"/>
      <c r="C21" s="88"/>
      <c r="D21" s="88"/>
      <c r="E21" s="88"/>
      <c r="F21" s="88"/>
      <c r="G21" s="99"/>
    </row>
    <row r="22" spans="1:7">
      <c r="A22" s="191">
        <v>111</v>
      </c>
      <c r="B22" s="88" t="s">
        <v>119</v>
      </c>
      <c r="C22" s="88"/>
      <c r="D22" s="88"/>
      <c r="E22" s="88">
        <f>SUM(D24:D35)</f>
        <v>226850000</v>
      </c>
      <c r="F22" s="88"/>
      <c r="G22" s="99"/>
    </row>
    <row r="23" spans="1:7">
      <c r="A23" s="192"/>
      <c r="B23" s="90"/>
      <c r="C23" s="90"/>
      <c r="D23" s="90"/>
      <c r="E23" s="90"/>
      <c r="F23" s="90"/>
      <c r="G23" s="99"/>
    </row>
    <row r="24" spans="1:7">
      <c r="A24" s="193">
        <v>1111</v>
      </c>
      <c r="B24" s="88" t="s">
        <v>120</v>
      </c>
      <c r="C24" s="88"/>
      <c r="D24" s="88">
        <f>SUM(C25:C27)</f>
        <v>60000000</v>
      </c>
      <c r="E24" s="90"/>
      <c r="F24" s="90"/>
      <c r="G24" s="99"/>
    </row>
    <row r="25" spans="1:7">
      <c r="A25" s="194">
        <v>111101</v>
      </c>
      <c r="B25" s="90" t="s">
        <v>437</v>
      </c>
      <c r="C25" s="90">
        <v>45000000</v>
      </c>
      <c r="D25" s="90"/>
      <c r="E25" s="90"/>
      <c r="F25" s="90"/>
      <c r="G25" s="99"/>
    </row>
    <row r="26" spans="1:7">
      <c r="A26" s="194">
        <v>111102</v>
      </c>
      <c r="B26" s="90" t="s">
        <v>438</v>
      </c>
      <c r="C26" s="90">
        <v>5000000</v>
      </c>
      <c r="D26" s="90"/>
      <c r="E26" s="90"/>
      <c r="F26" s="90"/>
      <c r="G26" s="99"/>
    </row>
    <row r="27" spans="1:7">
      <c r="A27" s="194">
        <v>112103</v>
      </c>
      <c r="B27" s="90" t="s">
        <v>268</v>
      </c>
      <c r="C27" s="90">
        <v>10000000</v>
      </c>
      <c r="D27" s="90"/>
      <c r="E27" s="90"/>
      <c r="F27" s="90"/>
      <c r="G27" s="99"/>
    </row>
    <row r="28" spans="1:7">
      <c r="A28" s="192"/>
      <c r="B28" s="90"/>
      <c r="C28" s="90"/>
      <c r="D28" s="90"/>
      <c r="E28" s="90"/>
      <c r="F28" s="90"/>
      <c r="G28" s="99"/>
    </row>
    <row r="29" spans="1:7">
      <c r="A29" s="193">
        <v>1112</v>
      </c>
      <c r="B29" s="88" t="s">
        <v>121</v>
      </c>
      <c r="C29" s="88"/>
      <c r="D29" s="88">
        <f>SUM(C30:C36)</f>
        <v>166850000</v>
      </c>
      <c r="E29" s="90"/>
      <c r="F29" s="90"/>
      <c r="G29" s="99"/>
    </row>
    <row r="30" spans="1:7">
      <c r="A30" s="194">
        <v>111201</v>
      </c>
      <c r="B30" s="89" t="s">
        <v>122</v>
      </c>
      <c r="C30" s="90">
        <v>30000000</v>
      </c>
      <c r="D30" s="90"/>
      <c r="E30" s="90"/>
      <c r="F30" s="90"/>
      <c r="G30" s="99"/>
    </row>
    <row r="31" spans="1:7">
      <c r="A31" s="194">
        <f>+A30+1</f>
        <v>111202</v>
      </c>
      <c r="B31" s="89" t="s">
        <v>123</v>
      </c>
      <c r="C31" s="90">
        <v>800000</v>
      </c>
      <c r="D31" s="90"/>
      <c r="E31" s="90"/>
      <c r="F31" s="90"/>
      <c r="G31" s="99"/>
    </row>
    <row r="32" spans="1:7">
      <c r="A32" s="194">
        <f>+A31+1</f>
        <v>111203</v>
      </c>
      <c r="B32" s="91" t="s">
        <v>246</v>
      </c>
      <c r="C32" s="90">
        <v>1000000</v>
      </c>
      <c r="D32" s="90"/>
      <c r="E32" s="90"/>
      <c r="F32" s="90"/>
      <c r="G32" s="99"/>
    </row>
    <row r="33" spans="1:7">
      <c r="A33" s="194">
        <f>+A32+1</f>
        <v>111204</v>
      </c>
      <c r="B33" s="89" t="s">
        <v>163</v>
      </c>
      <c r="C33" s="90">
        <v>50000</v>
      </c>
      <c r="D33" s="90"/>
      <c r="E33" s="90"/>
      <c r="F33" s="90"/>
      <c r="G33" s="99"/>
    </row>
    <row r="34" spans="1:7">
      <c r="A34" s="194">
        <f>+A33+1</f>
        <v>111205</v>
      </c>
      <c r="B34" s="89" t="s">
        <v>440</v>
      </c>
      <c r="C34" s="90">
        <v>5000000</v>
      </c>
      <c r="D34" s="90"/>
      <c r="E34" s="90"/>
      <c r="F34" s="90"/>
      <c r="G34" s="99"/>
    </row>
    <row r="35" spans="1:7">
      <c r="A35" s="194">
        <f>+A34+1</f>
        <v>111206</v>
      </c>
      <c r="B35" s="89" t="s">
        <v>152</v>
      </c>
      <c r="C35" s="90">
        <v>130000000</v>
      </c>
      <c r="D35" s="90"/>
      <c r="E35" s="90"/>
      <c r="F35" s="90"/>
      <c r="G35" s="99"/>
    </row>
    <row r="36" spans="1:7">
      <c r="A36" s="194"/>
      <c r="B36" s="89"/>
      <c r="C36" s="90"/>
      <c r="D36" s="90"/>
      <c r="E36" s="90"/>
      <c r="F36" s="90"/>
      <c r="G36" s="99"/>
    </row>
    <row r="37" spans="1:7">
      <c r="A37" s="191">
        <v>112</v>
      </c>
      <c r="B37" s="88" t="s">
        <v>124</v>
      </c>
      <c r="C37" s="88"/>
      <c r="D37" s="88"/>
      <c r="E37" s="88">
        <f>SUM(D39:D55)</f>
        <v>584493520</v>
      </c>
      <c r="F37" s="88"/>
      <c r="G37" s="99"/>
    </row>
    <row r="38" spans="1:7">
      <c r="A38" s="192"/>
      <c r="B38" s="88"/>
      <c r="C38" s="88"/>
      <c r="D38" s="88"/>
      <c r="E38" s="88"/>
      <c r="F38" s="88"/>
      <c r="G38" s="99"/>
    </row>
    <row r="39" spans="1:7">
      <c r="A39" s="191">
        <v>1121</v>
      </c>
      <c r="B39" s="88" t="s">
        <v>100</v>
      </c>
      <c r="C39" s="88"/>
      <c r="D39" s="88">
        <f>SUM(C40:C41)</f>
        <v>547493518</v>
      </c>
      <c r="E39" s="88"/>
      <c r="F39" s="88"/>
      <c r="G39" s="99"/>
    </row>
    <row r="40" spans="1:7">
      <c r="A40" s="194">
        <v>112101</v>
      </c>
      <c r="B40" s="91" t="s">
        <v>101</v>
      </c>
      <c r="C40" s="90">
        <v>545993518</v>
      </c>
      <c r="D40" s="90"/>
      <c r="E40" s="90"/>
      <c r="F40" s="90"/>
      <c r="G40" s="99"/>
    </row>
    <row r="41" spans="1:7">
      <c r="A41" s="194">
        <v>112102</v>
      </c>
      <c r="B41" s="90" t="s">
        <v>82</v>
      </c>
      <c r="C41" s="90">
        <v>1500000</v>
      </c>
      <c r="D41" s="90"/>
      <c r="E41" s="90"/>
      <c r="F41" s="90"/>
      <c r="G41" s="99"/>
    </row>
    <row r="42" spans="1:7">
      <c r="A42" s="192"/>
      <c r="B42" s="90"/>
      <c r="C42" s="90"/>
      <c r="D42" s="90"/>
      <c r="E42" s="90"/>
      <c r="F42" s="90"/>
      <c r="G42" s="99"/>
    </row>
    <row r="43" spans="1:7">
      <c r="A43" s="191">
        <v>1122</v>
      </c>
      <c r="B43" s="88" t="s">
        <v>102</v>
      </c>
      <c r="C43" s="88"/>
      <c r="D43" s="88">
        <f>SUM(C44:C44)</f>
        <v>5000000</v>
      </c>
      <c r="E43" s="88"/>
      <c r="F43" s="88"/>
      <c r="G43" s="99"/>
    </row>
    <row r="44" spans="1:7">
      <c r="A44" s="194">
        <v>112201</v>
      </c>
      <c r="B44" s="89" t="s">
        <v>157</v>
      </c>
      <c r="C44" s="90">
        <v>5000000</v>
      </c>
      <c r="D44" s="90"/>
      <c r="E44" s="90"/>
      <c r="F44" s="90"/>
      <c r="G44" s="99"/>
    </row>
    <row r="45" spans="1:7">
      <c r="A45" s="194"/>
      <c r="B45" s="91"/>
      <c r="C45" s="90"/>
      <c r="D45" s="90"/>
      <c r="E45" s="90"/>
      <c r="F45" s="90"/>
      <c r="G45" s="99"/>
    </row>
    <row r="46" spans="1:7">
      <c r="A46" s="193">
        <v>1123</v>
      </c>
      <c r="B46" s="87" t="s">
        <v>206</v>
      </c>
      <c r="C46" s="88"/>
      <c r="D46" s="88">
        <f>SUM(C47:C48)</f>
        <v>1000000</v>
      </c>
      <c r="E46" s="90"/>
      <c r="F46" s="90"/>
      <c r="G46" s="99"/>
    </row>
    <row r="47" spans="1:7">
      <c r="A47" s="194">
        <v>112301</v>
      </c>
      <c r="B47" s="89" t="s">
        <v>97</v>
      </c>
      <c r="C47" s="90">
        <v>500000</v>
      </c>
      <c r="D47" s="88"/>
      <c r="E47" s="90"/>
      <c r="F47" s="90"/>
      <c r="G47" s="99"/>
    </row>
    <row r="48" spans="1:7">
      <c r="A48" s="194">
        <v>112302</v>
      </c>
      <c r="B48" s="89" t="s">
        <v>621</v>
      </c>
      <c r="C48" s="90">
        <v>500000</v>
      </c>
      <c r="D48" s="88"/>
      <c r="E48" s="90"/>
      <c r="F48" s="90"/>
      <c r="G48" s="99"/>
    </row>
    <row r="49" spans="1:15">
      <c r="A49" s="194"/>
      <c r="B49" s="89"/>
      <c r="C49" s="90"/>
      <c r="D49" s="90"/>
      <c r="E49" s="90"/>
      <c r="F49" s="90"/>
      <c r="G49" s="99"/>
    </row>
    <row r="50" spans="1:15">
      <c r="A50" s="193">
        <v>1124</v>
      </c>
      <c r="B50" s="88" t="s">
        <v>207</v>
      </c>
      <c r="C50" s="88"/>
      <c r="D50" s="88">
        <f>SUM(C51:C54)</f>
        <v>31000000</v>
      </c>
      <c r="E50" s="90"/>
      <c r="F50" s="90"/>
      <c r="G50" s="99"/>
    </row>
    <row r="51" spans="1:15">
      <c r="A51" s="194">
        <v>112401</v>
      </c>
      <c r="B51" s="89" t="s">
        <v>185</v>
      </c>
      <c r="C51" s="90">
        <v>25000000</v>
      </c>
      <c r="D51" s="90"/>
      <c r="E51" s="90"/>
      <c r="F51" s="90"/>
      <c r="G51" s="99"/>
    </row>
    <row r="52" spans="1:15">
      <c r="A52" s="194">
        <v>112402</v>
      </c>
      <c r="B52" s="89" t="s">
        <v>247</v>
      </c>
      <c r="C52" s="90">
        <v>5000000</v>
      </c>
      <c r="D52" s="90"/>
      <c r="E52" s="90"/>
      <c r="F52" s="90"/>
      <c r="G52" s="99"/>
    </row>
    <row r="53" spans="1:15">
      <c r="A53" s="194">
        <v>112403</v>
      </c>
      <c r="B53" s="89" t="s">
        <v>414</v>
      </c>
      <c r="C53" s="90">
        <v>1000000</v>
      </c>
      <c r="D53" s="90"/>
      <c r="E53" s="90"/>
      <c r="F53" s="90"/>
      <c r="G53" s="99"/>
    </row>
    <row r="54" spans="1:15">
      <c r="A54" s="194"/>
      <c r="B54" s="89"/>
      <c r="C54" s="90"/>
      <c r="D54" s="90"/>
      <c r="E54" s="90"/>
      <c r="F54" s="90"/>
      <c r="G54" s="99"/>
    </row>
    <row r="55" spans="1:15" s="86" customFormat="1">
      <c r="A55" s="193">
        <v>1126</v>
      </c>
      <c r="B55" s="87" t="s">
        <v>622</v>
      </c>
      <c r="C55" s="88"/>
      <c r="D55" s="88">
        <f>SUM(C56:C57)</f>
        <v>2</v>
      </c>
      <c r="E55" s="88"/>
      <c r="F55" s="88"/>
      <c r="G55" s="101"/>
    </row>
    <row r="56" spans="1:15">
      <c r="A56" s="194">
        <v>112601</v>
      </c>
      <c r="B56" s="90" t="s">
        <v>103</v>
      </c>
      <c r="C56" s="90">
        <v>1</v>
      </c>
      <c r="D56" s="90"/>
      <c r="E56" s="90"/>
      <c r="F56" s="90"/>
      <c r="G56" s="99"/>
    </row>
    <row r="57" spans="1:15">
      <c r="A57" s="194">
        <v>112602</v>
      </c>
      <c r="B57" s="90" t="s">
        <v>439</v>
      </c>
      <c r="C57" s="90">
        <v>1</v>
      </c>
      <c r="D57" s="90"/>
      <c r="E57" s="90"/>
      <c r="F57" s="90"/>
      <c r="G57" s="99"/>
    </row>
    <row r="58" spans="1:15">
      <c r="A58" s="194"/>
      <c r="B58" s="90"/>
      <c r="C58" s="90"/>
      <c r="D58" s="90"/>
      <c r="E58" s="90"/>
      <c r="F58" s="90"/>
      <c r="G58" s="99"/>
    </row>
    <row r="59" spans="1:15" s="86" customFormat="1">
      <c r="A59" s="191">
        <v>113</v>
      </c>
      <c r="B59" s="87" t="s">
        <v>623</v>
      </c>
      <c r="C59" s="88"/>
      <c r="D59" s="88"/>
      <c r="E59" s="88">
        <f>+D60</f>
        <v>1000000</v>
      </c>
      <c r="F59" s="88"/>
      <c r="G59" s="101"/>
    </row>
    <row r="60" spans="1:15">
      <c r="A60" s="191">
        <v>1131</v>
      </c>
      <c r="B60" s="93" t="s">
        <v>192</v>
      </c>
      <c r="C60" s="90"/>
      <c r="D60" s="88">
        <f>SUM(C61)</f>
        <v>1000000</v>
      </c>
      <c r="E60" s="90"/>
      <c r="F60" s="90"/>
      <c r="G60" s="99"/>
    </row>
    <row r="61" spans="1:15">
      <c r="A61" s="192">
        <v>113101</v>
      </c>
      <c r="B61" s="98" t="s">
        <v>416</v>
      </c>
      <c r="C61" s="90">
        <v>1000000</v>
      </c>
      <c r="D61" s="90"/>
      <c r="E61" s="90"/>
      <c r="F61" s="90"/>
      <c r="G61" s="99"/>
    </row>
    <row r="62" spans="1:15">
      <c r="A62" s="194"/>
      <c r="B62" s="90"/>
      <c r="C62" s="90"/>
      <c r="D62" s="90"/>
      <c r="E62" s="90"/>
      <c r="F62" s="90"/>
      <c r="G62" s="99"/>
    </row>
    <row r="63" spans="1:15">
      <c r="A63" s="193">
        <v>12</v>
      </c>
      <c r="B63" s="88" t="s">
        <v>143</v>
      </c>
      <c r="C63" s="88"/>
      <c r="D63" s="7"/>
      <c r="E63" s="7"/>
      <c r="F63" s="88">
        <f>SUM(E64:E71)</f>
        <v>1359199079</v>
      </c>
      <c r="G63" s="186"/>
      <c r="I63" s="85"/>
      <c r="J63" s="85"/>
      <c r="K63" s="85"/>
      <c r="L63" s="85"/>
      <c r="M63" s="85"/>
      <c r="N63" s="85"/>
      <c r="O63" s="85"/>
    </row>
    <row r="64" spans="1:15" s="86" customFormat="1">
      <c r="A64" s="191">
        <v>1201</v>
      </c>
      <c r="B64" s="88" t="s">
        <v>618</v>
      </c>
      <c r="C64" s="88"/>
      <c r="D64" s="202"/>
      <c r="E64" s="88">
        <f>SUM(C65:C66)</f>
        <v>114914354</v>
      </c>
      <c r="F64" s="88"/>
      <c r="G64" s="187"/>
      <c r="I64" s="181"/>
      <c r="J64" s="181"/>
      <c r="K64" s="181"/>
      <c r="L64" s="181"/>
      <c r="M64" s="181"/>
      <c r="N64" s="181"/>
      <c r="O64" s="181"/>
    </row>
    <row r="65" spans="1:15">
      <c r="A65" s="192">
        <v>120101</v>
      </c>
      <c r="B65" s="104" t="s">
        <v>104</v>
      </c>
      <c r="C65" s="90">
        <v>82267354</v>
      </c>
      <c r="D65" s="90"/>
      <c r="E65" s="90"/>
      <c r="F65" s="90"/>
      <c r="G65" s="186"/>
      <c r="I65" s="85"/>
      <c r="J65" s="85"/>
      <c r="K65" s="85"/>
      <c r="L65" s="85"/>
      <c r="M65" s="85"/>
      <c r="N65" s="85"/>
      <c r="O65" s="85"/>
    </row>
    <row r="66" spans="1:15">
      <c r="A66" s="192">
        <v>120102</v>
      </c>
      <c r="B66" s="104" t="s">
        <v>105</v>
      </c>
      <c r="C66" s="90">
        <v>32647000</v>
      </c>
      <c r="D66" s="90"/>
      <c r="E66" s="90"/>
      <c r="F66" s="90"/>
      <c r="G66" s="186"/>
      <c r="I66" s="85"/>
      <c r="J66" s="85"/>
      <c r="K66" s="85"/>
      <c r="L66" s="85"/>
      <c r="M66" s="85"/>
      <c r="N66" s="85"/>
      <c r="O66" s="85"/>
    </row>
    <row r="67" spans="1:15" s="86" customFormat="1">
      <c r="A67" s="191">
        <v>1202</v>
      </c>
      <c r="B67" s="88" t="s">
        <v>145</v>
      </c>
      <c r="C67" s="88"/>
      <c r="D67" s="202"/>
      <c r="E67" s="88">
        <f>+C68</f>
        <v>16780115</v>
      </c>
      <c r="F67" s="88"/>
      <c r="G67" s="187"/>
      <c r="I67" s="181"/>
      <c r="J67" s="181"/>
      <c r="K67" s="181"/>
      <c r="L67" s="181"/>
      <c r="M67" s="181"/>
      <c r="N67" s="181"/>
      <c r="O67" s="181"/>
    </row>
    <row r="68" spans="1:15">
      <c r="A68" s="192">
        <v>120201</v>
      </c>
      <c r="B68" s="104" t="s">
        <v>106</v>
      </c>
      <c r="C68" s="90">
        <v>16780115</v>
      </c>
      <c r="D68" s="90"/>
      <c r="E68" s="90"/>
      <c r="F68" s="90"/>
      <c r="G68" s="186"/>
      <c r="I68" s="85"/>
      <c r="J68" s="85"/>
      <c r="K68" s="85"/>
      <c r="L68" s="85"/>
      <c r="M68" s="85"/>
      <c r="N68" s="85"/>
      <c r="O68" s="85"/>
    </row>
    <row r="69" spans="1:15" s="86" customFormat="1">
      <c r="A69" s="191">
        <v>1204</v>
      </c>
      <c r="B69" s="93" t="s">
        <v>107</v>
      </c>
      <c r="C69" s="88"/>
      <c r="D69" s="202"/>
      <c r="E69" s="88">
        <f>+C70</f>
        <v>276310740</v>
      </c>
      <c r="F69" s="88"/>
      <c r="G69" s="187"/>
      <c r="I69" s="181"/>
      <c r="J69" s="181"/>
      <c r="K69" s="181"/>
      <c r="L69" s="181"/>
      <c r="M69" s="181"/>
      <c r="N69" s="181"/>
      <c r="O69" s="181"/>
    </row>
    <row r="70" spans="1:15">
      <c r="A70" s="192">
        <v>120401</v>
      </c>
      <c r="B70" s="199" t="s">
        <v>108</v>
      </c>
      <c r="C70" s="90">
        <v>276310740</v>
      </c>
      <c r="D70" s="90"/>
      <c r="E70" s="90"/>
      <c r="F70" s="90"/>
      <c r="G70" s="186"/>
      <c r="I70" s="81"/>
      <c r="J70" s="81"/>
      <c r="K70" s="81"/>
      <c r="L70" s="81"/>
      <c r="M70" s="81"/>
      <c r="N70" s="81"/>
      <c r="O70" s="81"/>
    </row>
    <row r="71" spans="1:15">
      <c r="A71" s="191">
        <v>1205</v>
      </c>
      <c r="B71" s="93" t="s">
        <v>601</v>
      </c>
      <c r="C71" s="88"/>
      <c r="D71" s="91"/>
      <c r="E71" s="88">
        <f>SUM(C72:C74)</f>
        <v>951193870</v>
      </c>
      <c r="F71" s="90"/>
      <c r="G71" s="186"/>
      <c r="I71" s="83"/>
      <c r="J71" s="83"/>
      <c r="K71" s="83"/>
      <c r="L71" s="83"/>
      <c r="M71" s="83"/>
      <c r="N71" s="83"/>
      <c r="O71" s="83"/>
    </row>
    <row r="72" spans="1:15">
      <c r="A72" s="192">
        <v>120501</v>
      </c>
      <c r="B72" s="91" t="s">
        <v>79</v>
      </c>
      <c r="C72" s="90">
        <v>66295935</v>
      </c>
      <c r="D72" s="90"/>
      <c r="E72" s="90"/>
      <c r="F72" s="90"/>
      <c r="G72" s="186"/>
      <c r="I72" s="94"/>
      <c r="J72" s="94"/>
      <c r="K72" s="94"/>
      <c r="L72" s="94"/>
      <c r="M72" s="95"/>
      <c r="N72" s="95"/>
      <c r="O72" s="94"/>
    </row>
    <row r="73" spans="1:15">
      <c r="A73" s="192">
        <v>120502</v>
      </c>
      <c r="B73" s="91" t="s">
        <v>80</v>
      </c>
      <c r="C73" s="90">
        <v>49720950</v>
      </c>
      <c r="D73" s="90"/>
      <c r="E73" s="90"/>
      <c r="F73" s="90"/>
      <c r="G73" s="99"/>
      <c r="I73" s="94"/>
      <c r="J73" s="94"/>
      <c r="K73" s="94"/>
      <c r="L73" s="94"/>
      <c r="M73" s="94"/>
      <c r="N73" s="95"/>
      <c r="O73" s="94"/>
    </row>
    <row r="74" spans="1:15">
      <c r="A74" s="192">
        <v>120503</v>
      </c>
      <c r="B74" s="91" t="s">
        <v>81</v>
      </c>
      <c r="C74" s="90">
        <v>835176985</v>
      </c>
      <c r="D74" s="90"/>
      <c r="E74" s="90"/>
      <c r="F74" s="90"/>
      <c r="G74" s="188"/>
      <c r="I74" s="95"/>
      <c r="J74" s="95"/>
      <c r="K74" s="95"/>
      <c r="L74" s="95"/>
      <c r="M74" s="95"/>
      <c r="N74" s="95"/>
      <c r="O74" s="94"/>
    </row>
    <row r="75" spans="1:15">
      <c r="A75" s="194"/>
      <c r="B75" s="90"/>
      <c r="C75" s="90"/>
      <c r="D75" s="90"/>
      <c r="E75" s="90"/>
      <c r="F75" s="90"/>
      <c r="G75" s="99"/>
    </row>
    <row r="76" spans="1:15">
      <c r="A76" s="191">
        <v>13</v>
      </c>
      <c r="B76" s="88" t="s">
        <v>69</v>
      </c>
      <c r="C76" s="90"/>
      <c r="D76" s="7"/>
      <c r="E76" s="7"/>
      <c r="F76" s="88">
        <f>SUM(E77:E83)</f>
        <v>16501000</v>
      </c>
      <c r="G76" s="99"/>
      <c r="I76" s="81"/>
      <c r="J76" s="81"/>
      <c r="K76" s="81"/>
      <c r="L76" s="81"/>
      <c r="M76" s="81"/>
      <c r="N76" s="92"/>
      <c r="O76" s="92"/>
    </row>
    <row r="77" spans="1:15">
      <c r="A77" s="191">
        <v>1301</v>
      </c>
      <c r="B77" s="88" t="s">
        <v>92</v>
      </c>
      <c r="C77" s="90"/>
      <c r="D77" s="91"/>
      <c r="E77" s="88">
        <f>SUM(C78:C79)</f>
        <v>13500000</v>
      </c>
      <c r="F77" s="90"/>
      <c r="G77" s="99"/>
      <c r="I77" s="81"/>
      <c r="J77" s="81"/>
      <c r="K77" s="81"/>
      <c r="L77" s="81"/>
      <c r="M77" s="81"/>
      <c r="N77" s="92"/>
      <c r="O77" s="92"/>
    </row>
    <row r="78" spans="1:15">
      <c r="A78" s="192">
        <v>130101</v>
      </c>
      <c r="B78" s="90" t="s">
        <v>82</v>
      </c>
      <c r="C78" s="90">
        <f>15000000*0.9</f>
        <v>13500000</v>
      </c>
      <c r="D78" s="91"/>
      <c r="E78" s="90"/>
      <c r="F78" s="90"/>
      <c r="G78" s="99"/>
      <c r="I78" s="83"/>
      <c r="J78" s="83"/>
      <c r="K78" s="83"/>
      <c r="L78" s="83"/>
      <c r="M78" s="83"/>
      <c r="N78" s="84"/>
      <c r="O78" s="84"/>
    </row>
    <row r="79" spans="1:15">
      <c r="A79" s="192"/>
      <c r="B79" s="90"/>
      <c r="C79" s="90"/>
      <c r="D79" s="91"/>
      <c r="E79" s="90"/>
      <c r="F79" s="90"/>
      <c r="G79" s="99"/>
      <c r="I79" s="83"/>
      <c r="J79" s="83"/>
      <c r="K79" s="83"/>
      <c r="L79" s="83"/>
      <c r="M79" s="83"/>
      <c r="N79" s="83"/>
      <c r="O79" s="83"/>
    </row>
    <row r="80" spans="1:15">
      <c r="A80" s="191">
        <v>1302</v>
      </c>
      <c r="B80" s="88" t="s">
        <v>93</v>
      </c>
      <c r="C80" s="90"/>
      <c r="D80" s="91"/>
      <c r="E80" s="88">
        <f>+C81+C82</f>
        <v>1000</v>
      </c>
      <c r="F80" s="90"/>
      <c r="G80" s="186"/>
      <c r="I80" s="83"/>
      <c r="J80" s="83"/>
      <c r="K80" s="83"/>
      <c r="L80" s="83"/>
      <c r="M80" s="83"/>
      <c r="N80" s="83"/>
      <c r="O80" s="83"/>
    </row>
    <row r="81" spans="1:15">
      <c r="A81" s="192">
        <v>130201</v>
      </c>
      <c r="B81" s="90" t="s">
        <v>336</v>
      </c>
      <c r="C81" s="90">
        <v>1000</v>
      </c>
      <c r="D81" s="91"/>
      <c r="E81" s="90"/>
      <c r="F81" s="90"/>
      <c r="G81" s="186"/>
      <c r="I81" s="83"/>
      <c r="J81" s="83"/>
      <c r="K81" s="83"/>
      <c r="L81" s="83"/>
      <c r="M81" s="83"/>
      <c r="N81" s="83"/>
      <c r="O81" s="83"/>
    </row>
    <row r="82" spans="1:15">
      <c r="A82" s="192"/>
      <c r="B82" s="90"/>
      <c r="C82" s="90"/>
      <c r="D82" s="91"/>
      <c r="E82" s="90"/>
      <c r="F82" s="90"/>
      <c r="G82" s="186"/>
      <c r="I82" s="83"/>
      <c r="J82" s="83"/>
      <c r="K82" s="83"/>
      <c r="L82" s="83"/>
      <c r="M82" s="83"/>
      <c r="N82" s="83"/>
      <c r="O82" s="83"/>
    </row>
    <row r="83" spans="1:15">
      <c r="A83" s="191">
        <v>1303</v>
      </c>
      <c r="B83" s="88" t="s">
        <v>70</v>
      </c>
      <c r="C83" s="88"/>
      <c r="D83" s="91"/>
      <c r="E83" s="88">
        <f>SUM(C84:C84)</f>
        <v>3000000</v>
      </c>
      <c r="F83" s="90"/>
      <c r="G83" s="189"/>
      <c r="I83" s="95"/>
      <c r="J83" s="95"/>
      <c r="K83" s="95"/>
      <c r="L83" s="95"/>
      <c r="M83" s="95"/>
      <c r="N83" s="95"/>
      <c r="O83" s="94"/>
    </row>
    <row r="84" spans="1:15">
      <c r="A84" s="191">
        <v>130301</v>
      </c>
      <c r="B84" s="90" t="s">
        <v>264</v>
      </c>
      <c r="C84" s="90">
        <v>3000000</v>
      </c>
      <c r="D84" s="90"/>
      <c r="E84" s="90"/>
      <c r="F84" s="90"/>
      <c r="G84" s="189"/>
      <c r="I84" s="95"/>
      <c r="J84" s="95"/>
      <c r="K84" s="95"/>
      <c r="L84" s="95"/>
      <c r="M84" s="95"/>
      <c r="N84" s="95"/>
      <c r="O84" s="94"/>
    </row>
    <row r="85" spans="1:15">
      <c r="A85" s="192"/>
      <c r="B85" s="90"/>
      <c r="C85" s="88"/>
      <c r="D85" s="90"/>
      <c r="E85" s="90"/>
      <c r="F85" s="90"/>
      <c r="G85" s="189"/>
      <c r="I85" s="95"/>
      <c r="J85" s="95"/>
      <c r="K85" s="95"/>
      <c r="L85" s="95"/>
      <c r="M85" s="95"/>
      <c r="N85" s="95"/>
      <c r="O85" s="94"/>
    </row>
    <row r="86" spans="1:15" s="86" customFormat="1">
      <c r="A86" s="191">
        <v>14</v>
      </c>
      <c r="B86" s="87" t="s">
        <v>95</v>
      </c>
      <c r="C86" s="88"/>
      <c r="D86" s="88"/>
      <c r="E86" s="88"/>
      <c r="F86" s="88">
        <f>SUM(E87:E99)</f>
        <v>802735790</v>
      </c>
      <c r="G86" s="101"/>
    </row>
    <row r="87" spans="1:15" s="86" customFormat="1">
      <c r="A87" s="191">
        <v>1401</v>
      </c>
      <c r="B87" s="88" t="s">
        <v>66</v>
      </c>
      <c r="C87" s="88"/>
      <c r="D87" s="88"/>
      <c r="E87" s="88">
        <f>+C88</f>
        <v>7000000</v>
      </c>
      <c r="F87" s="88"/>
      <c r="G87" s="101"/>
    </row>
    <row r="88" spans="1:15">
      <c r="A88" s="192">
        <v>140101</v>
      </c>
      <c r="B88" s="90" t="s">
        <v>415</v>
      </c>
      <c r="C88" s="90">
        <v>7000000</v>
      </c>
      <c r="D88" s="90"/>
      <c r="E88" s="90"/>
      <c r="F88" s="90"/>
      <c r="G88" s="185"/>
      <c r="I88" s="84"/>
      <c r="J88" s="84"/>
      <c r="K88" s="84"/>
      <c r="L88" s="84"/>
      <c r="M88" s="84"/>
      <c r="N88" s="84"/>
      <c r="O88" s="84"/>
    </row>
    <row r="89" spans="1:15">
      <c r="A89" s="192"/>
      <c r="B89" s="90"/>
      <c r="C89" s="90"/>
      <c r="D89" s="90"/>
      <c r="E89" s="90"/>
      <c r="F89" s="90"/>
      <c r="G89" s="99"/>
      <c r="I89" s="84"/>
      <c r="J89" s="84"/>
      <c r="K89" s="84"/>
      <c r="L89" s="84"/>
      <c r="M89" s="84"/>
      <c r="N89" s="84"/>
      <c r="O89" s="84"/>
    </row>
    <row r="90" spans="1:15" s="86" customFormat="1">
      <c r="A90" s="191">
        <v>1402</v>
      </c>
      <c r="B90" s="88" t="s">
        <v>109</v>
      </c>
      <c r="C90" s="88"/>
      <c r="D90" s="88"/>
      <c r="E90" s="88">
        <f>+C91</f>
        <v>10000000</v>
      </c>
      <c r="F90" s="88"/>
      <c r="G90" s="101"/>
      <c r="I90" s="92"/>
      <c r="J90" s="92"/>
      <c r="K90" s="92"/>
      <c r="L90" s="92"/>
      <c r="M90" s="92"/>
      <c r="N90" s="92"/>
      <c r="O90" s="92"/>
    </row>
    <row r="91" spans="1:15">
      <c r="A91" s="192">
        <v>140201</v>
      </c>
      <c r="B91" s="90" t="s">
        <v>162</v>
      </c>
      <c r="C91" s="90">
        <v>10000000</v>
      </c>
      <c r="D91" s="90"/>
      <c r="E91" s="90"/>
      <c r="F91" s="90"/>
      <c r="G91" s="99"/>
      <c r="I91" s="84"/>
      <c r="J91" s="84"/>
      <c r="K91" s="84"/>
      <c r="L91" s="84"/>
      <c r="M91" s="84"/>
      <c r="N91" s="84"/>
      <c r="O91" s="84"/>
    </row>
    <row r="92" spans="1:15">
      <c r="A92" s="192"/>
      <c r="B92" s="90"/>
      <c r="C92" s="90"/>
      <c r="D92" s="90"/>
      <c r="E92" s="90"/>
      <c r="F92" s="90"/>
      <c r="G92" s="99"/>
      <c r="I92" s="84"/>
      <c r="J92" s="84"/>
      <c r="K92" s="84"/>
      <c r="L92" s="84"/>
      <c r="M92" s="84"/>
      <c r="N92" s="84"/>
      <c r="O92" s="84"/>
    </row>
    <row r="93" spans="1:15" s="86" customFormat="1">
      <c r="A93" s="191">
        <v>1403</v>
      </c>
      <c r="B93" s="88" t="s">
        <v>67</v>
      </c>
      <c r="C93" s="88"/>
      <c r="D93" s="88"/>
      <c r="E93" s="88">
        <f>+C94</f>
        <v>5000000</v>
      </c>
      <c r="F93" s="88"/>
      <c r="G93" s="101"/>
      <c r="I93" s="92"/>
      <c r="J93" s="92"/>
      <c r="K93" s="92"/>
      <c r="L93" s="92"/>
      <c r="M93" s="92"/>
      <c r="N93" s="92"/>
      <c r="O93" s="92"/>
    </row>
    <row r="94" spans="1:15">
      <c r="A94" s="192">
        <v>140301</v>
      </c>
      <c r="B94" s="90" t="s">
        <v>222</v>
      </c>
      <c r="C94" s="90">
        <v>5000000</v>
      </c>
      <c r="D94" s="90"/>
      <c r="E94" s="90"/>
      <c r="F94" s="90"/>
      <c r="G94" s="99"/>
      <c r="I94" s="84"/>
      <c r="J94" s="84"/>
      <c r="K94" s="84"/>
      <c r="L94" s="84"/>
      <c r="M94" s="84"/>
      <c r="N94" s="84"/>
      <c r="O94" s="84"/>
    </row>
    <row r="95" spans="1:15">
      <c r="A95" s="192"/>
      <c r="B95" s="90"/>
      <c r="C95" s="90"/>
      <c r="D95" s="90"/>
      <c r="E95" s="90"/>
      <c r="F95" s="90"/>
      <c r="G95" s="99"/>
      <c r="I95" s="84"/>
      <c r="J95" s="84"/>
      <c r="K95" s="84"/>
      <c r="L95" s="84"/>
      <c r="M95" s="84"/>
      <c r="N95" s="84"/>
      <c r="O95" s="84"/>
    </row>
    <row r="96" spans="1:15" s="86" customFormat="1">
      <c r="A96" s="191">
        <v>1404</v>
      </c>
      <c r="B96" s="88" t="s">
        <v>68</v>
      </c>
      <c r="C96" s="88"/>
      <c r="D96" s="88"/>
      <c r="E96" s="103">
        <f>+C97</f>
        <v>12000000</v>
      </c>
      <c r="F96" s="88"/>
      <c r="G96" s="189"/>
      <c r="I96" s="95"/>
      <c r="J96" s="95"/>
      <c r="K96" s="95"/>
      <c r="L96" s="95"/>
      <c r="M96" s="95"/>
      <c r="N96" s="95"/>
      <c r="O96" s="95"/>
    </row>
    <row r="97" spans="1:15">
      <c r="A97" s="192">
        <v>140401</v>
      </c>
      <c r="B97" s="90" t="s">
        <v>156</v>
      </c>
      <c r="C97" s="90">
        <v>12000000</v>
      </c>
      <c r="D97" s="90"/>
      <c r="E97" s="90"/>
      <c r="F97" s="90"/>
      <c r="G97" s="189"/>
      <c r="I97" s="95"/>
      <c r="J97" s="95"/>
      <c r="K97" s="95"/>
      <c r="L97" s="95"/>
      <c r="M97" s="95"/>
      <c r="N97" s="95"/>
      <c r="O97" s="94"/>
    </row>
    <row r="98" spans="1:15">
      <c r="A98" s="192"/>
      <c r="B98" s="90"/>
      <c r="C98" s="88"/>
      <c r="D98" s="90"/>
      <c r="E98" s="90"/>
      <c r="F98" s="90"/>
      <c r="G98" s="189"/>
      <c r="I98" s="95"/>
      <c r="J98" s="95"/>
      <c r="K98" s="95"/>
      <c r="L98" s="95"/>
      <c r="M98" s="95"/>
      <c r="N98" s="95"/>
      <c r="O98" s="94"/>
    </row>
    <row r="99" spans="1:15" s="86" customFormat="1">
      <c r="A99" s="191">
        <v>1405</v>
      </c>
      <c r="B99" s="88" t="s">
        <v>213</v>
      </c>
      <c r="C99" s="88"/>
      <c r="D99" s="88"/>
      <c r="E99" s="88">
        <f>SUM(D100:D109)</f>
        <v>768735790</v>
      </c>
      <c r="F99" s="88"/>
      <c r="G99" s="189"/>
      <c r="I99" s="95"/>
      <c r="J99" s="95"/>
      <c r="K99" s="95"/>
      <c r="L99" s="95"/>
      <c r="M99" s="95"/>
      <c r="N99" s="95"/>
      <c r="O99" s="95"/>
    </row>
    <row r="100" spans="1:15" s="86" customFormat="1">
      <c r="A100" s="191">
        <v>14051</v>
      </c>
      <c r="B100" s="201" t="s">
        <v>34</v>
      </c>
      <c r="C100" s="88"/>
      <c r="D100" s="88">
        <f>SUM(C101:C107)</f>
        <v>746774185</v>
      </c>
      <c r="E100" s="88"/>
      <c r="F100" s="88"/>
      <c r="G100" s="101"/>
    </row>
    <row r="101" spans="1:15" s="86" customFormat="1">
      <c r="A101" s="191">
        <v>1405101</v>
      </c>
      <c r="B101" s="93" t="s">
        <v>19</v>
      </c>
      <c r="C101" s="90">
        <v>547054416</v>
      </c>
      <c r="D101" s="88"/>
      <c r="E101" s="88"/>
      <c r="F101" s="88"/>
      <c r="G101" s="187"/>
      <c r="I101" s="181"/>
      <c r="J101" s="181"/>
      <c r="K101" s="181"/>
      <c r="L101" s="181"/>
      <c r="M101" s="181"/>
      <c r="N101" s="181"/>
      <c r="O101" s="181"/>
    </row>
    <row r="102" spans="1:15" s="86" customFormat="1">
      <c r="A102" s="191">
        <v>1405102</v>
      </c>
      <c r="B102" s="201" t="s">
        <v>72</v>
      </c>
      <c r="C102" s="90">
        <v>62819769</v>
      </c>
      <c r="D102" s="88"/>
      <c r="E102" s="88"/>
      <c r="F102" s="88"/>
      <c r="G102" s="101"/>
    </row>
    <row r="103" spans="1:15">
      <c r="A103" s="192">
        <v>1405103</v>
      </c>
      <c r="B103" s="90" t="s">
        <v>74</v>
      </c>
      <c r="C103" s="90">
        <v>6000000</v>
      </c>
      <c r="D103" s="90"/>
      <c r="E103" s="90"/>
      <c r="F103" s="90"/>
      <c r="G103" s="99"/>
      <c r="H103" s="82"/>
      <c r="I103" s="83"/>
      <c r="J103" s="83"/>
      <c r="K103" s="83"/>
      <c r="L103" s="83"/>
      <c r="M103" s="83"/>
      <c r="N103" s="84"/>
      <c r="O103" s="84"/>
    </row>
    <row r="104" spans="1:15">
      <c r="A104" s="192">
        <v>1405104</v>
      </c>
      <c r="B104" s="90" t="s">
        <v>73</v>
      </c>
      <c r="C104" s="90">
        <v>55000000</v>
      </c>
      <c r="D104" s="90"/>
      <c r="E104" s="90"/>
      <c r="F104" s="90"/>
      <c r="G104" s="99"/>
      <c r="H104" s="82"/>
      <c r="I104" s="83"/>
      <c r="J104" s="83"/>
      <c r="K104" s="83"/>
      <c r="L104" s="83"/>
      <c r="M104" s="83"/>
      <c r="N104" s="83"/>
      <c r="O104" s="83"/>
    </row>
    <row r="105" spans="1:15">
      <c r="A105" s="192">
        <v>1405105</v>
      </c>
      <c r="B105" s="90" t="s">
        <v>75</v>
      </c>
      <c r="C105" s="90">
        <v>75400000</v>
      </c>
      <c r="D105" s="90"/>
      <c r="E105" s="90"/>
      <c r="F105" s="90"/>
      <c r="G105" s="186"/>
      <c r="H105" s="82"/>
      <c r="I105" s="83"/>
      <c r="J105" s="83"/>
      <c r="K105" s="83"/>
      <c r="L105" s="83"/>
      <c r="M105" s="83"/>
      <c r="N105" s="83"/>
      <c r="O105" s="83"/>
    </row>
    <row r="106" spans="1:15" s="86" customFormat="1">
      <c r="A106" s="192">
        <v>1405108</v>
      </c>
      <c r="B106" s="201" t="s">
        <v>125</v>
      </c>
      <c r="C106" s="88"/>
      <c r="D106" s="88"/>
      <c r="E106" s="88"/>
      <c r="F106" s="88"/>
      <c r="G106" s="101"/>
    </row>
    <row r="107" spans="1:15">
      <c r="A107" s="192">
        <v>140510801</v>
      </c>
      <c r="B107" s="200" t="s">
        <v>111</v>
      </c>
      <c r="C107" s="90">
        <v>500000</v>
      </c>
      <c r="D107" s="90"/>
      <c r="E107" s="90"/>
      <c r="F107" s="90"/>
      <c r="G107" s="99"/>
      <c r="H107" s="82"/>
    </row>
    <row r="108" spans="1:15">
      <c r="A108" s="192"/>
      <c r="B108" s="90"/>
      <c r="C108" s="90"/>
      <c r="D108" s="90"/>
      <c r="E108" s="90"/>
      <c r="F108" s="90"/>
      <c r="G108" s="99"/>
      <c r="H108" s="82"/>
    </row>
    <row r="109" spans="1:15" s="86" customFormat="1">
      <c r="A109" s="191">
        <v>14052</v>
      </c>
      <c r="B109" s="203" t="s">
        <v>71</v>
      </c>
      <c r="C109" s="88"/>
      <c r="D109" s="202">
        <f>SUM(C110:C113)</f>
        <v>21961605</v>
      </c>
      <c r="E109" s="88"/>
      <c r="F109" s="88"/>
      <c r="G109" s="101"/>
    </row>
    <row r="110" spans="1:15">
      <c r="A110" s="192">
        <v>1405201</v>
      </c>
      <c r="B110" s="200" t="s">
        <v>76</v>
      </c>
      <c r="C110" s="90">
        <v>21961605</v>
      </c>
      <c r="D110" s="90"/>
      <c r="E110" s="90"/>
      <c r="F110" s="90"/>
      <c r="G110" s="186"/>
      <c r="H110" s="82"/>
      <c r="I110" s="85"/>
      <c r="J110" s="85"/>
      <c r="K110" s="85"/>
      <c r="L110" s="85"/>
      <c r="M110" s="85"/>
      <c r="N110" s="85"/>
      <c r="O110" s="85"/>
    </row>
    <row r="111" spans="1:15">
      <c r="A111" s="192"/>
      <c r="B111" s="90"/>
      <c r="C111" s="90"/>
      <c r="D111" s="90"/>
      <c r="E111" s="90"/>
      <c r="F111" s="90"/>
      <c r="G111" s="99"/>
      <c r="H111" s="82"/>
    </row>
    <row r="112" spans="1:15" s="86" customFormat="1">
      <c r="A112" s="192">
        <v>1405208</v>
      </c>
      <c r="B112" s="201" t="s">
        <v>125</v>
      </c>
      <c r="C112" s="88"/>
      <c r="D112" s="88"/>
      <c r="E112" s="88"/>
      <c r="F112" s="88"/>
      <c r="G112" s="101"/>
    </row>
    <row r="113" spans="1:15">
      <c r="A113" s="192">
        <v>140520801</v>
      </c>
      <c r="B113" s="200" t="s">
        <v>77</v>
      </c>
      <c r="C113" s="90">
        <v>0</v>
      </c>
      <c r="D113" s="90"/>
      <c r="E113" s="90"/>
      <c r="F113" s="90"/>
      <c r="G113" s="99"/>
      <c r="H113" s="82"/>
    </row>
    <row r="114" spans="1:15">
      <c r="A114" s="192"/>
      <c r="B114" s="90"/>
      <c r="C114" s="88"/>
      <c r="D114" s="90"/>
      <c r="E114" s="90"/>
      <c r="F114" s="90"/>
      <c r="G114" s="189"/>
      <c r="H114" s="82"/>
      <c r="I114" s="95"/>
      <c r="J114" s="95"/>
      <c r="K114" s="95"/>
      <c r="L114" s="95"/>
      <c r="M114" s="95"/>
      <c r="N114" s="95"/>
      <c r="O114" s="94"/>
    </row>
    <row r="115" spans="1:15">
      <c r="A115" s="191">
        <v>15</v>
      </c>
      <c r="B115" s="88" t="s">
        <v>125</v>
      </c>
      <c r="C115" s="90"/>
      <c r="D115" s="7"/>
      <c r="E115" s="88"/>
      <c r="F115" s="88">
        <f>SUM(D117)</f>
        <v>0</v>
      </c>
      <c r="G115" s="101"/>
      <c r="H115" s="82"/>
      <c r="I115" s="95"/>
      <c r="J115" s="95"/>
      <c r="K115" s="95"/>
      <c r="L115" s="95"/>
      <c r="M115" s="95"/>
      <c r="N115" s="94"/>
      <c r="O115" s="94"/>
    </row>
    <row r="116" spans="1:15">
      <c r="A116" s="192"/>
      <c r="B116" s="90"/>
      <c r="C116" s="90"/>
      <c r="D116" s="90"/>
      <c r="E116" s="90"/>
      <c r="F116" s="90"/>
      <c r="G116" s="99"/>
      <c r="H116" s="82"/>
      <c r="I116" s="95"/>
      <c r="J116" s="95"/>
      <c r="K116" s="95"/>
      <c r="L116" s="95"/>
      <c r="M116" s="95"/>
      <c r="N116" s="94"/>
      <c r="O116" s="94"/>
    </row>
    <row r="117" spans="1:15">
      <c r="A117" s="191">
        <v>151</v>
      </c>
      <c r="B117" s="93" t="s">
        <v>192</v>
      </c>
      <c r="C117" s="90"/>
      <c r="D117" s="88">
        <f>SUM(C118:C119)</f>
        <v>0</v>
      </c>
      <c r="E117" s="90"/>
      <c r="F117" s="90"/>
      <c r="G117" s="99"/>
      <c r="H117" s="82"/>
      <c r="I117" s="94"/>
      <c r="J117" s="94"/>
      <c r="K117" s="94"/>
      <c r="L117" s="94"/>
      <c r="M117" s="94"/>
      <c r="N117" s="94"/>
      <c r="O117" s="94"/>
    </row>
    <row r="118" spans="1:15" ht="22.5">
      <c r="A118" s="192">
        <v>15101</v>
      </c>
      <c r="B118" s="98" t="s">
        <v>78</v>
      </c>
      <c r="C118" s="90">
        <v>0</v>
      </c>
      <c r="D118" s="90"/>
      <c r="E118" s="90"/>
      <c r="F118" s="90"/>
      <c r="G118" s="99"/>
      <c r="H118" s="82"/>
      <c r="I118" s="94"/>
      <c r="J118" s="94"/>
      <c r="K118" s="94"/>
      <c r="L118" s="94"/>
      <c r="M118" s="94"/>
      <c r="N118" s="94"/>
      <c r="O118" s="94"/>
    </row>
    <row r="119" spans="1:15" ht="12" thickBot="1">
      <c r="A119" s="195">
        <v>15102</v>
      </c>
      <c r="B119" s="183" t="s">
        <v>362</v>
      </c>
      <c r="C119" s="106">
        <v>0</v>
      </c>
      <c r="D119" s="106"/>
      <c r="E119" s="106"/>
      <c r="F119" s="106"/>
      <c r="G119" s="102"/>
      <c r="H119" s="82"/>
      <c r="I119" s="94"/>
      <c r="J119" s="94"/>
      <c r="K119" s="94"/>
      <c r="L119" s="94"/>
      <c r="M119" s="94"/>
      <c r="N119" s="94"/>
      <c r="O119" s="94"/>
    </row>
    <row r="120" spans="1:15">
      <c r="A120" s="197"/>
      <c r="B120" s="198"/>
      <c r="C120" s="97"/>
      <c r="D120" s="97"/>
      <c r="E120" s="97"/>
      <c r="F120" s="97"/>
      <c r="G120" s="97"/>
      <c r="H120" s="97"/>
      <c r="I120" s="94"/>
      <c r="J120" s="94"/>
      <c r="K120" s="94"/>
      <c r="L120" s="94"/>
      <c r="M120" s="94"/>
      <c r="N120" s="94"/>
      <c r="O120" s="94"/>
    </row>
    <row r="121" spans="1:15" ht="12" thickBot="1">
      <c r="A121" s="190"/>
      <c r="B121" s="96"/>
      <c r="C121" s="96"/>
      <c r="D121" s="96"/>
      <c r="E121" s="96"/>
      <c r="F121" s="96"/>
      <c r="G121" s="96"/>
      <c r="H121" s="97"/>
      <c r="I121" s="94"/>
      <c r="J121" s="94"/>
      <c r="K121" s="94"/>
      <c r="L121" s="94"/>
      <c r="M121" s="94"/>
      <c r="N121" s="94"/>
      <c r="O121" s="94"/>
    </row>
    <row r="122" spans="1:15">
      <c r="B122" s="207" t="s">
        <v>183</v>
      </c>
      <c r="C122" s="208">
        <f>+F20+C102</f>
        <v>875163289</v>
      </c>
      <c r="D122" s="209">
        <f>+C122*0.2</f>
        <v>175032657.80000001</v>
      </c>
      <c r="E122" s="210"/>
      <c r="F122" s="210"/>
      <c r="G122" s="210"/>
      <c r="H122" s="210"/>
      <c r="I122" s="94"/>
      <c r="J122" s="94"/>
      <c r="K122" s="94"/>
      <c r="L122" s="94"/>
      <c r="M122" s="94"/>
      <c r="N122" s="94"/>
      <c r="O122" s="94"/>
    </row>
    <row r="123" spans="1:15">
      <c r="B123" s="211" t="s">
        <v>211</v>
      </c>
      <c r="C123" s="212">
        <f>+C122*80%</f>
        <v>700130631.20000005</v>
      </c>
      <c r="D123" s="209"/>
      <c r="E123" s="210"/>
      <c r="F123" s="210"/>
      <c r="G123" s="210"/>
      <c r="H123" s="210"/>
      <c r="I123" s="94"/>
      <c r="J123" s="94"/>
      <c r="K123" s="94"/>
      <c r="L123" s="94"/>
      <c r="M123" s="94"/>
      <c r="N123" s="94"/>
      <c r="O123" s="94"/>
    </row>
    <row r="124" spans="1:15">
      <c r="B124" s="211" t="s">
        <v>180</v>
      </c>
      <c r="C124" s="212">
        <f>+F139</f>
        <v>499837400</v>
      </c>
      <c r="D124" s="209"/>
      <c r="E124" s="210"/>
      <c r="F124" s="210"/>
      <c r="G124" s="210"/>
      <c r="H124" s="210"/>
      <c r="I124" s="94"/>
      <c r="J124" s="94"/>
      <c r="K124" s="94"/>
      <c r="L124" s="94"/>
      <c r="M124" s="94"/>
      <c r="N124" s="94"/>
      <c r="O124" s="94"/>
    </row>
    <row r="125" spans="1:15">
      <c r="B125" s="211" t="s">
        <v>605</v>
      </c>
      <c r="C125" s="212">
        <f>+F203</f>
        <v>92041050</v>
      </c>
      <c r="D125" s="209"/>
      <c r="E125" s="210"/>
      <c r="F125" s="210"/>
      <c r="G125" s="210"/>
      <c r="H125" s="210"/>
      <c r="I125" s="94"/>
      <c r="J125" s="94"/>
      <c r="K125" s="94"/>
      <c r="L125" s="94"/>
      <c r="M125" s="94"/>
      <c r="N125" s="94"/>
      <c r="O125" s="94"/>
    </row>
    <row r="126" spans="1:15">
      <c r="B126" s="211" t="s">
        <v>606</v>
      </c>
      <c r="C126" s="212">
        <f>+F205</f>
        <v>83553600</v>
      </c>
      <c r="D126" s="209"/>
      <c r="E126" s="210"/>
      <c r="F126" s="210"/>
      <c r="G126" s="210"/>
      <c r="H126" s="210"/>
      <c r="I126" s="94"/>
      <c r="J126" s="94"/>
      <c r="K126" s="94"/>
      <c r="L126" s="94"/>
      <c r="M126" s="94"/>
      <c r="N126" s="94"/>
      <c r="O126" s="94"/>
    </row>
    <row r="127" spans="1:15">
      <c r="B127" s="213" t="s">
        <v>181</v>
      </c>
      <c r="C127" s="214">
        <f>SUM(C124:C126)</f>
        <v>675432050</v>
      </c>
      <c r="D127" s="209">
        <f>+C123-C127</f>
        <v>24698581.200000048</v>
      </c>
      <c r="E127" s="210"/>
      <c r="F127" s="210"/>
      <c r="G127" s="210"/>
      <c r="H127" s="210"/>
      <c r="I127" s="94"/>
      <c r="J127" s="94"/>
      <c r="K127" s="94"/>
      <c r="L127" s="94"/>
      <c r="M127" s="94"/>
      <c r="N127" s="94"/>
      <c r="O127" s="94"/>
    </row>
    <row r="128" spans="1:15">
      <c r="B128" s="100" t="s">
        <v>182</v>
      </c>
      <c r="C128" s="215">
        <f>+C122-C127</f>
        <v>199731239</v>
      </c>
      <c r="D128" s="209"/>
      <c r="E128" s="210"/>
      <c r="F128" s="210"/>
      <c r="G128" s="210"/>
      <c r="H128" s="210"/>
      <c r="I128" s="94"/>
      <c r="J128" s="94"/>
      <c r="K128" s="94"/>
      <c r="L128" s="94"/>
      <c r="M128" s="94"/>
      <c r="N128" s="94"/>
      <c r="O128" s="94"/>
    </row>
    <row r="129" spans="1:15">
      <c r="B129" s="100" t="s">
        <v>469</v>
      </c>
      <c r="C129" s="215">
        <f>+C218+F218+E218+G218</f>
        <v>2115616100</v>
      </c>
      <c r="D129" s="209"/>
      <c r="E129" s="210"/>
      <c r="F129" s="210"/>
      <c r="G129" s="210"/>
      <c r="H129" s="210"/>
      <c r="I129" s="94"/>
      <c r="J129" s="94"/>
      <c r="K129" s="94"/>
      <c r="L129" s="94"/>
      <c r="M129" s="94"/>
      <c r="N129" s="94"/>
      <c r="O129" s="94"/>
    </row>
    <row r="130" spans="1:15">
      <c r="B130" s="216" t="s">
        <v>85</v>
      </c>
      <c r="C130" s="217">
        <f>SUM(C128:C129)</f>
        <v>2315347339</v>
      </c>
      <c r="D130" s="209"/>
      <c r="E130" s="210"/>
      <c r="F130" s="210"/>
      <c r="G130" s="210"/>
      <c r="H130" s="210"/>
      <c r="I130" s="94"/>
      <c r="J130" s="94"/>
      <c r="K130" s="94"/>
      <c r="L130" s="94"/>
      <c r="M130" s="94"/>
      <c r="N130" s="94"/>
      <c r="O130" s="94"/>
    </row>
    <row r="131" spans="1:15">
      <c r="B131" s="100" t="s">
        <v>184</v>
      </c>
      <c r="C131" s="215">
        <f>+C130+C127</f>
        <v>2990779389</v>
      </c>
      <c r="D131" s="209"/>
      <c r="E131" s="210"/>
      <c r="F131" s="210"/>
      <c r="G131" s="210"/>
      <c r="H131" s="210"/>
      <c r="I131" s="94"/>
      <c r="J131" s="94"/>
      <c r="K131" s="94"/>
      <c r="L131" s="94"/>
      <c r="M131" s="94"/>
      <c r="N131" s="94"/>
      <c r="O131" s="94"/>
    </row>
    <row r="132" spans="1:15" ht="12.75" thickBot="1">
      <c r="B132" s="218" t="s">
        <v>150</v>
      </c>
      <c r="C132" s="219">
        <f>+G18-G136</f>
        <v>0</v>
      </c>
      <c r="D132" s="220"/>
      <c r="E132" s="210"/>
      <c r="F132" s="210"/>
      <c r="G132" s="210"/>
      <c r="H132" s="82"/>
      <c r="I132" s="94"/>
      <c r="J132" s="94"/>
      <c r="K132" s="94"/>
      <c r="L132" s="94"/>
      <c r="M132" s="94"/>
      <c r="N132" s="94"/>
      <c r="O132" s="94"/>
    </row>
    <row r="133" spans="1:15" s="94" customFormat="1" ht="12">
      <c r="A133" s="264"/>
      <c r="B133" s="210"/>
      <c r="C133" s="210"/>
      <c r="D133" s="316"/>
      <c r="E133" s="210"/>
      <c r="F133" s="210"/>
      <c r="G133" s="210"/>
    </row>
    <row r="134" spans="1:15" s="94" customFormat="1" ht="12">
      <c r="A134" s="264"/>
      <c r="B134" s="210"/>
      <c r="C134" s="210"/>
      <c r="D134" s="316"/>
      <c r="E134" s="210"/>
      <c r="F134" s="210"/>
      <c r="G134" s="210"/>
    </row>
    <row r="135" spans="1:15" s="280" customFormat="1" ht="13.5" customHeight="1" thickBot="1">
      <c r="A135" s="525" t="s">
        <v>31</v>
      </c>
      <c r="B135" s="525"/>
      <c r="C135" s="525"/>
      <c r="D135" s="525"/>
      <c r="E135" s="525"/>
      <c r="F135" s="525"/>
      <c r="G135" s="277">
        <f>+G136</f>
        <v>2990779389</v>
      </c>
      <c r="I135" s="278">
        <f>+G17-G135</f>
        <v>0</v>
      </c>
      <c r="J135" s="278" t="s">
        <v>90</v>
      </c>
      <c r="K135" s="278"/>
      <c r="L135" s="278"/>
      <c r="M135" s="279"/>
      <c r="N135" s="279"/>
      <c r="O135" s="279"/>
    </row>
    <row r="136" spans="1:15" ht="12" thickBot="1">
      <c r="A136" s="221" t="s">
        <v>173</v>
      </c>
      <c r="B136" s="222" t="s">
        <v>126</v>
      </c>
      <c r="C136" s="222"/>
      <c r="D136" s="223"/>
      <c r="E136" s="223"/>
      <c r="F136" s="223" t="s">
        <v>115</v>
      </c>
      <c r="G136" s="224">
        <f>+F138+H218</f>
        <v>2990779389</v>
      </c>
      <c r="H136" s="210"/>
      <c r="I136" s="95"/>
      <c r="J136" s="95"/>
      <c r="K136" s="95"/>
      <c r="L136" s="95"/>
      <c r="M136" s="94"/>
      <c r="N136" s="94"/>
      <c r="O136" s="94"/>
    </row>
    <row r="137" spans="1:15">
      <c r="A137" s="225"/>
      <c r="B137" s="226"/>
      <c r="C137" s="227"/>
      <c r="D137" s="226"/>
      <c r="E137" s="226"/>
      <c r="F137" s="226"/>
      <c r="G137" s="226"/>
      <c r="H137" s="210"/>
      <c r="I137" s="94"/>
      <c r="J137" s="94"/>
      <c r="K137" s="94"/>
      <c r="L137" s="94"/>
      <c r="M137" s="94"/>
      <c r="N137" s="94"/>
      <c r="O137" s="94"/>
    </row>
    <row r="138" spans="1:15">
      <c r="A138" s="228" t="s">
        <v>188</v>
      </c>
      <c r="B138" s="93" t="s">
        <v>161</v>
      </c>
      <c r="C138" s="229"/>
      <c r="D138" s="93"/>
      <c r="E138" s="93"/>
      <c r="F138" s="93">
        <f>+F139+F203+F205</f>
        <v>675432050</v>
      </c>
      <c r="G138" s="7"/>
      <c r="H138" s="210"/>
      <c r="I138" s="94"/>
      <c r="J138" s="94"/>
      <c r="K138" s="94"/>
      <c r="L138" s="94"/>
      <c r="M138" s="94"/>
      <c r="N138" s="94"/>
      <c r="O138" s="94"/>
    </row>
    <row r="139" spans="1:15">
      <c r="A139" s="228" t="str">
        <f>+'ANEXO1. GASTOS FUNCIONAMIENTO'!A3</f>
        <v>213</v>
      </c>
      <c r="B139" s="230" t="str">
        <f>+'ANEXO1. GASTOS FUNCIONAMIENTO'!B3</f>
        <v>ALCALDIA  Y SUS DEPENDENCIAS</v>
      </c>
      <c r="C139" s="229"/>
      <c r="D139" s="111"/>
      <c r="E139" s="230"/>
      <c r="F139" s="93">
        <f>SUM(E140:E197)</f>
        <v>499837400</v>
      </c>
      <c r="G139" s="230"/>
      <c r="H139" s="210"/>
      <c r="I139" s="105"/>
      <c r="J139" s="94"/>
      <c r="K139" s="94"/>
      <c r="L139" s="94"/>
      <c r="M139" s="94"/>
      <c r="N139" s="94"/>
      <c r="O139" s="94"/>
    </row>
    <row r="140" spans="1:15">
      <c r="A140" s="228" t="str">
        <f>+'ANEXO1. GASTOS FUNCIONAMIENTO'!A4</f>
        <v>2131</v>
      </c>
      <c r="B140" s="230" t="str">
        <f>+'ANEXO1. GASTOS FUNCIONAMIENTO'!B4</f>
        <v>SERVICIOS PERSONALES</v>
      </c>
      <c r="C140" s="229"/>
      <c r="D140" s="230"/>
      <c r="E140" s="230">
        <f>+D141+D152+D157+D164</f>
        <v>350637400</v>
      </c>
      <c r="F140" s="111"/>
      <c r="G140" s="111"/>
      <c r="H140" s="210"/>
      <c r="I140" s="94"/>
      <c r="J140" s="94"/>
      <c r="K140" s="94"/>
      <c r="L140" s="94"/>
      <c r="M140" s="94"/>
      <c r="N140" s="94"/>
      <c r="O140" s="94"/>
    </row>
    <row r="141" spans="1:15">
      <c r="A141" s="228" t="str">
        <f>+'ANEXO1. GASTOS FUNCIONAMIENTO'!A5</f>
        <v>21311</v>
      </c>
      <c r="B141" s="230" t="str">
        <f>+'ANEXO1. GASTOS FUNCIONAMIENTO'!B5</f>
        <v>Servicios personales asociados a la nomina</v>
      </c>
      <c r="C141" s="229"/>
      <c r="D141" s="230">
        <f>SUM(C142:C150)</f>
        <v>242703400</v>
      </c>
      <c r="E141" s="111"/>
      <c r="F141" s="111"/>
      <c r="G141" s="111"/>
      <c r="H141" s="210"/>
      <c r="I141" s="94"/>
      <c r="J141" s="94"/>
      <c r="K141" s="94"/>
      <c r="L141" s="94"/>
      <c r="M141" s="94"/>
      <c r="N141" s="94"/>
      <c r="O141" s="94"/>
    </row>
    <row r="142" spans="1:15">
      <c r="A142" s="231" t="str">
        <f>+'ANEXO1. GASTOS FUNCIONAMIENTO'!A6</f>
        <v>2131101</v>
      </c>
      <c r="B142" s="111" t="str">
        <f>+'ANEXO1. GASTOS FUNCIONAMIENTO'!B6</f>
        <v>Sueldo personal de nomina</v>
      </c>
      <c r="C142" s="232">
        <f>+'ANEXO1. GASTOS FUNCIONAMIENTO'!C6</f>
        <v>144703000</v>
      </c>
      <c r="D142" s="111"/>
      <c r="E142" s="111"/>
      <c r="F142" s="111"/>
      <c r="G142" s="111"/>
      <c r="H142" s="210"/>
      <c r="I142" s="94"/>
      <c r="J142" s="94"/>
      <c r="K142" s="94"/>
      <c r="L142" s="94"/>
      <c r="M142" s="94"/>
      <c r="N142" s="94"/>
      <c r="O142" s="94"/>
    </row>
    <row r="143" spans="1:15">
      <c r="A143" s="231" t="str">
        <f>+'ANEXO1. GASTOS FUNCIONAMIENTO'!A7</f>
        <v>2131102</v>
      </c>
      <c r="B143" s="111" t="str">
        <f>+'ANEXO1. GASTOS FUNCIONAMIENTO'!B7</f>
        <v>Prima de vacaciones</v>
      </c>
      <c r="C143" s="232">
        <f>+'ANEXO1. GASTOS FUNCIONAMIENTO'!C7</f>
        <v>6532000</v>
      </c>
      <c r="D143" s="111"/>
      <c r="E143" s="111"/>
      <c r="F143" s="111"/>
      <c r="G143" s="111"/>
      <c r="H143" s="210"/>
      <c r="I143" s="94"/>
      <c r="J143" s="94"/>
      <c r="K143" s="94"/>
      <c r="L143" s="94"/>
      <c r="M143" s="94"/>
      <c r="N143" s="94"/>
      <c r="O143" s="94"/>
    </row>
    <row r="144" spans="1:15">
      <c r="A144" s="231" t="str">
        <f>+'ANEXO1. GASTOS FUNCIONAMIENTO'!A8</f>
        <v>2131103</v>
      </c>
      <c r="B144" s="111" t="str">
        <f>+'ANEXO1. GASTOS FUNCIONAMIENTO'!B8</f>
        <v>Prima de Navidad</v>
      </c>
      <c r="C144" s="232">
        <f>+'ANEXO1. GASTOS FUNCIONAMIENTO'!C8</f>
        <v>13608000</v>
      </c>
      <c r="D144" s="111"/>
      <c r="E144" s="111"/>
      <c r="F144" s="111"/>
      <c r="G144" s="111"/>
      <c r="H144" s="210"/>
      <c r="I144" s="94"/>
      <c r="J144" s="94"/>
      <c r="K144" s="94"/>
      <c r="L144" s="94"/>
      <c r="M144" s="94"/>
      <c r="N144" s="94"/>
      <c r="O144" s="94"/>
    </row>
    <row r="145" spans="1:15">
      <c r="A145" s="231" t="str">
        <f>+'ANEXO1. GASTOS FUNCIONAMIENTO'!A9</f>
        <v>2131104</v>
      </c>
      <c r="B145" s="111" t="str">
        <f>+'ANEXO1. GASTOS FUNCIONAMIENTO'!B9</f>
        <v>Indeminización de vacaciones</v>
      </c>
      <c r="C145" s="232">
        <f>+'ANEXO1. GASTOS FUNCIONAMIENTO'!C9</f>
        <v>9245000</v>
      </c>
      <c r="D145" s="111"/>
      <c r="E145" s="111"/>
      <c r="F145" s="111"/>
      <c r="G145" s="111"/>
      <c r="H145" s="210"/>
      <c r="I145" s="94"/>
      <c r="J145" s="94"/>
      <c r="K145" s="94"/>
      <c r="L145" s="94"/>
      <c r="M145" s="94"/>
      <c r="N145" s="94"/>
      <c r="O145" s="94"/>
    </row>
    <row r="146" spans="1:15">
      <c r="A146" s="231" t="str">
        <f>+'ANEXO1. GASTOS FUNCIONAMIENTO'!A10</f>
        <v>2131105</v>
      </c>
      <c r="B146" s="111" t="str">
        <f>+'ANEXO1. GASTOS FUNCIONAMIENTO'!B10</f>
        <v>Bonificacion  por dirección</v>
      </c>
      <c r="C146" s="232">
        <f>+'ANEXO1. GASTOS FUNCIONAMIENTO'!C10</f>
        <v>22815400</v>
      </c>
      <c r="D146" s="111"/>
      <c r="E146" s="111"/>
      <c r="F146" s="111"/>
      <c r="G146" s="111"/>
      <c r="H146" s="210"/>
      <c r="I146" s="94"/>
      <c r="J146" s="94"/>
      <c r="K146" s="94"/>
      <c r="L146" s="94"/>
      <c r="M146" s="94"/>
      <c r="N146" s="94"/>
      <c r="O146" s="94"/>
    </row>
    <row r="147" spans="1:15">
      <c r="A147" s="231" t="str">
        <f>+'ANEXO1. GASTOS FUNCIONAMIENTO'!A11</f>
        <v>2131106</v>
      </c>
      <c r="B147" s="111" t="str">
        <f>+'ANEXO1. GASTOS FUNCIONAMIENTO'!B11</f>
        <v>Bonificacion  por recreación</v>
      </c>
      <c r="C147" s="232">
        <f>+'ANEXO1. GASTOS FUNCIONAMIENTO'!C11</f>
        <v>804000</v>
      </c>
      <c r="D147" s="111"/>
      <c r="E147" s="111"/>
      <c r="F147" s="111"/>
      <c r="G147" s="111"/>
      <c r="H147" s="210"/>
      <c r="I147" s="94"/>
      <c r="J147" s="94"/>
      <c r="K147" s="94"/>
      <c r="L147" s="94"/>
      <c r="M147" s="94"/>
      <c r="N147" s="94"/>
      <c r="O147" s="94"/>
    </row>
    <row r="148" spans="1:15">
      <c r="A148" s="231" t="str">
        <f>+'ANEXO1. GASTOS FUNCIONAMIENTO'!A12</f>
        <v>2131107</v>
      </c>
      <c r="B148" s="111" t="str">
        <f>+'ANEXO1. GASTOS FUNCIONAMIENTO'!B12</f>
        <v>Prima de servicios</v>
      </c>
      <c r="C148" s="232">
        <f>+'ANEXO1. GASTOS FUNCIONAMIENTO'!C12</f>
        <v>12059000</v>
      </c>
      <c r="D148" s="111"/>
      <c r="E148" s="111"/>
      <c r="F148" s="111"/>
      <c r="G148" s="111"/>
      <c r="H148" s="210"/>
      <c r="I148" s="94"/>
      <c r="J148" s="94"/>
      <c r="K148" s="94"/>
      <c r="L148" s="94"/>
      <c r="M148" s="94"/>
      <c r="N148" s="94"/>
      <c r="O148" s="94"/>
    </row>
    <row r="149" spans="1:15">
      <c r="A149" s="231" t="str">
        <f>+'ANEXO1. GASTOS FUNCIONAMIENTO'!A13</f>
        <v>2131108</v>
      </c>
      <c r="B149" s="111" t="str">
        <f>+'ANEXO1. GASTOS FUNCIONAMIENTO'!B13</f>
        <v>Mesadas pensionales</v>
      </c>
      <c r="C149" s="232">
        <f>+'ANEXO1. GASTOS FUNCIONAMIENTO'!C13</f>
        <v>24537000</v>
      </c>
      <c r="D149" s="111"/>
      <c r="E149" s="111"/>
      <c r="F149" s="111"/>
      <c r="G149" s="111"/>
      <c r="H149" s="210"/>
      <c r="I149" s="94"/>
      <c r="J149" s="94"/>
      <c r="K149" s="94"/>
      <c r="L149" s="94"/>
      <c r="M149" s="94"/>
      <c r="N149" s="94"/>
      <c r="O149" s="94"/>
    </row>
    <row r="150" spans="1:15">
      <c r="A150" s="231" t="str">
        <f>+'ANEXO1. GASTOS FUNCIONAMIENTO'!A14</f>
        <v>2131109</v>
      </c>
      <c r="B150" s="111" t="str">
        <f>+'ANEXO1. GASTOS FUNCIONAMIENTO'!B14</f>
        <v>Dotacion a empleados</v>
      </c>
      <c r="C150" s="232">
        <f>+'ANEXO1. GASTOS FUNCIONAMIENTO'!C14</f>
        <v>8400000</v>
      </c>
      <c r="D150" s="111"/>
      <c r="E150" s="111"/>
      <c r="F150" s="111"/>
      <c r="G150" s="111"/>
      <c r="H150" s="210"/>
      <c r="I150" s="94"/>
      <c r="J150" s="94"/>
      <c r="K150" s="94"/>
      <c r="L150" s="94"/>
      <c r="M150" s="94"/>
      <c r="N150" s="94"/>
      <c r="O150" s="94"/>
    </row>
    <row r="151" spans="1:15">
      <c r="A151" s="231"/>
      <c r="B151" s="111"/>
      <c r="C151" s="232"/>
      <c r="D151" s="111"/>
      <c r="E151" s="111"/>
      <c r="F151" s="111"/>
      <c r="G151" s="111"/>
      <c r="H151" s="210"/>
      <c r="I151" s="94"/>
      <c r="J151" s="94"/>
      <c r="K151" s="94"/>
      <c r="L151" s="94"/>
      <c r="M151" s="94"/>
      <c r="N151" s="94"/>
      <c r="O151" s="94"/>
    </row>
    <row r="152" spans="1:15">
      <c r="A152" s="228" t="str">
        <f>+'ANEXO1. GASTOS FUNCIONAMIENTO'!A16</f>
        <v>21313</v>
      </c>
      <c r="B152" s="230" t="str">
        <f>+'ANEXO1. GASTOS FUNCIONAMIENTO'!B16</f>
        <v>Servicios personales indirectos</v>
      </c>
      <c r="C152" s="229"/>
      <c r="D152" s="230">
        <f>SUM(C153:C155)</f>
        <v>41000000</v>
      </c>
      <c r="E152" s="111"/>
      <c r="F152" s="111"/>
      <c r="G152" s="111"/>
      <c r="H152" s="210"/>
      <c r="I152" s="94"/>
      <c r="J152" s="94"/>
      <c r="K152" s="94"/>
      <c r="L152" s="94"/>
      <c r="M152" s="94"/>
      <c r="N152" s="94"/>
      <c r="O152" s="94"/>
    </row>
    <row r="153" spans="1:15">
      <c r="A153" s="231" t="str">
        <f>+'ANEXO1. GASTOS FUNCIONAMIENTO'!A17</f>
        <v>2131301</v>
      </c>
      <c r="B153" s="111" t="str">
        <f>+'ANEXO1. GASTOS FUNCIONAMIENTO'!B17</f>
        <v>Remuneración servicios técnicos</v>
      </c>
      <c r="C153" s="232">
        <f>+'ANEXO1. GASTOS FUNCIONAMIENTO'!C17</f>
        <v>25000000</v>
      </c>
      <c r="D153" s="111"/>
      <c r="E153" s="111"/>
      <c r="F153" s="111"/>
      <c r="G153" s="111"/>
      <c r="H153" s="210"/>
      <c r="I153" s="95"/>
      <c r="J153" s="95"/>
      <c r="K153" s="95"/>
      <c r="L153" s="95"/>
      <c r="M153" s="95"/>
      <c r="N153" s="94"/>
      <c r="O153" s="94"/>
    </row>
    <row r="154" spans="1:15">
      <c r="A154" s="231" t="str">
        <f>+'ANEXO1. GASTOS FUNCIONAMIENTO'!A18</f>
        <v>2131302</v>
      </c>
      <c r="B154" s="111" t="str">
        <f>+'ANEXO1. GASTOS FUNCIONAMIENTO'!B18</f>
        <v>Honorarios</v>
      </c>
      <c r="C154" s="232">
        <f>+'ANEXO1. GASTOS FUNCIONAMIENTO'!C18</f>
        <v>14000000</v>
      </c>
      <c r="D154" s="111"/>
      <c r="E154" s="111"/>
      <c r="F154" s="111"/>
      <c r="G154" s="111"/>
      <c r="H154" s="210"/>
      <c r="I154" s="95"/>
      <c r="J154" s="95"/>
      <c r="K154" s="95"/>
      <c r="L154" s="95"/>
      <c r="M154" s="95"/>
      <c r="N154" s="94"/>
      <c r="O154" s="94"/>
    </row>
    <row r="155" spans="1:15">
      <c r="A155" s="231" t="str">
        <f>+'ANEXO1. GASTOS FUNCIONAMIENTO'!A19</f>
        <v>2121303</v>
      </c>
      <c r="B155" s="111" t="str">
        <f>+'ANEXO1. GASTOS FUNCIONAMIENTO'!B19</f>
        <v>Supernumerarios y aprendices Sena</v>
      </c>
      <c r="C155" s="232">
        <f>+'ANEXO1. GASTOS FUNCIONAMIENTO'!C19</f>
        <v>2000000</v>
      </c>
      <c r="D155" s="111"/>
      <c r="E155" s="111"/>
      <c r="F155" s="111"/>
      <c r="G155" s="111"/>
      <c r="H155" s="210"/>
      <c r="I155" s="95"/>
      <c r="J155" s="95"/>
      <c r="K155" s="95"/>
      <c r="L155" s="95"/>
      <c r="M155" s="95"/>
      <c r="N155" s="94"/>
      <c r="O155" s="94"/>
    </row>
    <row r="156" spans="1:15">
      <c r="A156" s="231"/>
      <c r="B156" s="111"/>
      <c r="C156" s="232"/>
      <c r="D156" s="111"/>
      <c r="E156" s="111"/>
      <c r="F156" s="111"/>
      <c r="G156" s="111"/>
      <c r="H156" s="210"/>
      <c r="I156" s="95"/>
      <c r="J156" s="95"/>
      <c r="K156" s="95"/>
      <c r="L156" s="95"/>
      <c r="M156" s="95"/>
      <c r="N156" s="94"/>
      <c r="O156" s="94"/>
    </row>
    <row r="157" spans="1:15" ht="22.5">
      <c r="A157" s="228" t="str">
        <f>+'ANEXO1. GASTOS FUNCIONAMIENTO'!A21</f>
        <v>2131402</v>
      </c>
      <c r="B157" s="230" t="str">
        <f>+'ANEXO1. GASTOS FUNCIONAMIENTO'!B21</f>
        <v>Contribuciones inherentes a la nomina del sector privado</v>
      </c>
      <c r="C157" s="229"/>
      <c r="D157" s="230">
        <f>SUM(C158:C163)</f>
        <v>54078000</v>
      </c>
      <c r="E157" s="111"/>
      <c r="F157" s="111"/>
      <c r="G157" s="111"/>
      <c r="H157" s="210"/>
      <c r="I157" s="95"/>
      <c r="J157" s="95"/>
      <c r="K157" s="95"/>
      <c r="L157" s="95"/>
      <c r="M157" s="95"/>
      <c r="N157" s="94"/>
      <c r="O157" s="94"/>
    </row>
    <row r="158" spans="1:15">
      <c r="A158" s="231" t="str">
        <f>+'ANEXO1. GASTOS FUNCIONAMIENTO'!A22</f>
        <v>213140201</v>
      </c>
      <c r="B158" s="111" t="str">
        <f>+'ANEXO1. GASTOS FUNCIONAMIENTO'!B22</f>
        <v>Caja de compensación familiar COMFABOY</v>
      </c>
      <c r="C158" s="232">
        <f>+'ANEXO1. GASTOS FUNCIONAMIENTO'!C22</f>
        <v>5788000</v>
      </c>
      <c r="D158" s="111"/>
      <c r="E158" s="111"/>
      <c r="F158" s="111"/>
      <c r="G158" s="111"/>
      <c r="H158" s="210"/>
      <c r="I158" s="95"/>
      <c r="J158" s="95"/>
      <c r="K158" s="95"/>
      <c r="L158" s="95"/>
      <c r="M158" s="95"/>
      <c r="N158" s="94"/>
      <c r="O158" s="94"/>
    </row>
    <row r="159" spans="1:15">
      <c r="A159" s="231" t="str">
        <f>+'ANEXO1. GASTOS FUNCIONAMIENTO'!A23</f>
        <v>213140202</v>
      </c>
      <c r="B159" s="111" t="str">
        <f>+'ANEXO1. GASTOS FUNCIONAMIENTO'!B23</f>
        <v>EPS Salud</v>
      </c>
      <c r="C159" s="232">
        <f>+'ANEXO1. GASTOS FUNCIONAMIENTO'!C23</f>
        <v>12300000</v>
      </c>
      <c r="D159" s="111"/>
      <c r="E159" s="111"/>
      <c r="F159" s="111"/>
      <c r="G159" s="111"/>
      <c r="H159" s="210"/>
      <c r="I159" s="95"/>
      <c r="J159" s="95"/>
      <c r="K159" s="95"/>
      <c r="L159" s="95"/>
      <c r="M159" s="95"/>
      <c r="N159" s="94"/>
      <c r="O159" s="94"/>
    </row>
    <row r="160" spans="1:15">
      <c r="A160" s="231" t="str">
        <f>+'ANEXO1. GASTOS FUNCIONAMIENTO'!A24</f>
        <v>213140203</v>
      </c>
      <c r="B160" s="111" t="str">
        <f>+'ANEXO1. GASTOS FUNCIONAMIENTO'!B24</f>
        <v>Administración riesgos profesionales</v>
      </c>
      <c r="C160" s="232">
        <f>+'ANEXO1. GASTOS FUNCIONAMIENTO'!C24</f>
        <v>2115000</v>
      </c>
      <c r="D160" s="111"/>
      <c r="E160" s="111"/>
      <c r="F160" s="111"/>
      <c r="G160" s="111"/>
      <c r="H160" s="210"/>
      <c r="I160" s="95"/>
      <c r="J160" s="95"/>
      <c r="K160" s="95"/>
      <c r="L160" s="95"/>
      <c r="M160" s="95"/>
      <c r="N160" s="94"/>
      <c r="O160" s="94"/>
    </row>
    <row r="161" spans="1:15">
      <c r="A161" s="231" t="str">
        <f>+'ANEXO1. GASTOS FUNCIONAMIENTO'!A25</f>
        <v>213140204</v>
      </c>
      <c r="B161" s="111" t="str">
        <f>+'ANEXO1. GASTOS FUNCIONAMIENTO'!B25</f>
        <v>Fondo de cesantias</v>
      </c>
      <c r="C161" s="232">
        <f>+'ANEXO1. GASTOS FUNCIONAMIENTO'!C25</f>
        <v>14742000</v>
      </c>
      <c r="D161" s="230"/>
      <c r="E161" s="111"/>
      <c r="F161" s="111"/>
      <c r="G161" s="111"/>
      <c r="H161" s="210"/>
      <c r="I161" s="95"/>
      <c r="J161" s="95"/>
      <c r="K161" s="95"/>
      <c r="L161" s="95"/>
      <c r="M161" s="95"/>
      <c r="N161" s="94"/>
      <c r="O161" s="94"/>
    </row>
    <row r="162" spans="1:15">
      <c r="A162" s="231" t="str">
        <f>+'ANEXO1. GASTOS FUNCIONAMIENTO'!A26</f>
        <v>213140205</v>
      </c>
      <c r="B162" s="111" t="str">
        <f>+'ANEXO1. GASTOS FUNCIONAMIENTO'!B26</f>
        <v>Intereses a las cesantìas</v>
      </c>
      <c r="C162" s="232">
        <f>+'ANEXO1. GASTOS FUNCIONAMIENTO'!C26</f>
        <v>1769000</v>
      </c>
      <c r="D162" s="111"/>
      <c r="E162" s="111"/>
      <c r="F162" s="111"/>
      <c r="G162" s="111"/>
      <c r="H162" s="210"/>
      <c r="I162" s="94"/>
      <c r="J162" s="94"/>
      <c r="K162" s="94"/>
      <c r="L162" s="94"/>
      <c r="M162" s="94"/>
      <c r="N162" s="94"/>
      <c r="O162" s="94"/>
    </row>
    <row r="163" spans="1:15">
      <c r="A163" s="231" t="str">
        <f>+'ANEXO1. GASTOS FUNCIONAMIENTO'!A27</f>
        <v>213140206</v>
      </c>
      <c r="B163" s="111" t="str">
        <f>+'ANEXO1. GASTOS FUNCIONAMIENTO'!B27</f>
        <v>Aportes  a  Pensiones</v>
      </c>
      <c r="C163" s="232">
        <f>+'ANEXO1. GASTOS FUNCIONAMIENTO'!C27</f>
        <v>17364000</v>
      </c>
      <c r="D163" s="111"/>
      <c r="E163" s="111"/>
      <c r="F163" s="111"/>
      <c r="G163" s="111"/>
      <c r="H163" s="210"/>
      <c r="I163" s="94"/>
      <c r="J163" s="94"/>
      <c r="K163" s="94"/>
      <c r="L163" s="94"/>
      <c r="M163" s="94"/>
      <c r="N163" s="94"/>
      <c r="O163" s="94"/>
    </row>
    <row r="164" spans="1:15" ht="22.5">
      <c r="A164" s="228" t="str">
        <f>+'ANEXO1. GASTOS FUNCIONAMIENTO'!A28</f>
        <v>2131401</v>
      </c>
      <c r="B164" s="230" t="str">
        <f>+'ANEXO1. GASTOS FUNCIONAMIENTO'!B28</f>
        <v>Contribuciones inherentes a la nomina del sector publico</v>
      </c>
      <c r="C164" s="229"/>
      <c r="D164" s="230">
        <f>SUM(C165:C169)</f>
        <v>12856000</v>
      </c>
      <c r="E164" s="111"/>
      <c r="F164" s="111"/>
      <c r="G164" s="111"/>
      <c r="H164" s="210"/>
      <c r="I164" s="94"/>
      <c r="J164" s="94"/>
      <c r="K164" s="94"/>
      <c r="L164" s="94"/>
      <c r="M164" s="94"/>
      <c r="N164" s="94"/>
      <c r="O164" s="94"/>
    </row>
    <row r="165" spans="1:15">
      <c r="A165" s="231" t="str">
        <f>+'ANEXO1. GASTOS FUNCIONAMIENTO'!A29</f>
        <v>213140101</v>
      </c>
      <c r="B165" s="111" t="str">
        <f>+'ANEXO1. GASTOS FUNCIONAMIENTO'!B29</f>
        <v>Sena</v>
      </c>
      <c r="C165" s="232">
        <f>+'ANEXO1. GASTOS FUNCIONAMIENTO'!C29</f>
        <v>724000</v>
      </c>
      <c r="D165" s="111"/>
      <c r="E165" s="111"/>
      <c r="F165" s="111"/>
      <c r="G165" s="111"/>
      <c r="H165" s="210"/>
      <c r="I165" s="94"/>
      <c r="J165" s="95"/>
      <c r="K165" s="94"/>
      <c r="L165" s="94"/>
      <c r="M165" s="94"/>
      <c r="N165" s="94"/>
      <c r="O165" s="94"/>
    </row>
    <row r="166" spans="1:15">
      <c r="A166" s="231" t="str">
        <f>+'ANEXO1. GASTOS FUNCIONAMIENTO'!A30</f>
        <v>213140102</v>
      </c>
      <c r="B166" s="111" t="str">
        <f>+'ANEXO1. GASTOS FUNCIONAMIENTO'!B30</f>
        <v xml:space="preserve"> ICBF</v>
      </c>
      <c r="C166" s="232">
        <f>+'ANEXO1. GASTOS FUNCIONAMIENTO'!C30</f>
        <v>4341000</v>
      </c>
      <c r="D166" s="111"/>
      <c r="E166" s="111"/>
      <c r="F166" s="111"/>
      <c r="G166" s="111"/>
      <c r="H166" s="210"/>
      <c r="I166" s="94"/>
      <c r="J166" s="94"/>
      <c r="K166" s="94"/>
      <c r="L166" s="94"/>
      <c r="M166" s="94"/>
      <c r="N166" s="94"/>
      <c r="O166" s="94"/>
    </row>
    <row r="167" spans="1:15">
      <c r="A167" s="231" t="str">
        <f>+'ANEXO1. GASTOS FUNCIONAMIENTO'!A31</f>
        <v>213140103</v>
      </c>
      <c r="B167" s="111" t="str">
        <f>+'ANEXO1. GASTOS FUNCIONAMIENTO'!B31</f>
        <v>Esap</v>
      </c>
      <c r="C167" s="232">
        <f>+'ANEXO1. GASTOS FUNCIONAMIENTO'!C31</f>
        <v>724000</v>
      </c>
      <c r="D167" s="111"/>
      <c r="E167" s="111"/>
      <c r="F167" s="111"/>
      <c r="G167" s="111"/>
      <c r="H167" s="210"/>
      <c r="I167" s="94"/>
      <c r="J167" s="95"/>
      <c r="K167" s="94"/>
      <c r="L167" s="94"/>
      <c r="M167" s="94"/>
      <c r="N167" s="94"/>
      <c r="O167" s="94"/>
    </row>
    <row r="168" spans="1:15">
      <c r="A168" s="231" t="str">
        <f>+'ANEXO1. GASTOS FUNCIONAMIENTO'!A32</f>
        <v>213140104</v>
      </c>
      <c r="B168" s="111" t="str">
        <f>+'ANEXO1. GASTOS FUNCIONAMIENTO'!B32</f>
        <v>Ministerio de educacion</v>
      </c>
      <c r="C168" s="232">
        <f>+'ANEXO1. GASTOS FUNCIONAMIENTO'!C32</f>
        <v>1447000</v>
      </c>
      <c r="D168" s="111"/>
      <c r="E168" s="111"/>
      <c r="F168" s="111"/>
      <c r="G168" s="111"/>
      <c r="H168" s="210"/>
      <c r="I168" s="94"/>
      <c r="J168" s="95"/>
      <c r="K168" s="94"/>
      <c r="L168" s="94"/>
      <c r="M168" s="94"/>
      <c r="N168" s="94"/>
      <c r="O168" s="94"/>
    </row>
    <row r="169" spans="1:15">
      <c r="A169" s="231" t="str">
        <f>+'ANEXO1. GASTOS FUNCIONAMIENTO'!A33</f>
        <v>213140105</v>
      </c>
      <c r="B169" s="111" t="str">
        <f>+'ANEXO1. GASTOS FUNCIONAMIENTO'!B33</f>
        <v>Aportes salud concejales</v>
      </c>
      <c r="C169" s="232">
        <f>+'ANEXO1. GASTOS FUNCIONAMIENTO'!C33</f>
        <v>5620000</v>
      </c>
      <c r="D169" s="111"/>
      <c r="E169" s="111"/>
      <c r="F169" s="111"/>
      <c r="G169" s="111"/>
      <c r="H169" s="210"/>
      <c r="I169" s="94"/>
      <c r="J169" s="94"/>
      <c r="K169" s="94"/>
      <c r="L169" s="94"/>
      <c r="M169" s="94"/>
      <c r="N169" s="94"/>
      <c r="O169" s="94"/>
    </row>
    <row r="170" spans="1:15">
      <c r="A170" s="231"/>
      <c r="B170" s="111"/>
      <c r="C170" s="232"/>
      <c r="D170" s="111"/>
      <c r="E170" s="111"/>
      <c r="F170" s="111"/>
      <c r="G170" s="111"/>
      <c r="H170" s="210"/>
      <c r="I170" s="94"/>
      <c r="J170" s="94"/>
      <c r="K170" s="94"/>
      <c r="L170" s="94"/>
      <c r="M170" s="94"/>
      <c r="N170" s="94"/>
      <c r="O170" s="94"/>
    </row>
    <row r="171" spans="1:15">
      <c r="A171" s="228" t="str">
        <f>+'ANEXO1. GASTOS FUNCIONAMIENTO'!A35</f>
        <v>2132</v>
      </c>
      <c r="B171" s="230" t="str">
        <f>+'ANEXO1. GASTOS FUNCIONAMIENTO'!B35</f>
        <v>GASTOS GENERALES</v>
      </c>
      <c r="C171" s="229"/>
      <c r="D171" s="230"/>
      <c r="E171" s="230">
        <f>SUM(D172:D195)</f>
        <v>121100000</v>
      </c>
      <c r="F171" s="111"/>
      <c r="G171" s="111"/>
      <c r="H171" s="210"/>
      <c r="I171" s="94"/>
      <c r="J171" s="94"/>
      <c r="K171" s="94"/>
      <c r="L171" s="94"/>
      <c r="M171" s="94"/>
      <c r="N171" s="94"/>
      <c r="O171" s="94"/>
    </row>
    <row r="172" spans="1:15">
      <c r="A172" s="228" t="str">
        <f>+'ANEXO1. GASTOS FUNCIONAMIENTO'!A36</f>
        <v>21321</v>
      </c>
      <c r="B172" s="230" t="str">
        <f>+'ANEXO1. GASTOS FUNCIONAMIENTO'!B36</f>
        <v>Adquisición de bienes</v>
      </c>
      <c r="C172" s="229"/>
      <c r="D172" s="230">
        <f>SUM(C173:C174)</f>
        <v>21000000</v>
      </c>
      <c r="E172" s="230"/>
      <c r="F172" s="111"/>
      <c r="G172" s="111"/>
      <c r="H172" s="210"/>
      <c r="I172" s="94"/>
      <c r="J172" s="94"/>
      <c r="K172" s="94"/>
      <c r="L172" s="94"/>
      <c r="M172" s="94"/>
      <c r="N172" s="94"/>
      <c r="O172" s="94"/>
    </row>
    <row r="173" spans="1:15">
      <c r="A173" s="231" t="str">
        <f>+'ANEXO1. GASTOS FUNCIONAMIENTO'!A37</f>
        <v>2132101</v>
      </c>
      <c r="B173" s="111" t="str">
        <f>+'ANEXO1. GASTOS FUNCIONAMIENTO'!B37</f>
        <v>Compra de equipo</v>
      </c>
      <c r="C173" s="232">
        <f>+'ANEXO1. GASTOS FUNCIONAMIENTO'!C37</f>
        <v>1000000</v>
      </c>
      <c r="D173" s="111"/>
      <c r="E173" s="111"/>
      <c r="F173" s="111"/>
      <c r="G173" s="111"/>
      <c r="H173" s="210"/>
      <c r="I173" s="94"/>
      <c r="J173" s="94"/>
      <c r="K173" s="94"/>
      <c r="L173" s="94"/>
      <c r="M173" s="94"/>
      <c r="N173" s="94"/>
      <c r="O173" s="94"/>
    </row>
    <row r="174" spans="1:15">
      <c r="A174" s="231" t="str">
        <f>+'ANEXO1. GASTOS FUNCIONAMIENTO'!A38</f>
        <v>2132102</v>
      </c>
      <c r="B174" s="111" t="str">
        <f>+'ANEXO1. GASTOS FUNCIONAMIENTO'!B38</f>
        <v>Materiales y suministros</v>
      </c>
      <c r="C174" s="232">
        <f>+'ANEXO1. GASTOS FUNCIONAMIENTO'!C38</f>
        <v>20000000</v>
      </c>
      <c r="D174" s="111"/>
      <c r="E174" s="111"/>
      <c r="F174" s="111"/>
      <c r="G174" s="111"/>
      <c r="H174" s="210"/>
      <c r="I174" s="94"/>
      <c r="J174" s="94"/>
      <c r="K174" s="94"/>
      <c r="L174" s="94"/>
      <c r="M174" s="94"/>
      <c r="N174" s="94"/>
      <c r="O174" s="94"/>
    </row>
    <row r="175" spans="1:15">
      <c r="A175" s="228" t="str">
        <f>+'ANEXO1. GASTOS FUNCIONAMIENTO'!A39</f>
        <v>21322</v>
      </c>
      <c r="B175" s="230" t="str">
        <f>+'ANEXO1. GASTOS FUNCIONAMIENTO'!B39</f>
        <v>Adquisición de servicios</v>
      </c>
      <c r="C175" s="229"/>
      <c r="D175" s="230">
        <f>SUM(C176:C195)</f>
        <v>100100000</v>
      </c>
      <c r="E175" s="111"/>
      <c r="F175" s="111"/>
      <c r="G175" s="111"/>
      <c r="H175" s="210"/>
      <c r="I175" s="94"/>
      <c r="J175" s="94"/>
      <c r="K175" s="94"/>
      <c r="L175" s="94"/>
      <c r="M175" s="94"/>
      <c r="N175" s="94"/>
      <c r="O175" s="94"/>
    </row>
    <row r="176" spans="1:15">
      <c r="A176" s="231" t="str">
        <f>+'ANEXO1. GASTOS FUNCIONAMIENTO'!A40</f>
        <v>2132201</v>
      </c>
      <c r="B176" s="111" t="str">
        <f>+'ANEXO1. GASTOS FUNCIONAMIENTO'!B40</f>
        <v>Impresos y publicaciones</v>
      </c>
      <c r="C176" s="232">
        <f>+'ANEXO1. GASTOS FUNCIONAMIENTO'!C40</f>
        <v>10000000</v>
      </c>
      <c r="D176" s="111"/>
      <c r="E176" s="111"/>
      <c r="F176" s="111"/>
      <c r="G176" s="111"/>
      <c r="H176" s="210"/>
      <c r="I176" s="94"/>
      <c r="J176" s="94"/>
      <c r="K176" s="94"/>
      <c r="L176" s="94"/>
      <c r="M176" s="94"/>
      <c r="N176" s="94"/>
      <c r="O176" s="94"/>
    </row>
    <row r="177" spans="1:15">
      <c r="A177" s="231" t="str">
        <f>+'ANEXO1. GASTOS FUNCIONAMIENTO'!A41</f>
        <v>2132202</v>
      </c>
      <c r="B177" s="111" t="str">
        <f>+'ANEXO1. GASTOS FUNCIONAMIENTO'!B41</f>
        <v xml:space="preserve">Mantenimiento </v>
      </c>
      <c r="C177" s="232">
        <f>+'ANEXO1. GASTOS FUNCIONAMIENTO'!C41</f>
        <v>5500000</v>
      </c>
      <c r="D177" s="111"/>
      <c r="E177" s="111"/>
      <c r="F177" s="111"/>
      <c r="G177" s="111"/>
      <c r="H177" s="210"/>
      <c r="I177" s="94"/>
      <c r="J177" s="94"/>
      <c r="K177" s="94"/>
      <c r="L177" s="94"/>
      <c r="M177" s="94"/>
      <c r="N177" s="94"/>
      <c r="O177" s="94"/>
    </row>
    <row r="178" spans="1:15">
      <c r="A178" s="231" t="str">
        <f>+'ANEXO1. GASTOS FUNCIONAMIENTO'!A42</f>
        <v>2132203</v>
      </c>
      <c r="B178" s="111" t="str">
        <f>+'ANEXO1. GASTOS FUNCIONAMIENTO'!B42</f>
        <v>Servicios públicos acueducto</v>
      </c>
      <c r="C178" s="232">
        <f>+'ANEXO1. GASTOS FUNCIONAMIENTO'!C42</f>
        <v>1000000</v>
      </c>
      <c r="D178" s="111"/>
      <c r="E178" s="111"/>
      <c r="F178" s="111"/>
      <c r="G178" s="111"/>
      <c r="H178" s="210"/>
      <c r="I178" s="94"/>
      <c r="J178" s="94"/>
      <c r="K178" s="94"/>
      <c r="L178" s="94"/>
      <c r="M178" s="94"/>
      <c r="N178" s="94"/>
      <c r="O178" s="94"/>
    </row>
    <row r="179" spans="1:15">
      <c r="A179" s="231" t="str">
        <f>+'ANEXO1. GASTOS FUNCIONAMIENTO'!A43</f>
        <v>2132204</v>
      </c>
      <c r="B179" s="111" t="str">
        <f>+'ANEXO1. GASTOS FUNCIONAMIENTO'!B43</f>
        <v>Servicios públicos aseo</v>
      </c>
      <c r="C179" s="232">
        <f>+'ANEXO1. GASTOS FUNCIONAMIENTO'!C43</f>
        <v>500000</v>
      </c>
      <c r="D179" s="111"/>
      <c r="E179" s="111"/>
      <c r="F179" s="111"/>
      <c r="G179" s="111"/>
      <c r="H179" s="210"/>
      <c r="I179" s="94"/>
      <c r="J179" s="94"/>
      <c r="K179" s="94"/>
      <c r="L179" s="94"/>
      <c r="M179" s="94"/>
      <c r="N179" s="94"/>
      <c r="O179" s="94"/>
    </row>
    <row r="180" spans="1:15">
      <c r="A180" s="231" t="str">
        <f>+'ANEXO1. GASTOS FUNCIONAMIENTO'!A44</f>
        <v>2132205</v>
      </c>
      <c r="B180" s="111" t="str">
        <f>+'ANEXO1. GASTOS FUNCIONAMIENTO'!B44</f>
        <v>Servicios públicos alcantarillado</v>
      </c>
      <c r="C180" s="232">
        <f>+'ANEXO1. GASTOS FUNCIONAMIENTO'!C44</f>
        <v>300000</v>
      </c>
      <c r="D180" s="111"/>
      <c r="E180" s="111"/>
      <c r="F180" s="111"/>
      <c r="G180" s="111"/>
      <c r="H180" s="210"/>
      <c r="I180" s="94"/>
      <c r="J180" s="94"/>
      <c r="K180" s="94"/>
      <c r="L180" s="94"/>
      <c r="M180" s="94"/>
      <c r="N180" s="94"/>
      <c r="O180" s="94"/>
    </row>
    <row r="181" spans="1:15">
      <c r="A181" s="231" t="str">
        <f>+'ANEXO1. GASTOS FUNCIONAMIENTO'!A45</f>
        <v>2132206</v>
      </c>
      <c r="B181" s="111" t="str">
        <f>+'ANEXO1. GASTOS FUNCIONAMIENTO'!B45</f>
        <v>Servicios públicos energia</v>
      </c>
      <c r="C181" s="232">
        <f>+'ANEXO1. GASTOS FUNCIONAMIENTO'!C45</f>
        <v>8000000</v>
      </c>
      <c r="D181" s="111"/>
      <c r="E181" s="111"/>
      <c r="F181" s="111"/>
      <c r="G181" s="111"/>
      <c r="H181" s="210"/>
      <c r="I181" s="94"/>
      <c r="J181" s="94"/>
      <c r="K181" s="94"/>
      <c r="L181" s="94"/>
      <c r="M181" s="94"/>
      <c r="N181" s="94"/>
      <c r="O181" s="94"/>
    </row>
    <row r="182" spans="1:15">
      <c r="A182" s="231" t="str">
        <f>+'ANEXO1. GASTOS FUNCIONAMIENTO'!A46</f>
        <v>2132207</v>
      </c>
      <c r="B182" s="111" t="str">
        <f>+'ANEXO1. GASTOS FUNCIONAMIENTO'!B46</f>
        <v>Servicios públicos teléfono</v>
      </c>
      <c r="C182" s="232">
        <f>+'ANEXO1. GASTOS FUNCIONAMIENTO'!C46</f>
        <v>5000000</v>
      </c>
      <c r="D182" s="111"/>
      <c r="E182" s="111"/>
      <c r="F182" s="111"/>
      <c r="G182" s="111"/>
      <c r="H182" s="210"/>
      <c r="I182" s="94"/>
      <c r="J182" s="94"/>
      <c r="K182" s="94"/>
      <c r="L182" s="94"/>
      <c r="M182" s="94"/>
      <c r="N182" s="94"/>
      <c r="O182" s="94"/>
    </row>
    <row r="183" spans="1:15">
      <c r="A183" s="231" t="str">
        <f>+'ANEXO1. GASTOS FUNCIONAMIENTO'!A47</f>
        <v>2132208</v>
      </c>
      <c r="B183" s="111" t="str">
        <f>+'ANEXO1. GASTOS FUNCIONAMIENTO'!B47</f>
        <v>Viáticos y gastos de viaje</v>
      </c>
      <c r="C183" s="232">
        <f>+'ANEXO1. GASTOS FUNCIONAMIENTO'!C47</f>
        <v>5000000</v>
      </c>
      <c r="D183" s="111"/>
      <c r="E183" s="111"/>
      <c r="F183" s="111"/>
      <c r="G183" s="111"/>
      <c r="H183" s="210"/>
      <c r="I183" s="94"/>
      <c r="J183" s="94"/>
      <c r="K183" s="94"/>
      <c r="L183" s="94"/>
      <c r="M183" s="94"/>
      <c r="N183" s="94"/>
      <c r="O183" s="94"/>
    </row>
    <row r="184" spans="1:15">
      <c r="A184" s="231" t="str">
        <f>+'ANEXO1. GASTOS FUNCIONAMIENTO'!A48</f>
        <v>2132209</v>
      </c>
      <c r="B184" s="111" t="str">
        <f>+'ANEXO1. GASTOS FUNCIONAMIENTO'!B48</f>
        <v>Pólizas de manejo</v>
      </c>
      <c r="C184" s="232">
        <f>+'ANEXO1. GASTOS FUNCIONAMIENTO'!C48</f>
        <v>900000</v>
      </c>
      <c r="D184" s="111"/>
      <c r="E184" s="111"/>
      <c r="F184" s="111"/>
      <c r="G184" s="111"/>
      <c r="H184" s="210"/>
      <c r="I184" s="94"/>
      <c r="J184" s="94"/>
      <c r="K184" s="94"/>
      <c r="L184" s="94"/>
      <c r="M184" s="94"/>
      <c r="N184" s="94"/>
      <c r="O184" s="94"/>
    </row>
    <row r="185" spans="1:15">
      <c r="A185" s="231" t="str">
        <f>+'ANEXO1. GASTOS FUNCIONAMIENTO'!A49</f>
        <v>2132210</v>
      </c>
      <c r="B185" s="111" t="str">
        <f>+'ANEXO1. GASTOS FUNCIONAMIENTO'!B49</f>
        <v>Seguros de vida alcalde</v>
      </c>
      <c r="C185" s="232">
        <f>+'ANEXO1. GASTOS FUNCIONAMIENTO'!C49</f>
        <v>600000</v>
      </c>
      <c r="D185" s="111"/>
      <c r="E185" s="111"/>
      <c r="F185" s="111"/>
      <c r="G185" s="111"/>
      <c r="H185" s="210"/>
      <c r="I185" s="94"/>
      <c r="J185" s="94"/>
      <c r="K185" s="94"/>
      <c r="L185" s="94"/>
      <c r="M185" s="94"/>
      <c r="N185" s="94"/>
      <c r="O185" s="94"/>
    </row>
    <row r="186" spans="1:15">
      <c r="A186" s="231" t="str">
        <f>+'ANEXO1. GASTOS FUNCIONAMIENTO'!A50</f>
        <v>2132211</v>
      </c>
      <c r="B186" s="111" t="str">
        <f>+'ANEXO1. GASTOS FUNCIONAMIENTO'!B50</f>
        <v>Seguros de vida concejales</v>
      </c>
      <c r="C186" s="232">
        <f>+'ANEXO1. GASTOS FUNCIONAMIENTO'!C50</f>
        <v>5600000</v>
      </c>
      <c r="D186" s="111"/>
      <c r="E186" s="111"/>
      <c r="F186" s="111"/>
      <c r="G186" s="111"/>
      <c r="H186" s="210"/>
      <c r="I186" s="94"/>
      <c r="J186" s="94"/>
      <c r="K186" s="94"/>
      <c r="L186" s="94"/>
      <c r="M186" s="94"/>
      <c r="N186" s="94"/>
      <c r="O186" s="94"/>
    </row>
    <row r="187" spans="1:15">
      <c r="A187" s="231" t="str">
        <f>+'ANEXO1. GASTOS FUNCIONAMIENTO'!A51</f>
        <v>2132212</v>
      </c>
      <c r="B187" s="111" t="str">
        <f>+'ANEXO1. GASTOS FUNCIONAMIENTO'!B51</f>
        <v>Seguros de bienes muebles  e inmuebles</v>
      </c>
      <c r="C187" s="232">
        <f>+'ANEXO1. GASTOS FUNCIONAMIENTO'!C51</f>
        <v>30000000</v>
      </c>
      <c r="D187" s="111"/>
      <c r="E187" s="111"/>
      <c r="F187" s="111"/>
      <c r="G187" s="111"/>
      <c r="H187" s="210"/>
      <c r="I187" s="94"/>
      <c r="J187" s="94"/>
      <c r="K187" s="94"/>
      <c r="L187" s="94"/>
      <c r="M187" s="94"/>
      <c r="N187" s="94"/>
      <c r="O187" s="94"/>
    </row>
    <row r="188" spans="1:15">
      <c r="A188" s="231" t="str">
        <f>+'ANEXO1. GASTOS FUNCIONAMIENTO'!A52</f>
        <v>2132213</v>
      </c>
      <c r="B188" s="111" t="str">
        <f>+'ANEXO1. GASTOS FUNCIONAMIENTO'!B52</f>
        <v>Comunicaciones y transportes</v>
      </c>
      <c r="C188" s="232">
        <f>+'ANEXO1. GASTOS FUNCIONAMIENTO'!C52</f>
        <v>5000000</v>
      </c>
      <c r="D188" s="111"/>
      <c r="E188" s="111"/>
      <c r="F188" s="111"/>
      <c r="G188" s="111"/>
      <c r="H188" s="210"/>
      <c r="I188" s="94"/>
      <c r="J188" s="94"/>
      <c r="K188" s="94"/>
      <c r="L188" s="94"/>
      <c r="M188" s="94"/>
      <c r="N188" s="94"/>
      <c r="O188" s="94"/>
    </row>
    <row r="189" spans="1:15">
      <c r="A189" s="231" t="str">
        <f>+'ANEXO1. GASTOS FUNCIONAMIENTO'!A53</f>
        <v>2132214</v>
      </c>
      <c r="B189" s="111" t="str">
        <f>+'ANEXO1. GASTOS FUNCIONAMIENTO'!B53</f>
        <v>Bienestar social</v>
      </c>
      <c r="C189" s="232">
        <f>+'ANEXO1. GASTOS FUNCIONAMIENTO'!C53</f>
        <v>1500000</v>
      </c>
      <c r="D189" s="111"/>
      <c r="E189" s="111"/>
      <c r="F189" s="111"/>
      <c r="G189" s="111"/>
      <c r="H189" s="210"/>
      <c r="I189" s="94"/>
      <c r="J189" s="94"/>
      <c r="K189" s="94"/>
      <c r="L189" s="94"/>
      <c r="M189" s="94"/>
      <c r="N189" s="94"/>
      <c r="O189" s="94"/>
    </row>
    <row r="190" spans="1:15">
      <c r="A190" s="231" t="str">
        <f>+'ANEXO1. GASTOS FUNCIONAMIENTO'!A54</f>
        <v>2132215</v>
      </c>
      <c r="B190" s="111" t="str">
        <f>+'ANEXO1. GASTOS FUNCIONAMIENTO'!B54</f>
        <v>Fondo de compensación</v>
      </c>
      <c r="C190" s="232">
        <f>+'ANEXO1. GASTOS FUNCIONAMIENTO'!C54</f>
        <v>1000000</v>
      </c>
      <c r="D190" s="111"/>
      <c r="E190" s="111"/>
      <c r="F190" s="111"/>
      <c r="G190" s="111"/>
      <c r="H190" s="210"/>
      <c r="I190" s="94"/>
      <c r="J190" s="94"/>
      <c r="K190" s="94"/>
      <c r="L190" s="94"/>
      <c r="M190" s="94"/>
      <c r="N190" s="94"/>
      <c r="O190" s="94"/>
    </row>
    <row r="191" spans="1:15">
      <c r="A191" s="231" t="str">
        <f>+'ANEXO1. GASTOS FUNCIONAMIENTO'!A55</f>
        <v>2132216</v>
      </c>
      <c r="B191" s="111" t="str">
        <f>+'ANEXO1. GASTOS FUNCIONAMIENTO'!B55</f>
        <v>Junta Defensora de animales</v>
      </c>
      <c r="C191" s="232">
        <f>+'ANEXO1. GASTOS FUNCIONAMIENTO'!C55</f>
        <v>200000</v>
      </c>
      <c r="D191" s="111"/>
      <c r="E191" s="111"/>
      <c r="F191" s="111"/>
      <c r="G191" s="111"/>
      <c r="H191" s="210"/>
      <c r="I191" s="94"/>
      <c r="J191" s="94"/>
      <c r="K191" s="94"/>
      <c r="L191" s="94"/>
      <c r="M191" s="94"/>
      <c r="N191" s="94"/>
      <c r="O191" s="94"/>
    </row>
    <row r="192" spans="1:15">
      <c r="A192" s="231">
        <f>+'ANEXO1. GASTOS FUNCIONAMIENTO'!A56</f>
        <v>2132217</v>
      </c>
      <c r="B192" s="111" t="str">
        <f>+'ANEXO1. GASTOS FUNCIONAMIENTO'!B56</f>
        <v>Gastos notariales y avalúos</v>
      </c>
      <c r="C192" s="232">
        <f>+'ANEXO1. GASTOS FUNCIONAMIENTO'!C56</f>
        <v>2000000</v>
      </c>
      <c r="D192" s="111"/>
      <c r="E192" s="111"/>
      <c r="F192" s="111"/>
      <c r="G192" s="111"/>
      <c r="H192" s="210"/>
      <c r="I192" s="94"/>
      <c r="J192" s="94"/>
      <c r="K192" s="94"/>
      <c r="L192" s="94"/>
      <c r="M192" s="94"/>
      <c r="N192" s="94"/>
      <c r="O192" s="94"/>
    </row>
    <row r="193" spans="1:15">
      <c r="A193" s="231">
        <f>+'ANEXO1. GASTOS FUNCIONAMIENTO'!A57</f>
        <v>2132218</v>
      </c>
      <c r="B193" s="111" t="str">
        <f>+'ANEXO1. GASTOS FUNCIONAMIENTO'!B57</f>
        <v>Derechos de sayco y acinpro</v>
      </c>
      <c r="C193" s="232">
        <f>+'ANEXO1. GASTOS FUNCIONAMIENTO'!C57</f>
        <v>5000000</v>
      </c>
      <c r="D193" s="230"/>
      <c r="E193" s="111"/>
      <c r="F193" s="111"/>
      <c r="G193" s="111"/>
      <c r="H193" s="210"/>
      <c r="I193" s="94"/>
      <c r="J193" s="94"/>
      <c r="K193" s="94"/>
      <c r="L193" s="94"/>
      <c r="M193" s="94"/>
      <c r="N193" s="94"/>
      <c r="O193" s="94"/>
    </row>
    <row r="194" spans="1:15">
      <c r="A194" s="231">
        <f>+'ANEXO1. GASTOS FUNCIONAMIENTO'!A58</f>
        <v>2132219</v>
      </c>
      <c r="B194" s="111" t="str">
        <f>+'ANEXO1. GASTOS FUNCIONAMIENTO'!B58</f>
        <v>Transporte de Concejales</v>
      </c>
      <c r="C194" s="232">
        <f>+'ANEXO1. GASTOS FUNCIONAMIENTO'!C58</f>
        <v>8000000</v>
      </c>
      <c r="D194" s="111"/>
      <c r="E194" s="111"/>
      <c r="F194" s="111"/>
      <c r="G194" s="111"/>
      <c r="H194" s="210"/>
      <c r="I194" s="94"/>
      <c r="J194" s="94"/>
      <c r="K194" s="94"/>
      <c r="L194" s="94"/>
      <c r="M194" s="94"/>
      <c r="N194" s="94"/>
      <c r="O194" s="94"/>
    </row>
    <row r="195" spans="1:15">
      <c r="A195" s="231">
        <f>+'ANEXO1. GASTOS FUNCIONAMIENTO'!A59</f>
        <v>2132220</v>
      </c>
      <c r="B195" s="111" t="str">
        <f>+'ANEXO1. GASTOS FUNCIONAMIENTO'!B59</f>
        <v>Impuestos, multas y derechos</v>
      </c>
      <c r="C195" s="232">
        <f>+'ANEXO1. GASTOS FUNCIONAMIENTO'!C59</f>
        <v>5000000</v>
      </c>
      <c r="D195" s="230"/>
      <c r="E195" s="230"/>
      <c r="F195" s="111"/>
      <c r="G195" s="111"/>
      <c r="H195" s="210"/>
      <c r="I195" s="94"/>
      <c r="J195" s="94"/>
      <c r="K195" s="94"/>
      <c r="L195" s="94"/>
      <c r="M195" s="94"/>
      <c r="N195" s="94"/>
      <c r="O195" s="94"/>
    </row>
    <row r="196" spans="1:15">
      <c r="A196" s="231"/>
      <c r="B196" s="111"/>
      <c r="C196" s="232"/>
      <c r="D196" s="111"/>
      <c r="E196" s="111"/>
      <c r="F196" s="111"/>
      <c r="G196" s="111"/>
      <c r="H196" s="210"/>
      <c r="I196" s="94"/>
      <c r="J196" s="94"/>
      <c r="K196" s="94"/>
      <c r="L196" s="94"/>
      <c r="M196" s="94"/>
      <c r="N196" s="94"/>
      <c r="O196" s="94"/>
    </row>
    <row r="197" spans="1:15">
      <c r="A197" s="228" t="str">
        <f>+'ANEXO1. GASTOS FUNCIONAMIENTO'!A61</f>
        <v>2133</v>
      </c>
      <c r="B197" s="230" t="str">
        <f>+'ANEXO1. GASTOS FUNCIONAMIENTO'!B61</f>
        <v>TRANSFERENCIAS CORRIENTES</v>
      </c>
      <c r="C197" s="229"/>
      <c r="D197" s="230">
        <f>SUM(C198:C201)</f>
        <v>28100000</v>
      </c>
      <c r="E197" s="230">
        <f>+D197</f>
        <v>28100000</v>
      </c>
      <c r="F197" s="111"/>
      <c r="G197" s="111"/>
      <c r="H197" s="210"/>
      <c r="I197" s="94"/>
      <c r="J197" s="94"/>
      <c r="K197" s="94"/>
      <c r="L197" s="94"/>
      <c r="M197" s="94"/>
      <c r="N197" s="94"/>
      <c r="O197" s="94"/>
    </row>
    <row r="198" spans="1:15">
      <c r="A198" s="231">
        <f>+'ANEXO1. GASTOS FUNCIONAMIENTO'!A62</f>
        <v>213301</v>
      </c>
      <c r="B198" s="111" t="str">
        <f>+'ANEXO1. GASTOS FUNCIONAMIENTO'!B62</f>
        <v>Transferencia Corpoyacá para medio ambiente</v>
      </c>
      <c r="C198" s="232">
        <f>+'ANEXO1. GASTOS FUNCIONAMIENTO'!C62</f>
        <v>10000000</v>
      </c>
      <c r="D198" s="91"/>
      <c r="E198" s="91"/>
      <c r="F198" s="91"/>
      <c r="G198" s="91"/>
      <c r="H198" s="210"/>
      <c r="I198" s="94"/>
      <c r="J198" s="94"/>
      <c r="K198" s="94"/>
      <c r="L198" s="94"/>
      <c r="M198" s="94"/>
      <c r="N198" s="94"/>
      <c r="O198" s="94"/>
    </row>
    <row r="199" spans="1:15">
      <c r="A199" s="231">
        <f>+'ANEXO1. GASTOS FUNCIONAMIENTO'!A63</f>
        <v>213302</v>
      </c>
      <c r="B199" s="111" t="str">
        <f>+'ANEXO1. GASTOS FUNCIONAMIENTO'!B63</f>
        <v>Sentencias judiciales y conciliaciones</v>
      </c>
      <c r="C199" s="232">
        <f>+'ANEXO1. GASTOS FUNCIONAMIENTO'!C63</f>
        <v>17000000</v>
      </c>
      <c r="D199" s="91"/>
      <c r="E199" s="91"/>
      <c r="F199" s="91"/>
      <c r="G199" s="91"/>
      <c r="H199" s="210"/>
      <c r="I199" s="94"/>
      <c r="J199" s="94"/>
      <c r="K199" s="94"/>
      <c r="L199" s="94"/>
      <c r="M199" s="94"/>
      <c r="N199" s="94"/>
      <c r="O199" s="94"/>
    </row>
    <row r="200" spans="1:15">
      <c r="A200" s="231">
        <f>+'ANEXO1. GASTOS FUNCIONAMIENTO'!A64</f>
        <v>213303</v>
      </c>
      <c r="B200" s="111" t="str">
        <f>+'ANEXO1. GASTOS FUNCIONAMIENTO'!B64</f>
        <v>Cuotas partes pensionales</v>
      </c>
      <c r="C200" s="232">
        <f>+'ANEXO1. GASTOS FUNCIONAMIENTO'!C64</f>
        <v>1000000</v>
      </c>
      <c r="D200" s="91"/>
      <c r="E200" s="91"/>
      <c r="F200" s="91"/>
      <c r="G200" s="91"/>
      <c r="H200" s="210"/>
      <c r="I200" s="94"/>
      <c r="J200" s="94"/>
      <c r="K200" s="94"/>
      <c r="L200" s="94"/>
      <c r="M200" s="94"/>
      <c r="N200" s="94"/>
      <c r="O200" s="94"/>
    </row>
    <row r="201" spans="1:15">
      <c r="A201" s="231">
        <f>+'ANEXO1. GASTOS FUNCIONAMIENTO'!A65</f>
        <v>213304</v>
      </c>
      <c r="B201" s="111" t="str">
        <f>+'ANEXO1. GASTOS FUNCIONAMIENTO'!B65</f>
        <v>Tasas Retributivas</v>
      </c>
      <c r="C201" s="232">
        <f>+'ANEXO1. GASTOS FUNCIONAMIENTO'!C65</f>
        <v>100000</v>
      </c>
      <c r="D201" s="91"/>
      <c r="E201" s="91"/>
      <c r="F201" s="91"/>
      <c r="G201" s="91"/>
      <c r="H201" s="210"/>
      <c r="I201" s="94"/>
      <c r="J201" s="94"/>
      <c r="K201" s="94"/>
      <c r="L201" s="94"/>
      <c r="M201" s="94"/>
      <c r="N201" s="94"/>
      <c r="O201" s="94"/>
    </row>
    <row r="202" spans="1:15">
      <c r="A202" s="231"/>
      <c r="B202" s="111"/>
      <c r="C202" s="232"/>
      <c r="D202" s="91"/>
      <c r="E202" s="91"/>
      <c r="F202" s="91"/>
      <c r="G202" s="91"/>
      <c r="H202" s="210"/>
      <c r="I202" s="94"/>
      <c r="J202" s="94"/>
      <c r="K202" s="94"/>
      <c r="L202" s="94"/>
      <c r="M202" s="94"/>
      <c r="N202" s="94"/>
      <c r="O202" s="94"/>
    </row>
    <row r="203" spans="1:15">
      <c r="A203" s="228" t="s">
        <v>189</v>
      </c>
      <c r="B203" s="93" t="s">
        <v>218</v>
      </c>
      <c r="C203" s="229"/>
      <c r="D203" s="93"/>
      <c r="E203" s="93">
        <f>+'GASTOS CONCEJO'!B24</f>
        <v>92041050</v>
      </c>
      <c r="F203" s="93">
        <f>+E203</f>
        <v>92041050</v>
      </c>
      <c r="G203" s="93"/>
      <c r="H203" s="210"/>
      <c r="I203" s="94"/>
      <c r="J203" s="95"/>
      <c r="K203" s="94"/>
      <c r="L203" s="94"/>
      <c r="M203" s="94"/>
      <c r="N203" s="94"/>
      <c r="O203" s="94"/>
    </row>
    <row r="204" spans="1:15">
      <c r="A204" s="228"/>
      <c r="B204" s="91"/>
      <c r="C204" s="229"/>
      <c r="D204" s="91"/>
      <c r="E204" s="93"/>
      <c r="F204" s="93"/>
      <c r="G204" s="93"/>
      <c r="H204" s="210"/>
      <c r="I204" s="94"/>
      <c r="J204" s="95"/>
      <c r="K204" s="94"/>
      <c r="L204" s="94"/>
      <c r="M204" s="94"/>
      <c r="N204" s="94"/>
      <c r="O204" s="94"/>
    </row>
    <row r="205" spans="1:15">
      <c r="A205" s="228" t="s">
        <v>190</v>
      </c>
      <c r="B205" s="93" t="s">
        <v>219</v>
      </c>
      <c r="C205" s="232"/>
      <c r="D205" s="91"/>
      <c r="E205" s="93">
        <f>+'ANEXO X. PROYECCION DE NOMINA'!K5*150</f>
        <v>83553600</v>
      </c>
      <c r="F205" s="180">
        <f>+E205</f>
        <v>83553600</v>
      </c>
      <c r="G205" s="91"/>
      <c r="H205" s="210"/>
      <c r="I205" s="94"/>
      <c r="J205" s="94"/>
      <c r="K205" s="94"/>
      <c r="L205" s="94"/>
      <c r="M205" s="94"/>
      <c r="N205" s="94"/>
      <c r="O205" s="94"/>
    </row>
    <row r="206" spans="1:15" ht="12" thickBot="1">
      <c r="A206" s="233"/>
      <c r="B206" s="234"/>
      <c r="C206" s="234"/>
      <c r="D206" s="235"/>
      <c r="E206" s="235"/>
      <c r="F206" s="235"/>
      <c r="G206" s="235"/>
      <c r="H206" s="210"/>
      <c r="I206" s="94"/>
      <c r="J206" s="94"/>
      <c r="K206" s="94"/>
      <c r="L206" s="94"/>
      <c r="M206" s="94"/>
      <c r="N206" s="94"/>
      <c r="O206" s="94"/>
    </row>
    <row r="207" spans="1:15">
      <c r="A207" s="236"/>
      <c r="B207" s="237"/>
      <c r="C207" s="237"/>
      <c r="D207" s="210"/>
      <c r="E207" s="210"/>
      <c r="F207" s="210"/>
      <c r="G207" s="210"/>
      <c r="H207" s="210"/>
      <c r="I207" s="94"/>
      <c r="J207" s="95"/>
      <c r="K207" s="94"/>
      <c r="L207" s="94"/>
      <c r="M207" s="94"/>
      <c r="N207" s="94"/>
      <c r="O207" s="94"/>
    </row>
    <row r="208" spans="1:15" hidden="1">
      <c r="A208" s="353"/>
      <c r="B208" s="354" t="s">
        <v>28</v>
      </c>
      <c r="C208" s="354"/>
      <c r="D208" s="355"/>
      <c r="E208" s="355"/>
      <c r="F208" s="355"/>
      <c r="G208" s="355"/>
      <c r="H208" s="355"/>
      <c r="I208" s="94"/>
      <c r="J208" s="95"/>
      <c r="K208" s="94"/>
      <c r="L208" s="94"/>
      <c r="M208" s="94"/>
      <c r="N208" s="94"/>
      <c r="O208" s="94"/>
    </row>
    <row r="209" spans="1:15" hidden="1">
      <c r="A209" s="527" t="s">
        <v>27</v>
      </c>
      <c r="B209" s="356" t="s">
        <v>26</v>
      </c>
      <c r="C209" s="356">
        <f>+C65+C66+C68+C70+C72+C73+C74+C101+C110</f>
        <v>1928215100</v>
      </c>
      <c r="D209" s="356">
        <f>+F20+C102</f>
        <v>875163289</v>
      </c>
      <c r="E209" s="356">
        <f>+C78+C81+C84+C103+C104+C105</f>
        <v>152901000</v>
      </c>
      <c r="F209" s="356">
        <f>+C88+C91+C94+C97</f>
        <v>34000000</v>
      </c>
      <c r="G209" s="356">
        <f>+C107</f>
        <v>500000</v>
      </c>
      <c r="H209" s="356">
        <f>SUM(C209:G209)</f>
        <v>2990779389</v>
      </c>
      <c r="I209" s="94"/>
      <c r="J209" s="94"/>
      <c r="K209" s="94"/>
      <c r="L209" s="94"/>
      <c r="M209" s="94"/>
      <c r="N209" s="94"/>
      <c r="O209" s="94"/>
    </row>
    <row r="210" spans="1:15" hidden="1">
      <c r="A210" s="527"/>
      <c r="B210" s="356" t="s">
        <v>25</v>
      </c>
      <c r="C210" s="356">
        <f>+C209-C218</f>
        <v>0</v>
      </c>
      <c r="D210" s="356">
        <f>+D209-D218-F138</f>
        <v>0</v>
      </c>
      <c r="E210" s="356">
        <f>+E209-E218</f>
        <v>0</v>
      </c>
      <c r="F210" s="356">
        <f>+F209-F218</f>
        <v>0</v>
      </c>
      <c r="G210" s="356">
        <f>+G209-G218</f>
        <v>0</v>
      </c>
      <c r="H210" s="356">
        <f>SUM(C210:G210)</f>
        <v>0</v>
      </c>
      <c r="I210" s="94"/>
      <c r="J210" s="94"/>
      <c r="K210" s="94"/>
      <c r="L210" s="94"/>
      <c r="M210" s="94"/>
      <c r="N210" s="94"/>
      <c r="O210" s="94"/>
    </row>
    <row r="211" spans="1:15" hidden="1">
      <c r="A211" s="236"/>
      <c r="B211" s="237"/>
      <c r="C211" s="237"/>
      <c r="D211" s="210"/>
      <c r="E211" s="210"/>
      <c r="F211" s="210"/>
      <c r="G211" s="210"/>
      <c r="H211" s="210"/>
      <c r="I211" s="94"/>
      <c r="J211" s="95"/>
      <c r="K211" s="94"/>
      <c r="L211" s="94"/>
      <c r="M211" s="94"/>
      <c r="N211" s="94"/>
      <c r="O211" s="94"/>
    </row>
    <row r="212" spans="1:15">
      <c r="H212" s="210"/>
      <c r="I212" s="94"/>
      <c r="J212" s="94"/>
      <c r="K212" s="94"/>
      <c r="L212" s="94"/>
      <c r="M212" s="94"/>
      <c r="N212" s="94"/>
      <c r="O212" s="94"/>
    </row>
    <row r="213" spans="1:15" s="84" customFormat="1" ht="20.25">
      <c r="A213" s="190"/>
      <c r="B213" s="321"/>
      <c r="C213" s="321"/>
      <c r="D213" s="321"/>
      <c r="E213" s="321"/>
      <c r="F213" s="359" t="s">
        <v>583</v>
      </c>
      <c r="G213" s="321"/>
      <c r="H213" s="321"/>
      <c r="I213" s="322"/>
      <c r="J213" s="322"/>
      <c r="K213" s="322"/>
      <c r="L213" s="322"/>
      <c r="M213" s="322"/>
      <c r="N213" s="322"/>
      <c r="O213" s="322"/>
    </row>
    <row r="215" spans="1:15" s="84" customFormat="1" ht="12.75">
      <c r="A215" s="414" t="s">
        <v>628</v>
      </c>
      <c r="C215" s="413"/>
      <c r="D215" s="413"/>
      <c r="E215" s="413"/>
      <c r="G215" s="413"/>
      <c r="H215" s="413"/>
    </row>
    <row r="217" spans="1:15" ht="12" thickBot="1">
      <c r="A217" s="238"/>
      <c r="B217" s="239"/>
      <c r="C217" s="265"/>
      <c r="D217" s="265"/>
      <c r="E217" s="266"/>
      <c r="F217" s="266"/>
      <c r="G217" s="266"/>
      <c r="H217" s="266"/>
      <c r="I217" s="94"/>
      <c r="J217" s="94"/>
      <c r="K217" s="94"/>
      <c r="L217" s="94"/>
      <c r="M217" s="94"/>
      <c r="N217" s="94"/>
      <c r="O217" s="94"/>
    </row>
    <row r="218" spans="1:15" ht="13.5" thickBot="1">
      <c r="A218" s="241" t="s">
        <v>217</v>
      </c>
      <c r="B218" s="107" t="s">
        <v>170</v>
      </c>
      <c r="C218" s="267">
        <f t="shared" ref="C218:H218" si="0">+C239+C250+C287+C263+C317+C337+C358+C446</f>
        <v>1928215100</v>
      </c>
      <c r="D218" s="267">
        <f t="shared" si="0"/>
        <v>199731239</v>
      </c>
      <c r="E218" s="267">
        <f t="shared" si="0"/>
        <v>152901000</v>
      </c>
      <c r="F218" s="267">
        <f t="shared" si="0"/>
        <v>34000000</v>
      </c>
      <c r="G218" s="267">
        <f t="shared" si="0"/>
        <v>500000</v>
      </c>
      <c r="H218" s="267">
        <f t="shared" si="0"/>
        <v>2315347339</v>
      </c>
      <c r="I218" s="573"/>
      <c r="J218" s="574"/>
      <c r="K218" s="574"/>
      <c r="L218" s="574"/>
      <c r="M218" s="574"/>
      <c r="N218" s="574"/>
      <c r="O218" s="575"/>
    </row>
    <row r="219" spans="1:15" ht="12" thickBot="1">
      <c r="H219" s="210"/>
      <c r="I219" s="94"/>
      <c r="J219" s="95"/>
      <c r="K219" s="95"/>
      <c r="L219" s="95"/>
      <c r="M219" s="94"/>
      <c r="N219" s="94"/>
      <c r="O219" s="94"/>
    </row>
    <row r="220" spans="1:15" s="368" customFormat="1" ht="33.950000000000003" customHeight="1" thickBot="1">
      <c r="A220" s="556" t="s">
        <v>29</v>
      </c>
      <c r="B220" s="557"/>
      <c r="C220" s="362" t="s">
        <v>411</v>
      </c>
      <c r="D220" s="285" t="s">
        <v>412</v>
      </c>
      <c r="E220" s="350" t="s">
        <v>94</v>
      </c>
      <c r="F220" s="285" t="s">
        <v>350</v>
      </c>
      <c r="G220" s="350" t="s">
        <v>125</v>
      </c>
      <c r="H220" s="528" t="s">
        <v>116</v>
      </c>
      <c r="I220" s="559" t="s">
        <v>199</v>
      </c>
      <c r="J220" s="560"/>
      <c r="K220" s="561"/>
      <c r="L220" s="559" t="s">
        <v>200</v>
      </c>
      <c r="M220" s="560"/>
      <c r="N220" s="561"/>
      <c r="O220" s="317" t="s">
        <v>198</v>
      </c>
    </row>
    <row r="221" spans="1:15" s="368" customFormat="1" ht="12" customHeight="1">
      <c r="A221" s="531">
        <v>1</v>
      </c>
      <c r="B221" s="533" t="s">
        <v>99</v>
      </c>
      <c r="C221" s="369" t="s">
        <v>319</v>
      </c>
      <c r="D221" s="318" t="s">
        <v>320</v>
      </c>
      <c r="E221" s="318" t="s">
        <v>321</v>
      </c>
      <c r="F221" s="318" t="s">
        <v>322</v>
      </c>
      <c r="G221" s="318" t="s">
        <v>323</v>
      </c>
      <c r="H221" s="529"/>
      <c r="I221" s="370" t="s">
        <v>195</v>
      </c>
      <c r="J221" s="371" t="s">
        <v>428</v>
      </c>
      <c r="K221" s="372" t="s">
        <v>429</v>
      </c>
      <c r="L221" s="370" t="s">
        <v>195</v>
      </c>
      <c r="M221" s="371" t="s">
        <v>428</v>
      </c>
      <c r="N221" s="372" t="s">
        <v>429</v>
      </c>
      <c r="O221" s="373"/>
    </row>
    <row r="222" spans="1:15" s="368" customFormat="1" ht="12" customHeight="1" thickBot="1">
      <c r="A222" s="532"/>
      <c r="B222" s="534"/>
      <c r="C222" s="374" t="s">
        <v>148</v>
      </c>
      <c r="D222" s="319" t="s">
        <v>149</v>
      </c>
      <c r="E222" s="319" t="s">
        <v>619</v>
      </c>
      <c r="F222" s="319" t="s">
        <v>129</v>
      </c>
      <c r="G222" s="319" t="s">
        <v>324</v>
      </c>
      <c r="H222" s="530"/>
      <c r="I222" s="375"/>
      <c r="J222" s="376"/>
      <c r="K222" s="377"/>
      <c r="L222" s="375"/>
      <c r="M222" s="376"/>
      <c r="N222" s="377"/>
      <c r="O222" s="378"/>
    </row>
    <row r="223" spans="1:15" ht="22.5">
      <c r="A223" s="289"/>
      <c r="B223" s="290" t="s">
        <v>171</v>
      </c>
      <c r="C223" s="291">
        <f t="shared" ref="C223:H223" si="1">SUM(C224:C238)</f>
        <v>114914354</v>
      </c>
      <c r="D223" s="291">
        <f t="shared" si="1"/>
        <v>11000000</v>
      </c>
      <c r="E223" s="291">
        <f t="shared" si="1"/>
        <v>0</v>
      </c>
      <c r="F223" s="291">
        <f t="shared" si="1"/>
        <v>0</v>
      </c>
      <c r="G223" s="291">
        <f t="shared" si="1"/>
        <v>0</v>
      </c>
      <c r="H223" s="291">
        <f t="shared" si="1"/>
        <v>125914354</v>
      </c>
      <c r="I223" s="292"/>
      <c r="J223" s="293"/>
      <c r="K223" s="294"/>
      <c r="L223" s="292"/>
      <c r="M223" s="293"/>
      <c r="N223" s="294"/>
      <c r="O223" s="295"/>
    </row>
    <row r="224" spans="1:15" ht="22.5">
      <c r="A224" s="261" t="s">
        <v>172</v>
      </c>
      <c r="B224" s="284" t="s">
        <v>96</v>
      </c>
      <c r="C224" s="284"/>
      <c r="D224" s="243"/>
      <c r="E224" s="243"/>
      <c r="F224" s="243"/>
      <c r="G224" s="243"/>
      <c r="H224" s="245">
        <f t="shared" ref="H224:H230" si="2">SUM(C224:G224)</f>
        <v>0</v>
      </c>
      <c r="I224" s="283"/>
      <c r="J224" s="109"/>
      <c r="K224" s="153"/>
      <c r="L224" s="283"/>
      <c r="M224" s="139"/>
      <c r="N224" s="281"/>
      <c r="O224" s="140" t="s">
        <v>249</v>
      </c>
    </row>
    <row r="225" spans="1:15" ht="22.5">
      <c r="A225" s="262" t="s">
        <v>329</v>
      </c>
      <c r="B225" s="286" t="s">
        <v>367</v>
      </c>
      <c r="C225" s="243">
        <f>+C66</f>
        <v>32647000</v>
      </c>
      <c r="D225" s="243"/>
      <c r="E225" s="243"/>
      <c r="F225" s="243"/>
      <c r="G225" s="243"/>
      <c r="H225" s="245">
        <f t="shared" si="2"/>
        <v>32647000</v>
      </c>
      <c r="I225" s="283"/>
      <c r="J225" s="109"/>
      <c r="K225" s="153"/>
      <c r="L225" s="283" t="s">
        <v>470</v>
      </c>
      <c r="M225" s="139">
        <v>0.84</v>
      </c>
      <c r="N225" s="281">
        <v>0.84</v>
      </c>
      <c r="O225" s="140" t="s">
        <v>202</v>
      </c>
    </row>
    <row r="226" spans="1:15" ht="22.5">
      <c r="A226" s="262" t="s">
        <v>337</v>
      </c>
      <c r="B226" s="287" t="s">
        <v>602</v>
      </c>
      <c r="C226" s="243"/>
      <c r="D226" s="243"/>
      <c r="E226" s="243"/>
      <c r="F226" s="243"/>
      <c r="G226" s="243"/>
      <c r="H226" s="245">
        <f t="shared" si="2"/>
        <v>0</v>
      </c>
      <c r="I226" s="283" t="s">
        <v>390</v>
      </c>
      <c r="J226" s="109">
        <v>1000</v>
      </c>
      <c r="K226" s="153">
        <v>1000</v>
      </c>
      <c r="L226" s="283" t="s">
        <v>471</v>
      </c>
      <c r="M226" s="109">
        <f>1085+95</f>
        <v>1180</v>
      </c>
      <c r="N226" s="153">
        <v>1180</v>
      </c>
      <c r="O226" s="140"/>
    </row>
    <row r="227" spans="1:15" ht="22.5">
      <c r="A227" s="262" t="s">
        <v>338</v>
      </c>
      <c r="B227" s="287" t="s">
        <v>368</v>
      </c>
      <c r="C227" s="243">
        <v>8000000</v>
      </c>
      <c r="D227" s="243">
        <v>5000000</v>
      </c>
      <c r="E227" s="243"/>
      <c r="F227" s="243"/>
      <c r="G227" s="243"/>
      <c r="H227" s="245">
        <f t="shared" si="2"/>
        <v>13000000</v>
      </c>
      <c r="I227" s="283" t="s">
        <v>391</v>
      </c>
      <c r="J227" s="109">
        <v>2</v>
      </c>
      <c r="K227" s="153">
        <v>2</v>
      </c>
      <c r="L227" s="283" t="s">
        <v>472</v>
      </c>
      <c r="M227" s="109">
        <v>52</v>
      </c>
      <c r="N227" s="282">
        <v>50</v>
      </c>
      <c r="O227" s="140"/>
    </row>
    <row r="228" spans="1:15" ht="22.5">
      <c r="A228" s="262" t="s">
        <v>339</v>
      </c>
      <c r="B228" s="243" t="s">
        <v>369</v>
      </c>
      <c r="C228" s="243">
        <v>25000000</v>
      </c>
      <c r="D228" s="243">
        <v>1000000</v>
      </c>
      <c r="E228" s="243"/>
      <c r="F228" s="243"/>
      <c r="G228" s="243"/>
      <c r="H228" s="245">
        <f t="shared" si="2"/>
        <v>26000000</v>
      </c>
      <c r="I228" s="283" t="s">
        <v>392</v>
      </c>
      <c r="J228" s="109">
        <v>300</v>
      </c>
      <c r="K228" s="153">
        <v>300</v>
      </c>
      <c r="L228" s="283" t="s">
        <v>473</v>
      </c>
      <c r="M228" s="109"/>
      <c r="N228" s="153"/>
      <c r="O228" s="140"/>
    </row>
    <row r="229" spans="1:15" ht="22.5">
      <c r="A229" s="262" t="s">
        <v>340</v>
      </c>
      <c r="B229" s="243" t="s">
        <v>603</v>
      </c>
      <c r="C229" s="243">
        <v>12000000</v>
      </c>
      <c r="D229" s="243"/>
      <c r="E229" s="243"/>
      <c r="F229" s="243"/>
      <c r="G229" s="243"/>
      <c r="H229" s="245">
        <f t="shared" si="2"/>
        <v>12000000</v>
      </c>
      <c r="I229" s="283" t="s">
        <v>393</v>
      </c>
      <c r="J229" s="109">
        <v>250</v>
      </c>
      <c r="K229" s="153">
        <v>250</v>
      </c>
      <c r="L229" s="283" t="s">
        <v>474</v>
      </c>
      <c r="M229" s="109"/>
      <c r="N229" s="153"/>
      <c r="O229" s="140"/>
    </row>
    <row r="230" spans="1:15" ht="22.5">
      <c r="A230" s="262">
        <v>106</v>
      </c>
      <c r="B230" s="243" t="s">
        <v>604</v>
      </c>
      <c r="C230" s="243">
        <v>22000000</v>
      </c>
      <c r="D230" s="243"/>
      <c r="E230" s="243"/>
      <c r="F230" s="243"/>
      <c r="G230" s="243"/>
      <c r="H230" s="245">
        <f t="shared" si="2"/>
        <v>22000000</v>
      </c>
      <c r="I230" s="283" t="s">
        <v>393</v>
      </c>
      <c r="J230" s="109">
        <v>250</v>
      </c>
      <c r="K230" s="153">
        <v>250</v>
      </c>
      <c r="L230" s="283" t="s">
        <v>474</v>
      </c>
      <c r="M230" s="109"/>
      <c r="N230" s="153"/>
      <c r="O230" s="140"/>
    </row>
    <row r="231" spans="1:15">
      <c r="A231" s="262"/>
      <c r="B231" s="243"/>
      <c r="C231" s="243"/>
      <c r="D231" s="243"/>
      <c r="E231" s="243"/>
      <c r="F231" s="243"/>
      <c r="G231" s="243"/>
      <c r="H231" s="245"/>
      <c r="I231" s="283"/>
      <c r="J231" s="109"/>
      <c r="K231" s="153"/>
      <c r="L231" s="283"/>
      <c r="M231" s="109"/>
      <c r="N231" s="153"/>
      <c r="O231" s="140"/>
    </row>
    <row r="232" spans="1:15" s="110" customFormat="1" ht="21.95" customHeight="1">
      <c r="A232" s="262" t="s">
        <v>173</v>
      </c>
      <c r="B232" s="284" t="s">
        <v>62</v>
      </c>
      <c r="C232" s="243"/>
      <c r="D232" s="245"/>
      <c r="E232" s="245"/>
      <c r="F232" s="243"/>
      <c r="G232" s="245"/>
      <c r="H232" s="245">
        <f>SUM(C232:G232)</f>
        <v>0</v>
      </c>
      <c r="I232" s="283"/>
      <c r="J232" s="109"/>
      <c r="K232" s="153"/>
      <c r="L232" s="283"/>
      <c r="M232" s="109"/>
      <c r="N232" s="153"/>
      <c r="O232" s="140"/>
    </row>
    <row r="233" spans="1:15" s="110" customFormat="1" ht="22.5">
      <c r="A233" s="262" t="s">
        <v>330</v>
      </c>
      <c r="B233" s="286" t="s">
        <v>447</v>
      </c>
      <c r="C233" s="243">
        <v>3267354</v>
      </c>
      <c r="D233" s="245"/>
      <c r="E233" s="245"/>
      <c r="F233" s="245"/>
      <c r="G233" s="245"/>
      <c r="H233" s="245">
        <f>SUM(C233:G233)</f>
        <v>3267354</v>
      </c>
      <c r="I233" s="283"/>
      <c r="J233" s="109"/>
      <c r="K233" s="153"/>
      <c r="L233" s="283"/>
      <c r="M233" s="109"/>
      <c r="N233" s="153"/>
      <c r="O233" s="140"/>
    </row>
    <row r="234" spans="1:15" s="110" customFormat="1" ht="22.5">
      <c r="A234" s="262" t="s">
        <v>343</v>
      </c>
      <c r="B234" s="286" t="s">
        <v>370</v>
      </c>
      <c r="C234" s="243"/>
      <c r="D234" s="245"/>
      <c r="E234" s="245"/>
      <c r="F234" s="245"/>
      <c r="G234" s="245"/>
      <c r="H234" s="245">
        <f>SUM(C234:G234)</f>
        <v>0</v>
      </c>
      <c r="I234" s="283" t="s">
        <v>394</v>
      </c>
      <c r="J234" s="109">
        <v>700</v>
      </c>
      <c r="K234" s="153">
        <v>700</v>
      </c>
      <c r="L234" s="283" t="s">
        <v>475</v>
      </c>
      <c r="M234" s="109"/>
      <c r="N234" s="153"/>
      <c r="O234" s="140"/>
    </row>
    <row r="235" spans="1:15" s="110" customFormat="1">
      <c r="A235" s="262"/>
      <c r="B235" s="286"/>
      <c r="C235" s="243"/>
      <c r="D235" s="245"/>
      <c r="E235" s="245"/>
      <c r="F235" s="245"/>
      <c r="G235" s="245"/>
      <c r="H235" s="245"/>
      <c r="I235" s="283"/>
      <c r="J235" s="109"/>
      <c r="K235" s="153"/>
      <c r="L235" s="283"/>
      <c r="M235" s="109"/>
      <c r="N235" s="153"/>
      <c r="O235" s="140"/>
    </row>
    <row r="236" spans="1:15" s="110" customFormat="1">
      <c r="A236" s="263" t="s">
        <v>174</v>
      </c>
      <c r="B236" s="284" t="s">
        <v>0</v>
      </c>
      <c r="C236" s="243"/>
      <c r="D236" s="243"/>
      <c r="E236" s="245"/>
      <c r="F236" s="245"/>
      <c r="G236" s="245"/>
      <c r="H236" s="245">
        <f>SUM(C236:G236)</f>
        <v>0</v>
      </c>
      <c r="I236" s="283"/>
      <c r="J236" s="109"/>
      <c r="K236" s="153"/>
      <c r="L236" s="283"/>
      <c r="M236" s="109"/>
      <c r="N236" s="153"/>
      <c r="O236" s="140"/>
    </row>
    <row r="237" spans="1:15" s="110" customFormat="1" ht="22.5">
      <c r="A237" s="262" t="s">
        <v>331</v>
      </c>
      <c r="B237" s="288" t="s">
        <v>371</v>
      </c>
      <c r="C237" s="243">
        <v>2000000</v>
      </c>
      <c r="D237" s="243"/>
      <c r="E237" s="245"/>
      <c r="F237" s="243"/>
      <c r="G237" s="245"/>
      <c r="H237" s="245">
        <f>SUM(C237:G237)</f>
        <v>2000000</v>
      </c>
      <c r="I237" s="283" t="s">
        <v>395</v>
      </c>
      <c r="J237" s="109">
        <v>130</v>
      </c>
      <c r="K237" s="153">
        <v>130</v>
      </c>
      <c r="L237" s="283" t="s">
        <v>476</v>
      </c>
      <c r="M237" s="109"/>
      <c r="N237" s="153"/>
      <c r="O237" s="140"/>
    </row>
    <row r="238" spans="1:15" s="110" customFormat="1" ht="23.25" thickBot="1">
      <c r="A238" s="336" t="s">
        <v>346</v>
      </c>
      <c r="B238" s="296" t="s">
        <v>372</v>
      </c>
      <c r="C238" s="258">
        <v>10000000</v>
      </c>
      <c r="D238" s="258">
        <v>5000000</v>
      </c>
      <c r="E238" s="252"/>
      <c r="F238" s="258"/>
      <c r="G238" s="252"/>
      <c r="H238" s="252">
        <f>SUM(C238:G238)</f>
        <v>15000000</v>
      </c>
      <c r="I238" s="297"/>
      <c r="J238" s="175">
        <v>0</v>
      </c>
      <c r="K238" s="176">
        <v>0</v>
      </c>
      <c r="L238" s="297"/>
      <c r="M238" s="175"/>
      <c r="N238" s="176"/>
      <c r="O238" s="298"/>
    </row>
    <row r="239" spans="1:15" ht="12" thickBot="1">
      <c r="A239" s="196" t="s">
        <v>116</v>
      </c>
      <c r="B239" s="246"/>
      <c r="C239" s="246">
        <f t="shared" ref="C239:H239" si="3">SUM(C224:C238)</f>
        <v>114914354</v>
      </c>
      <c r="D239" s="246">
        <f t="shared" si="3"/>
        <v>11000000</v>
      </c>
      <c r="E239" s="246">
        <f t="shared" si="3"/>
        <v>0</v>
      </c>
      <c r="F239" s="246">
        <f t="shared" si="3"/>
        <v>0</v>
      </c>
      <c r="G239" s="246">
        <f t="shared" si="3"/>
        <v>0</v>
      </c>
      <c r="H239" s="246">
        <f t="shared" si="3"/>
        <v>125914354</v>
      </c>
      <c r="I239" s="144"/>
      <c r="J239" s="144"/>
      <c r="K239" s="144"/>
      <c r="L239" s="144"/>
      <c r="M239" s="144"/>
      <c r="N239" s="144"/>
      <c r="O239" s="144"/>
    </row>
    <row r="240" spans="1:15" s="94" customFormat="1">
      <c r="A240" s="247"/>
      <c r="B240" s="121"/>
      <c r="C240" s="423">
        <f>+E64</f>
        <v>114914354</v>
      </c>
      <c r="D240" s="121"/>
      <c r="E240" s="121"/>
      <c r="F240" s="121"/>
      <c r="G240" s="121"/>
      <c r="H240" s="121"/>
      <c r="I240" s="268"/>
      <c r="J240" s="268"/>
      <c r="K240" s="268"/>
      <c r="L240" s="268"/>
      <c r="M240" s="268"/>
      <c r="N240" s="268"/>
      <c r="O240" s="268"/>
    </row>
    <row r="241" spans="1:15" s="94" customFormat="1">
      <c r="A241" s="247"/>
      <c r="B241" s="121"/>
      <c r="C241" s="423">
        <f>+C240-C239</f>
        <v>0</v>
      </c>
      <c r="D241" s="121"/>
      <c r="E241" s="121"/>
      <c r="F241" s="121"/>
      <c r="G241" s="121"/>
      <c r="H241" s="121"/>
      <c r="I241" s="268"/>
      <c r="J241" s="268"/>
      <c r="K241" s="268"/>
      <c r="L241" s="268"/>
      <c r="M241" s="268"/>
      <c r="N241" s="268"/>
      <c r="O241" s="268"/>
    </row>
    <row r="242" spans="1:15" s="94" customFormat="1" ht="12" thickBot="1">
      <c r="A242" s="247"/>
      <c r="B242" s="121"/>
      <c r="C242" s="121"/>
      <c r="D242" s="121"/>
      <c r="E242" s="121"/>
      <c r="F242" s="121"/>
      <c r="G242" s="121"/>
      <c r="H242" s="121"/>
      <c r="I242" s="268"/>
      <c r="J242" s="268"/>
      <c r="K242" s="268"/>
      <c r="L242" s="268"/>
      <c r="M242" s="268"/>
      <c r="N242" s="268"/>
      <c r="O242" s="268"/>
    </row>
    <row r="243" spans="1:15" s="379" customFormat="1" ht="33.950000000000003" customHeight="1">
      <c r="A243" s="565">
        <v>2</v>
      </c>
      <c r="B243" s="568" t="s">
        <v>625</v>
      </c>
      <c r="C243" s="380" t="s">
        <v>411</v>
      </c>
      <c r="D243" s="381" t="s">
        <v>412</v>
      </c>
      <c r="E243" s="382" t="s">
        <v>94</v>
      </c>
      <c r="F243" s="381" t="s">
        <v>350</v>
      </c>
      <c r="G243" s="382" t="s">
        <v>125</v>
      </c>
      <c r="H243" s="549" t="s">
        <v>116</v>
      </c>
      <c r="I243" s="571" t="s">
        <v>199</v>
      </c>
      <c r="J243" s="571"/>
      <c r="K243" s="572"/>
      <c r="L243" s="577" t="s">
        <v>200</v>
      </c>
      <c r="M243" s="571"/>
      <c r="N243" s="572"/>
      <c r="O243" s="383" t="s">
        <v>198</v>
      </c>
    </row>
    <row r="244" spans="1:15" s="379" customFormat="1" ht="12" customHeight="1" thickBot="1">
      <c r="A244" s="566"/>
      <c r="B244" s="569"/>
      <c r="C244" s="384" t="s">
        <v>319</v>
      </c>
      <c r="D244" s="385" t="s">
        <v>320</v>
      </c>
      <c r="E244" s="385" t="s">
        <v>321</v>
      </c>
      <c r="F244" s="385" t="s">
        <v>322</v>
      </c>
      <c r="G244" s="385" t="s">
        <v>323</v>
      </c>
      <c r="H244" s="550"/>
      <c r="I244" s="386" t="s">
        <v>195</v>
      </c>
      <c r="J244" s="387" t="s">
        <v>428</v>
      </c>
      <c r="K244" s="388" t="s">
        <v>429</v>
      </c>
      <c r="L244" s="387" t="s">
        <v>195</v>
      </c>
      <c r="M244" s="387" t="s">
        <v>428</v>
      </c>
      <c r="N244" s="388" t="s">
        <v>429</v>
      </c>
      <c r="O244" s="389"/>
    </row>
    <row r="245" spans="1:15" s="379" customFormat="1" ht="12" customHeight="1" thickBot="1">
      <c r="A245" s="567"/>
      <c r="B245" s="570"/>
      <c r="C245" s="390" t="s">
        <v>148</v>
      </c>
      <c r="D245" s="391" t="s">
        <v>149</v>
      </c>
      <c r="E245" s="391" t="s">
        <v>619</v>
      </c>
      <c r="F245" s="391" t="s">
        <v>129</v>
      </c>
      <c r="G245" s="391" t="s">
        <v>324</v>
      </c>
      <c r="H245" s="551"/>
      <c r="I245" s="392"/>
      <c r="J245" s="393"/>
      <c r="K245" s="394"/>
      <c r="L245" s="393"/>
      <c r="M245" s="393"/>
      <c r="N245" s="395"/>
      <c r="O245" s="396"/>
    </row>
    <row r="246" spans="1:15" ht="23.25" thickBot="1">
      <c r="A246" s="196"/>
      <c r="B246" s="324" t="s">
        <v>171</v>
      </c>
      <c r="C246" s="327"/>
      <c r="D246" s="123">
        <f>SUM(D248:D249)</f>
        <v>26000000</v>
      </c>
      <c r="E246" s="123">
        <f>SUM(E248:E249)</f>
        <v>3000000</v>
      </c>
      <c r="F246" s="123">
        <f>SUM(F248:F249)</f>
        <v>0</v>
      </c>
      <c r="G246" s="123">
        <f>SUM(G248:G249)</f>
        <v>0</v>
      </c>
      <c r="H246" s="123">
        <f>SUM(H248:H249)</f>
        <v>45780115</v>
      </c>
      <c r="I246" s="133"/>
      <c r="J246" s="133"/>
      <c r="K246" s="134"/>
      <c r="L246" s="133"/>
      <c r="M246" s="133"/>
      <c r="N246" s="135"/>
      <c r="O246" s="136"/>
    </row>
    <row r="247" spans="1:15" ht="12" thickBot="1">
      <c r="A247" s="326">
        <v>4</v>
      </c>
      <c r="B247" s="248" t="s">
        <v>1</v>
      </c>
      <c r="C247" s="7"/>
      <c r="D247" s="333"/>
      <c r="E247" s="328"/>
      <c r="F247" s="328"/>
      <c r="G247" s="328"/>
      <c r="H247" s="328"/>
      <c r="I247" s="329"/>
      <c r="J247" s="330"/>
      <c r="K247" s="331"/>
      <c r="L247" s="330"/>
      <c r="M247" s="330"/>
      <c r="N247" s="331"/>
      <c r="O247" s="149"/>
    </row>
    <row r="248" spans="1:15" ht="22.5">
      <c r="A248" s="325">
        <v>401</v>
      </c>
      <c r="B248" s="112" t="s">
        <v>229</v>
      </c>
      <c r="C248" s="250">
        <v>16780115</v>
      </c>
      <c r="D248" s="244">
        <v>26000000</v>
      </c>
      <c r="E248" s="244">
        <v>3000000</v>
      </c>
      <c r="F248" s="244"/>
      <c r="G248" s="244"/>
      <c r="H248" s="242">
        <f>SUM(C248:G248)</f>
        <v>45780115</v>
      </c>
      <c r="I248" s="113" t="s">
        <v>224</v>
      </c>
      <c r="J248" s="114">
        <v>1085</v>
      </c>
      <c r="K248" s="114">
        <v>1085</v>
      </c>
      <c r="L248" s="114" t="s">
        <v>477</v>
      </c>
      <c r="M248" s="114"/>
      <c r="N248" s="114"/>
      <c r="O248" s="145" t="s">
        <v>202</v>
      </c>
    </row>
    <row r="249" spans="1:15" ht="23.25" thickBot="1">
      <c r="A249" s="325">
        <v>401</v>
      </c>
      <c r="B249" s="115" t="s">
        <v>230</v>
      </c>
      <c r="C249" s="244"/>
      <c r="D249" s="244"/>
      <c r="E249" s="244"/>
      <c r="F249" s="244"/>
      <c r="G249" s="244"/>
      <c r="H249" s="242">
        <f>SUM(C249:G249)</f>
        <v>0</v>
      </c>
      <c r="I249" s="116" t="s">
        <v>225</v>
      </c>
      <c r="J249" s="117">
        <v>7</v>
      </c>
      <c r="K249" s="117">
        <v>7</v>
      </c>
      <c r="L249" s="117" t="s">
        <v>478</v>
      </c>
      <c r="M249" s="117"/>
      <c r="N249" s="117"/>
      <c r="O249" s="146" t="s">
        <v>250</v>
      </c>
    </row>
    <row r="250" spans="1:15" ht="12" thickBot="1">
      <c r="A250" s="337" t="s">
        <v>116</v>
      </c>
      <c r="B250" s="246"/>
      <c r="C250" s="120">
        <f t="shared" ref="C250:H250" si="4">SUM(C248:C249)</f>
        <v>16780115</v>
      </c>
      <c r="D250" s="120">
        <f t="shared" si="4"/>
        <v>26000000</v>
      </c>
      <c r="E250" s="120">
        <f t="shared" si="4"/>
        <v>3000000</v>
      </c>
      <c r="F250" s="120">
        <f t="shared" si="4"/>
        <v>0</v>
      </c>
      <c r="G250" s="120">
        <f t="shared" si="4"/>
        <v>0</v>
      </c>
      <c r="H250" s="120">
        <f t="shared" si="4"/>
        <v>45780115</v>
      </c>
      <c r="I250" s="142"/>
      <c r="J250" s="143"/>
      <c r="K250" s="144"/>
      <c r="L250" s="142"/>
      <c r="M250" s="143"/>
      <c r="N250" s="144"/>
      <c r="O250" s="144"/>
    </row>
    <row r="251" spans="1:15" s="94" customFormat="1">
      <c r="A251" s="247"/>
      <c r="B251" s="248"/>
      <c r="C251" s="423">
        <f>+E67</f>
        <v>16780115</v>
      </c>
      <c r="D251" s="249"/>
      <c r="E251" s="249"/>
      <c r="F251" s="249"/>
      <c r="G251" s="249"/>
      <c r="H251" s="210"/>
      <c r="I251" s="147"/>
      <c r="J251" s="147"/>
      <c r="K251" s="147"/>
      <c r="L251" s="147"/>
      <c r="M251" s="147"/>
      <c r="N251" s="147"/>
      <c r="O251" s="147"/>
    </row>
    <row r="252" spans="1:15" s="94" customFormat="1">
      <c r="A252" s="247"/>
      <c r="B252" s="248"/>
      <c r="C252" s="424">
        <f>+C251-C250</f>
        <v>0</v>
      </c>
      <c r="D252" s="249"/>
      <c r="E252" s="249"/>
      <c r="F252" s="249"/>
      <c r="G252" s="249"/>
      <c r="H252" s="210"/>
      <c r="I252" s="147"/>
      <c r="J252" s="147"/>
      <c r="K252" s="147"/>
      <c r="L252" s="147"/>
      <c r="M252" s="147"/>
      <c r="N252" s="147"/>
      <c r="O252" s="147"/>
    </row>
    <row r="253" spans="1:15" s="94" customFormat="1" ht="12" thickBot="1">
      <c r="A253" s="247"/>
      <c r="B253" s="248"/>
      <c r="C253" s="249"/>
      <c r="D253" s="249"/>
      <c r="E253" s="249"/>
      <c r="F253" s="249"/>
      <c r="G253" s="249"/>
      <c r="H253" s="210"/>
      <c r="I253" s="147"/>
      <c r="J253" s="147"/>
      <c r="K253" s="147"/>
      <c r="L253" s="147"/>
      <c r="M253" s="147"/>
      <c r="N253" s="147"/>
      <c r="O253" s="147"/>
    </row>
    <row r="254" spans="1:15" s="368" customFormat="1" ht="33.950000000000003" customHeight="1">
      <c r="A254" s="555" t="s">
        <v>174</v>
      </c>
      <c r="B254" s="543" t="s">
        <v>228</v>
      </c>
      <c r="C254" s="361" t="s">
        <v>130</v>
      </c>
      <c r="D254" s="342" t="s">
        <v>186</v>
      </c>
      <c r="E254" s="397" t="s">
        <v>94</v>
      </c>
      <c r="F254" s="342" t="s">
        <v>350</v>
      </c>
      <c r="G254" s="397" t="s">
        <v>125</v>
      </c>
      <c r="H254" s="519" t="s">
        <v>116</v>
      </c>
      <c r="I254" s="559" t="s">
        <v>199</v>
      </c>
      <c r="J254" s="560"/>
      <c r="K254" s="560"/>
      <c r="L254" s="560" t="s">
        <v>200</v>
      </c>
      <c r="M254" s="560"/>
      <c r="N254" s="560"/>
      <c r="O254" s="320" t="s">
        <v>198</v>
      </c>
    </row>
    <row r="255" spans="1:15" s="368" customFormat="1" ht="12" customHeight="1">
      <c r="A255" s="531"/>
      <c r="B255" s="544"/>
      <c r="C255" s="398" t="s">
        <v>319</v>
      </c>
      <c r="D255" s="340" t="s">
        <v>320</v>
      </c>
      <c r="E255" s="340" t="s">
        <v>321</v>
      </c>
      <c r="F255" s="340" t="s">
        <v>322</v>
      </c>
      <c r="G255" s="340" t="s">
        <v>323</v>
      </c>
      <c r="H255" s="520"/>
      <c r="I255" s="370" t="s">
        <v>195</v>
      </c>
      <c r="J255" s="371" t="s">
        <v>196</v>
      </c>
      <c r="K255" s="371" t="s">
        <v>197</v>
      </c>
      <c r="L255" s="371" t="s">
        <v>195</v>
      </c>
      <c r="M255" s="371" t="s">
        <v>196</v>
      </c>
      <c r="N255" s="371" t="s">
        <v>197</v>
      </c>
      <c r="O255" s="399"/>
    </row>
    <row r="256" spans="1:15" s="368" customFormat="1" ht="12" customHeight="1" thickBot="1">
      <c r="A256" s="532"/>
      <c r="B256" s="545"/>
      <c r="C256" s="400" t="s">
        <v>148</v>
      </c>
      <c r="D256" s="401" t="s">
        <v>149</v>
      </c>
      <c r="E256" s="401" t="s">
        <v>619</v>
      </c>
      <c r="F256" s="401" t="s">
        <v>129</v>
      </c>
      <c r="G256" s="401" t="s">
        <v>324</v>
      </c>
      <c r="H256" s="521"/>
      <c r="I256" s="402"/>
      <c r="J256" s="403"/>
      <c r="K256" s="403"/>
      <c r="L256" s="403"/>
      <c r="M256" s="403"/>
      <c r="N256" s="403"/>
      <c r="O256" s="399"/>
    </row>
    <row r="257" spans="1:15" ht="23.25" thickBot="1">
      <c r="A257" s="196" t="s">
        <v>114</v>
      </c>
      <c r="B257" s="108" t="s">
        <v>171</v>
      </c>
      <c r="C257" s="123"/>
      <c r="D257" s="123" t="s">
        <v>115</v>
      </c>
      <c r="E257" s="123" t="s">
        <v>115</v>
      </c>
      <c r="F257" s="123" t="s">
        <v>115</v>
      </c>
      <c r="G257" s="123"/>
      <c r="H257" s="367"/>
      <c r="I257" s="157"/>
      <c r="J257" s="150"/>
      <c r="K257" s="150"/>
      <c r="L257" s="150"/>
      <c r="M257" s="150"/>
      <c r="N257" s="150"/>
      <c r="O257" s="158"/>
    </row>
    <row r="258" spans="1:15">
      <c r="A258" s="306"/>
      <c r="B258" s="307"/>
      <c r="C258" s="308"/>
      <c r="D258" s="308"/>
      <c r="E258" s="308"/>
      <c r="F258" s="308"/>
      <c r="G258" s="308"/>
      <c r="H258" s="255"/>
      <c r="I258" s="113"/>
      <c r="J258" s="114"/>
      <c r="K258" s="114"/>
      <c r="L258" s="114"/>
      <c r="M258" s="114"/>
      <c r="N258" s="114"/>
      <c r="O258" s="152"/>
    </row>
    <row r="259" spans="1:15" ht="22.5">
      <c r="A259" s="338" t="s">
        <v>172</v>
      </c>
      <c r="B259" s="332" t="s">
        <v>61</v>
      </c>
      <c r="C259" s="7"/>
      <c r="D259" s="258"/>
      <c r="E259" s="258"/>
      <c r="F259" s="258"/>
      <c r="G259" s="258"/>
      <c r="H259" s="259">
        <f>SUM(B259:G259)</f>
        <v>0</v>
      </c>
      <c r="I259" s="119"/>
      <c r="J259" s="109"/>
      <c r="K259" s="109"/>
      <c r="L259" s="109"/>
      <c r="M259" s="109"/>
      <c r="N259" s="109"/>
      <c r="O259" s="153"/>
    </row>
    <row r="260" spans="1:15" ht="22.5">
      <c r="A260" s="336" t="s">
        <v>329</v>
      </c>
      <c r="B260" s="296" t="s">
        <v>252</v>
      </c>
      <c r="C260" s="258"/>
      <c r="D260" s="258"/>
      <c r="E260" s="258"/>
      <c r="F260" s="258"/>
      <c r="G260" s="258"/>
      <c r="H260" s="259">
        <f>SUM(C260:G260)</f>
        <v>0</v>
      </c>
      <c r="I260" s="119"/>
      <c r="J260" s="109"/>
      <c r="K260" s="109"/>
      <c r="L260" s="109"/>
      <c r="M260" s="109"/>
      <c r="N260" s="109"/>
      <c r="O260" s="153" t="s">
        <v>202</v>
      </c>
    </row>
    <row r="261" spans="1:15" ht="22.5">
      <c r="A261" s="336" t="s">
        <v>337</v>
      </c>
      <c r="B261" s="286" t="s">
        <v>234</v>
      </c>
      <c r="C261" s="243"/>
      <c r="D261" s="243"/>
      <c r="E261" s="243"/>
      <c r="F261" s="243"/>
      <c r="G261" s="243"/>
      <c r="H261" s="259">
        <f>SUM(C261:G261)</f>
        <v>0</v>
      </c>
      <c r="I261" s="119"/>
      <c r="J261" s="109"/>
      <c r="K261" s="109"/>
      <c r="L261" s="109" t="s">
        <v>226</v>
      </c>
      <c r="M261" s="109">
        <f>12*15</f>
        <v>180</v>
      </c>
      <c r="N261" s="109">
        <f>12*15</f>
        <v>180</v>
      </c>
      <c r="O261" s="153" t="s">
        <v>253</v>
      </c>
    </row>
    <row r="262" spans="1:15" ht="34.5" thickBot="1">
      <c r="A262" s="313" t="s">
        <v>338</v>
      </c>
      <c r="B262" s="309" t="s">
        <v>235</v>
      </c>
      <c r="C262" s="304"/>
      <c r="D262" s="304"/>
      <c r="E262" s="304"/>
      <c r="F262" s="304"/>
      <c r="G262" s="304"/>
      <c r="H262" s="357">
        <f>SUM(C262:G262)</f>
        <v>0</v>
      </c>
      <c r="I262" s="119" t="s">
        <v>259</v>
      </c>
      <c r="J262" s="109">
        <v>0</v>
      </c>
      <c r="K262" s="109">
        <v>12</v>
      </c>
      <c r="L262" s="109"/>
      <c r="M262" s="109"/>
      <c r="N262" s="109"/>
      <c r="O262" s="153" t="s">
        <v>254</v>
      </c>
    </row>
    <row r="263" spans="1:15" ht="12" thickBot="1">
      <c r="A263" s="337" t="s">
        <v>116</v>
      </c>
      <c r="B263" s="246"/>
      <c r="C263" s="120">
        <f t="shared" ref="C263:H263" si="5">SUM(C258:C262)</f>
        <v>0</v>
      </c>
      <c r="D263" s="120">
        <f t="shared" si="5"/>
        <v>0</v>
      </c>
      <c r="E263" s="120">
        <f t="shared" si="5"/>
        <v>0</v>
      </c>
      <c r="F263" s="120">
        <f t="shared" si="5"/>
        <v>0</v>
      </c>
      <c r="G263" s="120">
        <f t="shared" si="5"/>
        <v>0</v>
      </c>
      <c r="H263" s="120">
        <f t="shared" si="5"/>
        <v>0</v>
      </c>
      <c r="I263" s="132"/>
      <c r="J263" s="132"/>
      <c r="K263" s="132"/>
      <c r="L263" s="132"/>
      <c r="M263" s="132"/>
      <c r="N263" s="132"/>
      <c r="O263" s="155"/>
    </row>
    <row r="264" spans="1:15" hidden="1">
      <c r="A264" s="247"/>
      <c r="B264" s="121"/>
      <c r="C264" s="121"/>
      <c r="D264" s="121"/>
      <c r="E264" s="121"/>
      <c r="F264" s="121"/>
      <c r="G264" s="121"/>
      <c r="H264" s="121"/>
      <c r="I264" s="268"/>
      <c r="J264" s="268"/>
      <c r="K264" s="268"/>
      <c r="L264" s="268"/>
      <c r="M264" s="268"/>
      <c r="N264" s="268"/>
      <c r="O264" s="268"/>
    </row>
    <row r="265" spans="1:15" hidden="1">
      <c r="A265" s="247"/>
      <c r="B265" s="248"/>
      <c r="C265" s="249"/>
      <c r="D265" s="249"/>
      <c r="E265" s="249"/>
      <c r="F265" s="249"/>
      <c r="G265" s="249"/>
      <c r="H265" s="210"/>
      <c r="I265" s="156"/>
      <c r="J265" s="156"/>
      <c r="K265" s="156"/>
      <c r="L265" s="156"/>
      <c r="M265" s="156"/>
      <c r="N265" s="156"/>
      <c r="O265" s="156"/>
    </row>
    <row r="266" spans="1:15">
      <c r="A266" s="247"/>
      <c r="B266" s="248"/>
      <c r="C266" s="249"/>
      <c r="D266" s="249"/>
      <c r="E266" s="249"/>
      <c r="F266" s="249"/>
      <c r="G266" s="249"/>
      <c r="H266" s="210"/>
      <c r="I266" s="156"/>
      <c r="J266" s="156"/>
      <c r="K266" s="156"/>
      <c r="L266" s="156"/>
      <c r="M266" s="156"/>
      <c r="N266" s="156"/>
      <c r="O266" s="156"/>
    </row>
    <row r="267" spans="1:15" ht="12" thickBot="1">
      <c r="A267" s="247"/>
      <c r="B267" s="248"/>
      <c r="C267" s="249"/>
      <c r="D267" s="249"/>
      <c r="E267" s="249"/>
      <c r="F267" s="249"/>
      <c r="G267" s="249"/>
      <c r="H267" s="210"/>
      <c r="I267" s="147"/>
      <c r="J267" s="148"/>
      <c r="K267" s="147"/>
      <c r="L267" s="147"/>
      <c r="M267" s="147"/>
      <c r="N267" s="147"/>
      <c r="O267" s="147"/>
    </row>
    <row r="268" spans="1:15" s="368" customFormat="1" ht="33.950000000000003" customHeight="1">
      <c r="A268" s="555">
        <v>2</v>
      </c>
      <c r="B268" s="543" t="s">
        <v>213</v>
      </c>
      <c r="C268" s="361" t="s">
        <v>411</v>
      </c>
      <c r="D268" s="342" t="s">
        <v>412</v>
      </c>
      <c r="E268" s="397" t="s">
        <v>94</v>
      </c>
      <c r="F268" s="342" t="s">
        <v>350</v>
      </c>
      <c r="G268" s="397" t="s">
        <v>125</v>
      </c>
      <c r="H268" s="519" t="s">
        <v>116</v>
      </c>
      <c r="I268" s="562" t="s">
        <v>199</v>
      </c>
      <c r="J268" s="562"/>
      <c r="K268" s="563"/>
      <c r="L268" s="576" t="s">
        <v>200</v>
      </c>
      <c r="M268" s="562"/>
      <c r="N268" s="563"/>
      <c r="O268" s="404" t="s">
        <v>198</v>
      </c>
    </row>
    <row r="269" spans="1:15" s="368" customFormat="1" ht="12" customHeight="1">
      <c r="A269" s="531"/>
      <c r="B269" s="544"/>
      <c r="C269" s="398" t="s">
        <v>24</v>
      </c>
      <c r="D269" s="340" t="s">
        <v>24</v>
      </c>
      <c r="E269" s="340" t="s">
        <v>24</v>
      </c>
      <c r="F269" s="340" t="s">
        <v>24</v>
      </c>
      <c r="G269" s="340" t="s">
        <v>24</v>
      </c>
      <c r="H269" s="520"/>
      <c r="I269" s="370" t="s">
        <v>195</v>
      </c>
      <c r="J269" s="371" t="s">
        <v>196</v>
      </c>
      <c r="K269" s="371" t="s">
        <v>197</v>
      </c>
      <c r="L269" s="371" t="s">
        <v>195</v>
      </c>
      <c r="M269" s="371" t="s">
        <v>196</v>
      </c>
      <c r="N269" s="371" t="s">
        <v>197</v>
      </c>
      <c r="O269" s="405"/>
    </row>
    <row r="270" spans="1:15" s="368" customFormat="1" ht="12" customHeight="1" thickBot="1">
      <c r="A270" s="532"/>
      <c r="B270" s="545"/>
      <c r="C270" s="400" t="s">
        <v>148</v>
      </c>
      <c r="D270" s="401" t="s">
        <v>149</v>
      </c>
      <c r="E270" s="401" t="s">
        <v>619</v>
      </c>
      <c r="F270" s="401" t="s">
        <v>129</v>
      </c>
      <c r="G270" s="401" t="s">
        <v>324</v>
      </c>
      <c r="H270" s="521"/>
      <c r="I270" s="402"/>
      <c r="J270" s="403"/>
      <c r="K270" s="403"/>
      <c r="L270" s="403"/>
      <c r="M270" s="403"/>
      <c r="N270" s="403"/>
      <c r="O270" s="373"/>
    </row>
    <row r="271" spans="1:15" ht="23.25" thickBot="1">
      <c r="A271" s="196" t="s">
        <v>114</v>
      </c>
      <c r="B271" s="118" t="s">
        <v>171</v>
      </c>
      <c r="C271" s="123">
        <f t="shared" ref="C271:H271" si="6">SUM(C273:C286)</f>
        <v>569016021</v>
      </c>
      <c r="D271" s="123">
        <f t="shared" si="6"/>
        <v>62819769</v>
      </c>
      <c r="E271" s="123">
        <f t="shared" si="6"/>
        <v>136400000</v>
      </c>
      <c r="F271" s="123">
        <f t="shared" si="6"/>
        <v>0</v>
      </c>
      <c r="G271" s="123">
        <f t="shared" si="6"/>
        <v>500000</v>
      </c>
      <c r="H271" s="123">
        <f t="shared" si="6"/>
        <v>768735790</v>
      </c>
      <c r="I271" s="150"/>
      <c r="J271" s="150"/>
      <c r="K271" s="150"/>
      <c r="L271" s="150"/>
      <c r="M271" s="150"/>
      <c r="N271" s="150"/>
      <c r="O271" s="151"/>
    </row>
    <row r="272" spans="1:15">
      <c r="A272" s="299"/>
      <c r="B272" s="300"/>
      <c r="C272" s="270"/>
      <c r="D272" s="271"/>
      <c r="E272" s="271"/>
      <c r="F272" s="271"/>
      <c r="G272" s="271"/>
      <c r="H272" s="272"/>
      <c r="I272" s="113"/>
      <c r="J272" s="114"/>
      <c r="K272" s="114"/>
      <c r="L272" s="114"/>
      <c r="M272" s="114"/>
      <c r="N272" s="114"/>
      <c r="O272" s="152"/>
    </row>
    <row r="273" spans="1:15">
      <c r="A273" s="251">
        <v>1</v>
      </c>
      <c r="B273" s="332" t="s">
        <v>2</v>
      </c>
      <c r="C273" s="7"/>
      <c r="D273" s="245"/>
      <c r="E273" s="250"/>
      <c r="F273" s="242"/>
      <c r="G273" s="242"/>
      <c r="H273" s="128">
        <f>SUM(B273:G273)</f>
        <v>0</v>
      </c>
      <c r="I273" s="119"/>
      <c r="J273" s="109"/>
      <c r="K273" s="109"/>
      <c r="L273" s="109"/>
      <c r="M273" s="109"/>
      <c r="N273" s="109"/>
      <c r="O273" s="153"/>
    </row>
    <row r="274" spans="1:15" ht="22.5">
      <c r="A274" s="262">
        <v>101</v>
      </c>
      <c r="B274" s="243" t="s">
        <v>13</v>
      </c>
      <c r="C274" s="351">
        <f>+C101</f>
        <v>547054416</v>
      </c>
      <c r="D274" s="91">
        <v>40819769</v>
      </c>
      <c r="E274" s="91"/>
      <c r="F274" s="91"/>
      <c r="G274" s="243"/>
      <c r="H274" s="128">
        <f t="shared" ref="H274:H286" si="7">SUM(C274:G274)</f>
        <v>587874185</v>
      </c>
      <c r="I274" s="119" t="s">
        <v>223</v>
      </c>
      <c r="J274" s="109">
        <v>3400</v>
      </c>
      <c r="K274" s="109">
        <v>3400</v>
      </c>
      <c r="L274" s="109" t="s">
        <v>479</v>
      </c>
      <c r="M274" s="109">
        <v>0</v>
      </c>
      <c r="N274" s="109">
        <v>0</v>
      </c>
      <c r="O274" s="153"/>
    </row>
    <row r="275" spans="1:15" ht="22.5">
      <c r="A275" s="262">
        <v>101</v>
      </c>
      <c r="B275" s="243" t="s">
        <v>15</v>
      </c>
      <c r="C275" s="351"/>
      <c r="D275" s="91"/>
      <c r="E275" s="91">
        <v>6000000</v>
      </c>
      <c r="F275" s="91"/>
      <c r="G275" s="243"/>
      <c r="H275" s="128">
        <f>SUM(C275:G275)</f>
        <v>6000000</v>
      </c>
      <c r="I275" s="119" t="s">
        <v>223</v>
      </c>
      <c r="J275" s="109">
        <v>3400</v>
      </c>
      <c r="K275" s="109">
        <v>3400</v>
      </c>
      <c r="L275" s="109" t="s">
        <v>479</v>
      </c>
      <c r="M275" s="109">
        <v>0</v>
      </c>
      <c r="N275" s="109">
        <v>0</v>
      </c>
      <c r="O275" s="153"/>
    </row>
    <row r="276" spans="1:15" ht="22.5">
      <c r="A276" s="262">
        <v>102</v>
      </c>
      <c r="B276" s="243" t="s">
        <v>14</v>
      </c>
      <c r="C276" s="351"/>
      <c r="D276" s="91"/>
      <c r="E276" s="91">
        <v>55000000</v>
      </c>
      <c r="F276" s="91"/>
      <c r="G276" s="243"/>
      <c r="H276" s="128">
        <f>SUM(C276:G276)</f>
        <v>55000000</v>
      </c>
      <c r="I276" s="119" t="s">
        <v>223</v>
      </c>
      <c r="J276" s="109">
        <v>3400</v>
      </c>
      <c r="K276" s="109">
        <v>3400</v>
      </c>
      <c r="L276" s="109" t="s">
        <v>479</v>
      </c>
      <c r="M276" s="109">
        <v>0</v>
      </c>
      <c r="N276" s="109">
        <v>0</v>
      </c>
      <c r="O276" s="153"/>
    </row>
    <row r="277" spans="1:15" ht="22.5">
      <c r="A277" s="262">
        <v>103</v>
      </c>
      <c r="B277" s="243" t="s">
        <v>16</v>
      </c>
      <c r="C277" s="351"/>
      <c r="D277" s="91"/>
      <c r="E277" s="91">
        <v>75400000</v>
      </c>
      <c r="F277" s="91"/>
      <c r="G277" s="243"/>
      <c r="H277" s="128">
        <f t="shared" si="7"/>
        <v>75400000</v>
      </c>
      <c r="I277" s="119" t="s">
        <v>251</v>
      </c>
      <c r="J277" s="109">
        <v>3400</v>
      </c>
      <c r="K277" s="109">
        <v>3400</v>
      </c>
      <c r="L277" s="109" t="s">
        <v>480</v>
      </c>
      <c r="M277" s="109"/>
      <c r="N277" s="109"/>
      <c r="O277" s="153"/>
    </row>
    <row r="278" spans="1:15" ht="22.5">
      <c r="A278" s="262">
        <v>104</v>
      </c>
      <c r="B278" s="243" t="s">
        <v>17</v>
      </c>
      <c r="C278" s="351"/>
      <c r="D278" s="91"/>
      <c r="E278" s="91"/>
      <c r="F278" s="91"/>
      <c r="G278" s="243">
        <f>+C107</f>
        <v>500000</v>
      </c>
      <c r="H278" s="128">
        <f>SUM(C278:G278)</f>
        <v>500000</v>
      </c>
      <c r="I278" s="119" t="s">
        <v>251</v>
      </c>
      <c r="J278" s="109">
        <v>3400</v>
      </c>
      <c r="K278" s="109">
        <v>3400</v>
      </c>
      <c r="L278" s="109" t="s">
        <v>480</v>
      </c>
      <c r="M278" s="109"/>
      <c r="N278" s="109"/>
      <c r="O278" s="153"/>
    </row>
    <row r="279" spans="1:15" ht="22.5">
      <c r="A279" s="262">
        <v>105</v>
      </c>
      <c r="B279" s="243" t="s">
        <v>231</v>
      </c>
      <c r="C279" s="351"/>
      <c r="D279" s="91">
        <v>2000000</v>
      </c>
      <c r="E279" s="91"/>
      <c r="F279" s="91"/>
      <c r="G279" s="243"/>
      <c r="H279" s="128">
        <f t="shared" si="7"/>
        <v>2000000</v>
      </c>
      <c r="I279" s="119"/>
      <c r="J279" s="109"/>
      <c r="K279" s="109"/>
      <c r="L279" s="109"/>
      <c r="M279" s="109"/>
      <c r="N279" s="109"/>
      <c r="O279" s="153"/>
    </row>
    <row r="280" spans="1:15">
      <c r="A280" s="262">
        <v>106</v>
      </c>
      <c r="B280" s="243" t="s">
        <v>232</v>
      </c>
      <c r="C280" s="243"/>
      <c r="D280" s="244">
        <v>15000000</v>
      </c>
      <c r="E280" s="244"/>
      <c r="F280" s="244"/>
      <c r="G280" s="244"/>
      <c r="H280" s="128">
        <f t="shared" si="7"/>
        <v>15000000</v>
      </c>
      <c r="I280" s="119"/>
      <c r="J280" s="109"/>
      <c r="K280" s="109"/>
      <c r="L280" s="109"/>
      <c r="M280" s="109"/>
      <c r="N280" s="109"/>
      <c r="O280" s="153"/>
    </row>
    <row r="281" spans="1:15" ht="22.5">
      <c r="A281" s="262">
        <v>107</v>
      </c>
      <c r="B281" s="243" t="s">
        <v>504</v>
      </c>
      <c r="C281" s="258"/>
      <c r="D281" s="244">
        <v>5000000</v>
      </c>
      <c r="E281" s="244"/>
      <c r="F281" s="244"/>
      <c r="G281" s="244"/>
      <c r="H281" s="128">
        <f t="shared" si="7"/>
        <v>5000000</v>
      </c>
      <c r="I281" s="119"/>
      <c r="J281" s="109"/>
      <c r="K281" s="109"/>
      <c r="L281" s="109"/>
      <c r="M281" s="109"/>
      <c r="N281" s="109"/>
      <c r="O281" s="153"/>
    </row>
    <row r="282" spans="1:15">
      <c r="A282" s="262"/>
      <c r="B282" s="335"/>
      <c r="C282" s="335"/>
      <c r="D282" s="243"/>
      <c r="E282" s="244"/>
      <c r="F282" s="244"/>
      <c r="G282" s="244"/>
      <c r="H282" s="128"/>
      <c r="I282" s="119"/>
      <c r="J282" s="109"/>
      <c r="K282" s="109"/>
      <c r="L282" s="109"/>
      <c r="M282" s="109"/>
      <c r="N282" s="109"/>
      <c r="O282" s="153"/>
    </row>
    <row r="283" spans="1:15">
      <c r="A283" s="263">
        <v>109</v>
      </c>
      <c r="B283" s="332" t="s">
        <v>18</v>
      </c>
      <c r="C283" s="7"/>
      <c r="D283" s="243"/>
      <c r="E283" s="244"/>
      <c r="F283" s="244"/>
      <c r="G283" s="244"/>
      <c r="H283" s="128">
        <f>SUM(B283:G283)</f>
        <v>0</v>
      </c>
      <c r="I283" s="119"/>
      <c r="J283" s="109"/>
      <c r="K283" s="109"/>
      <c r="L283" s="109"/>
      <c r="M283" s="109"/>
      <c r="N283" s="109"/>
      <c r="O283" s="153"/>
    </row>
    <row r="284" spans="1:15">
      <c r="A284" s="352">
        <v>201</v>
      </c>
      <c r="B284" s="341" t="s">
        <v>233</v>
      </c>
      <c r="C284" s="91">
        <f>+C110</f>
        <v>21961605</v>
      </c>
      <c r="D284" s="91"/>
      <c r="E284" s="243"/>
      <c r="F284" s="244"/>
      <c r="G284" s="244"/>
      <c r="H284" s="128">
        <f t="shared" si="7"/>
        <v>21961605</v>
      </c>
      <c r="I284" s="119"/>
      <c r="J284" s="109">
        <v>3400</v>
      </c>
      <c r="K284" s="109">
        <v>3400</v>
      </c>
      <c r="L284" s="109" t="s">
        <v>481</v>
      </c>
      <c r="M284" s="109"/>
      <c r="N284" s="109"/>
      <c r="O284" s="153"/>
    </row>
    <row r="285" spans="1:15" ht="22.5">
      <c r="A285" s="352">
        <v>202</v>
      </c>
      <c r="B285" s="341" t="s">
        <v>255</v>
      </c>
      <c r="C285" s="91"/>
      <c r="D285" s="91"/>
      <c r="E285" s="351"/>
      <c r="F285" s="91"/>
      <c r="G285" s="91"/>
      <c r="H285" s="348">
        <f t="shared" si="7"/>
        <v>0</v>
      </c>
      <c r="I285" s="119"/>
      <c r="J285" s="109"/>
      <c r="K285" s="109"/>
      <c r="L285" s="109"/>
      <c r="M285" s="109"/>
      <c r="N285" s="109"/>
      <c r="O285" s="153"/>
    </row>
    <row r="286" spans="1:15" ht="12" thickBot="1">
      <c r="A286" s="313"/>
      <c r="B286" s="304"/>
      <c r="C286" s="304"/>
      <c r="D286" s="301"/>
      <c r="E286" s="302"/>
      <c r="F286" s="301"/>
      <c r="G286" s="301"/>
      <c r="H286" s="358">
        <f t="shared" si="7"/>
        <v>0</v>
      </c>
      <c r="I286" s="116"/>
      <c r="J286" s="117"/>
      <c r="K286" s="117"/>
      <c r="L286" s="117"/>
      <c r="M286" s="117"/>
      <c r="N286" s="117"/>
      <c r="O286" s="154"/>
    </row>
    <row r="287" spans="1:15" ht="12" thickBot="1">
      <c r="A287" s="337" t="s">
        <v>116</v>
      </c>
      <c r="B287" s="246"/>
      <c r="C287" s="120">
        <f t="shared" ref="C287:H287" si="8">SUM(C273:C286)</f>
        <v>569016021</v>
      </c>
      <c r="D287" s="120">
        <f t="shared" si="8"/>
        <v>62819769</v>
      </c>
      <c r="E287" s="120">
        <f t="shared" si="8"/>
        <v>136400000</v>
      </c>
      <c r="F287" s="120">
        <f t="shared" si="8"/>
        <v>0</v>
      </c>
      <c r="G287" s="120">
        <f t="shared" si="8"/>
        <v>500000</v>
      </c>
      <c r="H287" s="120">
        <f t="shared" si="8"/>
        <v>768735790</v>
      </c>
      <c r="I287" s="132"/>
      <c r="J287" s="132"/>
      <c r="K287" s="132"/>
      <c r="L287" s="132"/>
      <c r="M287" s="132"/>
      <c r="N287" s="132"/>
      <c r="O287" s="155"/>
    </row>
    <row r="288" spans="1:15" s="94" customFormat="1" hidden="1">
      <c r="A288" s="247"/>
      <c r="B288" s="248"/>
      <c r="C288" s="423">
        <f>+C101+C110</f>
        <v>569016021</v>
      </c>
      <c r="D288" s="249"/>
      <c r="E288" s="249"/>
      <c r="F288" s="249"/>
      <c r="G288" s="249"/>
      <c r="H288" s="210"/>
      <c r="I288" s="268"/>
      <c r="J288" s="268"/>
      <c r="K288" s="268"/>
      <c r="L288" s="268"/>
      <c r="M288" s="268"/>
      <c r="N288" s="268"/>
      <c r="O288" s="268"/>
    </row>
    <row r="289" spans="1:15" s="94" customFormat="1" hidden="1">
      <c r="A289" s="247"/>
      <c r="B289" s="248"/>
      <c r="C289" s="424">
        <f>+C288-C287</f>
        <v>0</v>
      </c>
      <c r="D289" s="249"/>
      <c r="E289" s="249"/>
      <c r="F289" s="249"/>
      <c r="G289" s="249"/>
      <c r="H289" s="210"/>
      <c r="I289" s="268"/>
      <c r="J289" s="268"/>
      <c r="K289" s="268"/>
      <c r="L289" s="268"/>
      <c r="M289" s="268"/>
      <c r="N289" s="268"/>
      <c r="O289" s="268"/>
    </row>
    <row r="290" spans="1:15" ht="12" thickBot="1">
      <c r="A290" s="247"/>
      <c r="B290" s="248"/>
      <c r="C290" s="249"/>
      <c r="D290" s="249"/>
      <c r="E290" s="249"/>
      <c r="F290" s="249"/>
      <c r="G290" s="249"/>
      <c r="H290" s="210"/>
      <c r="I290" s="156"/>
      <c r="J290" s="156"/>
      <c r="K290" s="156"/>
      <c r="L290" s="156"/>
      <c r="M290" s="156"/>
      <c r="N290" s="156"/>
      <c r="O290" s="156"/>
    </row>
    <row r="291" spans="1:15" s="368" customFormat="1" ht="33.950000000000003" customHeight="1">
      <c r="A291" s="555" t="s">
        <v>325</v>
      </c>
      <c r="B291" s="543" t="s">
        <v>60</v>
      </c>
      <c r="C291" s="361" t="s">
        <v>411</v>
      </c>
      <c r="D291" s="342" t="s">
        <v>412</v>
      </c>
      <c r="E291" s="397" t="s">
        <v>94</v>
      </c>
      <c r="F291" s="342" t="s">
        <v>350</v>
      </c>
      <c r="G291" s="397" t="s">
        <v>125</v>
      </c>
      <c r="H291" s="519" t="s">
        <v>116</v>
      </c>
      <c r="I291" s="559" t="s">
        <v>199</v>
      </c>
      <c r="J291" s="560"/>
      <c r="K291" s="560"/>
      <c r="L291" s="560" t="s">
        <v>200</v>
      </c>
      <c r="M291" s="560"/>
      <c r="N291" s="560"/>
      <c r="O291" s="320" t="s">
        <v>198</v>
      </c>
    </row>
    <row r="292" spans="1:15" s="368" customFormat="1" ht="12" customHeight="1">
      <c r="A292" s="531"/>
      <c r="B292" s="544"/>
      <c r="C292" s="398" t="s">
        <v>319</v>
      </c>
      <c r="D292" s="340" t="s">
        <v>320</v>
      </c>
      <c r="E292" s="340" t="s">
        <v>321</v>
      </c>
      <c r="F292" s="340" t="s">
        <v>322</v>
      </c>
      <c r="G292" s="340" t="s">
        <v>323</v>
      </c>
      <c r="H292" s="520"/>
      <c r="I292" s="370" t="s">
        <v>195</v>
      </c>
      <c r="J292" s="371" t="s">
        <v>196</v>
      </c>
      <c r="K292" s="371" t="s">
        <v>197</v>
      </c>
      <c r="L292" s="371" t="s">
        <v>195</v>
      </c>
      <c r="M292" s="371" t="s">
        <v>196</v>
      </c>
      <c r="N292" s="371" t="s">
        <v>197</v>
      </c>
      <c r="O292" s="399"/>
    </row>
    <row r="293" spans="1:15" s="368" customFormat="1" ht="12" customHeight="1" thickBot="1">
      <c r="A293" s="532"/>
      <c r="B293" s="545"/>
      <c r="C293" s="400" t="s">
        <v>148</v>
      </c>
      <c r="D293" s="401" t="s">
        <v>149</v>
      </c>
      <c r="E293" s="401" t="s">
        <v>619</v>
      </c>
      <c r="F293" s="401" t="s">
        <v>129</v>
      </c>
      <c r="G293" s="401" t="s">
        <v>324</v>
      </c>
      <c r="H293" s="521"/>
      <c r="I293" s="402"/>
      <c r="J293" s="403"/>
      <c r="K293" s="403"/>
      <c r="L293" s="403"/>
      <c r="M293" s="403"/>
      <c r="N293" s="403"/>
      <c r="O293" s="399"/>
    </row>
    <row r="294" spans="1:15" ht="23.25" thickBot="1">
      <c r="A294" s="196" t="s">
        <v>114</v>
      </c>
      <c r="B294" s="108" t="s">
        <v>171</v>
      </c>
      <c r="C294" s="123">
        <f t="shared" ref="C294:H294" si="9">SUM(C297:C316)</f>
        <v>276310740</v>
      </c>
      <c r="D294" s="123">
        <f t="shared" si="9"/>
        <v>1911470</v>
      </c>
      <c r="E294" s="123">
        <f t="shared" si="9"/>
        <v>0</v>
      </c>
      <c r="F294" s="123">
        <f t="shared" si="9"/>
        <v>0</v>
      </c>
      <c r="G294" s="123">
        <f t="shared" si="9"/>
        <v>0</v>
      </c>
      <c r="H294" s="257">
        <f t="shared" si="9"/>
        <v>278222210</v>
      </c>
      <c r="I294" s="159"/>
      <c r="J294" s="133"/>
      <c r="K294" s="133"/>
      <c r="L294" s="133"/>
      <c r="M294" s="133"/>
      <c r="N294" s="133"/>
      <c r="O294" s="160"/>
    </row>
    <row r="295" spans="1:15">
      <c r="A295" s="306"/>
      <c r="B295" s="310"/>
      <c r="C295" s="254"/>
      <c r="D295" s="254"/>
      <c r="E295" s="254"/>
      <c r="F295" s="254"/>
      <c r="G295" s="254"/>
      <c r="H295" s="272"/>
      <c r="I295" s="161"/>
      <c r="J295" s="137"/>
      <c r="K295" s="137"/>
      <c r="L295" s="137"/>
      <c r="M295" s="137"/>
      <c r="N295" s="137"/>
      <c r="O295" s="162"/>
    </row>
    <row r="296" spans="1:15">
      <c r="A296" s="261" t="s">
        <v>172</v>
      </c>
      <c r="B296" s="332" t="s">
        <v>59</v>
      </c>
      <c r="C296" s="7"/>
      <c r="D296" s="245"/>
      <c r="E296" s="242"/>
      <c r="F296" s="242"/>
      <c r="G296" s="242"/>
      <c r="H296" s="259">
        <f>SUM(B296:G296)</f>
        <v>0</v>
      </c>
      <c r="I296" s="163"/>
      <c r="J296" s="164"/>
      <c r="K296" s="164"/>
      <c r="L296" s="164"/>
      <c r="M296" s="164"/>
      <c r="N296" s="164"/>
      <c r="O296" s="165"/>
    </row>
    <row r="297" spans="1:15" ht="22.5">
      <c r="A297" s="262" t="s">
        <v>329</v>
      </c>
      <c r="B297" s="112" t="s">
        <v>424</v>
      </c>
      <c r="C297" s="244">
        <v>36650000</v>
      </c>
      <c r="D297" s="256"/>
      <c r="E297" s="244"/>
      <c r="F297" s="244"/>
      <c r="G297" s="244"/>
      <c r="H297" s="259">
        <f t="shared" ref="H297:H316" si="10">SUM(C297:G297)</f>
        <v>36650000</v>
      </c>
      <c r="I297" s="119"/>
      <c r="J297" s="109"/>
      <c r="K297" s="109"/>
      <c r="L297" s="109"/>
      <c r="M297" s="109"/>
      <c r="N297" s="109"/>
      <c r="O297" s="153"/>
    </row>
    <row r="298" spans="1:15" ht="22.5">
      <c r="A298" s="262" t="s">
        <v>337</v>
      </c>
      <c r="B298" s="112" t="s">
        <v>613</v>
      </c>
      <c r="C298" s="244">
        <v>28660740</v>
      </c>
      <c r="D298" s="244">
        <f>6911470-5000000</f>
        <v>1911470</v>
      </c>
      <c r="E298" s="244"/>
      <c r="F298" s="244"/>
      <c r="G298" s="244"/>
      <c r="H298" s="259">
        <f t="shared" si="10"/>
        <v>30572210</v>
      </c>
      <c r="I298" s="119" t="s">
        <v>396</v>
      </c>
      <c r="J298" s="109">
        <v>6</v>
      </c>
      <c r="K298" s="109">
        <v>8</v>
      </c>
      <c r="L298" s="109" t="s">
        <v>482</v>
      </c>
      <c r="M298" s="109"/>
      <c r="N298" s="109"/>
      <c r="O298" s="153"/>
    </row>
    <row r="299" spans="1:15">
      <c r="A299" s="262" t="s">
        <v>338</v>
      </c>
      <c r="B299" s="112" t="s">
        <v>423</v>
      </c>
      <c r="C299" s="244">
        <v>50000000</v>
      </c>
      <c r="D299" s="244"/>
      <c r="E299" s="244"/>
      <c r="F299" s="244"/>
      <c r="G299" s="244"/>
      <c r="H299" s="259">
        <f t="shared" si="10"/>
        <v>50000000</v>
      </c>
      <c r="I299" s="119"/>
      <c r="J299" s="109"/>
      <c r="K299" s="109"/>
      <c r="L299" s="109"/>
      <c r="M299" s="109"/>
      <c r="N299" s="109"/>
      <c r="O299" s="153"/>
    </row>
    <row r="300" spans="1:15">
      <c r="A300" s="262" t="s">
        <v>339</v>
      </c>
      <c r="B300" s="112" t="s">
        <v>614</v>
      </c>
      <c r="C300" s="303">
        <v>40000000</v>
      </c>
      <c r="D300" s="244"/>
      <c r="E300" s="244"/>
      <c r="F300" s="244"/>
      <c r="G300" s="244"/>
      <c r="H300" s="259">
        <f t="shared" si="10"/>
        <v>40000000</v>
      </c>
      <c r="I300" s="119"/>
      <c r="J300" s="109"/>
      <c r="K300" s="109"/>
      <c r="L300" s="109"/>
      <c r="M300" s="109"/>
      <c r="N300" s="109"/>
      <c r="O300" s="153"/>
    </row>
    <row r="301" spans="1:15" ht="22.5">
      <c r="A301" s="262" t="s">
        <v>340</v>
      </c>
      <c r="B301" s="112" t="s">
        <v>373</v>
      </c>
      <c r="C301" s="215">
        <v>46000000</v>
      </c>
      <c r="D301" s="244">
        <v>0</v>
      </c>
      <c r="E301" s="244"/>
      <c r="F301" s="244"/>
      <c r="G301" s="244"/>
      <c r="H301" s="259">
        <f t="shared" si="10"/>
        <v>46000000</v>
      </c>
      <c r="I301" s="119"/>
      <c r="J301" s="109"/>
      <c r="K301" s="109"/>
      <c r="L301" s="109"/>
      <c r="M301" s="109"/>
      <c r="N301" s="109"/>
      <c r="O301" s="153"/>
    </row>
    <row r="302" spans="1:15" ht="22.5">
      <c r="A302" s="339" t="s">
        <v>341</v>
      </c>
      <c r="B302" s="112" t="s">
        <v>374</v>
      </c>
      <c r="C302" s="244"/>
      <c r="D302" s="244"/>
      <c r="E302" s="244"/>
      <c r="F302" s="244"/>
      <c r="G302" s="244"/>
      <c r="H302" s="259">
        <f t="shared" si="10"/>
        <v>0</v>
      </c>
      <c r="I302" s="119"/>
      <c r="J302" s="109"/>
      <c r="K302" s="109"/>
      <c r="L302" s="109"/>
      <c r="M302" s="109"/>
      <c r="N302" s="109"/>
      <c r="O302" s="153"/>
    </row>
    <row r="303" spans="1:15" ht="22.5">
      <c r="A303" s="262" t="s">
        <v>342</v>
      </c>
      <c r="B303" s="112" t="s">
        <v>375</v>
      </c>
      <c r="C303" s="244"/>
      <c r="D303" s="244"/>
      <c r="E303" s="244"/>
      <c r="F303" s="244"/>
      <c r="G303" s="244"/>
      <c r="H303" s="259">
        <f t="shared" si="10"/>
        <v>0</v>
      </c>
      <c r="I303" s="119"/>
      <c r="J303" s="109"/>
      <c r="K303" s="109"/>
      <c r="L303" s="109"/>
      <c r="M303" s="109"/>
      <c r="N303" s="109"/>
      <c r="O303" s="153"/>
    </row>
    <row r="304" spans="1:15" ht="22.5">
      <c r="A304" s="262" t="s">
        <v>351</v>
      </c>
      <c r="B304" s="112" t="s">
        <v>236</v>
      </c>
      <c r="C304" s="244">
        <v>0</v>
      </c>
      <c r="D304" s="243"/>
      <c r="E304" s="244"/>
      <c r="F304" s="244"/>
      <c r="G304" s="244"/>
      <c r="H304" s="259">
        <f t="shared" si="10"/>
        <v>0</v>
      </c>
      <c r="I304" s="119"/>
      <c r="J304" s="109"/>
      <c r="K304" s="109"/>
      <c r="L304" s="109"/>
      <c r="M304" s="109"/>
      <c r="N304" s="109"/>
      <c r="O304" s="153"/>
    </row>
    <row r="305" spans="1:15">
      <c r="A305" s="262" t="s">
        <v>385</v>
      </c>
      <c r="B305" s="112" t="s">
        <v>376</v>
      </c>
      <c r="C305" s="244">
        <v>30000000</v>
      </c>
      <c r="D305" s="243"/>
      <c r="E305" s="244"/>
      <c r="F305" s="244"/>
      <c r="G305" s="244"/>
      <c r="H305" s="259">
        <f t="shared" si="10"/>
        <v>30000000</v>
      </c>
      <c r="I305" s="119"/>
      <c r="J305" s="109">
        <v>2</v>
      </c>
      <c r="K305" s="109">
        <v>4</v>
      </c>
      <c r="L305" s="109" t="s">
        <v>397</v>
      </c>
      <c r="M305" s="109">
        <v>5</v>
      </c>
      <c r="N305" s="109">
        <v>5</v>
      </c>
      <c r="O305" s="153"/>
    </row>
    <row r="306" spans="1:15" ht="22.5">
      <c r="A306" s="262" t="s">
        <v>386</v>
      </c>
      <c r="B306" s="112" t="s">
        <v>435</v>
      </c>
      <c r="C306" s="244"/>
      <c r="D306" s="243"/>
      <c r="E306" s="244"/>
      <c r="F306" s="244"/>
      <c r="G306" s="244"/>
      <c r="H306" s="259">
        <f t="shared" si="10"/>
        <v>0</v>
      </c>
      <c r="I306" s="119"/>
      <c r="J306" s="109"/>
      <c r="K306" s="109"/>
      <c r="L306" s="109"/>
      <c r="M306" s="109"/>
      <c r="N306" s="109"/>
      <c r="O306" s="153"/>
    </row>
    <row r="307" spans="1:15" ht="22.5">
      <c r="A307" s="262" t="s">
        <v>187</v>
      </c>
      <c r="B307" s="112" t="s">
        <v>505</v>
      </c>
      <c r="C307" s="256"/>
      <c r="D307" s="243"/>
      <c r="E307" s="244"/>
      <c r="F307" s="244"/>
      <c r="G307" s="244"/>
      <c r="H307" s="259">
        <f t="shared" si="10"/>
        <v>0</v>
      </c>
      <c r="I307" s="119"/>
      <c r="J307" s="109"/>
      <c r="K307" s="109"/>
      <c r="L307" s="109"/>
      <c r="M307" s="109"/>
      <c r="N307" s="109"/>
      <c r="O307" s="153"/>
    </row>
    <row r="308" spans="1:15">
      <c r="A308" s="262"/>
      <c r="B308" s="334"/>
      <c r="C308" s="335"/>
      <c r="D308" s="243"/>
      <c r="E308" s="244"/>
      <c r="F308" s="244"/>
      <c r="G308" s="244"/>
      <c r="H308" s="259"/>
      <c r="I308" s="119"/>
      <c r="J308" s="109"/>
      <c r="K308" s="109"/>
      <c r="L308" s="109"/>
      <c r="M308" s="109"/>
      <c r="N308" s="109"/>
      <c r="O308" s="153"/>
    </row>
    <row r="309" spans="1:15" ht="22.5">
      <c r="A309" s="263" t="s">
        <v>173</v>
      </c>
      <c r="B309" s="332" t="s">
        <v>3</v>
      </c>
      <c r="C309" s="7"/>
      <c r="D309" s="243"/>
      <c r="E309" s="244"/>
      <c r="F309" s="244"/>
      <c r="G309" s="244"/>
      <c r="H309" s="259">
        <f>SUM(B309:G309)</f>
        <v>0</v>
      </c>
      <c r="I309" s="363"/>
      <c r="J309" s="364"/>
      <c r="K309" s="364"/>
      <c r="L309" s="364"/>
      <c r="M309" s="364"/>
      <c r="N309" s="364"/>
      <c r="O309" s="153"/>
    </row>
    <row r="310" spans="1:15" ht="22.5">
      <c r="A310" s="336" t="s">
        <v>330</v>
      </c>
      <c r="B310" s="112" t="s">
        <v>419</v>
      </c>
      <c r="C310" s="244">
        <v>31500000</v>
      </c>
      <c r="D310" s="258"/>
      <c r="E310" s="244"/>
      <c r="F310" s="360"/>
      <c r="G310" s="91"/>
      <c r="H310" s="252">
        <f t="shared" si="10"/>
        <v>31500000</v>
      </c>
      <c r="I310" s="119" t="s">
        <v>398</v>
      </c>
      <c r="J310" s="109">
        <v>100</v>
      </c>
      <c r="K310" s="109">
        <v>100</v>
      </c>
      <c r="L310" s="109" t="s">
        <v>483</v>
      </c>
      <c r="M310" s="109"/>
      <c r="N310" s="109"/>
      <c r="O310" s="153"/>
    </row>
    <row r="311" spans="1:15" ht="22.5">
      <c r="A311" s="336" t="s">
        <v>343</v>
      </c>
      <c r="B311" s="112" t="s">
        <v>421</v>
      </c>
      <c r="C311" s="244">
        <v>3600000</v>
      </c>
      <c r="D311" s="258"/>
      <c r="E311" s="244"/>
      <c r="F311" s="360"/>
      <c r="G311" s="91"/>
      <c r="H311" s="252">
        <f t="shared" si="10"/>
        <v>3600000</v>
      </c>
      <c r="I311" s="119"/>
      <c r="J311" s="109"/>
      <c r="K311" s="109"/>
      <c r="L311" s="109"/>
      <c r="M311" s="109"/>
      <c r="N311" s="109"/>
      <c r="O311" s="153"/>
    </row>
    <row r="312" spans="1:15" ht="22.5">
      <c r="A312" s="336" t="s">
        <v>344</v>
      </c>
      <c r="B312" s="112" t="s">
        <v>420</v>
      </c>
      <c r="C312" s="256">
        <v>9900000</v>
      </c>
      <c r="D312" s="258"/>
      <c r="E312" s="244"/>
      <c r="F312" s="360"/>
      <c r="G312" s="91"/>
      <c r="H312" s="252">
        <f t="shared" si="10"/>
        <v>9900000</v>
      </c>
      <c r="I312" s="119"/>
      <c r="J312" s="109"/>
      <c r="K312" s="109"/>
      <c r="L312" s="109"/>
      <c r="M312" s="109"/>
      <c r="N312" s="109"/>
      <c r="O312" s="153"/>
    </row>
    <row r="313" spans="1:15">
      <c r="A313" s="336"/>
      <c r="B313" s="334"/>
      <c r="C313" s="335"/>
      <c r="D313" s="258"/>
      <c r="E313" s="244"/>
      <c r="F313" s="360"/>
      <c r="G313" s="91"/>
      <c r="H313" s="252"/>
      <c r="I313" s="119"/>
      <c r="J313" s="109"/>
      <c r="K313" s="109"/>
      <c r="L313" s="109"/>
      <c r="M313" s="109"/>
      <c r="N313" s="109"/>
      <c r="O313" s="153"/>
    </row>
    <row r="314" spans="1:15" ht="22.5">
      <c r="A314" s="336" t="s">
        <v>174</v>
      </c>
      <c r="B314" s="332" t="s">
        <v>58</v>
      </c>
      <c r="C314" s="7"/>
      <c r="D314" s="258"/>
      <c r="E314" s="244"/>
      <c r="F314" s="256"/>
      <c r="G314" s="244"/>
      <c r="H314" s="259">
        <f>SUM(B314:G314)</f>
        <v>0</v>
      </c>
      <c r="I314" s="119"/>
      <c r="J314" s="109"/>
      <c r="K314" s="109"/>
      <c r="L314" s="109"/>
      <c r="M314" s="109"/>
      <c r="N314" s="109"/>
      <c r="O314" s="153"/>
    </row>
    <row r="315" spans="1:15" ht="22.5">
      <c r="A315" s="336" t="s">
        <v>331</v>
      </c>
      <c r="B315" s="112" t="s">
        <v>377</v>
      </c>
      <c r="C315" s="244">
        <v>0</v>
      </c>
      <c r="D315" s="258"/>
      <c r="E315" s="244"/>
      <c r="F315" s="256"/>
      <c r="G315" s="244"/>
      <c r="H315" s="259">
        <f t="shared" si="10"/>
        <v>0</v>
      </c>
      <c r="I315" s="119"/>
      <c r="J315" s="109"/>
      <c r="K315" s="109"/>
      <c r="L315" s="109"/>
      <c r="M315" s="109"/>
      <c r="N315" s="109"/>
      <c r="O315" s="153"/>
    </row>
    <row r="316" spans="1:15" ht="12" thickBot="1">
      <c r="A316" s="313" t="s">
        <v>346</v>
      </c>
      <c r="B316" s="312" t="s">
        <v>378</v>
      </c>
      <c r="C316" s="302">
        <v>0</v>
      </c>
      <c r="D316" s="311"/>
      <c r="E316" s="302"/>
      <c r="F316" s="302"/>
      <c r="G316" s="302"/>
      <c r="H316" s="357">
        <f t="shared" si="10"/>
        <v>0</v>
      </c>
      <c r="I316" s="116"/>
      <c r="J316" s="117"/>
      <c r="K316" s="117"/>
      <c r="L316" s="117"/>
      <c r="M316" s="117"/>
      <c r="N316" s="117"/>
      <c r="O316" s="154"/>
    </row>
    <row r="317" spans="1:15" ht="12" thickBot="1">
      <c r="A317" s="196"/>
      <c r="B317" s="120"/>
      <c r="C317" s="120">
        <f t="shared" ref="C317:H317" si="11">SUM(C296:C316)</f>
        <v>276310740</v>
      </c>
      <c r="D317" s="120">
        <f t="shared" si="11"/>
        <v>1911470</v>
      </c>
      <c r="E317" s="120">
        <f t="shared" si="11"/>
        <v>0</v>
      </c>
      <c r="F317" s="120">
        <f t="shared" si="11"/>
        <v>0</v>
      </c>
      <c r="G317" s="120">
        <f t="shared" si="11"/>
        <v>0</v>
      </c>
      <c r="H317" s="120">
        <f t="shared" si="11"/>
        <v>278222210</v>
      </c>
      <c r="I317" s="166"/>
      <c r="J317" s="132"/>
      <c r="K317" s="132"/>
      <c r="L317" s="132"/>
      <c r="M317" s="132"/>
      <c r="N317" s="132"/>
      <c r="O317" s="167"/>
    </row>
    <row r="318" spans="1:15" s="94" customFormat="1">
      <c r="A318" s="247"/>
      <c r="B318" s="121"/>
      <c r="C318" s="423">
        <f>+C70</f>
        <v>276310740</v>
      </c>
      <c r="D318" s="121"/>
      <c r="E318" s="121"/>
      <c r="F318" s="121"/>
      <c r="G318" s="121"/>
      <c r="H318" s="260"/>
      <c r="I318" s="268"/>
      <c r="J318" s="268"/>
      <c r="K318" s="268"/>
      <c r="L318" s="268"/>
      <c r="M318" s="268"/>
      <c r="N318" s="268"/>
      <c r="O318" s="268"/>
    </row>
    <row r="319" spans="1:15" s="94" customFormat="1">
      <c r="A319" s="247"/>
      <c r="B319" s="121"/>
      <c r="C319" s="423">
        <f>+C318-C317</f>
        <v>0</v>
      </c>
      <c r="D319" s="121"/>
      <c r="E319" s="121"/>
      <c r="F319" s="121"/>
      <c r="G319" s="121"/>
      <c r="H319" s="260"/>
      <c r="I319" s="268"/>
      <c r="J319" s="268"/>
      <c r="K319" s="268"/>
      <c r="L319" s="268"/>
      <c r="M319" s="268"/>
      <c r="N319" s="268"/>
      <c r="O319" s="268"/>
    </row>
    <row r="320" spans="1:15" ht="12" thickBot="1">
      <c r="H320" s="210"/>
      <c r="I320" s="156"/>
      <c r="J320" s="156"/>
      <c r="K320" s="156"/>
      <c r="L320" s="156"/>
      <c r="M320" s="156"/>
      <c r="N320" s="156"/>
      <c r="O320" s="156"/>
    </row>
    <row r="321" spans="1:15" s="368" customFormat="1" ht="33.950000000000003" customHeight="1">
      <c r="A321" s="555" t="s">
        <v>326</v>
      </c>
      <c r="B321" s="543" t="s">
        <v>57</v>
      </c>
      <c r="C321" s="361" t="s">
        <v>411</v>
      </c>
      <c r="D321" s="342" t="s">
        <v>412</v>
      </c>
      <c r="E321" s="397" t="s">
        <v>94</v>
      </c>
      <c r="F321" s="342" t="s">
        <v>350</v>
      </c>
      <c r="G321" s="397" t="s">
        <v>125</v>
      </c>
      <c r="H321" s="522" t="s">
        <v>116</v>
      </c>
      <c r="I321" s="562" t="s">
        <v>199</v>
      </c>
      <c r="J321" s="562"/>
      <c r="K321" s="563"/>
      <c r="L321" s="576" t="s">
        <v>200</v>
      </c>
      <c r="M321" s="562"/>
      <c r="N321" s="563"/>
      <c r="O321" s="404" t="s">
        <v>198</v>
      </c>
    </row>
    <row r="322" spans="1:15" s="368" customFormat="1" ht="12" customHeight="1">
      <c r="A322" s="531"/>
      <c r="B322" s="544"/>
      <c r="C322" s="398" t="s">
        <v>319</v>
      </c>
      <c r="D322" s="340" t="s">
        <v>320</v>
      </c>
      <c r="E322" s="340" t="s">
        <v>321</v>
      </c>
      <c r="F322" s="340" t="s">
        <v>322</v>
      </c>
      <c r="G322" s="340" t="s">
        <v>323</v>
      </c>
      <c r="H322" s="523"/>
      <c r="I322" s="406" t="s">
        <v>195</v>
      </c>
      <c r="J322" s="406" t="s">
        <v>196</v>
      </c>
      <c r="K322" s="407" t="s">
        <v>197</v>
      </c>
      <c r="L322" s="408" t="s">
        <v>195</v>
      </c>
      <c r="M322" s="406" t="s">
        <v>196</v>
      </c>
      <c r="N322" s="407" t="s">
        <v>197</v>
      </c>
      <c r="O322" s="409"/>
    </row>
    <row r="323" spans="1:15" s="368" customFormat="1" ht="12" customHeight="1" thickBot="1">
      <c r="A323" s="532"/>
      <c r="B323" s="545"/>
      <c r="C323" s="400" t="s">
        <v>148</v>
      </c>
      <c r="D323" s="401" t="s">
        <v>149</v>
      </c>
      <c r="E323" s="401" t="s">
        <v>619</v>
      </c>
      <c r="F323" s="401" t="s">
        <v>129</v>
      </c>
      <c r="G323" s="401" t="s">
        <v>324</v>
      </c>
      <c r="H323" s="524"/>
      <c r="I323" s="410"/>
      <c r="J323" s="410"/>
      <c r="K323" s="373"/>
      <c r="L323" s="411"/>
      <c r="M323" s="410"/>
      <c r="N323" s="373"/>
      <c r="O323" s="412"/>
    </row>
    <row r="324" spans="1:15" ht="23.25" thickBot="1">
      <c r="A324" s="196"/>
      <c r="B324" s="120" t="s">
        <v>147</v>
      </c>
      <c r="C324" s="358">
        <f t="shared" ref="C324:H324" si="12">SUM(C325:C336)</f>
        <v>66295935</v>
      </c>
      <c r="D324" s="358">
        <f t="shared" si="12"/>
        <v>0</v>
      </c>
      <c r="E324" s="358">
        <f t="shared" si="12"/>
        <v>1000</v>
      </c>
      <c r="F324" s="358">
        <f t="shared" si="12"/>
        <v>0</v>
      </c>
      <c r="G324" s="358">
        <f t="shared" si="12"/>
        <v>0</v>
      </c>
      <c r="H324" s="358">
        <f t="shared" si="12"/>
        <v>66296935</v>
      </c>
      <c r="I324" s="168"/>
      <c r="J324" s="133"/>
      <c r="K324" s="133"/>
      <c r="L324" s="134"/>
      <c r="M324" s="133"/>
      <c r="N324" s="133"/>
      <c r="O324" s="135"/>
    </row>
    <row r="325" spans="1:15">
      <c r="A325" s="269" t="s">
        <v>114</v>
      </c>
      <c r="B325" s="255"/>
      <c r="C325" s="254"/>
      <c r="D325" s="308"/>
      <c r="E325" s="254"/>
      <c r="F325" s="254"/>
      <c r="G325" s="254"/>
      <c r="H325" s="255"/>
      <c r="I325" s="169"/>
      <c r="J325" s="137"/>
      <c r="K325" s="137"/>
      <c r="L325" s="170"/>
      <c r="M325" s="137"/>
      <c r="N325" s="137"/>
      <c r="O325" s="138"/>
    </row>
    <row r="326" spans="1:15">
      <c r="A326" s="261" t="s">
        <v>172</v>
      </c>
      <c r="B326" s="332" t="s">
        <v>56</v>
      </c>
      <c r="C326" s="7"/>
      <c r="D326" s="245"/>
      <c r="E326" s="242"/>
      <c r="F326" s="242"/>
      <c r="G326" s="242"/>
      <c r="H326" s="259">
        <f>SUM(B326:G326)</f>
        <v>0</v>
      </c>
      <c r="I326" s="124"/>
      <c r="J326" s="109"/>
      <c r="K326" s="109"/>
      <c r="L326" s="125"/>
      <c r="M326" s="109"/>
      <c r="N326" s="109"/>
      <c r="O326" s="140"/>
    </row>
    <row r="327" spans="1:15" ht="22.5">
      <c r="A327" s="262" t="s">
        <v>329</v>
      </c>
      <c r="B327" s="112" t="s">
        <v>615</v>
      </c>
      <c r="C327" s="244">
        <v>25000000</v>
      </c>
      <c r="D327" s="243"/>
      <c r="E327" s="244"/>
      <c r="F327" s="244"/>
      <c r="G327" s="244"/>
      <c r="H327" s="259">
        <f t="shared" ref="H327:H336" si="13">SUM(C327:G327)</f>
        <v>25000000</v>
      </c>
      <c r="I327" s="124" t="s">
        <v>399</v>
      </c>
      <c r="J327" s="141">
        <v>100</v>
      </c>
      <c r="K327" s="141">
        <v>100</v>
      </c>
      <c r="L327" s="125" t="s">
        <v>484</v>
      </c>
      <c r="M327" s="109"/>
      <c r="N327" s="109"/>
      <c r="O327" s="140"/>
    </row>
    <row r="328" spans="1:15" ht="22.5">
      <c r="A328" s="262" t="s">
        <v>337</v>
      </c>
      <c r="B328" s="112" t="s">
        <v>448</v>
      </c>
      <c r="C328" s="244">
        <v>15000000</v>
      </c>
      <c r="D328" s="243"/>
      <c r="E328" s="244"/>
      <c r="F328" s="244"/>
      <c r="G328" s="244"/>
      <c r="H328" s="259">
        <f t="shared" si="13"/>
        <v>15000000</v>
      </c>
      <c r="I328" s="124"/>
      <c r="J328" s="141"/>
      <c r="K328" s="141"/>
      <c r="L328" s="125"/>
      <c r="M328" s="109"/>
      <c r="N328" s="109"/>
      <c r="O328" s="140"/>
    </row>
    <row r="329" spans="1:15">
      <c r="A329" s="262" t="s">
        <v>338</v>
      </c>
      <c r="B329" s="112" t="s">
        <v>436</v>
      </c>
      <c r="C329" s="244"/>
      <c r="D329" s="243"/>
      <c r="E329" s="244"/>
      <c r="F329" s="243"/>
      <c r="G329" s="244"/>
      <c r="H329" s="259">
        <f t="shared" si="13"/>
        <v>0</v>
      </c>
      <c r="I329" s="124"/>
      <c r="J329" s="141"/>
      <c r="K329" s="141"/>
      <c r="L329" s="125"/>
      <c r="M329" s="109"/>
      <c r="N329" s="109"/>
      <c r="O329" s="140"/>
    </row>
    <row r="330" spans="1:15">
      <c r="A330" s="262"/>
      <c r="B330" s="112"/>
      <c r="C330" s="256"/>
      <c r="D330" s="243"/>
      <c r="E330" s="244"/>
      <c r="F330" s="243"/>
      <c r="G330" s="244"/>
      <c r="H330" s="259">
        <f t="shared" si="13"/>
        <v>0</v>
      </c>
      <c r="I330" s="124"/>
      <c r="J330" s="109"/>
      <c r="K330" s="109"/>
      <c r="L330" s="125"/>
      <c r="M330" s="109"/>
      <c r="N330" s="109"/>
      <c r="O330" s="140"/>
    </row>
    <row r="331" spans="1:15">
      <c r="A331" s="263" t="s">
        <v>173</v>
      </c>
      <c r="B331" s="332" t="s">
        <v>49</v>
      </c>
      <c r="C331" s="7"/>
      <c r="D331" s="243"/>
      <c r="E331" s="244"/>
      <c r="F331" s="243"/>
      <c r="G331" s="244"/>
      <c r="H331" s="259">
        <f>SUM(B331:G331)</f>
        <v>0</v>
      </c>
      <c r="I331" s="124"/>
      <c r="J331" s="109"/>
      <c r="K331" s="109"/>
      <c r="L331" s="125"/>
      <c r="M331" s="109"/>
      <c r="N331" s="109"/>
      <c r="O331" s="140"/>
    </row>
    <row r="332" spans="1:15">
      <c r="A332" s="262" t="s">
        <v>330</v>
      </c>
      <c r="B332" s="112" t="s">
        <v>379</v>
      </c>
      <c r="C332" s="244">
        <v>10000000</v>
      </c>
      <c r="D332" s="243"/>
      <c r="E332" s="244"/>
      <c r="F332" s="243"/>
      <c r="G332" s="244"/>
      <c r="H332" s="259">
        <f t="shared" si="13"/>
        <v>10000000</v>
      </c>
      <c r="I332" s="124"/>
      <c r="J332" s="109"/>
      <c r="K332" s="109"/>
      <c r="L332" s="125"/>
      <c r="M332" s="109"/>
      <c r="N332" s="109"/>
      <c r="O332" s="140"/>
    </row>
    <row r="333" spans="1:15" ht="22.5">
      <c r="A333" s="262" t="s">
        <v>343</v>
      </c>
      <c r="B333" s="112" t="s">
        <v>380</v>
      </c>
      <c r="C333" s="244">
        <v>10000000</v>
      </c>
      <c r="D333" s="243"/>
      <c r="E333" s="244">
        <v>1000</v>
      </c>
      <c r="F333" s="243"/>
      <c r="G333" s="244"/>
      <c r="H333" s="259">
        <f t="shared" si="13"/>
        <v>10001000</v>
      </c>
      <c r="I333" s="124" t="s">
        <v>400</v>
      </c>
      <c r="J333" s="109">
        <v>6</v>
      </c>
      <c r="K333" s="109">
        <v>6</v>
      </c>
      <c r="L333" s="124" t="s">
        <v>485</v>
      </c>
      <c r="M333" s="109">
        <v>2</v>
      </c>
      <c r="N333" s="109">
        <v>5</v>
      </c>
      <c r="O333" s="140"/>
    </row>
    <row r="334" spans="1:15">
      <c r="A334" s="262"/>
      <c r="B334" s="112" t="s">
        <v>466</v>
      </c>
      <c r="C334" s="244">
        <v>6295935</v>
      </c>
      <c r="D334" s="243"/>
      <c r="E334" s="244"/>
      <c r="F334" s="303"/>
      <c r="G334" s="244"/>
      <c r="H334" s="259">
        <f t="shared" si="13"/>
        <v>6295935</v>
      </c>
      <c r="I334" s="124"/>
      <c r="J334" s="109"/>
      <c r="K334" s="109"/>
      <c r="L334" s="125"/>
      <c r="M334" s="109"/>
      <c r="N334" s="109"/>
      <c r="O334" s="140"/>
    </row>
    <row r="335" spans="1:15">
      <c r="A335" s="262"/>
      <c r="B335" s="112"/>
      <c r="C335" s="244"/>
      <c r="D335" s="243"/>
      <c r="E335" s="242"/>
      <c r="F335" s="242"/>
      <c r="G335" s="242"/>
      <c r="H335" s="259">
        <f t="shared" si="13"/>
        <v>0</v>
      </c>
      <c r="I335" s="124"/>
      <c r="J335" s="109"/>
      <c r="K335" s="109"/>
      <c r="L335" s="125"/>
      <c r="M335" s="109"/>
      <c r="N335" s="109"/>
      <c r="O335" s="140"/>
    </row>
    <row r="336" spans="1:15" ht="12" thickBot="1">
      <c r="A336" s="313"/>
      <c r="B336" s="312"/>
      <c r="C336" s="302"/>
      <c r="D336" s="311"/>
      <c r="E336" s="302"/>
      <c r="F336" s="302"/>
      <c r="G336" s="302"/>
      <c r="H336" s="357">
        <f t="shared" si="13"/>
        <v>0</v>
      </c>
      <c r="I336" s="171"/>
      <c r="J336" s="117"/>
      <c r="K336" s="117"/>
      <c r="L336" s="172"/>
      <c r="M336" s="117"/>
      <c r="N336" s="117"/>
      <c r="O336" s="146"/>
    </row>
    <row r="337" spans="1:15" ht="12" thickBot="1">
      <c r="A337" s="196" t="s">
        <v>116</v>
      </c>
      <c r="B337" s="120"/>
      <c r="C337" s="253">
        <f t="shared" ref="C337:H337" si="14">SUM(C326:C336)</f>
        <v>66295935</v>
      </c>
      <c r="D337" s="253">
        <f t="shared" si="14"/>
        <v>0</v>
      </c>
      <c r="E337" s="253">
        <f t="shared" si="14"/>
        <v>1000</v>
      </c>
      <c r="F337" s="253">
        <f t="shared" si="14"/>
        <v>0</v>
      </c>
      <c r="G337" s="253">
        <f t="shared" si="14"/>
        <v>0</v>
      </c>
      <c r="H337" s="253">
        <f t="shared" si="14"/>
        <v>66296935</v>
      </c>
      <c r="I337" s="173"/>
      <c r="J337" s="173"/>
      <c r="K337" s="174"/>
      <c r="L337" s="132"/>
      <c r="M337" s="132"/>
      <c r="N337" s="132"/>
      <c r="O337" s="167"/>
    </row>
    <row r="338" spans="1:15" s="94" customFormat="1">
      <c r="A338" s="264"/>
      <c r="B338" s="210"/>
      <c r="C338" s="423">
        <f>+C72</f>
        <v>66295935</v>
      </c>
      <c r="D338" s="210"/>
      <c r="E338" s="210"/>
      <c r="F338" s="210"/>
      <c r="G338" s="210"/>
      <c r="H338" s="210"/>
      <c r="I338" s="268"/>
      <c r="J338" s="268"/>
      <c r="K338" s="268"/>
      <c r="L338" s="268"/>
      <c r="M338" s="268"/>
      <c r="N338" s="268"/>
      <c r="O338" s="268"/>
    </row>
    <row r="339" spans="1:15" s="94" customFormat="1">
      <c r="A339" s="264"/>
      <c r="B339" s="210"/>
      <c r="C339" s="422">
        <f>+C338-C337</f>
        <v>0</v>
      </c>
      <c r="D339" s="210"/>
      <c r="E339" s="210"/>
      <c r="F339" s="210"/>
      <c r="G339" s="210"/>
      <c r="H339" s="210"/>
      <c r="I339" s="268"/>
      <c r="J339" s="268"/>
      <c r="K339" s="268"/>
      <c r="L339" s="268"/>
      <c r="M339" s="268"/>
      <c r="N339" s="268"/>
      <c r="O339" s="268"/>
    </row>
    <row r="340" spans="1:15" ht="12" thickBot="1">
      <c r="H340" s="210"/>
      <c r="I340" s="156"/>
      <c r="J340" s="156"/>
      <c r="K340" s="156"/>
      <c r="L340" s="156"/>
      <c r="M340" s="156"/>
      <c r="N340" s="156"/>
      <c r="O340" s="156"/>
    </row>
    <row r="341" spans="1:15" s="368" customFormat="1" ht="33.950000000000003" customHeight="1">
      <c r="A341" s="555" t="s">
        <v>327</v>
      </c>
      <c r="B341" s="543" t="s">
        <v>110</v>
      </c>
      <c r="C341" s="361" t="s">
        <v>411</v>
      </c>
      <c r="D341" s="342" t="s">
        <v>412</v>
      </c>
      <c r="E341" s="397" t="s">
        <v>94</v>
      </c>
      <c r="F341" s="342" t="s">
        <v>350</v>
      </c>
      <c r="G341" s="397" t="s">
        <v>125</v>
      </c>
      <c r="H341" s="519" t="s">
        <v>116</v>
      </c>
      <c r="I341" s="559" t="s">
        <v>199</v>
      </c>
      <c r="J341" s="560"/>
      <c r="K341" s="560"/>
      <c r="L341" s="560" t="s">
        <v>200</v>
      </c>
      <c r="M341" s="560"/>
      <c r="N341" s="560"/>
      <c r="O341" s="320" t="s">
        <v>198</v>
      </c>
    </row>
    <row r="342" spans="1:15" s="368" customFormat="1" ht="12" customHeight="1">
      <c r="A342" s="531"/>
      <c r="B342" s="544"/>
      <c r="C342" s="398" t="s">
        <v>319</v>
      </c>
      <c r="D342" s="340" t="s">
        <v>320</v>
      </c>
      <c r="E342" s="340" t="s">
        <v>321</v>
      </c>
      <c r="F342" s="340" t="s">
        <v>322</v>
      </c>
      <c r="G342" s="340" t="s">
        <v>323</v>
      </c>
      <c r="H342" s="520"/>
      <c r="I342" s="370" t="s">
        <v>195</v>
      </c>
      <c r="J342" s="371" t="s">
        <v>196</v>
      </c>
      <c r="K342" s="371" t="s">
        <v>197</v>
      </c>
      <c r="L342" s="371" t="s">
        <v>195</v>
      </c>
      <c r="M342" s="371" t="s">
        <v>196</v>
      </c>
      <c r="N342" s="371" t="s">
        <v>197</v>
      </c>
      <c r="O342" s="399"/>
    </row>
    <row r="343" spans="1:15" s="368" customFormat="1" ht="12" customHeight="1" thickBot="1">
      <c r="A343" s="532"/>
      <c r="B343" s="545"/>
      <c r="C343" s="400" t="s">
        <v>148</v>
      </c>
      <c r="D343" s="401" t="s">
        <v>149</v>
      </c>
      <c r="E343" s="401" t="s">
        <v>619</v>
      </c>
      <c r="F343" s="401" t="s">
        <v>129</v>
      </c>
      <c r="G343" s="401" t="s">
        <v>324</v>
      </c>
      <c r="H343" s="521"/>
      <c r="I343" s="402"/>
      <c r="J343" s="403"/>
      <c r="K343" s="403"/>
      <c r="L343" s="403"/>
      <c r="M343" s="403"/>
      <c r="N343" s="403"/>
      <c r="O343" s="399"/>
    </row>
    <row r="344" spans="1:15" ht="23.25" thickBot="1">
      <c r="A344" s="269" t="s">
        <v>114</v>
      </c>
      <c r="B344" s="315" t="s">
        <v>171</v>
      </c>
      <c r="C344" s="365">
        <f t="shared" ref="C344:H344" si="15">SUM(C345:C357)</f>
        <v>49720950</v>
      </c>
      <c r="D344" s="365">
        <f t="shared" si="15"/>
        <v>34000000</v>
      </c>
      <c r="E344" s="365">
        <f t="shared" si="15"/>
        <v>0</v>
      </c>
      <c r="F344" s="365">
        <f t="shared" si="15"/>
        <v>10000000</v>
      </c>
      <c r="G344" s="366">
        <f t="shared" si="15"/>
        <v>0</v>
      </c>
      <c r="H344" s="366">
        <f t="shared" si="15"/>
        <v>93720950</v>
      </c>
      <c r="I344" s="159"/>
      <c r="J344" s="133"/>
      <c r="K344" s="133"/>
      <c r="L344" s="133"/>
      <c r="M344" s="133"/>
      <c r="N344" s="133"/>
      <c r="O344" s="160"/>
    </row>
    <row r="345" spans="1:15">
      <c r="A345" s="299"/>
      <c r="B345" s="300"/>
      <c r="C345" s="308"/>
      <c r="D345" s="270"/>
      <c r="E345" s="270"/>
      <c r="F345" s="270"/>
      <c r="G345" s="308"/>
      <c r="H345" s="255"/>
      <c r="I345" s="161"/>
      <c r="J345" s="137"/>
      <c r="K345" s="137"/>
      <c r="L345" s="137"/>
      <c r="M345" s="137"/>
      <c r="N345" s="137"/>
      <c r="O345" s="162"/>
    </row>
    <row r="346" spans="1:15" ht="22.5">
      <c r="A346" s="261" t="s">
        <v>172</v>
      </c>
      <c r="B346" s="332" t="s">
        <v>45</v>
      </c>
      <c r="C346" s="7"/>
      <c r="D346" s="245"/>
      <c r="E346" s="245"/>
      <c r="F346" s="245"/>
      <c r="G346" s="245"/>
      <c r="H346" s="259">
        <f>SUM(B346:G346)</f>
        <v>0</v>
      </c>
      <c r="I346" s="119"/>
      <c r="J346" s="109"/>
      <c r="K346" s="109"/>
      <c r="L346" s="109"/>
      <c r="M346" s="109"/>
      <c r="N346" s="109"/>
      <c r="O346" s="153"/>
    </row>
    <row r="347" spans="1:15" ht="22.5">
      <c r="A347" s="262" t="s">
        <v>329</v>
      </c>
      <c r="B347" s="286" t="s">
        <v>381</v>
      </c>
      <c r="C347" s="243">
        <v>1000000</v>
      </c>
      <c r="D347" s="243"/>
      <c r="E347" s="243"/>
      <c r="F347" s="243"/>
      <c r="G347" s="243"/>
      <c r="H347" s="259">
        <f t="shared" ref="H347:H357" si="16">SUM(C347:G347)</f>
        <v>1000000</v>
      </c>
      <c r="I347" s="119"/>
      <c r="J347" s="109"/>
      <c r="K347" s="109"/>
      <c r="L347" s="109"/>
      <c r="M347" s="109"/>
      <c r="N347" s="109"/>
      <c r="O347" s="153"/>
    </row>
    <row r="348" spans="1:15">
      <c r="A348" s="262" t="s">
        <v>337</v>
      </c>
      <c r="B348" s="286" t="s">
        <v>425</v>
      </c>
      <c r="C348" s="243">
        <v>800000</v>
      </c>
      <c r="D348" s="243"/>
      <c r="E348" s="243"/>
      <c r="F348" s="243"/>
      <c r="G348" s="243"/>
      <c r="H348" s="259">
        <f t="shared" si="16"/>
        <v>800000</v>
      </c>
      <c r="I348" s="119"/>
      <c r="J348" s="109"/>
      <c r="K348" s="109"/>
      <c r="L348" s="109"/>
      <c r="M348" s="109"/>
      <c r="N348" s="109"/>
      <c r="O348" s="153"/>
    </row>
    <row r="349" spans="1:15" ht="22.5">
      <c r="A349" s="262" t="s">
        <v>338</v>
      </c>
      <c r="B349" s="286" t="s">
        <v>434</v>
      </c>
      <c r="C349" s="243"/>
      <c r="D349" s="243"/>
      <c r="E349" s="243"/>
      <c r="F349" s="243"/>
      <c r="G349" s="243"/>
      <c r="H349" s="259">
        <f t="shared" si="16"/>
        <v>0</v>
      </c>
      <c r="I349" s="119"/>
      <c r="J349" s="109"/>
      <c r="K349" s="109"/>
      <c r="L349" s="109"/>
      <c r="M349" s="109"/>
      <c r="N349" s="109"/>
      <c r="O349" s="153"/>
    </row>
    <row r="350" spans="1:15" ht="22.5">
      <c r="A350" s="262"/>
      <c r="B350" s="286"/>
      <c r="C350" s="258"/>
      <c r="D350" s="243"/>
      <c r="E350" s="243"/>
      <c r="F350" s="243"/>
      <c r="G350" s="243"/>
      <c r="H350" s="259">
        <f t="shared" si="16"/>
        <v>0</v>
      </c>
      <c r="I350" s="119"/>
      <c r="J350" s="109">
        <v>3</v>
      </c>
      <c r="K350" s="109">
        <v>3</v>
      </c>
      <c r="L350" s="109" t="s">
        <v>486</v>
      </c>
      <c r="M350" s="109">
        <v>3</v>
      </c>
      <c r="N350" s="109">
        <v>3</v>
      </c>
      <c r="O350" s="153"/>
    </row>
    <row r="351" spans="1:15" ht="22.5">
      <c r="A351" s="263" t="s">
        <v>173</v>
      </c>
      <c r="B351" s="332" t="s">
        <v>44</v>
      </c>
      <c r="C351" s="7"/>
      <c r="D351" s="243"/>
      <c r="E351" s="243"/>
      <c r="F351" s="243"/>
      <c r="G351" s="243"/>
      <c r="H351" s="259">
        <f>SUM(B351:G351)</f>
        <v>0</v>
      </c>
    </row>
    <row r="352" spans="1:15" ht="22.5">
      <c r="A352" s="339" t="s">
        <v>330</v>
      </c>
      <c r="B352" s="287" t="s">
        <v>382</v>
      </c>
      <c r="C352" s="243">
        <v>29920950</v>
      </c>
      <c r="D352" s="243">
        <v>30000000</v>
      </c>
      <c r="E352" s="243"/>
      <c r="F352" s="243">
        <v>6000000</v>
      </c>
      <c r="G352" s="243"/>
      <c r="H352" s="259">
        <f t="shared" si="16"/>
        <v>65920950</v>
      </c>
      <c r="I352" s="119" t="s">
        <v>347</v>
      </c>
      <c r="J352" s="109">
        <v>4</v>
      </c>
      <c r="K352" s="109">
        <v>8</v>
      </c>
      <c r="L352" s="109" t="s">
        <v>487</v>
      </c>
      <c r="M352" s="109">
        <v>15</v>
      </c>
      <c r="N352" s="109">
        <v>16</v>
      </c>
      <c r="O352" s="153"/>
    </row>
    <row r="353" spans="1:15" ht="22.5">
      <c r="A353" s="262" t="s">
        <v>343</v>
      </c>
      <c r="B353" s="286" t="s">
        <v>383</v>
      </c>
      <c r="C353" s="243">
        <v>18000000</v>
      </c>
      <c r="D353" s="243">
        <v>4000000</v>
      </c>
      <c r="E353" s="243"/>
      <c r="F353" s="243"/>
      <c r="G353" s="243"/>
      <c r="H353" s="259">
        <f t="shared" si="16"/>
        <v>22000000</v>
      </c>
      <c r="I353" s="126" t="s">
        <v>401</v>
      </c>
      <c r="J353" s="109">
        <v>1</v>
      </c>
      <c r="K353" s="109">
        <v>1</v>
      </c>
      <c r="L353" s="109"/>
      <c r="M353" s="109"/>
      <c r="N353" s="109"/>
      <c r="O353" s="153"/>
    </row>
    <row r="354" spans="1:15" ht="22.5">
      <c r="A354" s="262" t="s">
        <v>344</v>
      </c>
      <c r="B354" s="286" t="s">
        <v>384</v>
      </c>
      <c r="C354" s="243"/>
      <c r="D354" s="243"/>
      <c r="E354" s="243"/>
      <c r="F354" s="243"/>
      <c r="G354" s="258"/>
      <c r="H354" s="259">
        <f t="shared" si="16"/>
        <v>0</v>
      </c>
      <c r="I354" s="127" t="s">
        <v>402</v>
      </c>
      <c r="J354" s="175">
        <v>50</v>
      </c>
      <c r="K354" s="175">
        <v>60</v>
      </c>
      <c r="L354" s="175"/>
      <c r="M354" s="175"/>
      <c r="N354" s="175"/>
      <c r="O354" s="176"/>
    </row>
    <row r="355" spans="1:15" ht="22.5">
      <c r="A355" s="262" t="s">
        <v>345</v>
      </c>
      <c r="B355" s="286" t="s">
        <v>462</v>
      </c>
      <c r="C355" s="243"/>
      <c r="D355" s="243"/>
      <c r="E355" s="243"/>
      <c r="F355" s="243">
        <v>1000000</v>
      </c>
      <c r="G355" s="258"/>
      <c r="H355" s="259">
        <f t="shared" si="16"/>
        <v>1000000</v>
      </c>
      <c r="I355" s="126"/>
      <c r="J355" s="175"/>
      <c r="K355" s="175"/>
      <c r="L355" s="175"/>
      <c r="M355" s="175"/>
      <c r="N355" s="175"/>
      <c r="O355" s="176"/>
    </row>
    <row r="356" spans="1:15">
      <c r="A356" s="262" t="s">
        <v>387</v>
      </c>
      <c r="B356" s="286" t="s">
        <v>463</v>
      </c>
      <c r="C356" s="243"/>
      <c r="D356" s="243"/>
      <c r="E356" s="243"/>
      <c r="F356" s="243">
        <v>2000000</v>
      </c>
      <c r="G356" s="258"/>
      <c r="H356" s="259">
        <f t="shared" si="16"/>
        <v>2000000</v>
      </c>
      <c r="I356" s="126"/>
      <c r="J356" s="175"/>
      <c r="K356" s="175"/>
      <c r="L356" s="175"/>
      <c r="M356" s="175"/>
      <c r="N356" s="175"/>
      <c r="O356" s="176"/>
    </row>
    <row r="357" spans="1:15" ht="23.25" thickBot="1">
      <c r="A357" s="336" t="s">
        <v>422</v>
      </c>
      <c r="B357" s="296" t="s">
        <v>464</v>
      </c>
      <c r="C357" s="258"/>
      <c r="D357" s="258"/>
      <c r="E357" s="258"/>
      <c r="F357" s="258">
        <v>1000000</v>
      </c>
      <c r="G357" s="258"/>
      <c r="H357" s="259">
        <f t="shared" si="16"/>
        <v>1000000</v>
      </c>
      <c r="I357" s="126"/>
      <c r="J357" s="175"/>
      <c r="K357" s="175"/>
      <c r="L357" s="175"/>
      <c r="M357" s="175"/>
      <c r="N357" s="175"/>
      <c r="O357" s="176"/>
    </row>
    <row r="358" spans="1:15" ht="12" thickBot="1">
      <c r="A358" s="196" t="s">
        <v>116</v>
      </c>
      <c r="B358" s="246"/>
      <c r="C358" s="314">
        <f t="shared" ref="C358:H358" si="17">SUM(C346:C357)</f>
        <v>49720950</v>
      </c>
      <c r="D358" s="314">
        <f t="shared" si="17"/>
        <v>34000000</v>
      </c>
      <c r="E358" s="314">
        <f t="shared" si="17"/>
        <v>0</v>
      </c>
      <c r="F358" s="314">
        <f t="shared" si="17"/>
        <v>10000000</v>
      </c>
      <c r="G358" s="314">
        <f t="shared" si="17"/>
        <v>0</v>
      </c>
      <c r="H358" s="253">
        <f t="shared" si="17"/>
        <v>93720950</v>
      </c>
      <c r="I358" s="177"/>
      <c r="J358" s="178"/>
      <c r="K358" s="178"/>
      <c r="L358" s="178"/>
      <c r="M358" s="178"/>
      <c r="N358" s="178"/>
      <c r="O358" s="179"/>
    </row>
    <row r="359" spans="1:15" s="94" customFormat="1">
      <c r="A359" s="247"/>
      <c r="B359" s="121"/>
      <c r="C359" s="423">
        <f>SUM(C73)</f>
        <v>49720950</v>
      </c>
      <c r="D359" s="249"/>
      <c r="E359" s="249"/>
      <c r="F359" s="249"/>
      <c r="G359" s="249"/>
      <c r="H359" s="210"/>
      <c r="I359" s="268"/>
      <c r="J359" s="268"/>
      <c r="K359" s="268"/>
      <c r="L359" s="268"/>
      <c r="M359" s="268"/>
      <c r="N359" s="268"/>
      <c r="O359" s="268"/>
    </row>
    <row r="360" spans="1:15" s="94" customFormat="1">
      <c r="A360" s="247"/>
      <c r="B360" s="121"/>
      <c r="C360" s="424">
        <f>+C359-C358</f>
        <v>0</v>
      </c>
      <c r="D360" s="249"/>
      <c r="E360" s="249"/>
      <c r="F360" s="249"/>
      <c r="G360" s="249"/>
      <c r="H360" s="210"/>
      <c r="I360" s="268"/>
      <c r="J360" s="268"/>
      <c r="K360" s="268"/>
      <c r="L360" s="268"/>
      <c r="M360" s="268"/>
      <c r="N360" s="268"/>
      <c r="O360" s="268"/>
    </row>
    <row r="361" spans="1:15" ht="12" thickBot="1">
      <c r="H361" s="210"/>
      <c r="I361" s="156"/>
      <c r="J361" s="156"/>
      <c r="K361" s="156"/>
      <c r="L361" s="156"/>
      <c r="M361" s="156"/>
      <c r="N361" s="156"/>
      <c r="O361" s="156"/>
    </row>
    <row r="362" spans="1:15" s="368" customFormat="1" ht="33.950000000000003" customHeight="1">
      <c r="A362" s="546" t="s">
        <v>328</v>
      </c>
      <c r="B362" s="552" t="s">
        <v>55</v>
      </c>
      <c r="C362" s="285" t="s">
        <v>411</v>
      </c>
      <c r="D362" s="285" t="s">
        <v>412</v>
      </c>
      <c r="E362" s="350" t="s">
        <v>94</v>
      </c>
      <c r="F362" s="285" t="s">
        <v>350</v>
      </c>
      <c r="G362" s="350" t="s">
        <v>125</v>
      </c>
      <c r="H362" s="528" t="s">
        <v>116</v>
      </c>
      <c r="I362" s="559" t="s">
        <v>199</v>
      </c>
      <c r="J362" s="560"/>
      <c r="K362" s="561"/>
      <c r="L362" s="559" t="s">
        <v>200</v>
      </c>
      <c r="M362" s="560"/>
      <c r="N362" s="561"/>
      <c r="O362" s="317" t="s">
        <v>198</v>
      </c>
    </row>
    <row r="363" spans="1:15" s="368" customFormat="1" ht="12" customHeight="1">
      <c r="A363" s="547"/>
      <c r="B363" s="553"/>
      <c r="C363" s="318" t="s">
        <v>319</v>
      </c>
      <c r="D363" s="318" t="s">
        <v>320</v>
      </c>
      <c r="E363" s="318" t="s">
        <v>321</v>
      </c>
      <c r="F363" s="318" t="s">
        <v>322</v>
      </c>
      <c r="G363" s="318" t="s">
        <v>323</v>
      </c>
      <c r="H363" s="529"/>
      <c r="I363" s="370" t="s">
        <v>195</v>
      </c>
      <c r="J363" s="371" t="s">
        <v>196</v>
      </c>
      <c r="K363" s="372" t="s">
        <v>197</v>
      </c>
      <c r="L363" s="370" t="s">
        <v>195</v>
      </c>
      <c r="M363" s="371" t="s">
        <v>196</v>
      </c>
      <c r="N363" s="372" t="s">
        <v>197</v>
      </c>
      <c r="O363" s="373"/>
    </row>
    <row r="364" spans="1:15" s="368" customFormat="1" ht="12" customHeight="1" thickBot="1">
      <c r="A364" s="548"/>
      <c r="B364" s="554"/>
      <c r="C364" s="319" t="s">
        <v>148</v>
      </c>
      <c r="D364" s="319" t="s">
        <v>149</v>
      </c>
      <c r="E364" s="319" t="s">
        <v>619</v>
      </c>
      <c r="F364" s="319" t="s">
        <v>129</v>
      </c>
      <c r="G364" s="319" t="s">
        <v>324</v>
      </c>
      <c r="H364" s="530"/>
      <c r="I364" s="375"/>
      <c r="J364" s="376"/>
      <c r="K364" s="377"/>
      <c r="L364" s="375"/>
      <c r="M364" s="376"/>
      <c r="N364" s="377"/>
      <c r="O364" s="378"/>
    </row>
    <row r="365" spans="1:15" ht="22.5">
      <c r="A365" s="289" t="s">
        <v>114</v>
      </c>
      <c r="B365" s="291" t="s">
        <v>171</v>
      </c>
      <c r="C365" s="348">
        <f t="shared" ref="C365:H365" si="18">SUM(C366:C445)</f>
        <v>835176985</v>
      </c>
      <c r="D365" s="348">
        <f t="shared" si="18"/>
        <v>64000000</v>
      </c>
      <c r="E365" s="348">
        <f t="shared" si="18"/>
        <v>13500000</v>
      </c>
      <c r="F365" s="348">
        <f t="shared" si="18"/>
        <v>24000000</v>
      </c>
      <c r="G365" s="348">
        <f t="shared" si="18"/>
        <v>0</v>
      </c>
      <c r="H365" s="348">
        <f t="shared" si="18"/>
        <v>936676985</v>
      </c>
      <c r="I365" s="292"/>
      <c r="J365" s="293"/>
      <c r="K365" s="294"/>
      <c r="L365" s="292"/>
      <c r="M365" s="293"/>
      <c r="N365" s="294"/>
      <c r="O365" s="295"/>
    </row>
    <row r="366" spans="1:15">
      <c r="A366" s="347"/>
      <c r="B366" s="245"/>
      <c r="C366" s="243"/>
      <c r="D366" s="243"/>
      <c r="E366" s="243"/>
      <c r="F366" s="243"/>
      <c r="G366" s="243"/>
      <c r="H366" s="245"/>
      <c r="I366" s="283"/>
      <c r="J366" s="109"/>
      <c r="K366" s="153"/>
      <c r="L366" s="283"/>
      <c r="M366" s="109"/>
      <c r="N366" s="153"/>
      <c r="O366" s="140"/>
    </row>
    <row r="367" spans="1:15">
      <c r="A367" s="261">
        <v>7</v>
      </c>
      <c r="B367" s="284" t="s">
        <v>54</v>
      </c>
      <c r="C367" s="344"/>
      <c r="D367" s="245"/>
      <c r="E367" s="243"/>
      <c r="F367" s="243"/>
      <c r="G367" s="243"/>
      <c r="H367" s="245">
        <f>SUM(B367:G367)</f>
        <v>0</v>
      </c>
      <c r="I367" s="283"/>
      <c r="J367" s="109"/>
      <c r="K367" s="153"/>
      <c r="L367" s="283"/>
      <c r="M367" s="109"/>
      <c r="N367" s="153"/>
      <c r="O367" s="140"/>
    </row>
    <row r="368" spans="1:15" ht="22.5">
      <c r="A368" s="262">
        <v>701</v>
      </c>
      <c r="B368" s="286" t="s">
        <v>237</v>
      </c>
      <c r="C368" s="243">
        <v>50000000</v>
      </c>
      <c r="D368" s="243"/>
      <c r="E368" s="245"/>
      <c r="F368" s="243"/>
      <c r="G368" s="245"/>
      <c r="H368" s="245">
        <f t="shared" ref="H368:H380" si="19">SUM(C368:G368)</f>
        <v>50000000</v>
      </c>
      <c r="I368" s="283" t="s">
        <v>488</v>
      </c>
      <c r="J368" s="109"/>
      <c r="K368" s="153"/>
      <c r="L368" s="283" t="s">
        <v>403</v>
      </c>
      <c r="M368" s="109">
        <v>950</v>
      </c>
      <c r="N368" s="153">
        <v>982</v>
      </c>
      <c r="O368" s="140"/>
    </row>
    <row r="369" spans="1:15" ht="22.5">
      <c r="A369" s="262">
        <v>702</v>
      </c>
      <c r="B369" s="286" t="s">
        <v>238</v>
      </c>
      <c r="C369" s="243">
        <v>50000000</v>
      </c>
      <c r="D369" s="243"/>
      <c r="E369" s="243"/>
      <c r="F369" s="243"/>
      <c r="G369" s="243"/>
      <c r="H369" s="245">
        <f t="shared" si="19"/>
        <v>50000000</v>
      </c>
      <c r="I369" s="283"/>
      <c r="J369" s="109"/>
      <c r="K369" s="153"/>
      <c r="L369" s="283" t="s">
        <v>404</v>
      </c>
      <c r="M369" s="141">
        <f>950/1300*100</f>
        <v>73.076923076923066</v>
      </c>
      <c r="N369" s="282">
        <f>0.756153846153846*100</f>
        <v>75.615384615384599</v>
      </c>
      <c r="O369" s="140"/>
    </row>
    <row r="370" spans="1:15">
      <c r="A370" s="262"/>
      <c r="B370" s="286"/>
      <c r="C370" s="245"/>
      <c r="D370" s="243"/>
      <c r="E370" s="245"/>
      <c r="F370" s="245"/>
      <c r="G370" s="245"/>
      <c r="H370" s="245">
        <f t="shared" si="19"/>
        <v>0</v>
      </c>
      <c r="I370" s="283"/>
      <c r="J370" s="109"/>
      <c r="K370" s="153"/>
      <c r="L370" s="283"/>
      <c r="M370" s="109"/>
      <c r="N370" s="153"/>
      <c r="O370" s="140"/>
    </row>
    <row r="371" spans="1:15">
      <c r="A371" s="261">
        <v>8</v>
      </c>
      <c r="B371" s="284" t="s">
        <v>5</v>
      </c>
      <c r="C371" s="344"/>
      <c r="D371" s="243"/>
      <c r="E371" s="243"/>
      <c r="F371" s="243"/>
      <c r="G371" s="243"/>
      <c r="H371" s="245">
        <f>SUM(B371:G371)</f>
        <v>0</v>
      </c>
      <c r="I371" s="283"/>
      <c r="J371" s="109"/>
      <c r="K371" s="153"/>
      <c r="L371" s="283"/>
      <c r="M371" s="109"/>
      <c r="N371" s="153"/>
      <c r="O371" s="140"/>
    </row>
    <row r="372" spans="1:15" ht="22.5">
      <c r="A372" s="262">
        <v>801</v>
      </c>
      <c r="B372" s="286" t="s">
        <v>239</v>
      </c>
      <c r="C372" s="243">
        <v>43000000</v>
      </c>
      <c r="D372" s="243"/>
      <c r="E372" s="243"/>
      <c r="F372" s="243"/>
      <c r="G372" s="243"/>
      <c r="H372" s="245">
        <f>SUM(C372:G372)</f>
        <v>43000000</v>
      </c>
      <c r="I372" s="283" t="s">
        <v>490</v>
      </c>
      <c r="J372" s="109"/>
      <c r="K372" s="153"/>
      <c r="L372" s="283" t="s">
        <v>405</v>
      </c>
      <c r="M372" s="141">
        <f>900/1300*100</f>
        <v>69.230769230769226</v>
      </c>
      <c r="N372" s="282">
        <f>900/1300*100</f>
        <v>69.230769230769226</v>
      </c>
      <c r="O372" s="140"/>
    </row>
    <row r="373" spans="1:15" ht="22.5">
      <c r="A373" s="262">
        <v>802</v>
      </c>
      <c r="B373" s="286" t="s">
        <v>261</v>
      </c>
      <c r="C373" s="243">
        <v>5000000</v>
      </c>
      <c r="D373" s="243"/>
      <c r="E373" s="243"/>
      <c r="F373" s="243"/>
      <c r="G373" s="243"/>
      <c r="H373" s="245">
        <f>SUM(C373:G373)</f>
        <v>5000000</v>
      </c>
      <c r="I373" s="283"/>
      <c r="J373" s="109"/>
      <c r="K373" s="153"/>
      <c r="L373" s="283" t="s">
        <v>406</v>
      </c>
      <c r="M373" s="109">
        <v>900</v>
      </c>
      <c r="N373" s="153">
        <v>900</v>
      </c>
      <c r="O373" s="140"/>
    </row>
    <row r="374" spans="1:15">
      <c r="A374" s="262">
        <v>803</v>
      </c>
      <c r="B374" s="286" t="s">
        <v>432</v>
      </c>
      <c r="C374" s="243">
        <v>4000000</v>
      </c>
      <c r="D374" s="243"/>
      <c r="E374" s="243"/>
      <c r="F374" s="243"/>
      <c r="G374" s="243"/>
      <c r="H374" s="245">
        <f>SUM(C374:G374)</f>
        <v>4000000</v>
      </c>
      <c r="I374" s="283"/>
      <c r="J374" s="109"/>
      <c r="K374" s="153"/>
      <c r="L374" s="283"/>
      <c r="M374" s="109"/>
      <c r="N374" s="153"/>
      <c r="O374" s="140"/>
    </row>
    <row r="375" spans="1:15">
      <c r="A375" s="262"/>
      <c r="B375" s="286"/>
      <c r="C375" s="243"/>
      <c r="D375" s="243"/>
      <c r="E375" s="243"/>
      <c r="F375" s="243"/>
      <c r="G375" s="243"/>
      <c r="H375" s="245">
        <f>SUM(C375:G375)</f>
        <v>0</v>
      </c>
      <c r="I375" s="283"/>
      <c r="J375" s="109"/>
      <c r="K375" s="153"/>
      <c r="L375" s="283"/>
      <c r="M375" s="109"/>
      <c r="N375" s="153"/>
      <c r="O375" s="140"/>
    </row>
    <row r="376" spans="1:15" ht="22.5">
      <c r="A376" s="261">
        <v>9</v>
      </c>
      <c r="B376" s="284" t="s">
        <v>4</v>
      </c>
      <c r="C376" s="344"/>
      <c r="D376" s="243"/>
      <c r="E376" s="243"/>
      <c r="F376" s="243"/>
      <c r="G376" s="243"/>
      <c r="H376" s="245">
        <f>SUM(B376:G376)</f>
        <v>0</v>
      </c>
      <c r="I376" s="283" t="s">
        <v>489</v>
      </c>
      <c r="J376" s="109">
        <v>60</v>
      </c>
      <c r="K376" s="153">
        <v>70</v>
      </c>
      <c r="L376" s="283" t="s">
        <v>348</v>
      </c>
      <c r="M376" s="109"/>
      <c r="N376" s="153"/>
      <c r="O376" s="140"/>
    </row>
    <row r="377" spans="1:15">
      <c r="A377" s="262">
        <v>901</v>
      </c>
      <c r="B377" s="286" t="s">
        <v>460</v>
      </c>
      <c r="C377" s="243">
        <f>50000000+15000000</f>
        <v>65000000</v>
      </c>
      <c r="D377" s="243"/>
      <c r="E377" s="243"/>
      <c r="F377" s="243"/>
      <c r="G377" s="243"/>
      <c r="H377" s="245">
        <f t="shared" si="19"/>
        <v>65000000</v>
      </c>
      <c r="I377" s="283"/>
      <c r="J377" s="109"/>
      <c r="K377" s="153"/>
      <c r="L377" s="283" t="s">
        <v>430</v>
      </c>
      <c r="M377" s="109">
        <v>0.5</v>
      </c>
      <c r="N377" s="153">
        <v>0.4</v>
      </c>
      <c r="O377" s="140"/>
    </row>
    <row r="378" spans="1:15">
      <c r="A378" s="262">
        <v>902</v>
      </c>
      <c r="B378" s="286" t="s">
        <v>461</v>
      </c>
      <c r="C378" s="243">
        <f>85000000</f>
        <v>85000000</v>
      </c>
      <c r="D378" s="243"/>
      <c r="E378" s="243"/>
      <c r="F378" s="243"/>
      <c r="G378" s="243"/>
      <c r="H378" s="245">
        <f t="shared" si="19"/>
        <v>85000000</v>
      </c>
      <c r="I378" s="283"/>
      <c r="J378" s="109"/>
      <c r="K378" s="153"/>
      <c r="L378" s="283"/>
      <c r="M378" s="109"/>
      <c r="N378" s="153"/>
      <c r="O378" s="140"/>
    </row>
    <row r="379" spans="1:15" ht="22.5">
      <c r="A379" s="262">
        <v>903</v>
      </c>
      <c r="B379" s="286" t="s">
        <v>353</v>
      </c>
      <c r="C379" s="243"/>
      <c r="D379" s="243">
        <v>50000000</v>
      </c>
      <c r="E379" s="243"/>
      <c r="F379" s="243"/>
      <c r="G379" s="243"/>
      <c r="H379" s="245">
        <f t="shared" si="19"/>
        <v>50000000</v>
      </c>
      <c r="I379" s="283"/>
      <c r="J379" s="109"/>
      <c r="K379" s="153"/>
      <c r="L379" s="283"/>
      <c r="M379" s="109"/>
      <c r="N379" s="153"/>
      <c r="O379" s="140"/>
    </row>
    <row r="380" spans="1:15" ht="22.5">
      <c r="A380" s="262">
        <v>904</v>
      </c>
      <c r="B380" s="286" t="s">
        <v>626</v>
      </c>
      <c r="C380" s="243">
        <v>1724363</v>
      </c>
      <c r="D380" s="243"/>
      <c r="E380" s="243"/>
      <c r="F380" s="243"/>
      <c r="G380" s="243"/>
      <c r="H380" s="245">
        <f t="shared" si="19"/>
        <v>1724363</v>
      </c>
      <c r="I380" s="283"/>
      <c r="J380" s="109"/>
      <c r="K380" s="153"/>
      <c r="L380" s="283"/>
      <c r="M380" s="109"/>
      <c r="N380" s="153"/>
      <c r="O380" s="140"/>
    </row>
    <row r="381" spans="1:15" hidden="1">
      <c r="A381" s="347"/>
      <c r="B381" s="243"/>
      <c r="C381" s="243"/>
      <c r="D381" s="243"/>
      <c r="E381" s="243"/>
      <c r="F381" s="243"/>
      <c r="G381" s="243"/>
      <c r="H381" s="243"/>
      <c r="I381" s="346"/>
      <c r="J381" s="7"/>
      <c r="K381" s="343"/>
      <c r="L381" s="346"/>
      <c r="M381" s="7"/>
      <c r="N381" s="343"/>
      <c r="O381" s="344"/>
    </row>
    <row r="382" spans="1:15" ht="22.5">
      <c r="A382" s="261">
        <v>10</v>
      </c>
      <c r="B382" s="284" t="s">
        <v>36</v>
      </c>
      <c r="C382" s="344"/>
      <c r="D382" s="243"/>
      <c r="E382" s="243"/>
      <c r="F382" s="243"/>
      <c r="G382" s="243"/>
      <c r="H382" s="245">
        <f>SUM(B382:G382)</f>
        <v>0</v>
      </c>
      <c r="I382" s="283"/>
      <c r="J382" s="109"/>
      <c r="K382" s="153"/>
      <c r="L382" s="283" t="s">
        <v>409</v>
      </c>
      <c r="M382" s="109">
        <v>220</v>
      </c>
      <c r="N382" s="153">
        <v>230</v>
      </c>
      <c r="O382" s="140"/>
    </row>
    <row r="383" spans="1:15" ht="22.5">
      <c r="A383" s="262">
        <v>1001</v>
      </c>
      <c r="B383" s="286" t="s">
        <v>260</v>
      </c>
      <c r="C383" s="243">
        <v>8800000</v>
      </c>
      <c r="D383" s="243"/>
      <c r="E383" s="243"/>
      <c r="F383" s="243">
        <v>0</v>
      </c>
      <c r="G383" s="243"/>
      <c r="H383" s="245">
        <f>SUM(C383:G383)</f>
        <v>8800000</v>
      </c>
      <c r="I383" s="283"/>
      <c r="J383" s="109"/>
      <c r="K383" s="153"/>
      <c r="L383" s="283" t="s">
        <v>410</v>
      </c>
      <c r="M383" s="109">
        <v>23</v>
      </c>
      <c r="N383" s="153">
        <v>26</v>
      </c>
      <c r="O383" s="140"/>
    </row>
    <row r="384" spans="1:15" ht="33.75">
      <c r="A384" s="262">
        <v>1002</v>
      </c>
      <c r="B384" s="286" t="s">
        <v>361</v>
      </c>
      <c r="C384" s="243">
        <v>30000000</v>
      </c>
      <c r="D384" s="243"/>
      <c r="E384" s="243">
        <v>6500000</v>
      </c>
      <c r="F384" s="243"/>
      <c r="G384" s="243"/>
      <c r="H384" s="245">
        <f>SUM(C384:G384)</f>
        <v>36500000</v>
      </c>
      <c r="I384" s="283"/>
      <c r="J384" s="109"/>
      <c r="K384" s="153"/>
      <c r="L384" s="283"/>
      <c r="M384" s="109"/>
      <c r="N384" s="153"/>
      <c r="O384" s="140"/>
    </row>
    <row r="385" spans="1:15">
      <c r="A385" s="262">
        <v>1003</v>
      </c>
      <c r="B385" s="286" t="s">
        <v>465</v>
      </c>
      <c r="C385" s="243"/>
      <c r="D385" s="243"/>
      <c r="E385" s="243">
        <v>7000000</v>
      </c>
      <c r="F385" s="243"/>
      <c r="G385" s="243"/>
      <c r="H385" s="245">
        <f>SUM(C385:G385)</f>
        <v>7000000</v>
      </c>
      <c r="I385" s="283"/>
      <c r="J385" s="109"/>
      <c r="K385" s="153"/>
      <c r="L385" s="283"/>
      <c r="M385" s="109"/>
      <c r="N385" s="153"/>
      <c r="O385" s="140"/>
    </row>
    <row r="386" spans="1:15">
      <c r="A386" s="262"/>
      <c r="B386" s="286"/>
      <c r="C386" s="243"/>
      <c r="D386" s="243"/>
      <c r="E386" s="243"/>
      <c r="F386" s="243"/>
      <c r="G386" s="243"/>
      <c r="H386" s="245"/>
      <c r="I386" s="283"/>
      <c r="J386" s="109"/>
      <c r="K386" s="153"/>
      <c r="L386" s="283"/>
      <c r="M386" s="109"/>
      <c r="N386" s="153"/>
      <c r="O386" s="140"/>
    </row>
    <row r="387" spans="1:15">
      <c r="A387" s="261">
        <v>11</v>
      </c>
      <c r="B387" s="284" t="s">
        <v>6</v>
      </c>
      <c r="C387" s="344"/>
      <c r="D387" s="243"/>
      <c r="E387" s="243"/>
      <c r="F387" s="243"/>
      <c r="G387" s="243"/>
      <c r="H387" s="245">
        <f>SUM(B387:G387)</f>
        <v>0</v>
      </c>
      <c r="I387" s="283"/>
      <c r="J387" s="109"/>
      <c r="K387" s="153"/>
      <c r="L387" s="283"/>
      <c r="M387" s="109"/>
      <c r="N387" s="153"/>
      <c r="O387" s="140"/>
    </row>
    <row r="388" spans="1:15">
      <c r="A388" s="262">
        <v>1101</v>
      </c>
      <c r="B388" s="286" t="s">
        <v>457</v>
      </c>
      <c r="C388" s="243">
        <v>10000000</v>
      </c>
      <c r="D388" s="243"/>
      <c r="E388" s="243"/>
      <c r="F388" s="243"/>
      <c r="G388" s="243"/>
      <c r="H388" s="245">
        <f>SUM(C388:G388)</f>
        <v>10000000</v>
      </c>
      <c r="I388" s="283"/>
      <c r="J388" s="109"/>
      <c r="K388" s="153"/>
      <c r="L388" s="283"/>
      <c r="M388" s="109"/>
      <c r="N388" s="153"/>
      <c r="O388" s="140"/>
    </row>
    <row r="389" spans="1:15" ht="22.5">
      <c r="A389" s="262">
        <v>1102</v>
      </c>
      <c r="B389" s="286" t="s">
        <v>458</v>
      </c>
      <c r="C389" s="243">
        <v>10000000</v>
      </c>
      <c r="D389" s="243"/>
      <c r="E389" s="243"/>
      <c r="F389" s="243"/>
      <c r="G389" s="243"/>
      <c r="H389" s="245">
        <f>SUM(C389:G389)</f>
        <v>10000000</v>
      </c>
      <c r="I389" s="283"/>
      <c r="J389" s="109"/>
      <c r="K389" s="153"/>
      <c r="L389" s="283"/>
      <c r="M389" s="109"/>
      <c r="N389" s="153"/>
      <c r="O389" s="140"/>
    </row>
    <row r="390" spans="1:15">
      <c r="A390" s="262"/>
      <c r="B390" s="286"/>
      <c r="C390" s="243"/>
      <c r="D390" s="243"/>
      <c r="E390" s="243"/>
      <c r="F390" s="243"/>
      <c r="G390" s="243"/>
      <c r="H390" s="245"/>
      <c r="I390" s="283"/>
      <c r="J390" s="109"/>
      <c r="K390" s="153"/>
      <c r="L390" s="283"/>
      <c r="M390" s="109"/>
      <c r="N390" s="153"/>
      <c r="O390" s="140"/>
    </row>
    <row r="391" spans="1:15" ht="22.5">
      <c r="A391" s="261">
        <v>12</v>
      </c>
      <c r="B391" s="284" t="s">
        <v>42</v>
      </c>
      <c r="C391" s="344"/>
      <c r="D391" s="243"/>
      <c r="E391" s="243"/>
      <c r="F391" s="243"/>
      <c r="G391" s="243"/>
      <c r="H391" s="245">
        <f>SUM(B391:G391)</f>
        <v>0</v>
      </c>
      <c r="I391" s="283" t="s">
        <v>493</v>
      </c>
      <c r="J391" s="109">
        <v>0</v>
      </c>
      <c r="K391" s="153">
        <v>8</v>
      </c>
      <c r="L391" s="283"/>
      <c r="M391" s="109"/>
      <c r="N391" s="153"/>
      <c r="O391" s="140"/>
    </row>
    <row r="392" spans="1:15">
      <c r="A392" s="262">
        <v>1201</v>
      </c>
      <c r="B392" s="286" t="s">
        <v>240</v>
      </c>
      <c r="C392" s="243">
        <v>10000000</v>
      </c>
      <c r="D392" s="243">
        <v>5000000</v>
      </c>
      <c r="E392" s="243"/>
      <c r="F392" s="243"/>
      <c r="G392" s="243"/>
      <c r="H392" s="245">
        <f>SUM(C392:G392)</f>
        <v>15000000</v>
      </c>
      <c r="I392" s="283"/>
      <c r="J392" s="109">
        <v>0</v>
      </c>
      <c r="K392" s="153">
        <v>0</v>
      </c>
      <c r="L392" s="283"/>
      <c r="M392" s="109"/>
      <c r="N392" s="153"/>
      <c r="O392" s="140"/>
    </row>
    <row r="393" spans="1:15" ht="22.5">
      <c r="A393" s="262">
        <v>1202</v>
      </c>
      <c r="B393" s="286" t="s">
        <v>456</v>
      </c>
      <c r="C393" s="243">
        <v>8400000</v>
      </c>
      <c r="D393" s="243"/>
      <c r="E393" s="243"/>
      <c r="F393" s="243"/>
      <c r="G393" s="243"/>
      <c r="H393" s="245">
        <f>SUM(C393:G393)</f>
        <v>8400000</v>
      </c>
      <c r="I393" s="283"/>
      <c r="J393" s="109"/>
      <c r="K393" s="153"/>
      <c r="L393" s="283"/>
      <c r="M393" s="109"/>
      <c r="N393" s="153"/>
      <c r="O393" s="140"/>
    </row>
    <row r="394" spans="1:15">
      <c r="A394" s="262">
        <v>1203</v>
      </c>
      <c r="B394" s="286" t="s">
        <v>245</v>
      </c>
      <c r="C394" s="243"/>
      <c r="D394" s="243"/>
      <c r="E394" s="243"/>
      <c r="F394" s="243">
        <v>7000000</v>
      </c>
      <c r="G394" s="243"/>
      <c r="H394" s="245">
        <f>SUM(C394:G394)</f>
        <v>7000000</v>
      </c>
      <c r="I394" s="283" t="s">
        <v>494</v>
      </c>
      <c r="J394" s="109">
        <v>0</v>
      </c>
      <c r="K394" s="153">
        <v>1</v>
      </c>
      <c r="L394" s="283"/>
      <c r="M394" s="109"/>
      <c r="N394" s="153"/>
      <c r="O394" s="140"/>
    </row>
    <row r="395" spans="1:15">
      <c r="A395" s="262">
        <v>1204</v>
      </c>
      <c r="B395" s="286" t="s">
        <v>467</v>
      </c>
      <c r="C395" s="243"/>
      <c r="D395" s="243">
        <v>9000000</v>
      </c>
      <c r="E395" s="243"/>
      <c r="F395" s="243"/>
      <c r="G395" s="243"/>
      <c r="H395" s="245">
        <f>SUM(C395:G395)</f>
        <v>9000000</v>
      </c>
      <c r="I395" s="283"/>
      <c r="J395" s="109"/>
      <c r="K395" s="153"/>
      <c r="L395" s="283"/>
      <c r="M395" s="109"/>
      <c r="N395" s="345"/>
      <c r="O395" s="140"/>
    </row>
    <row r="396" spans="1:15">
      <c r="A396" s="262"/>
      <c r="B396" s="286"/>
      <c r="C396" s="243"/>
      <c r="D396" s="243"/>
      <c r="E396" s="243"/>
      <c r="F396" s="243"/>
      <c r="G396" s="243"/>
      <c r="H396" s="245">
        <f>SUM(C396:G396)</f>
        <v>0</v>
      </c>
      <c r="I396" s="283"/>
      <c r="J396" s="109"/>
      <c r="K396" s="153"/>
      <c r="L396" s="283"/>
      <c r="M396" s="109"/>
      <c r="N396" s="153"/>
      <c r="O396" s="140"/>
    </row>
    <row r="397" spans="1:15">
      <c r="A397" s="263">
        <v>13</v>
      </c>
      <c r="B397" s="284" t="s">
        <v>53</v>
      </c>
      <c r="C397" s="344"/>
      <c r="D397" s="243"/>
      <c r="E397" s="243"/>
      <c r="F397" s="243"/>
      <c r="G397" s="243"/>
      <c r="H397" s="245">
        <f>SUM(B397:G397)</f>
        <v>0</v>
      </c>
      <c r="I397" s="283"/>
      <c r="J397" s="109"/>
      <c r="K397" s="153"/>
      <c r="L397" s="283"/>
      <c r="M397" s="109"/>
      <c r="N397" s="153"/>
      <c r="O397" s="140"/>
    </row>
    <row r="398" spans="1:15" ht="22.5">
      <c r="A398" s="262">
        <v>1301</v>
      </c>
      <c r="B398" s="286" t="s">
        <v>360</v>
      </c>
      <c r="C398" s="243">
        <v>3000000</v>
      </c>
      <c r="D398" s="243"/>
      <c r="E398" s="243"/>
      <c r="F398" s="243"/>
      <c r="G398" s="243"/>
      <c r="H398" s="245">
        <f>SUM(C398:G398)</f>
        <v>3000000</v>
      </c>
      <c r="I398" s="283" t="s">
        <v>500</v>
      </c>
      <c r="J398" s="109">
        <v>180</v>
      </c>
      <c r="K398" s="153">
        <v>240</v>
      </c>
      <c r="L398" s="283"/>
      <c r="M398" s="109"/>
      <c r="N398" s="153"/>
      <c r="O398" s="140"/>
    </row>
    <row r="399" spans="1:15">
      <c r="A399" s="262"/>
      <c r="B399" s="286"/>
      <c r="C399" s="243"/>
      <c r="D399" s="243"/>
      <c r="E399" s="243"/>
      <c r="F399" s="243"/>
      <c r="G399" s="243"/>
      <c r="H399" s="245"/>
      <c r="I399" s="283"/>
      <c r="J399" s="109"/>
      <c r="K399" s="153"/>
      <c r="L399" s="283"/>
      <c r="M399" s="109"/>
      <c r="N399" s="153"/>
      <c r="O399" s="140"/>
    </row>
    <row r="400" spans="1:15" ht="22.5">
      <c r="A400" s="261">
        <v>14</v>
      </c>
      <c r="B400" s="284" t="s">
        <v>38</v>
      </c>
      <c r="C400" s="344"/>
      <c r="D400" s="243"/>
      <c r="E400" s="243"/>
      <c r="F400" s="243"/>
      <c r="G400" s="243"/>
      <c r="H400" s="245">
        <f>SUM(B400:G400)</f>
        <v>0</v>
      </c>
      <c r="I400" s="283" t="s">
        <v>498</v>
      </c>
      <c r="J400" s="109"/>
      <c r="K400" s="153"/>
      <c r="L400" s="283" t="s">
        <v>349</v>
      </c>
      <c r="M400" s="109"/>
      <c r="N400" s="153"/>
      <c r="O400" s="140"/>
    </row>
    <row r="401" spans="1:15" ht="33.75">
      <c r="A401" s="262">
        <v>1401</v>
      </c>
      <c r="B401" s="286" t="s">
        <v>256</v>
      </c>
      <c r="C401" s="243">
        <v>3000000</v>
      </c>
      <c r="D401" s="243"/>
      <c r="E401" s="243"/>
      <c r="F401" s="243"/>
      <c r="G401" s="243"/>
      <c r="H401" s="245">
        <f t="shared" ref="H401:H416" si="20">SUM(C401:G401)</f>
        <v>3000000</v>
      </c>
      <c r="I401" s="283" t="s">
        <v>497</v>
      </c>
      <c r="J401" s="109"/>
      <c r="K401" s="153"/>
      <c r="L401" s="283"/>
      <c r="M401" s="109"/>
      <c r="N401" s="153"/>
      <c r="O401" s="140"/>
    </row>
    <row r="402" spans="1:15" ht="22.5">
      <c r="A402" s="262">
        <v>1402</v>
      </c>
      <c r="B402" s="286" t="s">
        <v>244</v>
      </c>
      <c r="C402" s="243">
        <v>3000000</v>
      </c>
      <c r="D402" s="284"/>
      <c r="E402" s="284"/>
      <c r="F402" s="284"/>
      <c r="G402" s="284"/>
      <c r="H402" s="245">
        <f t="shared" si="20"/>
        <v>3000000</v>
      </c>
      <c r="I402" s="283"/>
      <c r="J402" s="109"/>
      <c r="K402" s="153"/>
      <c r="L402" s="283"/>
      <c r="M402" s="109"/>
      <c r="N402" s="153"/>
      <c r="O402" s="140"/>
    </row>
    <row r="403" spans="1:15">
      <c r="A403" s="262">
        <v>1403</v>
      </c>
      <c r="B403" s="286" t="s">
        <v>357</v>
      </c>
      <c r="C403" s="243">
        <v>14000000</v>
      </c>
      <c r="D403" s="243"/>
      <c r="E403" s="243"/>
      <c r="F403" s="243"/>
      <c r="G403" s="243"/>
      <c r="H403" s="245">
        <f t="shared" si="20"/>
        <v>14000000</v>
      </c>
      <c r="I403" s="283"/>
      <c r="J403" s="109"/>
      <c r="K403" s="153"/>
      <c r="L403" s="283"/>
      <c r="M403" s="109"/>
      <c r="N403" s="153"/>
      <c r="O403" s="140"/>
    </row>
    <row r="404" spans="1:15" ht="33.75">
      <c r="A404" s="262">
        <v>1404</v>
      </c>
      <c r="B404" s="286" t="s">
        <v>627</v>
      </c>
      <c r="C404" s="243">
        <v>1000000</v>
      </c>
      <c r="D404" s="243"/>
      <c r="E404" s="243"/>
      <c r="F404" s="243"/>
      <c r="G404" s="243"/>
      <c r="H404" s="245">
        <f t="shared" si="20"/>
        <v>1000000</v>
      </c>
      <c r="I404" s="283" t="s">
        <v>499</v>
      </c>
      <c r="J404" s="109">
        <v>270</v>
      </c>
      <c r="K404" s="153">
        <v>290</v>
      </c>
      <c r="L404" s="283"/>
      <c r="M404" s="109"/>
      <c r="N404" s="153"/>
      <c r="O404" s="140"/>
    </row>
    <row r="405" spans="1:15" ht="22.5">
      <c r="A405" s="262">
        <v>1405</v>
      </c>
      <c r="B405" s="286" t="s">
        <v>352</v>
      </c>
      <c r="C405" s="243">
        <v>2000000</v>
      </c>
      <c r="D405" s="243"/>
      <c r="E405" s="243"/>
      <c r="F405" s="243"/>
      <c r="G405" s="243"/>
      <c r="H405" s="245">
        <f t="shared" si="20"/>
        <v>2000000</v>
      </c>
      <c r="I405" s="283"/>
      <c r="J405" s="109"/>
      <c r="K405" s="153"/>
      <c r="L405" s="283"/>
      <c r="M405" s="109"/>
      <c r="N405" s="153"/>
      <c r="O405" s="140"/>
    </row>
    <row r="406" spans="1:15">
      <c r="A406" s="262">
        <v>1406</v>
      </c>
      <c r="B406" s="286" t="s">
        <v>356</v>
      </c>
      <c r="C406" s="243">
        <v>2000000</v>
      </c>
      <c r="D406" s="243"/>
      <c r="E406" s="243"/>
      <c r="F406" s="243"/>
      <c r="G406" s="243"/>
      <c r="H406" s="245">
        <f t="shared" si="20"/>
        <v>2000000</v>
      </c>
      <c r="I406" s="283"/>
      <c r="J406" s="109"/>
      <c r="K406" s="153"/>
      <c r="L406" s="283"/>
      <c r="M406" s="109"/>
      <c r="N406" s="153"/>
      <c r="O406" s="140"/>
    </row>
    <row r="407" spans="1:15">
      <c r="A407" s="262">
        <v>1407</v>
      </c>
      <c r="B407" s="286" t="s">
        <v>357</v>
      </c>
      <c r="C407" s="243"/>
      <c r="D407" s="243"/>
      <c r="E407" s="243"/>
      <c r="F407" s="243"/>
      <c r="G407" s="243"/>
      <c r="H407" s="245">
        <f t="shared" si="20"/>
        <v>0</v>
      </c>
      <c r="I407" s="283"/>
      <c r="J407" s="109"/>
      <c r="K407" s="153"/>
      <c r="L407" s="283"/>
      <c r="M407" s="109"/>
      <c r="N407" s="153"/>
      <c r="O407" s="140"/>
    </row>
    <row r="408" spans="1:15">
      <c r="A408" s="262">
        <v>1408</v>
      </c>
      <c r="B408" s="286" t="s">
        <v>358</v>
      </c>
      <c r="C408" s="243">
        <v>2000000</v>
      </c>
      <c r="D408" s="243"/>
      <c r="E408" s="243"/>
      <c r="F408" s="243"/>
      <c r="G408" s="243"/>
      <c r="H408" s="245">
        <f t="shared" si="20"/>
        <v>2000000</v>
      </c>
      <c r="I408" s="283"/>
      <c r="J408" s="109"/>
      <c r="K408" s="153"/>
      <c r="L408" s="283"/>
      <c r="M408" s="109"/>
      <c r="N408" s="153"/>
      <c r="O408" s="140"/>
    </row>
    <row r="409" spans="1:15">
      <c r="A409" s="262">
        <v>1409</v>
      </c>
      <c r="B409" s="286" t="s">
        <v>359</v>
      </c>
      <c r="C409" s="243">
        <v>2000000</v>
      </c>
      <c r="D409" s="243"/>
      <c r="E409" s="243"/>
      <c r="F409" s="245"/>
      <c r="G409" s="245"/>
      <c r="H409" s="245">
        <f t="shared" si="20"/>
        <v>2000000</v>
      </c>
      <c r="I409" s="283"/>
      <c r="J409" s="109"/>
      <c r="K409" s="153"/>
      <c r="L409" s="283"/>
      <c r="M409" s="109"/>
      <c r="N409" s="153"/>
      <c r="O409" s="140"/>
    </row>
    <row r="410" spans="1:15">
      <c r="A410" s="262">
        <v>1410</v>
      </c>
      <c r="B410" s="286" t="s">
        <v>453</v>
      </c>
      <c r="C410" s="243">
        <v>1000000</v>
      </c>
      <c r="D410" s="243"/>
      <c r="E410" s="243"/>
      <c r="F410" s="243"/>
      <c r="G410" s="243"/>
      <c r="H410" s="245">
        <f t="shared" si="20"/>
        <v>1000000</v>
      </c>
      <c r="I410" s="283"/>
      <c r="J410" s="109"/>
      <c r="K410" s="153"/>
      <c r="L410" s="283"/>
      <c r="M410" s="109"/>
      <c r="N410" s="153"/>
      <c r="O410" s="140"/>
    </row>
    <row r="411" spans="1:15">
      <c r="A411" s="262">
        <v>1411</v>
      </c>
      <c r="B411" s="286" t="s">
        <v>363</v>
      </c>
      <c r="C411" s="243">
        <v>4000000</v>
      </c>
      <c r="D411" s="243"/>
      <c r="E411" s="243"/>
      <c r="F411" s="243">
        <v>5000000</v>
      </c>
      <c r="G411" s="243"/>
      <c r="H411" s="245">
        <f t="shared" si="20"/>
        <v>9000000</v>
      </c>
      <c r="I411" s="283"/>
      <c r="J411" s="109"/>
      <c r="K411" s="153"/>
      <c r="L411" s="283"/>
      <c r="M411" s="109"/>
      <c r="N411" s="153"/>
      <c r="O411" s="140"/>
    </row>
    <row r="412" spans="1:15" ht="22.5">
      <c r="A412" s="262">
        <v>1412</v>
      </c>
      <c r="B412" s="286" t="s">
        <v>451</v>
      </c>
      <c r="C412" s="243">
        <v>4000000</v>
      </c>
      <c r="D412" s="243"/>
      <c r="E412" s="243"/>
      <c r="F412" s="243"/>
      <c r="G412" s="243"/>
      <c r="H412" s="245">
        <f t="shared" si="20"/>
        <v>4000000</v>
      </c>
      <c r="I412" s="283"/>
      <c r="J412" s="109"/>
      <c r="K412" s="153"/>
      <c r="L412" s="283"/>
      <c r="M412" s="109"/>
      <c r="N412" s="153"/>
      <c r="O412" s="140"/>
    </row>
    <row r="413" spans="1:15" ht="22.5">
      <c r="A413" s="262">
        <v>1413</v>
      </c>
      <c r="B413" s="286" t="s">
        <v>452</v>
      </c>
      <c r="C413" s="243">
        <v>1000000</v>
      </c>
      <c r="D413" s="243"/>
      <c r="E413" s="243"/>
      <c r="F413" s="243"/>
      <c r="G413" s="243"/>
      <c r="H413" s="245">
        <f t="shared" si="20"/>
        <v>1000000</v>
      </c>
      <c r="I413" s="283"/>
      <c r="J413" s="109"/>
      <c r="K413" s="153"/>
      <c r="L413" s="283"/>
      <c r="M413" s="109"/>
      <c r="N413" s="153"/>
      <c r="O413" s="140"/>
    </row>
    <row r="414" spans="1:15">
      <c r="A414" s="262">
        <v>1414</v>
      </c>
      <c r="B414" s="286" t="s">
        <v>454</v>
      </c>
      <c r="C414" s="243">
        <v>1000000</v>
      </c>
      <c r="D414" s="243"/>
      <c r="E414" s="243"/>
      <c r="F414" s="243"/>
      <c r="G414" s="243"/>
      <c r="H414" s="245">
        <f t="shared" si="20"/>
        <v>1000000</v>
      </c>
      <c r="I414" s="283"/>
      <c r="J414" s="109"/>
      <c r="K414" s="153"/>
      <c r="L414" s="283"/>
      <c r="M414" s="109"/>
      <c r="N414" s="153"/>
      <c r="O414" s="140"/>
    </row>
    <row r="415" spans="1:15">
      <c r="A415" s="262">
        <v>1415</v>
      </c>
      <c r="B415" s="286" t="s">
        <v>455</v>
      </c>
      <c r="C415" s="243">
        <v>1000000</v>
      </c>
      <c r="D415" s="243"/>
      <c r="E415" s="243"/>
      <c r="F415" s="243"/>
      <c r="G415" s="243"/>
      <c r="H415" s="245">
        <f t="shared" si="20"/>
        <v>1000000</v>
      </c>
      <c r="I415" s="283"/>
      <c r="J415" s="109"/>
      <c r="K415" s="153"/>
      <c r="L415" s="283"/>
      <c r="M415" s="109"/>
      <c r="N415" s="153"/>
      <c r="O415" s="140"/>
    </row>
    <row r="416" spans="1:15">
      <c r="A416" s="262">
        <v>1416</v>
      </c>
      <c r="B416" s="286" t="s">
        <v>433</v>
      </c>
      <c r="C416" s="243">
        <v>3000000</v>
      </c>
      <c r="D416" s="243"/>
      <c r="E416" s="243"/>
      <c r="F416" s="243"/>
      <c r="G416" s="243"/>
      <c r="H416" s="245">
        <f t="shared" si="20"/>
        <v>3000000</v>
      </c>
      <c r="I416" s="283"/>
      <c r="J416" s="109"/>
      <c r="K416" s="153"/>
      <c r="L416" s="283"/>
      <c r="M416" s="109"/>
      <c r="N416" s="153"/>
      <c r="O416" s="140"/>
    </row>
    <row r="417" spans="1:15">
      <c r="A417" s="262"/>
      <c r="B417" s="286"/>
      <c r="C417" s="243"/>
      <c r="D417" s="243"/>
      <c r="E417" s="243"/>
      <c r="F417" s="243"/>
      <c r="G417" s="243"/>
      <c r="H417" s="245"/>
      <c r="I417" s="283"/>
      <c r="J417" s="109"/>
      <c r="K417" s="153"/>
      <c r="L417" s="283"/>
      <c r="M417" s="109"/>
      <c r="N417" s="153"/>
      <c r="O417" s="140"/>
    </row>
    <row r="418" spans="1:15" ht="22.5">
      <c r="A418" s="261">
        <v>15</v>
      </c>
      <c r="B418" s="284" t="s">
        <v>48</v>
      </c>
      <c r="C418" s="344"/>
      <c r="D418" s="243"/>
      <c r="E418" s="243"/>
      <c r="F418" s="243"/>
      <c r="G418" s="243"/>
      <c r="H418" s="245">
        <f>SUM(B418:G418)</f>
        <v>0</v>
      </c>
      <c r="I418" s="283"/>
      <c r="J418" s="109"/>
      <c r="K418" s="153"/>
      <c r="L418" s="283"/>
      <c r="M418" s="109"/>
      <c r="N418" s="153"/>
      <c r="O418" s="140"/>
    </row>
    <row r="419" spans="1:15" ht="22.5">
      <c r="A419" s="262">
        <v>1501</v>
      </c>
      <c r="B419" s="286" t="s">
        <v>262</v>
      </c>
      <c r="C419" s="243">
        <v>2000000</v>
      </c>
      <c r="D419" s="243"/>
      <c r="E419" s="243"/>
      <c r="F419" s="243"/>
      <c r="G419" s="243"/>
      <c r="H419" s="245">
        <f t="shared" ref="H419:H425" si="21">SUM(C419:G419)</f>
        <v>2000000</v>
      </c>
      <c r="I419" s="283" t="s">
        <v>491</v>
      </c>
      <c r="J419" s="109">
        <v>7</v>
      </c>
      <c r="K419" s="153">
        <v>8</v>
      </c>
      <c r="L419" s="283" t="s">
        <v>407</v>
      </c>
      <c r="M419" s="109">
        <v>25</v>
      </c>
      <c r="N419" s="153">
        <v>30</v>
      </c>
      <c r="O419" s="140"/>
    </row>
    <row r="420" spans="1:15" ht="22.5">
      <c r="A420" s="262">
        <v>1502</v>
      </c>
      <c r="B420" s="286" t="s">
        <v>263</v>
      </c>
      <c r="C420" s="243">
        <v>5000000</v>
      </c>
      <c r="D420" s="243"/>
      <c r="E420" s="243"/>
      <c r="F420" s="243"/>
      <c r="G420" s="243"/>
      <c r="H420" s="245">
        <f t="shared" si="21"/>
        <v>5000000</v>
      </c>
      <c r="I420" s="283" t="s">
        <v>492</v>
      </c>
      <c r="J420" s="109">
        <v>90</v>
      </c>
      <c r="K420" s="153">
        <v>95</v>
      </c>
      <c r="L420" s="283"/>
      <c r="M420" s="109"/>
      <c r="N420" s="153"/>
      <c r="O420" s="140"/>
    </row>
    <row r="421" spans="1:15" ht="22.5">
      <c r="A421" s="262">
        <v>1503</v>
      </c>
      <c r="B421" s="286" t="s">
        <v>427</v>
      </c>
      <c r="C421" s="243">
        <v>2000000</v>
      </c>
      <c r="D421" s="243"/>
      <c r="E421" s="243"/>
      <c r="F421" s="243"/>
      <c r="G421" s="243"/>
      <c r="H421" s="245">
        <f t="shared" si="21"/>
        <v>2000000</v>
      </c>
      <c r="I421" s="283"/>
      <c r="J421" s="109"/>
      <c r="K421" s="153"/>
      <c r="L421" s="283"/>
      <c r="M421" s="109"/>
      <c r="N421" s="153"/>
      <c r="O421" s="140"/>
    </row>
    <row r="422" spans="1:15" ht="22.5">
      <c r="A422" s="262">
        <v>1504</v>
      </c>
      <c r="B422" s="286" t="s">
        <v>506</v>
      </c>
      <c r="C422" s="243"/>
      <c r="D422" s="243"/>
      <c r="E422" s="243"/>
      <c r="F422" s="243"/>
      <c r="G422" s="243"/>
      <c r="H422" s="245">
        <f t="shared" si="21"/>
        <v>0</v>
      </c>
      <c r="I422" s="283"/>
      <c r="J422" s="109"/>
      <c r="K422" s="153"/>
      <c r="L422" s="283"/>
      <c r="M422" s="109"/>
      <c r="N422" s="153"/>
      <c r="O422" s="140"/>
    </row>
    <row r="423" spans="1:15">
      <c r="A423" s="262">
        <v>1505</v>
      </c>
      <c r="B423" s="286" t="s">
        <v>459</v>
      </c>
      <c r="C423" s="243">
        <v>5000000</v>
      </c>
      <c r="D423" s="243"/>
      <c r="E423" s="243"/>
      <c r="F423" s="243"/>
      <c r="G423" s="243"/>
      <c r="H423" s="245">
        <f t="shared" si="21"/>
        <v>5000000</v>
      </c>
      <c r="I423" s="283"/>
      <c r="J423" s="109"/>
      <c r="K423" s="153"/>
      <c r="L423" s="283"/>
      <c r="M423" s="109"/>
      <c r="N423" s="153"/>
      <c r="O423" s="140"/>
    </row>
    <row r="424" spans="1:15">
      <c r="A424" s="262">
        <v>1506</v>
      </c>
      <c r="B424" s="286" t="s">
        <v>503</v>
      </c>
      <c r="C424" s="243"/>
      <c r="D424" s="243"/>
      <c r="E424" s="243"/>
      <c r="F424" s="243"/>
      <c r="G424" s="243"/>
      <c r="H424" s="245">
        <f t="shared" si="21"/>
        <v>0</v>
      </c>
      <c r="I424" s="283"/>
      <c r="J424" s="109"/>
      <c r="K424" s="153"/>
      <c r="L424" s="283"/>
      <c r="M424" s="109"/>
      <c r="N424" s="153"/>
      <c r="O424" s="140"/>
    </row>
    <row r="425" spans="1:15" ht="22.5">
      <c r="A425" s="262">
        <v>1507</v>
      </c>
      <c r="B425" s="286" t="s">
        <v>507</v>
      </c>
      <c r="C425" s="243">
        <v>5000000</v>
      </c>
      <c r="D425" s="243"/>
      <c r="E425" s="243"/>
      <c r="F425" s="243"/>
      <c r="G425" s="243"/>
      <c r="H425" s="245">
        <f t="shared" si="21"/>
        <v>5000000</v>
      </c>
      <c r="I425" s="283"/>
      <c r="J425" s="109"/>
      <c r="K425" s="153"/>
      <c r="L425" s="283"/>
      <c r="M425" s="109"/>
      <c r="N425" s="153"/>
      <c r="O425" s="140"/>
    </row>
    <row r="426" spans="1:15">
      <c r="A426" s="262"/>
      <c r="B426" s="286"/>
      <c r="C426" s="243"/>
      <c r="D426" s="243"/>
      <c r="E426" s="243"/>
      <c r="F426" s="243"/>
      <c r="G426" s="243"/>
      <c r="H426" s="245"/>
      <c r="I426" s="283"/>
      <c r="J426" s="109"/>
      <c r="K426" s="153"/>
      <c r="L426" s="283"/>
      <c r="M426" s="109"/>
      <c r="N426" s="153"/>
      <c r="O426" s="140"/>
    </row>
    <row r="427" spans="1:15">
      <c r="A427" s="261">
        <v>16</v>
      </c>
      <c r="B427" s="284" t="s">
        <v>52</v>
      </c>
      <c r="C427" s="344"/>
      <c r="D427" s="243"/>
      <c r="E427" s="245"/>
      <c r="F427" s="245"/>
      <c r="G427" s="245"/>
      <c r="H427" s="245">
        <f>SUM(B427:G427)</f>
        <v>0</v>
      </c>
      <c r="I427" s="283"/>
      <c r="J427" s="109"/>
      <c r="K427" s="153"/>
      <c r="L427" s="283"/>
      <c r="M427" s="109"/>
      <c r="N427" s="153"/>
      <c r="O427" s="140"/>
    </row>
    <row r="428" spans="1:15" ht="22.5">
      <c r="A428" s="262">
        <v>1601</v>
      </c>
      <c r="B428" s="286" t="s">
        <v>241</v>
      </c>
      <c r="C428" s="243">
        <v>1000000</v>
      </c>
      <c r="D428" s="243"/>
      <c r="E428" s="245"/>
      <c r="F428" s="245"/>
      <c r="G428" s="245"/>
      <c r="H428" s="245">
        <f>SUM(C428:G428)</f>
        <v>1000000</v>
      </c>
      <c r="I428" s="283"/>
      <c r="J428" s="109"/>
      <c r="K428" s="153"/>
      <c r="L428" s="283"/>
      <c r="M428" s="109"/>
      <c r="N428" s="153"/>
      <c r="O428" s="140"/>
    </row>
    <row r="429" spans="1:15">
      <c r="A429" s="262"/>
      <c r="B429" s="286"/>
      <c r="C429" s="243"/>
      <c r="D429" s="245"/>
      <c r="E429" s="245"/>
      <c r="F429" s="245"/>
      <c r="G429" s="245"/>
      <c r="H429" s="245">
        <f>SUM(C429:G429)</f>
        <v>0</v>
      </c>
      <c r="I429" s="283"/>
      <c r="J429" s="109"/>
      <c r="K429" s="153"/>
      <c r="L429" s="283"/>
      <c r="M429" s="109"/>
      <c r="N429" s="153"/>
      <c r="O429" s="140"/>
    </row>
    <row r="430" spans="1:15" ht="22.5">
      <c r="A430" s="261">
        <v>17</v>
      </c>
      <c r="B430" s="284" t="s">
        <v>51</v>
      </c>
      <c r="C430" s="344"/>
      <c r="D430" s="243"/>
      <c r="E430" s="243"/>
      <c r="F430" s="243"/>
      <c r="G430" s="243"/>
      <c r="H430" s="245">
        <f>SUM(B430:G430)</f>
        <v>0</v>
      </c>
      <c r="I430" s="283"/>
      <c r="J430" s="109"/>
      <c r="K430" s="153"/>
      <c r="L430" s="283"/>
      <c r="M430" s="109"/>
      <c r="N430" s="153"/>
      <c r="O430" s="140"/>
    </row>
    <row r="431" spans="1:15" ht="22.5">
      <c r="A431" s="262">
        <v>1701</v>
      </c>
      <c r="B431" s="286" t="s">
        <v>354</v>
      </c>
      <c r="C431" s="243">
        <v>9030622</v>
      </c>
      <c r="D431" s="243"/>
      <c r="E431" s="243"/>
      <c r="F431" s="243"/>
      <c r="G431" s="243"/>
      <c r="H431" s="245">
        <f t="shared" ref="H431:H436" si="22">SUM(C431:G431)</f>
        <v>9030622</v>
      </c>
      <c r="I431" s="283"/>
      <c r="J431" s="109">
        <v>1</v>
      </c>
      <c r="K431" s="153">
        <v>1</v>
      </c>
      <c r="L431" s="283" t="s">
        <v>408</v>
      </c>
      <c r="M431" s="109">
        <v>55.42</v>
      </c>
      <c r="N431" s="345">
        <v>58</v>
      </c>
      <c r="O431" s="140"/>
    </row>
    <row r="432" spans="1:15" ht="22.5">
      <c r="A432" s="262">
        <v>1702</v>
      </c>
      <c r="B432" s="286" t="s">
        <v>355</v>
      </c>
      <c r="C432" s="243">
        <v>18000000</v>
      </c>
      <c r="D432" s="243"/>
      <c r="E432" s="243"/>
      <c r="F432" s="243"/>
      <c r="G432" s="243"/>
      <c r="H432" s="245">
        <f t="shared" si="22"/>
        <v>18000000</v>
      </c>
      <c r="I432" s="283"/>
      <c r="J432" s="109">
        <v>1</v>
      </c>
      <c r="K432" s="153">
        <v>1</v>
      </c>
      <c r="L432" s="283"/>
      <c r="M432" s="109"/>
      <c r="N432" s="153"/>
      <c r="O432" s="140"/>
    </row>
    <row r="433" spans="1:30">
      <c r="A433" s="262">
        <v>1703</v>
      </c>
      <c r="B433" s="286" t="s">
        <v>450</v>
      </c>
      <c r="C433" s="243">
        <v>2500000</v>
      </c>
      <c r="D433" s="243"/>
      <c r="E433" s="243"/>
      <c r="F433" s="243"/>
      <c r="G433" s="243"/>
      <c r="H433" s="245">
        <f t="shared" si="22"/>
        <v>2500000</v>
      </c>
      <c r="I433" s="283"/>
      <c r="J433" s="109"/>
      <c r="K433" s="153"/>
      <c r="L433" s="283"/>
      <c r="M433" s="109"/>
      <c r="N433" s="153"/>
      <c r="O433" s="140"/>
    </row>
    <row r="434" spans="1:30">
      <c r="A434" s="262">
        <v>1704</v>
      </c>
      <c r="B434" s="286" t="s">
        <v>426</v>
      </c>
      <c r="C434" s="243">
        <f>6000000-1000000</f>
        <v>5000000</v>
      </c>
      <c r="D434" s="243"/>
      <c r="E434" s="243"/>
      <c r="F434" s="243"/>
      <c r="G434" s="243"/>
      <c r="H434" s="245">
        <f t="shared" si="22"/>
        <v>5000000</v>
      </c>
      <c r="I434" s="283"/>
      <c r="J434" s="109"/>
      <c r="K434" s="153"/>
      <c r="L434" s="283"/>
      <c r="M434" s="109"/>
      <c r="N434" s="153"/>
      <c r="O434" s="140"/>
    </row>
    <row r="435" spans="1:30" ht="22.5">
      <c r="A435" s="262">
        <v>1705</v>
      </c>
      <c r="B435" s="286" t="s">
        <v>91</v>
      </c>
      <c r="C435" s="243">
        <f>6000000</f>
        <v>6000000</v>
      </c>
      <c r="D435" s="243"/>
      <c r="E435" s="243"/>
      <c r="F435" s="243"/>
      <c r="G435" s="243"/>
      <c r="H435" s="245">
        <f t="shared" si="22"/>
        <v>6000000</v>
      </c>
      <c r="I435" s="283"/>
      <c r="J435" s="109"/>
      <c r="K435" s="153"/>
      <c r="L435" s="283"/>
      <c r="M435" s="109"/>
      <c r="N435" s="153"/>
      <c r="O435" s="140"/>
    </row>
    <row r="436" spans="1:30" hidden="1">
      <c r="A436" s="262"/>
      <c r="B436" s="286"/>
      <c r="C436" s="243"/>
      <c r="D436" s="243"/>
      <c r="E436" s="243"/>
      <c r="F436" s="243"/>
      <c r="G436" s="243"/>
      <c r="H436" s="245">
        <f t="shared" si="22"/>
        <v>0</v>
      </c>
      <c r="I436" s="283"/>
      <c r="J436" s="109"/>
      <c r="K436" s="153"/>
      <c r="L436" s="283"/>
      <c r="M436" s="109"/>
      <c r="N436" s="153"/>
      <c r="O436" s="140"/>
    </row>
    <row r="437" spans="1:30" ht="22.5">
      <c r="A437" s="263">
        <v>18</v>
      </c>
      <c r="B437" s="284" t="s">
        <v>40</v>
      </c>
      <c r="C437" s="344"/>
      <c r="D437" s="243"/>
      <c r="E437" s="243"/>
      <c r="F437" s="243"/>
      <c r="G437" s="243"/>
      <c r="H437" s="245">
        <f>SUM(B437:G437)</f>
        <v>0</v>
      </c>
      <c r="I437" s="283" t="s">
        <v>495</v>
      </c>
      <c r="J437" s="109"/>
      <c r="K437" s="153"/>
      <c r="L437" s="283"/>
      <c r="M437" s="109"/>
      <c r="N437" s="153"/>
      <c r="O437" s="140"/>
    </row>
    <row r="438" spans="1:30" ht="24" customHeight="1">
      <c r="A438" s="262">
        <v>1801</v>
      </c>
      <c r="B438" s="286" t="s">
        <v>449</v>
      </c>
      <c r="C438" s="243">
        <f>+'ANEXO X. PROYECCION DE NOMINA'!AA25+5000000</f>
        <v>28424000</v>
      </c>
      <c r="D438" s="243"/>
      <c r="E438" s="243"/>
      <c r="F438" s="243"/>
      <c r="G438" s="243"/>
      <c r="H438" s="245">
        <f>SUM(C438:G438)</f>
        <v>28424000</v>
      </c>
      <c r="I438" s="283" t="s">
        <v>496</v>
      </c>
      <c r="J438" s="109"/>
      <c r="K438" s="153"/>
      <c r="L438" s="283"/>
      <c r="M438" s="109"/>
      <c r="N438" s="153"/>
      <c r="O438" s="140"/>
    </row>
    <row r="439" spans="1:30" ht="23.25" customHeight="1">
      <c r="A439" s="262">
        <v>1802</v>
      </c>
      <c r="B439" s="286" t="s">
        <v>242</v>
      </c>
      <c r="C439" s="243">
        <f>+'ANEXO X. PROYECCION DE NOMINA'!AA23+6000000</f>
        <v>51698000</v>
      </c>
      <c r="D439" s="243"/>
      <c r="E439" s="243"/>
      <c r="F439" s="243"/>
      <c r="G439" s="243"/>
      <c r="H439" s="245">
        <f>SUM(C439:G439)</f>
        <v>51698000</v>
      </c>
      <c r="I439" s="283" t="s">
        <v>497</v>
      </c>
      <c r="J439" s="109"/>
      <c r="K439" s="153"/>
      <c r="L439" s="283"/>
      <c r="M439" s="109"/>
      <c r="N439" s="153"/>
      <c r="O439" s="140"/>
    </row>
    <row r="440" spans="1:30">
      <c r="A440" s="262">
        <v>1803</v>
      </c>
      <c r="B440" s="286" t="s">
        <v>243</v>
      </c>
      <c r="C440" s="243"/>
      <c r="D440" s="243"/>
      <c r="E440" s="243"/>
      <c r="F440" s="243">
        <v>12000000</v>
      </c>
      <c r="G440" s="243"/>
      <c r="H440" s="245">
        <f>SUM(C440:G440)</f>
        <v>12000000</v>
      </c>
      <c r="I440" s="283"/>
      <c r="J440" s="109"/>
      <c r="K440" s="153"/>
      <c r="L440" s="283"/>
      <c r="M440" s="109"/>
      <c r="N440" s="153"/>
      <c r="O440" s="140"/>
    </row>
    <row r="441" spans="1:30">
      <c r="A441" s="262"/>
      <c r="B441" s="286"/>
      <c r="C441" s="284"/>
      <c r="D441" s="284"/>
      <c r="E441" s="284"/>
      <c r="F441" s="284"/>
      <c r="G441" s="284"/>
      <c r="H441" s="245"/>
      <c r="I441" s="283"/>
      <c r="J441" s="109"/>
      <c r="K441" s="153"/>
      <c r="L441" s="283"/>
      <c r="M441" s="109"/>
      <c r="N441" s="153"/>
      <c r="O441" s="140"/>
    </row>
    <row r="442" spans="1:30">
      <c r="A442" s="261" t="s">
        <v>153</v>
      </c>
      <c r="B442" s="305" t="s">
        <v>7</v>
      </c>
      <c r="C442" s="243"/>
      <c r="D442" s="243"/>
      <c r="E442" s="243"/>
      <c r="F442" s="243"/>
      <c r="G442" s="243"/>
      <c r="H442" s="245">
        <f>SUM(C442:G442)</f>
        <v>0</v>
      </c>
      <c r="I442" s="283"/>
      <c r="J442" s="109"/>
      <c r="K442" s="153"/>
      <c r="L442" s="283"/>
      <c r="M442" s="109"/>
      <c r="N442" s="153"/>
      <c r="O442" s="140"/>
    </row>
    <row r="443" spans="1:30" ht="22.5">
      <c r="A443" s="262" t="s">
        <v>220</v>
      </c>
      <c r="B443" s="286" t="s">
        <v>388</v>
      </c>
      <c r="C443" s="243">
        <v>234600000</v>
      </c>
      <c r="D443" s="243"/>
      <c r="E443" s="243"/>
      <c r="F443" s="243"/>
      <c r="G443" s="243"/>
      <c r="H443" s="245">
        <f>SUM(C443:G443)</f>
        <v>234600000</v>
      </c>
      <c r="I443" s="283"/>
      <c r="J443" s="109"/>
      <c r="K443" s="153"/>
      <c r="L443" s="283"/>
      <c r="M443" s="109"/>
      <c r="N443" s="153"/>
      <c r="O443" s="140"/>
    </row>
    <row r="444" spans="1:30" ht="22.5">
      <c r="A444" s="262" t="s">
        <v>221</v>
      </c>
      <c r="B444" s="286" t="s">
        <v>389</v>
      </c>
      <c r="C444" s="243">
        <v>32000000</v>
      </c>
      <c r="D444" s="243"/>
      <c r="E444" s="243"/>
      <c r="F444" s="243"/>
      <c r="G444" s="243"/>
      <c r="H444" s="245">
        <f>SUM(C444:G444)</f>
        <v>32000000</v>
      </c>
      <c r="I444" s="283"/>
      <c r="J444" s="109">
        <v>0</v>
      </c>
      <c r="K444" s="153">
        <v>0</v>
      </c>
      <c r="L444" s="283" t="s">
        <v>431</v>
      </c>
      <c r="M444" s="109">
        <v>14.17</v>
      </c>
      <c r="N444" s="153">
        <v>14.17</v>
      </c>
      <c r="O444" s="140"/>
    </row>
    <row r="445" spans="1:30" ht="12" thickBot="1">
      <c r="A445" s="349"/>
      <c r="B445" s="258"/>
      <c r="C445" s="258"/>
      <c r="D445" s="258"/>
      <c r="E445" s="258"/>
      <c r="F445" s="258"/>
      <c r="G445" s="258"/>
      <c r="H445" s="252">
        <f>SUM(C445:G445)</f>
        <v>0</v>
      </c>
      <c r="I445" s="297"/>
      <c r="J445" s="175"/>
      <c r="K445" s="176"/>
      <c r="L445" s="297"/>
      <c r="M445" s="175"/>
      <c r="N445" s="176"/>
      <c r="O445" s="298"/>
    </row>
    <row r="446" spans="1:30" ht="12" thickBot="1">
      <c r="A446" s="196" t="s">
        <v>116</v>
      </c>
      <c r="B446" s="246"/>
      <c r="C446" s="246">
        <f t="shared" ref="C446:H446" si="23">SUM(C367:C444)</f>
        <v>835176985</v>
      </c>
      <c r="D446" s="246">
        <f t="shared" si="23"/>
        <v>64000000</v>
      </c>
      <c r="E446" s="246">
        <f t="shared" si="23"/>
        <v>13500000</v>
      </c>
      <c r="F446" s="246">
        <f t="shared" si="23"/>
        <v>24000000</v>
      </c>
      <c r="G446" s="246">
        <f t="shared" si="23"/>
        <v>0</v>
      </c>
      <c r="H446" s="246">
        <f t="shared" si="23"/>
        <v>936676985</v>
      </c>
      <c r="I446" s="144"/>
      <c r="J446" s="144"/>
      <c r="K446" s="144"/>
      <c r="L446" s="144"/>
      <c r="M446" s="144"/>
      <c r="N446" s="144"/>
      <c r="O446" s="144"/>
    </row>
    <row r="447" spans="1:30" s="94" customFormat="1">
      <c r="A447" s="247"/>
      <c r="B447" s="121"/>
      <c r="C447" s="423">
        <f>+C74</f>
        <v>835176985</v>
      </c>
      <c r="D447" s="121"/>
      <c r="E447" s="121"/>
      <c r="F447" s="121"/>
      <c r="G447" s="121"/>
      <c r="H447" s="121"/>
      <c r="I447" s="268"/>
      <c r="J447" s="268"/>
      <c r="K447" s="268"/>
      <c r="L447" s="268"/>
      <c r="M447" s="268"/>
      <c r="N447" s="268"/>
      <c r="O447" s="268"/>
    </row>
    <row r="448" spans="1:30" s="94" customFormat="1">
      <c r="A448" s="264"/>
      <c r="B448" s="210"/>
      <c r="C448" s="422">
        <f>+C447-C446</f>
        <v>0</v>
      </c>
      <c r="D448" s="210"/>
      <c r="E448" s="147"/>
      <c r="F448" s="210"/>
      <c r="G448" s="210"/>
      <c r="H448" s="121"/>
      <c r="I448" s="95"/>
      <c r="J448" s="95"/>
      <c r="K448" s="95"/>
      <c r="L448" s="95"/>
      <c r="M448" s="129"/>
      <c r="AD448" s="97"/>
    </row>
    <row r="449" spans="1:15">
      <c r="A449" s="264"/>
      <c r="B449" s="210"/>
      <c r="C449" s="210"/>
      <c r="D449" s="210"/>
      <c r="E449" s="210"/>
      <c r="F449" s="210"/>
      <c r="G449" s="210"/>
      <c r="H449" s="210"/>
    </row>
    <row r="450" spans="1:15" s="84" customFormat="1" ht="14.25" customHeight="1">
      <c r="A450" s="415"/>
      <c r="B450" s="418" t="s">
        <v>616</v>
      </c>
      <c r="C450" s="416"/>
      <c r="D450" s="417"/>
      <c r="E450" s="417"/>
      <c r="F450" s="417"/>
      <c r="G450" s="413"/>
      <c r="H450" s="417"/>
      <c r="I450" s="418"/>
      <c r="J450" s="418"/>
      <c r="K450" s="418"/>
      <c r="L450" s="418"/>
      <c r="M450" s="418"/>
      <c r="N450" s="418"/>
      <c r="O450" s="418"/>
    </row>
    <row r="451" spans="1:15" ht="12.75">
      <c r="A451" s="247"/>
      <c r="B451" s="121"/>
      <c r="C451" s="121"/>
      <c r="D451" s="210"/>
      <c r="E451" s="210"/>
      <c r="F451" s="210"/>
      <c r="H451" s="210"/>
      <c r="I451" s="130"/>
      <c r="J451" s="130"/>
      <c r="K451" s="130"/>
      <c r="L451" s="130"/>
      <c r="M451" s="130"/>
      <c r="N451" s="130"/>
      <c r="O451" s="130"/>
    </row>
    <row r="452" spans="1:15" ht="12.75">
      <c r="A452" s="264"/>
      <c r="B452" s="210"/>
      <c r="C452" s="210"/>
      <c r="D452" s="210"/>
      <c r="E452" s="210"/>
      <c r="F452" s="210"/>
      <c r="H452" s="210"/>
      <c r="I452" s="79"/>
      <c r="J452" s="79"/>
      <c r="K452" s="79"/>
      <c r="L452" s="79"/>
      <c r="M452" s="79"/>
      <c r="N452" s="79"/>
      <c r="O452" s="79"/>
    </row>
    <row r="453" spans="1:15" ht="12.75">
      <c r="A453" s="264"/>
      <c r="B453" s="210"/>
      <c r="C453" s="210"/>
      <c r="D453" s="210"/>
      <c r="E453" s="210"/>
      <c r="F453" s="210"/>
      <c r="G453" s="210"/>
      <c r="H453" s="210"/>
      <c r="I453" s="79"/>
      <c r="J453" s="79"/>
      <c r="K453" s="79"/>
      <c r="L453" s="79"/>
      <c r="M453" s="79"/>
      <c r="N453" s="79"/>
      <c r="O453" s="79"/>
    </row>
    <row r="454" spans="1:15" ht="12.75">
      <c r="A454" s="264"/>
      <c r="B454" s="131" t="s">
        <v>631</v>
      </c>
      <c r="C454" s="210"/>
      <c r="D454" s="210"/>
      <c r="E454" s="210"/>
      <c r="F454" s="210"/>
      <c r="G454" s="131" t="s">
        <v>630</v>
      </c>
      <c r="H454" s="210"/>
      <c r="J454" s="131"/>
      <c r="K454" s="131"/>
      <c r="M454" s="131"/>
      <c r="N454" s="131"/>
      <c r="O454" s="131"/>
    </row>
    <row r="455" spans="1:15" ht="12.75">
      <c r="A455" s="264"/>
      <c r="B455" s="79" t="s">
        <v>202</v>
      </c>
      <c r="C455" s="210"/>
      <c r="D455" s="210"/>
      <c r="E455" s="210"/>
      <c r="F455" s="210"/>
      <c r="G455" s="79" t="s">
        <v>502</v>
      </c>
      <c r="H455" s="260"/>
      <c r="J455" s="79"/>
      <c r="K455" s="79"/>
      <c r="M455" s="79"/>
      <c r="N455" s="79"/>
      <c r="O455" s="79"/>
    </row>
    <row r="456" spans="1:15" ht="12.75">
      <c r="A456" s="264"/>
      <c r="B456" s="79"/>
      <c r="C456" s="210"/>
      <c r="D456" s="210"/>
      <c r="E456" s="210"/>
      <c r="F456" s="210"/>
      <c r="G456" s="79"/>
      <c r="H456" s="260"/>
      <c r="J456" s="79"/>
      <c r="K456" s="79"/>
      <c r="M456" s="79"/>
      <c r="N456" s="79"/>
      <c r="O456" s="79"/>
    </row>
    <row r="457" spans="1:15" ht="12.75">
      <c r="A457" s="264"/>
      <c r="B457" s="79"/>
      <c r="C457" s="210"/>
      <c r="D457" s="210"/>
      <c r="E457" s="210"/>
      <c r="F457" s="210"/>
      <c r="G457" s="79"/>
      <c r="H457" s="260"/>
      <c r="J457" s="79"/>
      <c r="K457" s="79"/>
      <c r="M457" s="79"/>
      <c r="N457" s="79"/>
      <c r="O457" s="79"/>
    </row>
    <row r="458" spans="1:15" ht="12.75">
      <c r="A458" s="264"/>
      <c r="B458" s="79"/>
      <c r="C458" s="210"/>
      <c r="D458" s="210"/>
      <c r="E458" s="210"/>
      <c r="F458" s="210"/>
      <c r="G458" s="79"/>
      <c r="H458" s="121"/>
      <c r="J458" s="79"/>
      <c r="K458" s="79"/>
      <c r="M458" s="79"/>
      <c r="N458" s="79"/>
      <c r="O458" s="79"/>
    </row>
    <row r="459" spans="1:15" ht="12.75">
      <c r="A459" s="264"/>
      <c r="B459" s="131" t="s">
        <v>365</v>
      </c>
      <c r="C459" s="210"/>
      <c r="D459" s="210"/>
      <c r="E459" s="210"/>
      <c r="F459" s="210"/>
      <c r="G459" s="131" t="s">
        <v>501</v>
      </c>
      <c r="H459" s="121"/>
      <c r="J459" s="131"/>
      <c r="K459" s="79"/>
      <c r="M459" s="79"/>
      <c r="N459" s="79"/>
      <c r="O459" s="79"/>
    </row>
    <row r="460" spans="1:15" ht="12.75">
      <c r="A460" s="264"/>
      <c r="B460" s="79" t="s">
        <v>366</v>
      </c>
      <c r="C460" s="210"/>
      <c r="D460" s="210"/>
      <c r="E460" s="210"/>
      <c r="F460" s="210"/>
      <c r="G460" s="79" t="s">
        <v>201</v>
      </c>
      <c r="H460" s="240"/>
      <c r="J460" s="79"/>
      <c r="K460" s="79"/>
      <c r="M460" s="79"/>
      <c r="N460" s="79"/>
      <c r="O460" s="79"/>
    </row>
    <row r="461" spans="1:15">
      <c r="C461" s="323"/>
    </row>
    <row r="465" spans="1:1">
      <c r="A465" s="206" t="s">
        <v>633</v>
      </c>
    </row>
  </sheetData>
  <mergeCells count="61">
    <mergeCell ref="L243:N243"/>
    <mergeCell ref="I220:K220"/>
    <mergeCell ref="L220:N220"/>
    <mergeCell ref="I254:K254"/>
    <mergeCell ref="L254:N254"/>
    <mergeCell ref="A268:A270"/>
    <mergeCell ref="B268:B270"/>
    <mergeCell ref="I268:K268"/>
    <mergeCell ref="L268:N268"/>
    <mergeCell ref="H268:H270"/>
    <mergeCell ref="A16:H16"/>
    <mergeCell ref="A243:A245"/>
    <mergeCell ref="B243:B245"/>
    <mergeCell ref="I243:K243"/>
    <mergeCell ref="I218:O218"/>
    <mergeCell ref="L321:N321"/>
    <mergeCell ref="B321:B323"/>
    <mergeCell ref="A291:A293"/>
    <mergeCell ref="B291:B293"/>
    <mergeCell ref="I291:K291"/>
    <mergeCell ref="I362:K362"/>
    <mergeCell ref="L362:N362"/>
    <mergeCell ref="B341:B343"/>
    <mergeCell ref="H362:H364"/>
    <mergeCell ref="L291:N291"/>
    <mergeCell ref="A341:A343"/>
    <mergeCell ref="I341:K341"/>
    <mergeCell ref="L341:N341"/>
    <mergeCell ref="A321:A323"/>
    <mergeCell ref="I321:K321"/>
    <mergeCell ref="A7:H7"/>
    <mergeCell ref="B254:B256"/>
    <mergeCell ref="A362:A364"/>
    <mergeCell ref="H243:H245"/>
    <mergeCell ref="H254:H256"/>
    <mergeCell ref="B362:B364"/>
    <mergeCell ref="A254:A256"/>
    <mergeCell ref="A220:B220"/>
    <mergeCell ref="A8:H8"/>
    <mergeCell ref="A15:H15"/>
    <mergeCell ref="A1:H1"/>
    <mergeCell ref="A2:H2"/>
    <mergeCell ref="A3:H3"/>
    <mergeCell ref="A6:H6"/>
    <mergeCell ref="A4:H4"/>
    <mergeCell ref="A5:H5"/>
    <mergeCell ref="A10:H10"/>
    <mergeCell ref="A11:H11"/>
    <mergeCell ref="A12:H12"/>
    <mergeCell ref="A13:H13"/>
    <mergeCell ref="A9:H9"/>
    <mergeCell ref="A14:H14"/>
    <mergeCell ref="H291:H293"/>
    <mergeCell ref="H321:H323"/>
    <mergeCell ref="H341:H343"/>
    <mergeCell ref="A135:F135"/>
    <mergeCell ref="A17:F17"/>
    <mergeCell ref="A209:A210"/>
    <mergeCell ref="H220:H222"/>
    <mergeCell ref="A221:A222"/>
    <mergeCell ref="B221:B222"/>
  </mergeCells>
  <phoneticPr fontId="31" type="noConversion"/>
  <pageMargins left="1.25" right="0.15748031496062992" top="1.28" bottom="0.68" header="0.42" footer="0.31496062992125984"/>
  <pageSetup paperSize="5" scale="65" orientation="landscape" verticalDpi="0" r:id="rId1"/>
  <headerFooter>
    <oddHeader>&amp;L                            &amp;G&amp;C
PRESUPUESTO DE RENTAS Y GASTOS</oddHeader>
    <oddFooter>&amp;CMUNICIPIO DE CUCAITA&amp;RPágina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71" sqref="B71"/>
    </sheetView>
  </sheetViews>
  <sheetFormatPr baseColWidth="10" defaultRowHeight="11.25"/>
  <cols>
    <col min="1" max="1" width="12.140625" style="57" bestFit="1" customWidth="1"/>
    <col min="2" max="2" width="32.42578125" style="8" customWidth="1"/>
    <col min="3" max="3" width="11.5703125" style="8" customWidth="1"/>
    <col min="4" max="4" width="13.7109375" style="8" customWidth="1"/>
    <col min="5" max="5" width="12.140625" style="8" customWidth="1"/>
    <col min="6" max="6" width="14.42578125" style="8" customWidth="1"/>
    <col min="7" max="16384" width="11.42578125" style="8"/>
  </cols>
  <sheetData>
    <row r="1" spans="1:6" ht="15.75">
      <c r="A1" s="579" t="s">
        <v>575</v>
      </c>
      <c r="B1" s="579"/>
      <c r="C1" s="579"/>
      <c r="D1" s="579"/>
      <c r="E1" s="579"/>
      <c r="F1" s="579"/>
    </row>
    <row r="2" spans="1:6" s="204" customFormat="1" ht="39.75" customHeight="1">
      <c r="A2" s="578" t="s">
        <v>84</v>
      </c>
      <c r="B2" s="578"/>
      <c r="C2" s="578"/>
      <c r="D2" s="578"/>
      <c r="E2" s="578"/>
      <c r="F2" s="578"/>
    </row>
    <row r="3" spans="1:6" ht="24" customHeight="1">
      <c r="A3" s="58" t="s">
        <v>191</v>
      </c>
      <c r="B3" s="5" t="s">
        <v>179</v>
      </c>
      <c r="C3" s="4"/>
      <c r="D3" s="5"/>
      <c r="E3" s="5"/>
      <c r="F3" s="5">
        <f>SUM(E4:E65)</f>
        <v>499837400</v>
      </c>
    </row>
    <row r="4" spans="1:6">
      <c r="A4" s="59" t="s">
        <v>269</v>
      </c>
      <c r="B4" s="1" t="s">
        <v>127</v>
      </c>
      <c r="C4" s="2"/>
      <c r="D4" s="7"/>
      <c r="E4" s="10">
        <f>+D5+D16+D21+D28</f>
        <v>350637400</v>
      </c>
      <c r="F4" s="9"/>
    </row>
    <row r="5" spans="1:6">
      <c r="A5" s="59" t="s">
        <v>270</v>
      </c>
      <c r="B5" s="1" t="s">
        <v>136</v>
      </c>
      <c r="C5" s="2"/>
      <c r="D5" s="2">
        <f>SUM(C6:C15)</f>
        <v>242703400</v>
      </c>
      <c r="E5" s="9"/>
      <c r="F5" s="9"/>
    </row>
    <row r="6" spans="1:6">
      <c r="A6" s="60" t="s">
        <v>271</v>
      </c>
      <c r="B6" s="6" t="s">
        <v>137</v>
      </c>
      <c r="C6" s="2">
        <f>+'ANEXO X. PROYECCION DE NOMINA'!G20</f>
        <v>144703000</v>
      </c>
      <c r="D6" s="2"/>
      <c r="E6" s="9"/>
      <c r="F6" s="9"/>
    </row>
    <row r="7" spans="1:6">
      <c r="A7" s="60" t="s">
        <v>272</v>
      </c>
      <c r="B7" s="6" t="s">
        <v>135</v>
      </c>
      <c r="C7" s="2">
        <f>+'ANEXO X. PROYECCION DE NOMINA'!T20</f>
        <v>6532000</v>
      </c>
      <c r="D7" s="2"/>
      <c r="E7" s="9"/>
      <c r="F7" s="9"/>
    </row>
    <row r="8" spans="1:6">
      <c r="A8" s="60" t="s">
        <v>273</v>
      </c>
      <c r="B8" s="6" t="s">
        <v>142</v>
      </c>
      <c r="C8" s="2">
        <f>+'ANEXO X. PROYECCION DE NOMINA'!V20</f>
        <v>13608000</v>
      </c>
      <c r="D8" s="2"/>
      <c r="E8" s="9"/>
      <c r="F8" s="9"/>
    </row>
    <row r="9" spans="1:6">
      <c r="A9" s="60" t="s">
        <v>274</v>
      </c>
      <c r="B9" s="6" t="s">
        <v>576</v>
      </c>
      <c r="C9" s="2">
        <f>+'ANEXO X. PROYECCION DE NOMINA'!U20</f>
        <v>9245000</v>
      </c>
      <c r="D9" s="2"/>
      <c r="E9" s="9"/>
      <c r="F9" s="9"/>
    </row>
    <row r="10" spans="1:6">
      <c r="A10" s="60" t="s">
        <v>275</v>
      </c>
      <c r="B10" s="6" t="s">
        <v>175</v>
      </c>
      <c r="C10" s="2">
        <f>+'ANEXO X. PROYECCION DE NOMINA'!F9*8</f>
        <v>22815400</v>
      </c>
      <c r="D10" s="2"/>
      <c r="E10" s="9"/>
      <c r="F10" s="9"/>
    </row>
    <row r="11" spans="1:6">
      <c r="A11" s="60" t="s">
        <v>276</v>
      </c>
      <c r="B11" s="6" t="s">
        <v>176</v>
      </c>
      <c r="C11" s="2">
        <f>+'ANEXO X. PROYECCION DE NOMINA'!R20</f>
        <v>804000</v>
      </c>
      <c r="D11" s="2"/>
      <c r="E11" s="9"/>
      <c r="F11" s="9"/>
    </row>
    <row r="12" spans="1:6">
      <c r="A12" s="60" t="s">
        <v>277</v>
      </c>
      <c r="B12" s="6" t="s">
        <v>248</v>
      </c>
      <c r="C12" s="2">
        <f>+'ANEXO X. PROYECCION DE NOMINA'!S20</f>
        <v>12059000</v>
      </c>
      <c r="D12" s="2"/>
      <c r="E12" s="9"/>
      <c r="F12" s="9"/>
    </row>
    <row r="13" spans="1:6">
      <c r="A13" s="60" t="s">
        <v>278</v>
      </c>
      <c r="B13" s="6" t="s">
        <v>418</v>
      </c>
      <c r="C13" s="2">
        <f>+'ANEXO X. PROYECCION DE NOMINA'!G33</f>
        <v>24537000</v>
      </c>
      <c r="D13" s="2"/>
      <c r="E13" s="9"/>
      <c r="F13" s="9"/>
    </row>
    <row r="14" spans="1:6">
      <c r="A14" s="60" t="s">
        <v>279</v>
      </c>
      <c r="B14" s="6" t="s">
        <v>445</v>
      </c>
      <c r="C14" s="6">
        <f>+'ANEXO X. PROYECCION DE NOMINA'!Y20</f>
        <v>8400000</v>
      </c>
      <c r="D14" s="2"/>
      <c r="E14" s="9"/>
      <c r="F14" s="9"/>
    </row>
    <row r="15" spans="1:6">
      <c r="A15" s="60"/>
      <c r="B15" s="6"/>
      <c r="C15" s="6"/>
      <c r="D15" s="2"/>
      <c r="E15" s="9"/>
      <c r="F15" s="9"/>
    </row>
    <row r="16" spans="1:6">
      <c r="A16" s="59" t="s">
        <v>280</v>
      </c>
      <c r="B16" s="1" t="s">
        <v>138</v>
      </c>
      <c r="C16" s="2"/>
      <c r="D16" s="2">
        <f>SUM(C17:C20)</f>
        <v>41000000</v>
      </c>
      <c r="E16" s="9"/>
      <c r="F16" s="9"/>
    </row>
    <row r="17" spans="1:6">
      <c r="A17" s="61" t="s">
        <v>281</v>
      </c>
      <c r="B17" s="6" t="s">
        <v>168</v>
      </c>
      <c r="C17" s="3">
        <v>25000000</v>
      </c>
      <c r="D17" s="2"/>
      <c r="E17" s="9"/>
      <c r="F17" s="9"/>
    </row>
    <row r="18" spans="1:6">
      <c r="A18" s="61" t="s">
        <v>282</v>
      </c>
      <c r="B18" s="6" t="s">
        <v>160</v>
      </c>
      <c r="C18" s="3">
        <v>14000000</v>
      </c>
      <c r="D18" s="2"/>
      <c r="E18" s="9"/>
      <c r="F18" s="9"/>
    </row>
    <row r="19" spans="1:6">
      <c r="A19" s="61" t="s">
        <v>283</v>
      </c>
      <c r="B19" s="6" t="s">
        <v>417</v>
      </c>
      <c r="C19" s="3">
        <v>2000000</v>
      </c>
      <c r="D19" s="2"/>
      <c r="E19" s="9"/>
      <c r="F19" s="9"/>
    </row>
    <row r="20" spans="1:6">
      <c r="A20" s="61"/>
      <c r="B20" s="6"/>
      <c r="C20" s="3"/>
      <c r="D20" s="2"/>
      <c r="E20" s="9"/>
      <c r="F20" s="9"/>
    </row>
    <row r="21" spans="1:6">
      <c r="A21" s="62" t="s">
        <v>284</v>
      </c>
      <c r="B21" s="1" t="s">
        <v>139</v>
      </c>
      <c r="C21" s="2"/>
      <c r="D21" s="2">
        <f>SUM(C22:C27)</f>
        <v>54078000</v>
      </c>
      <c r="E21" s="9"/>
      <c r="F21" s="9"/>
    </row>
    <row r="22" spans="1:6">
      <c r="A22" s="60" t="s">
        <v>285</v>
      </c>
      <c r="B22" s="6" t="s">
        <v>165</v>
      </c>
      <c r="C22" s="2">
        <f>+'ANEXO X. PROYECCION DE NOMINA'!M20</f>
        <v>5788000</v>
      </c>
      <c r="D22" s="2"/>
      <c r="E22" s="9"/>
      <c r="F22" s="9"/>
    </row>
    <row r="23" spans="1:6">
      <c r="A23" s="60" t="s">
        <v>286</v>
      </c>
      <c r="B23" s="6" t="s">
        <v>158</v>
      </c>
      <c r="C23" s="2">
        <f>+'ANEXO X. PROYECCION DE NOMINA'!I20</f>
        <v>12300000</v>
      </c>
      <c r="D23" s="2"/>
      <c r="E23" s="9"/>
      <c r="F23" s="9"/>
    </row>
    <row r="24" spans="1:6">
      <c r="A24" s="60" t="s">
        <v>287</v>
      </c>
      <c r="B24" s="6" t="s">
        <v>146</v>
      </c>
      <c r="C24" s="2">
        <f>+'ANEXO X. PROYECCION DE NOMINA'!P20</f>
        <v>2115000</v>
      </c>
      <c r="D24" s="2"/>
      <c r="E24" s="9"/>
      <c r="F24" s="9"/>
    </row>
    <row r="25" spans="1:6">
      <c r="A25" s="60" t="s">
        <v>288</v>
      </c>
      <c r="B25" s="6" t="s">
        <v>257</v>
      </c>
      <c r="C25" s="2">
        <f>+'ANEXO X. PROYECCION DE NOMINA'!W20</f>
        <v>14742000</v>
      </c>
      <c r="D25" s="2"/>
      <c r="E25" s="9"/>
      <c r="F25" s="9"/>
    </row>
    <row r="26" spans="1:6">
      <c r="A26" s="60" t="s">
        <v>289</v>
      </c>
      <c r="B26" s="6" t="s">
        <v>258</v>
      </c>
      <c r="C26" s="2">
        <f>+'ANEXO X. PROYECCION DE NOMINA'!X20</f>
        <v>1769000</v>
      </c>
      <c r="D26" s="2"/>
      <c r="E26" s="9"/>
      <c r="F26" s="9"/>
    </row>
    <row r="27" spans="1:6">
      <c r="A27" s="60" t="s">
        <v>290</v>
      </c>
      <c r="B27" s="6" t="s">
        <v>177</v>
      </c>
      <c r="C27" s="2">
        <f>+'ANEXO X. PROYECCION DE NOMINA'!H20</f>
        <v>17364000</v>
      </c>
      <c r="D27" s="2"/>
      <c r="E27" s="9"/>
      <c r="F27" s="9"/>
    </row>
    <row r="28" spans="1:6">
      <c r="A28" s="59" t="s">
        <v>291</v>
      </c>
      <c r="B28" s="1" t="s">
        <v>140</v>
      </c>
      <c r="C28" s="2"/>
      <c r="D28" s="2">
        <f>SUM(C29:C33)</f>
        <v>12856000</v>
      </c>
      <c r="E28" s="9"/>
      <c r="F28" s="9"/>
    </row>
    <row r="29" spans="1:6">
      <c r="A29" s="61" t="s">
        <v>292</v>
      </c>
      <c r="B29" s="6" t="s">
        <v>265</v>
      </c>
      <c r="C29" s="2">
        <f>+'ANEXO X. PROYECCION DE NOMINA'!J20</f>
        <v>724000</v>
      </c>
      <c r="D29" s="2"/>
      <c r="E29" s="9"/>
      <c r="F29" s="9"/>
    </row>
    <row r="30" spans="1:6">
      <c r="A30" s="61" t="s">
        <v>293</v>
      </c>
      <c r="B30" s="6" t="s">
        <v>266</v>
      </c>
      <c r="C30" s="2">
        <f>+'ANEXO X. PROYECCION DE NOMINA'!L20</f>
        <v>4341000</v>
      </c>
      <c r="D30" s="2"/>
      <c r="E30" s="9"/>
      <c r="F30" s="9"/>
    </row>
    <row r="31" spans="1:6">
      <c r="A31" s="61" t="s">
        <v>294</v>
      </c>
      <c r="B31" s="6" t="s">
        <v>267</v>
      </c>
      <c r="C31" s="2">
        <f>+'ANEXO X. PROYECCION DE NOMINA'!K20</f>
        <v>724000</v>
      </c>
      <c r="D31" s="2"/>
      <c r="E31" s="9"/>
      <c r="F31" s="9"/>
    </row>
    <row r="32" spans="1:6">
      <c r="A32" s="61" t="s">
        <v>295</v>
      </c>
      <c r="B32" s="6" t="s">
        <v>83</v>
      </c>
      <c r="C32" s="2">
        <f>+'ANEXO X. PROYECCION DE NOMINA'!N20</f>
        <v>1447000</v>
      </c>
      <c r="D32" s="2"/>
      <c r="E32" s="9"/>
      <c r="F32" s="9"/>
    </row>
    <row r="33" spans="1:6">
      <c r="A33" s="61" t="s">
        <v>296</v>
      </c>
      <c r="B33" s="6" t="s">
        <v>212</v>
      </c>
      <c r="C33" s="2">
        <v>5620000</v>
      </c>
      <c r="D33" s="2"/>
      <c r="E33" s="9"/>
      <c r="F33" s="9"/>
    </row>
    <row r="34" spans="1:6">
      <c r="A34" s="61"/>
      <c r="B34" s="2"/>
      <c r="C34" s="2"/>
      <c r="D34" s="2"/>
      <c r="E34" s="9"/>
      <c r="F34" s="9"/>
    </row>
    <row r="35" spans="1:6">
      <c r="A35" s="59" t="s">
        <v>297</v>
      </c>
      <c r="B35" s="1" t="s">
        <v>128</v>
      </c>
      <c r="C35" s="2"/>
      <c r="D35" s="1"/>
      <c r="E35" s="12">
        <f>+D36+D39</f>
        <v>121100000</v>
      </c>
      <c r="F35" s="9"/>
    </row>
    <row r="36" spans="1:6">
      <c r="A36" s="59" t="s">
        <v>298</v>
      </c>
      <c r="B36" s="1" t="s">
        <v>166</v>
      </c>
      <c r="C36" s="1"/>
      <c r="D36" s="1">
        <f>SUM(C37:C38)</f>
        <v>21000000</v>
      </c>
      <c r="E36" s="9"/>
      <c r="F36" s="9"/>
    </row>
    <row r="37" spans="1:6">
      <c r="A37" s="61" t="s">
        <v>299</v>
      </c>
      <c r="B37" s="6" t="s">
        <v>131</v>
      </c>
      <c r="C37" s="2">
        <v>1000000</v>
      </c>
      <c r="D37" s="2"/>
      <c r="E37" s="9"/>
      <c r="F37" s="9"/>
    </row>
    <row r="38" spans="1:6">
      <c r="A38" s="61" t="s">
        <v>300</v>
      </c>
      <c r="B38" s="6" t="s">
        <v>132</v>
      </c>
      <c r="C38" s="2">
        <v>20000000</v>
      </c>
      <c r="D38" s="2"/>
      <c r="E38" s="9"/>
      <c r="F38" s="9"/>
    </row>
    <row r="39" spans="1:6">
      <c r="A39" s="59" t="s">
        <v>301</v>
      </c>
      <c r="B39" s="1" t="s">
        <v>155</v>
      </c>
      <c r="C39" s="1"/>
      <c r="D39" s="1">
        <f>SUM(C40:C60)</f>
        <v>100100000</v>
      </c>
      <c r="E39" s="9"/>
      <c r="F39" s="9"/>
    </row>
    <row r="40" spans="1:6">
      <c r="A40" s="61" t="s">
        <v>302</v>
      </c>
      <c r="B40" s="6" t="s">
        <v>133</v>
      </c>
      <c r="C40" s="2">
        <v>10000000</v>
      </c>
      <c r="D40" s="1"/>
      <c r="E40" s="9"/>
      <c r="F40" s="9"/>
    </row>
    <row r="41" spans="1:6">
      <c r="A41" s="61" t="s">
        <v>303</v>
      </c>
      <c r="B41" s="6" t="s">
        <v>208</v>
      </c>
      <c r="C41" s="2">
        <v>5500000</v>
      </c>
      <c r="D41" s="2"/>
      <c r="E41" s="9"/>
      <c r="F41" s="9"/>
    </row>
    <row r="42" spans="1:6">
      <c r="A42" s="61" t="s">
        <v>304</v>
      </c>
      <c r="B42" s="6" t="s">
        <v>441</v>
      </c>
      <c r="C42" s="2">
        <v>1000000</v>
      </c>
      <c r="D42" s="2"/>
      <c r="E42" s="9"/>
      <c r="F42" s="9"/>
    </row>
    <row r="43" spans="1:6">
      <c r="A43" s="61" t="s">
        <v>305</v>
      </c>
      <c r="B43" s="6" t="s">
        <v>332</v>
      </c>
      <c r="C43" s="2">
        <v>500000</v>
      </c>
      <c r="D43" s="2"/>
      <c r="E43" s="9"/>
      <c r="F43" s="9"/>
    </row>
    <row r="44" spans="1:6">
      <c r="A44" s="61" t="s">
        <v>306</v>
      </c>
      <c r="B44" s="6" t="s">
        <v>334</v>
      </c>
      <c r="C44" s="2">
        <v>300000</v>
      </c>
      <c r="D44" s="2"/>
      <c r="E44" s="9"/>
      <c r="F44" s="9"/>
    </row>
    <row r="45" spans="1:6">
      <c r="A45" s="61" t="s">
        <v>307</v>
      </c>
      <c r="B45" s="6" t="s">
        <v>333</v>
      </c>
      <c r="C45" s="2">
        <v>8000000</v>
      </c>
      <c r="D45" s="2"/>
      <c r="E45" s="9"/>
      <c r="F45" s="9"/>
    </row>
    <row r="46" spans="1:6">
      <c r="A46" s="61" t="s">
        <v>309</v>
      </c>
      <c r="B46" s="6" t="s">
        <v>215</v>
      </c>
      <c r="C46" s="2">
        <v>5000000</v>
      </c>
      <c r="D46" s="2"/>
      <c r="E46" s="9"/>
      <c r="F46" s="9"/>
    </row>
    <row r="47" spans="1:6">
      <c r="A47" s="61" t="s">
        <v>308</v>
      </c>
      <c r="B47" s="6" t="s">
        <v>167</v>
      </c>
      <c r="C47" s="2">
        <v>5000000</v>
      </c>
      <c r="D47" s="2"/>
      <c r="E47" s="9"/>
      <c r="F47" s="9"/>
    </row>
    <row r="48" spans="1:6">
      <c r="A48" s="61" t="s">
        <v>310</v>
      </c>
      <c r="B48" s="6" t="s">
        <v>443</v>
      </c>
      <c r="C48" s="2">
        <v>900000</v>
      </c>
      <c r="D48" s="2"/>
      <c r="E48" s="9"/>
      <c r="F48" s="9"/>
    </row>
    <row r="49" spans="1:6">
      <c r="A49" s="61" t="s">
        <v>311</v>
      </c>
      <c r="B49" s="6" t="s">
        <v>444</v>
      </c>
      <c r="C49" s="2">
        <v>600000</v>
      </c>
      <c r="D49" s="2"/>
      <c r="E49" s="9"/>
      <c r="F49" s="9"/>
    </row>
    <row r="50" spans="1:6">
      <c r="A50" s="61" t="s">
        <v>312</v>
      </c>
      <c r="B50" s="6" t="s">
        <v>442</v>
      </c>
      <c r="C50" s="2">
        <v>5600000</v>
      </c>
      <c r="D50" s="2"/>
      <c r="E50" s="9"/>
      <c r="F50" s="9"/>
    </row>
    <row r="51" spans="1:6">
      <c r="A51" s="61" t="s">
        <v>313</v>
      </c>
      <c r="B51" s="6" t="s">
        <v>580</v>
      </c>
      <c r="C51" s="2">
        <v>30000000</v>
      </c>
      <c r="D51" s="2"/>
      <c r="E51" s="9"/>
      <c r="F51" s="9"/>
    </row>
    <row r="52" spans="1:6">
      <c r="A52" s="61" t="s">
        <v>314</v>
      </c>
      <c r="B52" s="6" t="s">
        <v>134</v>
      </c>
      <c r="C52" s="2">
        <v>5000000</v>
      </c>
      <c r="D52" s="2"/>
      <c r="E52" s="9"/>
      <c r="F52" s="9"/>
    </row>
    <row r="53" spans="1:6">
      <c r="A53" s="61" t="s">
        <v>315</v>
      </c>
      <c r="B53" s="6" t="s">
        <v>209</v>
      </c>
      <c r="C53" s="2">
        <v>1500000</v>
      </c>
      <c r="D53" s="2"/>
      <c r="E53" s="9"/>
      <c r="F53" s="9"/>
    </row>
    <row r="54" spans="1:6">
      <c r="A54" s="61" t="s">
        <v>316</v>
      </c>
      <c r="B54" s="6" t="s">
        <v>169</v>
      </c>
      <c r="C54" s="2">
        <v>1000000</v>
      </c>
      <c r="D54" s="2"/>
      <c r="E54" s="9"/>
      <c r="F54" s="9"/>
    </row>
    <row r="55" spans="1:6">
      <c r="A55" s="61" t="s">
        <v>317</v>
      </c>
      <c r="B55" s="6" t="s">
        <v>159</v>
      </c>
      <c r="C55" s="2">
        <v>200000</v>
      </c>
      <c r="D55" s="2"/>
      <c r="E55" s="9"/>
      <c r="F55" s="9"/>
    </row>
    <row r="56" spans="1:6">
      <c r="A56" s="61">
        <v>2132217</v>
      </c>
      <c r="B56" s="6" t="s">
        <v>210</v>
      </c>
      <c r="C56" s="2">
        <v>2000000</v>
      </c>
      <c r="D56" s="2"/>
      <c r="E56" s="9"/>
      <c r="F56" s="9"/>
    </row>
    <row r="57" spans="1:6">
      <c r="A57" s="61">
        <v>2132218</v>
      </c>
      <c r="B57" s="6" t="s">
        <v>446</v>
      </c>
      <c r="C57" s="2">
        <v>5000000</v>
      </c>
      <c r="D57" s="2"/>
      <c r="E57" s="9"/>
      <c r="F57" s="9"/>
    </row>
    <row r="58" spans="1:6">
      <c r="A58" s="61">
        <f>+A57+1</f>
        <v>2132219</v>
      </c>
      <c r="B58" s="6" t="s">
        <v>581</v>
      </c>
      <c r="C58" s="2">
        <v>8000000</v>
      </c>
      <c r="D58" s="2"/>
      <c r="E58" s="9"/>
      <c r="F58" s="9"/>
    </row>
    <row r="59" spans="1:6">
      <c r="A59" s="61">
        <f>+A58+1</f>
        <v>2132220</v>
      </c>
      <c r="B59" s="6" t="s">
        <v>216</v>
      </c>
      <c r="C59" s="2">
        <v>5000000</v>
      </c>
      <c r="D59" s="2"/>
      <c r="E59" s="9"/>
      <c r="F59" s="9"/>
    </row>
    <row r="60" spans="1:6">
      <c r="A60" s="61"/>
      <c r="B60" s="6"/>
      <c r="C60" s="2"/>
      <c r="D60" s="2"/>
      <c r="E60" s="9"/>
      <c r="F60" s="9"/>
    </row>
    <row r="61" spans="1:6">
      <c r="A61" s="63" t="s">
        <v>318</v>
      </c>
      <c r="B61" s="1" t="s">
        <v>227</v>
      </c>
      <c r="C61" s="1"/>
      <c r="D61" s="1">
        <f>SUM(C62:C65)</f>
        <v>28100000</v>
      </c>
      <c r="E61" s="13">
        <f>+D61</f>
        <v>28100000</v>
      </c>
      <c r="F61" s="9"/>
    </row>
    <row r="62" spans="1:6">
      <c r="A62" s="61">
        <v>213301</v>
      </c>
      <c r="B62" s="6" t="s">
        <v>151</v>
      </c>
      <c r="C62" s="2">
        <v>10000000</v>
      </c>
      <c r="D62" s="2"/>
      <c r="E62" s="9"/>
      <c r="F62" s="9"/>
    </row>
    <row r="63" spans="1:6">
      <c r="A63" s="61">
        <v>213302</v>
      </c>
      <c r="B63" s="6" t="s">
        <v>141</v>
      </c>
      <c r="C63" s="2">
        <v>17000000</v>
      </c>
      <c r="D63" s="2"/>
      <c r="E63" s="9"/>
      <c r="F63" s="9"/>
    </row>
    <row r="64" spans="1:6">
      <c r="A64" s="61">
        <v>213303</v>
      </c>
      <c r="B64" s="11" t="s">
        <v>335</v>
      </c>
      <c r="C64" s="2">
        <v>1000000</v>
      </c>
      <c r="D64" s="2"/>
      <c r="E64" s="9"/>
      <c r="F64" s="9"/>
    </row>
    <row r="65" spans="1:6">
      <c r="A65" s="61">
        <f>+A64+1</f>
        <v>213304</v>
      </c>
      <c r="B65" s="11" t="s">
        <v>582</v>
      </c>
      <c r="C65" s="2">
        <v>100000</v>
      </c>
      <c r="D65" s="2"/>
      <c r="E65" s="9"/>
      <c r="F65" s="9"/>
    </row>
    <row r="67" spans="1:6">
      <c r="A67" s="57" t="s">
        <v>205</v>
      </c>
    </row>
    <row r="71" spans="1:6" ht="12.75">
      <c r="B71" s="14" t="s">
        <v>631</v>
      </c>
    </row>
    <row r="72" spans="1:6">
      <c r="B72" s="8" t="s">
        <v>202</v>
      </c>
    </row>
  </sheetData>
  <mergeCells count="2">
    <mergeCell ref="A2:F2"/>
    <mergeCell ref="A1:F1"/>
  </mergeCells>
  <phoneticPr fontId="31" type="noConversion"/>
  <pageMargins left="0.9055118110236221" right="0.55118110236220474" top="0.98425196850393704" bottom="0.74803149606299213" header="0.31496062992125984" footer="0.31496062992125984"/>
  <pageSetup scale="90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topLeftCell="A4" workbookViewId="0">
      <pane xSplit="7" ySplit="5" topLeftCell="H9" activePane="bottomRight" state="frozen"/>
      <selection activeCell="A4" sqref="A4"/>
      <selection pane="topRight" activeCell="H4" sqref="H4"/>
      <selection pane="bottomLeft" activeCell="A9" sqref="A9"/>
      <selection pane="bottomRight" activeCell="A26" sqref="A26"/>
    </sheetView>
  </sheetViews>
  <sheetFormatPr baseColWidth="10" defaultRowHeight="11.45" customHeight="1"/>
  <cols>
    <col min="1" max="1" width="2.42578125" style="24" customWidth="1"/>
    <col min="2" max="2" width="20.7109375" style="46" hidden="1" customWidth="1"/>
    <col min="3" max="3" width="10.5703125" style="25" hidden="1" customWidth="1"/>
    <col min="4" max="4" width="16.140625" style="46" customWidth="1"/>
    <col min="5" max="6" width="8.5703125" style="24" customWidth="1"/>
    <col min="7" max="7" width="9.5703125" style="24" customWidth="1"/>
    <col min="8" max="8" width="9.140625" style="24" customWidth="1"/>
    <col min="9" max="9" width="9.5703125" style="24" customWidth="1"/>
    <col min="10" max="10" width="8.42578125" style="24" customWidth="1"/>
    <col min="11" max="11" width="7.7109375" style="24" customWidth="1"/>
    <col min="12" max="12" width="8" style="24" customWidth="1"/>
    <col min="13" max="13" width="8.5703125" style="24" customWidth="1"/>
    <col min="14" max="14" width="7.7109375" style="24" customWidth="1"/>
    <col min="15" max="15" width="6.28515625" style="24" hidden="1" customWidth="1"/>
    <col min="16" max="16" width="7.7109375" style="24" customWidth="1"/>
    <col min="17" max="17" width="8.7109375" style="24" customWidth="1"/>
    <col min="18" max="18" width="8" style="24" customWidth="1"/>
    <col min="19" max="19" width="8.5703125" style="24" customWidth="1"/>
    <col min="20" max="22" width="8.42578125" style="24" customWidth="1"/>
    <col min="23" max="23" width="9" style="24" customWidth="1"/>
    <col min="24" max="24" width="7.5703125" style="24" customWidth="1"/>
    <col min="25" max="25" width="8.42578125" style="47" customWidth="1"/>
    <col min="26" max="26" width="9" style="24" customWidth="1"/>
    <col min="27" max="27" width="9.42578125" style="24" customWidth="1"/>
    <col min="28" max="16384" width="11.42578125" style="24"/>
  </cols>
  <sheetData>
    <row r="1" spans="1:27" ht="11.45" customHeight="1">
      <c r="B1" s="24"/>
      <c r="D1" s="26"/>
      <c r="E1" s="27"/>
      <c r="G1" s="28" t="s">
        <v>537</v>
      </c>
      <c r="H1" s="27"/>
      <c r="Y1" s="24"/>
    </row>
    <row r="2" spans="1:27" ht="11.45" customHeight="1">
      <c r="B2" s="24"/>
      <c r="D2" s="26"/>
      <c r="E2" s="27"/>
      <c r="G2" s="28" t="s">
        <v>538</v>
      </c>
      <c r="H2" s="27"/>
      <c r="Y2" s="24"/>
    </row>
    <row r="3" spans="1:27" ht="11.45" customHeight="1">
      <c r="B3" s="24"/>
      <c r="D3" s="26"/>
      <c r="E3" s="27"/>
      <c r="G3" s="28" t="s">
        <v>539</v>
      </c>
      <c r="H3" s="27"/>
      <c r="Y3" s="24"/>
    </row>
    <row r="4" spans="1:27" s="47" customFormat="1" ht="11.45" customHeight="1">
      <c r="A4" s="24"/>
      <c r="B4" s="24"/>
      <c r="C4" s="25"/>
      <c r="D4" s="26"/>
      <c r="E4" s="28"/>
      <c r="F4" s="24"/>
      <c r="G4" s="22" t="s">
        <v>508</v>
      </c>
      <c r="H4" s="56">
        <v>0.04</v>
      </c>
      <c r="I4" s="24"/>
      <c r="J4" s="24" t="s">
        <v>578</v>
      </c>
      <c r="K4" s="47">
        <v>535600</v>
      </c>
    </row>
    <row r="5" spans="1:27" s="47" customFormat="1" ht="11.45" customHeight="1">
      <c r="A5" s="24"/>
      <c r="B5" s="24"/>
      <c r="C5" s="25"/>
      <c r="D5" s="26"/>
      <c r="E5" s="28"/>
      <c r="F5" s="24"/>
      <c r="G5" s="22" t="s">
        <v>509</v>
      </c>
      <c r="H5" s="15">
        <v>12</v>
      </c>
      <c r="I5" s="24"/>
      <c r="J5" s="24" t="s">
        <v>579</v>
      </c>
      <c r="K5" s="47">
        <f>+K4*H4+K4</f>
        <v>557024</v>
      </c>
      <c r="L5" s="47">
        <f>+K5*2</f>
        <v>1114048</v>
      </c>
    </row>
    <row r="6" spans="1:27" s="29" customFormat="1" ht="11.45" customHeight="1">
      <c r="A6" s="583" t="s">
        <v>522</v>
      </c>
      <c r="B6" s="583" t="s">
        <v>523</v>
      </c>
      <c r="C6" s="583" t="s">
        <v>524</v>
      </c>
      <c r="D6" s="583" t="s">
        <v>525</v>
      </c>
      <c r="E6" s="583" t="s">
        <v>526</v>
      </c>
      <c r="F6" s="582" t="s">
        <v>540</v>
      </c>
      <c r="G6" s="582" t="s">
        <v>510</v>
      </c>
      <c r="H6" s="581" t="s">
        <v>511</v>
      </c>
      <c r="I6" s="581"/>
      <c r="J6" s="581"/>
      <c r="K6" s="581"/>
      <c r="L6" s="581"/>
      <c r="M6" s="581"/>
      <c r="N6" s="581"/>
      <c r="O6" s="581"/>
      <c r="P6" s="581"/>
      <c r="Q6" s="582" t="s">
        <v>512</v>
      </c>
      <c r="R6" s="581" t="s">
        <v>513</v>
      </c>
      <c r="S6" s="581" t="s">
        <v>514</v>
      </c>
      <c r="T6" s="581" t="s">
        <v>515</v>
      </c>
      <c r="U6" s="581" t="s">
        <v>516</v>
      </c>
      <c r="V6" s="581" t="s">
        <v>517</v>
      </c>
      <c r="W6" s="581" t="s">
        <v>518</v>
      </c>
      <c r="X6" s="581" t="s">
        <v>519</v>
      </c>
      <c r="Y6" s="580" t="s">
        <v>577</v>
      </c>
      <c r="Z6" s="580" t="s">
        <v>520</v>
      </c>
      <c r="AA6" s="580" t="s">
        <v>521</v>
      </c>
    </row>
    <row r="7" spans="1:27" s="29" customFormat="1" ht="11.45" customHeight="1">
      <c r="A7" s="583"/>
      <c r="B7" s="583"/>
      <c r="C7" s="583"/>
      <c r="D7" s="583"/>
      <c r="E7" s="583"/>
      <c r="F7" s="582"/>
      <c r="G7" s="582"/>
      <c r="H7" s="16" t="s">
        <v>527</v>
      </c>
      <c r="I7" s="16" t="s">
        <v>117</v>
      </c>
      <c r="J7" s="16" t="s">
        <v>528</v>
      </c>
      <c r="K7" s="16" t="s">
        <v>529</v>
      </c>
      <c r="L7" s="16" t="s">
        <v>530</v>
      </c>
      <c r="M7" s="16" t="s">
        <v>531</v>
      </c>
      <c r="N7" s="16" t="s">
        <v>532</v>
      </c>
      <c r="O7" s="582" t="s">
        <v>533</v>
      </c>
      <c r="P7" s="582"/>
      <c r="Q7" s="582"/>
      <c r="R7" s="581"/>
      <c r="S7" s="581"/>
      <c r="T7" s="581"/>
      <c r="U7" s="581"/>
      <c r="V7" s="581"/>
      <c r="W7" s="581"/>
      <c r="X7" s="581"/>
      <c r="Y7" s="580"/>
      <c r="Z7" s="581"/>
      <c r="AA7" s="581"/>
    </row>
    <row r="8" spans="1:27" s="29" customFormat="1" ht="11.45" customHeight="1">
      <c r="A8" s="583"/>
      <c r="B8" s="583"/>
      <c r="C8" s="583"/>
      <c r="D8" s="583"/>
      <c r="E8" s="583"/>
      <c r="F8" s="582"/>
      <c r="G8" s="582"/>
      <c r="H8" s="17">
        <v>0.12</v>
      </c>
      <c r="I8" s="18">
        <v>8.5000000000000006E-2</v>
      </c>
      <c r="J8" s="18">
        <v>5.0000000000000001E-3</v>
      </c>
      <c r="K8" s="18">
        <v>5.0000000000000001E-3</v>
      </c>
      <c r="L8" s="18">
        <v>0.03</v>
      </c>
      <c r="M8" s="18">
        <v>0.04</v>
      </c>
      <c r="N8" s="18">
        <v>0.01</v>
      </c>
      <c r="O8" s="582"/>
      <c r="P8" s="582"/>
      <c r="Q8" s="582"/>
      <c r="R8" s="581"/>
      <c r="S8" s="581"/>
      <c r="T8" s="581"/>
      <c r="U8" s="581"/>
      <c r="V8" s="581"/>
      <c r="W8" s="581"/>
      <c r="X8" s="581"/>
      <c r="Y8" s="580"/>
      <c r="Z8" s="581"/>
      <c r="AA8" s="581"/>
    </row>
    <row r="9" spans="1:27" s="31" customFormat="1" ht="11.45" customHeight="1">
      <c r="A9" s="30">
        <v>1</v>
      </c>
      <c r="B9" s="49" t="s">
        <v>541</v>
      </c>
      <c r="C9" s="48">
        <v>4235344</v>
      </c>
      <c r="D9" s="49" t="s">
        <v>534</v>
      </c>
      <c r="E9" s="23">
        <v>2742236</v>
      </c>
      <c r="F9" s="19">
        <f t="shared" ref="F9:F19" si="0">ROUND((+E9*$H$4+E9),0)</f>
        <v>2851925</v>
      </c>
      <c r="G9" s="19">
        <f t="shared" ref="G9:G17" si="1">+F9*$H$5</f>
        <v>34223100</v>
      </c>
      <c r="H9" s="19">
        <f t="shared" ref="H9:H19" si="2">ROUND((+$G9*$H$8),0)</f>
        <v>4106772</v>
      </c>
      <c r="I9" s="19">
        <f t="shared" ref="I9:I19" si="3">ROUND((+$G9*$I$8),0)</f>
        <v>2908964</v>
      </c>
      <c r="J9" s="19">
        <f t="shared" ref="J9:J19" si="4">ROUND((+$G9*$J$8),0)</f>
        <v>171116</v>
      </c>
      <c r="K9" s="19">
        <f t="shared" ref="K9:K19" si="5">ROUND((+$G9*$K$8),0)</f>
        <v>171116</v>
      </c>
      <c r="L9" s="19">
        <f t="shared" ref="L9:L19" si="6">ROUND((+$G9*$L$8),0)</f>
        <v>1026693</v>
      </c>
      <c r="M9" s="19">
        <f t="shared" ref="M9:M19" si="7">ROUND((+$G9*$M$8),0)</f>
        <v>1368924</v>
      </c>
      <c r="N9" s="19">
        <f t="shared" ref="N9:N19" si="8">ROUND((+$G9*$N$8),0)</f>
        <v>342231</v>
      </c>
      <c r="O9" s="20">
        <v>5.2199999999999998E-3</v>
      </c>
      <c r="P9" s="19">
        <f>+$G9*O9</f>
        <v>178644.58199999999</v>
      </c>
      <c r="Q9" s="19">
        <f>+H9+I9+M9+L9+J9+K9+N9+P9</f>
        <v>10274460.582</v>
      </c>
      <c r="R9" s="19">
        <f>ROUND((+F9/30*2),0)</f>
        <v>190128</v>
      </c>
      <c r="S9" s="19">
        <f>ROUND((+$F9),0)</f>
        <v>2851925</v>
      </c>
      <c r="T9" s="19">
        <f>ROUND((((+$F9)+(S9/12))/2),0)</f>
        <v>1544793</v>
      </c>
      <c r="U9" s="19">
        <f>ROUND((+$F9/30*23),0)</f>
        <v>2186476</v>
      </c>
      <c r="V9" s="19">
        <f>ROUND((((+$F9)+(S9/12)+(T9/12))),0)</f>
        <v>3218318</v>
      </c>
      <c r="W9" s="21">
        <f>ROUND((+F9+S9/12+T9/12+V9/12),0)</f>
        <v>3486511</v>
      </c>
      <c r="X9" s="21">
        <f t="shared" ref="X9:X19" si="9">+W9*0.12</f>
        <v>418381.32</v>
      </c>
      <c r="Y9" s="21">
        <f>ROUND((+IF(F9&lt;1114048,SUM((350000*3)),IF(G5&gt;=11114048,0))),0)</f>
        <v>0</v>
      </c>
      <c r="Z9" s="21">
        <f t="shared" ref="Z9:Z19" si="10">+R9+S9+T9+U9+V9+W9+X9</f>
        <v>13896532.32</v>
      </c>
      <c r="AA9" s="21">
        <f>+G9+Q9+Z9</f>
        <v>58394092.902000003</v>
      </c>
    </row>
    <row r="10" spans="1:27" s="31" customFormat="1" ht="11.45" customHeight="1">
      <c r="A10" s="30">
        <f>+A13+1</f>
        <v>3</v>
      </c>
      <c r="B10" s="49" t="s">
        <v>543</v>
      </c>
      <c r="C10" s="48">
        <v>46380010</v>
      </c>
      <c r="D10" s="49" t="s">
        <v>544</v>
      </c>
      <c r="E10" s="23">
        <f>+(1426138*0.04)+1426138</f>
        <v>1483183.52</v>
      </c>
      <c r="F10" s="19">
        <f t="shared" si="0"/>
        <v>1542511</v>
      </c>
      <c r="G10" s="19">
        <f>+F10*$H$5</f>
        <v>18510132</v>
      </c>
      <c r="H10" s="19">
        <f t="shared" si="2"/>
        <v>2221216</v>
      </c>
      <c r="I10" s="19">
        <f t="shared" si="3"/>
        <v>1573361</v>
      </c>
      <c r="J10" s="19">
        <f t="shared" si="4"/>
        <v>92551</v>
      </c>
      <c r="K10" s="19">
        <f t="shared" si="5"/>
        <v>92551</v>
      </c>
      <c r="L10" s="19">
        <f t="shared" si="6"/>
        <v>555304</v>
      </c>
      <c r="M10" s="19">
        <f t="shared" si="7"/>
        <v>740405</v>
      </c>
      <c r="N10" s="19">
        <f t="shared" si="8"/>
        <v>185101</v>
      </c>
      <c r="O10" s="20">
        <v>5.2199999999999998E-3</v>
      </c>
      <c r="P10" s="19">
        <f>+$G10*O10</f>
        <v>96622.889039999995</v>
      </c>
      <c r="Q10" s="19">
        <f>+H10+I10+M10+L10+J10+K10+N10+P10</f>
        <v>5557111.8890399998</v>
      </c>
      <c r="R10" s="19">
        <f t="shared" ref="R10:R28" si="11">ROUND((+F10/30*2),0)</f>
        <v>102834</v>
      </c>
      <c r="S10" s="19">
        <f t="shared" ref="S10:S28" si="12">ROUND((+$F10),0)</f>
        <v>1542511</v>
      </c>
      <c r="T10" s="19">
        <f t="shared" ref="T10:T26" si="13">ROUND((((+$F10)+(S10/12))/2),0)</f>
        <v>835527</v>
      </c>
      <c r="U10" s="19">
        <f>ROUND((+$F10/30*23),0)</f>
        <v>1182592</v>
      </c>
      <c r="V10" s="19">
        <f t="shared" ref="V10:V24" si="14">ROUND((((+$F10)+(S10/12)+(T10/12))),0)</f>
        <v>1740681</v>
      </c>
      <c r="W10" s="21">
        <f t="shared" ref="W10:W21" si="15">ROUND((+F10+S10/12+T10/12+V10/12),0)</f>
        <v>1885738</v>
      </c>
      <c r="X10" s="21">
        <f t="shared" si="9"/>
        <v>226288.56</v>
      </c>
      <c r="Y10" s="21">
        <f>ROUND((+IF(F10&lt;1114048,SUM((350000*3)),IF(G6&gt;=11114048,0))),0)</f>
        <v>0</v>
      </c>
      <c r="Z10" s="21">
        <f t="shared" si="10"/>
        <v>7516171.5599999996</v>
      </c>
      <c r="AA10" s="21">
        <f>+G10+Q10+Z10</f>
        <v>31583415.449039999</v>
      </c>
    </row>
    <row r="11" spans="1:27" s="31" customFormat="1" ht="11.45" customHeight="1">
      <c r="A11" s="30">
        <f>+A10+1</f>
        <v>4</v>
      </c>
      <c r="B11" s="49" t="s">
        <v>545</v>
      </c>
      <c r="C11" s="48">
        <v>40044969</v>
      </c>
      <c r="D11" s="49" t="s">
        <v>546</v>
      </c>
      <c r="E11" s="23">
        <f>+(1426138*0.04)+1426138</f>
        <v>1483183.52</v>
      </c>
      <c r="F11" s="19">
        <f t="shared" si="0"/>
        <v>1542511</v>
      </c>
      <c r="G11" s="19">
        <f>+F11*$H$5</f>
        <v>18510132</v>
      </c>
      <c r="H11" s="19">
        <f t="shared" si="2"/>
        <v>2221216</v>
      </c>
      <c r="I11" s="19">
        <f t="shared" si="3"/>
        <v>1573361</v>
      </c>
      <c r="J11" s="19">
        <f t="shared" si="4"/>
        <v>92551</v>
      </c>
      <c r="K11" s="19">
        <f t="shared" si="5"/>
        <v>92551</v>
      </c>
      <c r="L11" s="19">
        <f t="shared" si="6"/>
        <v>555304</v>
      </c>
      <c r="M11" s="19">
        <f t="shared" si="7"/>
        <v>740405</v>
      </c>
      <c r="N11" s="19">
        <f t="shared" si="8"/>
        <v>185101</v>
      </c>
      <c r="O11" s="20">
        <v>5.2199999999999998E-3</v>
      </c>
      <c r="P11" s="19">
        <f>+$G11*O11</f>
        <v>96622.889039999995</v>
      </c>
      <c r="Q11" s="19">
        <f>+H11+I11+M11+L11+J11+K11+N11+P11</f>
        <v>5557111.8890399998</v>
      </c>
      <c r="R11" s="19">
        <f t="shared" si="11"/>
        <v>102834</v>
      </c>
      <c r="S11" s="19">
        <f t="shared" si="12"/>
        <v>1542511</v>
      </c>
      <c r="T11" s="19">
        <f t="shared" si="13"/>
        <v>835527</v>
      </c>
      <c r="U11" s="19">
        <f>ROUND((+$F11/30*23),0)</f>
        <v>1182592</v>
      </c>
      <c r="V11" s="19">
        <f t="shared" si="14"/>
        <v>1740681</v>
      </c>
      <c r="W11" s="21">
        <f t="shared" si="15"/>
        <v>1885738</v>
      </c>
      <c r="X11" s="21">
        <f t="shared" si="9"/>
        <v>226288.56</v>
      </c>
      <c r="Y11" s="21">
        <f t="shared" ref="Y11:Y28" si="16">ROUND((+IF(F11&lt;1114048,SUM((350000*3)),IF(G7&gt;=11114048,0))),0)</f>
        <v>0</v>
      </c>
      <c r="Z11" s="21">
        <f t="shared" si="10"/>
        <v>7516171.5599999996</v>
      </c>
      <c r="AA11" s="21">
        <f>+G11+Q11+Z11</f>
        <v>31583415.449039999</v>
      </c>
    </row>
    <row r="12" spans="1:27" s="31" customFormat="1" ht="11.45" customHeight="1">
      <c r="A12" s="30">
        <f>+A11+1</f>
        <v>5</v>
      </c>
      <c r="B12" s="49" t="s">
        <v>547</v>
      </c>
      <c r="C12" s="48">
        <v>1049608209</v>
      </c>
      <c r="D12" s="49" t="s">
        <v>571</v>
      </c>
      <c r="E12" s="23">
        <f>+(617401*0.04)+617401</f>
        <v>642097.04</v>
      </c>
      <c r="F12" s="19">
        <f t="shared" si="0"/>
        <v>667781</v>
      </c>
      <c r="G12" s="19">
        <f>+F12*$H$5</f>
        <v>8013372</v>
      </c>
      <c r="H12" s="19">
        <f t="shared" si="2"/>
        <v>961605</v>
      </c>
      <c r="I12" s="19">
        <f t="shared" si="3"/>
        <v>681137</v>
      </c>
      <c r="J12" s="19">
        <f t="shared" si="4"/>
        <v>40067</v>
      </c>
      <c r="K12" s="19">
        <f t="shared" si="5"/>
        <v>40067</v>
      </c>
      <c r="L12" s="19">
        <f t="shared" si="6"/>
        <v>240401</v>
      </c>
      <c r="M12" s="19">
        <f t="shared" si="7"/>
        <v>320535</v>
      </c>
      <c r="N12" s="19">
        <f t="shared" si="8"/>
        <v>80134</v>
      </c>
      <c r="O12" s="20">
        <v>5.2199999999999998E-3</v>
      </c>
      <c r="P12" s="19">
        <f>+$G12*O12</f>
        <v>41829.80184</v>
      </c>
      <c r="Q12" s="19">
        <f>+H12+I12+M12+L12+J12+K12+N12+P12</f>
        <v>2405775.8018399999</v>
      </c>
      <c r="R12" s="19">
        <f t="shared" si="11"/>
        <v>44519</v>
      </c>
      <c r="S12" s="19">
        <f t="shared" si="12"/>
        <v>667781</v>
      </c>
      <c r="T12" s="19">
        <f t="shared" si="13"/>
        <v>361715</v>
      </c>
      <c r="U12" s="19">
        <f>ROUND((+$F12/30*23),0)</f>
        <v>511965</v>
      </c>
      <c r="V12" s="19">
        <f t="shared" si="14"/>
        <v>753572</v>
      </c>
      <c r="W12" s="21">
        <f t="shared" si="15"/>
        <v>816370</v>
      </c>
      <c r="X12" s="21">
        <f t="shared" si="9"/>
        <v>97964.4</v>
      </c>
      <c r="Y12" s="21">
        <f t="shared" si="16"/>
        <v>1050000</v>
      </c>
      <c r="Z12" s="21">
        <f t="shared" si="10"/>
        <v>3253886.4</v>
      </c>
      <c r="AA12" s="21">
        <f>+G12+Q12+Z12</f>
        <v>13673034.20184</v>
      </c>
    </row>
    <row r="13" spans="1:27" s="31" customFormat="1" ht="11.45" customHeight="1">
      <c r="A13" s="30">
        <f>+A9+1</f>
        <v>2</v>
      </c>
      <c r="B13" s="49" t="s">
        <v>542</v>
      </c>
      <c r="C13" s="48">
        <v>40020712</v>
      </c>
      <c r="D13" s="49" t="s">
        <v>571</v>
      </c>
      <c r="E13" s="23">
        <f>+(946767.9824*0.04)+946768</f>
        <v>984638.71929599997</v>
      </c>
      <c r="F13" s="19">
        <f t="shared" si="0"/>
        <v>1024024</v>
      </c>
      <c r="G13" s="19">
        <f t="shared" si="1"/>
        <v>12288288</v>
      </c>
      <c r="H13" s="19">
        <f t="shared" si="2"/>
        <v>1474595</v>
      </c>
      <c r="I13" s="19">
        <f t="shared" si="3"/>
        <v>1044504</v>
      </c>
      <c r="J13" s="19">
        <f t="shared" si="4"/>
        <v>61441</v>
      </c>
      <c r="K13" s="19">
        <f t="shared" si="5"/>
        <v>61441</v>
      </c>
      <c r="L13" s="19">
        <f t="shared" si="6"/>
        <v>368649</v>
      </c>
      <c r="M13" s="19">
        <f t="shared" si="7"/>
        <v>491532</v>
      </c>
      <c r="N13" s="19">
        <f t="shared" si="8"/>
        <v>122883</v>
      </c>
      <c r="O13" s="20">
        <v>5.2199999999999998E-3</v>
      </c>
      <c r="P13" s="19">
        <f>+$G13*O13</f>
        <v>64144.863359999996</v>
      </c>
      <c r="Q13" s="19">
        <f t="shared" ref="Q13:Q26" si="17">+H13+I13+M13+L13+J13+K13+N13+P13</f>
        <v>3689189.8633599998</v>
      </c>
      <c r="R13" s="19">
        <f t="shared" si="11"/>
        <v>68268</v>
      </c>
      <c r="S13" s="19">
        <f t="shared" si="12"/>
        <v>1024024</v>
      </c>
      <c r="T13" s="19">
        <f t="shared" si="13"/>
        <v>554680</v>
      </c>
      <c r="U13" s="19">
        <f t="shared" ref="U13:U28" si="18">ROUND((+$F13/30*23),0)</f>
        <v>785085</v>
      </c>
      <c r="V13" s="19">
        <f t="shared" si="14"/>
        <v>1155583</v>
      </c>
      <c r="W13" s="21">
        <f t="shared" si="15"/>
        <v>1251881</v>
      </c>
      <c r="X13" s="21">
        <f t="shared" si="9"/>
        <v>150225.72</v>
      </c>
      <c r="Y13" s="21">
        <f t="shared" si="16"/>
        <v>1050000</v>
      </c>
      <c r="Z13" s="21">
        <f t="shared" si="10"/>
        <v>4989746.72</v>
      </c>
      <c r="AA13" s="21">
        <f t="shared" ref="AA13:AA26" si="19">+G13+Q13+Z13</f>
        <v>20967224.583359998</v>
      </c>
    </row>
    <row r="14" spans="1:27" s="32" customFormat="1" ht="11.45" customHeight="1">
      <c r="A14" s="30">
        <f>+A12+1</f>
        <v>6</v>
      </c>
      <c r="B14" s="49" t="s">
        <v>548</v>
      </c>
      <c r="C14" s="48">
        <v>1051240243</v>
      </c>
      <c r="D14" s="49" t="s">
        <v>572</v>
      </c>
      <c r="E14" s="23">
        <f>+(547806*0.04)+547806</f>
        <v>569718.24</v>
      </c>
      <c r="F14" s="19">
        <f t="shared" si="0"/>
        <v>592507</v>
      </c>
      <c r="G14" s="19">
        <f t="shared" si="1"/>
        <v>7110084</v>
      </c>
      <c r="H14" s="19">
        <f t="shared" si="2"/>
        <v>853210</v>
      </c>
      <c r="I14" s="19">
        <f t="shared" si="3"/>
        <v>604357</v>
      </c>
      <c r="J14" s="19">
        <f t="shared" si="4"/>
        <v>35550</v>
      </c>
      <c r="K14" s="19">
        <f t="shared" si="5"/>
        <v>35550</v>
      </c>
      <c r="L14" s="19">
        <f t="shared" si="6"/>
        <v>213303</v>
      </c>
      <c r="M14" s="19">
        <f t="shared" si="7"/>
        <v>284403</v>
      </c>
      <c r="N14" s="19">
        <f t="shared" si="8"/>
        <v>71101</v>
      </c>
      <c r="O14" s="20">
        <v>5.2199999999999998E-3</v>
      </c>
      <c r="P14" s="19">
        <f t="shared" ref="P14:P26" si="20">+$G14*O14</f>
        <v>37114.638480000001</v>
      </c>
      <c r="Q14" s="19">
        <f t="shared" si="17"/>
        <v>2134588.6384800002</v>
      </c>
      <c r="R14" s="19">
        <f t="shared" si="11"/>
        <v>39500</v>
      </c>
      <c r="S14" s="19">
        <f t="shared" si="12"/>
        <v>592507</v>
      </c>
      <c r="T14" s="19">
        <f t="shared" si="13"/>
        <v>320941</v>
      </c>
      <c r="U14" s="19">
        <f t="shared" si="18"/>
        <v>454255</v>
      </c>
      <c r="V14" s="19">
        <f t="shared" si="14"/>
        <v>668628</v>
      </c>
      <c r="W14" s="21">
        <f t="shared" si="15"/>
        <v>724347</v>
      </c>
      <c r="X14" s="21">
        <f t="shared" si="9"/>
        <v>86921.64</v>
      </c>
      <c r="Y14" s="21">
        <f t="shared" si="16"/>
        <v>1050000</v>
      </c>
      <c r="Z14" s="21">
        <f t="shared" si="10"/>
        <v>2887099.64</v>
      </c>
      <c r="AA14" s="21">
        <f t="shared" si="19"/>
        <v>12131772.278480001</v>
      </c>
    </row>
    <row r="15" spans="1:27" s="32" customFormat="1" ht="11.45" customHeight="1">
      <c r="A15" s="30">
        <f>+A14+1</f>
        <v>7</v>
      </c>
      <c r="B15" s="49" t="s">
        <v>549</v>
      </c>
      <c r="C15" s="48">
        <v>7170570</v>
      </c>
      <c r="D15" s="49" t="s">
        <v>573</v>
      </c>
      <c r="E15" s="23">
        <f>+(547806*0.04)+547806</f>
        <v>569718.24</v>
      </c>
      <c r="F15" s="19">
        <f t="shared" si="0"/>
        <v>592507</v>
      </c>
      <c r="G15" s="19">
        <f t="shared" si="1"/>
        <v>7110084</v>
      </c>
      <c r="H15" s="19">
        <f t="shared" si="2"/>
        <v>853210</v>
      </c>
      <c r="I15" s="19">
        <f t="shared" si="3"/>
        <v>604357</v>
      </c>
      <c r="J15" s="19">
        <f t="shared" si="4"/>
        <v>35550</v>
      </c>
      <c r="K15" s="19">
        <f t="shared" si="5"/>
        <v>35550</v>
      </c>
      <c r="L15" s="19">
        <f t="shared" si="6"/>
        <v>213303</v>
      </c>
      <c r="M15" s="19">
        <f t="shared" si="7"/>
        <v>284403</v>
      </c>
      <c r="N15" s="19">
        <f t="shared" si="8"/>
        <v>71101</v>
      </c>
      <c r="O15" s="20">
        <v>4.3499999999999997E-2</v>
      </c>
      <c r="P15" s="19">
        <f t="shared" si="20"/>
        <v>309288.65399999998</v>
      </c>
      <c r="Q15" s="19">
        <f t="shared" si="17"/>
        <v>2406762.6540000001</v>
      </c>
      <c r="R15" s="19">
        <f t="shared" si="11"/>
        <v>39500</v>
      </c>
      <c r="S15" s="19">
        <f t="shared" si="12"/>
        <v>592507</v>
      </c>
      <c r="T15" s="19">
        <f t="shared" si="13"/>
        <v>320941</v>
      </c>
      <c r="U15" s="19">
        <f t="shared" si="18"/>
        <v>454255</v>
      </c>
      <c r="V15" s="19">
        <f t="shared" si="14"/>
        <v>668628</v>
      </c>
      <c r="W15" s="21">
        <f t="shared" si="15"/>
        <v>724347</v>
      </c>
      <c r="X15" s="21">
        <f t="shared" si="9"/>
        <v>86921.64</v>
      </c>
      <c r="Y15" s="21">
        <f t="shared" si="16"/>
        <v>1050000</v>
      </c>
      <c r="Z15" s="21">
        <f t="shared" si="10"/>
        <v>2887099.64</v>
      </c>
      <c r="AA15" s="21">
        <f t="shared" si="19"/>
        <v>12403946.294</v>
      </c>
    </row>
    <row r="16" spans="1:27" s="32" customFormat="1" ht="11.45" customHeight="1">
      <c r="A16" s="30">
        <f>+A15+1</f>
        <v>8</v>
      </c>
      <c r="B16" s="49" t="s">
        <v>550</v>
      </c>
      <c r="C16" s="48">
        <v>4041520</v>
      </c>
      <c r="D16" s="49" t="s">
        <v>573</v>
      </c>
      <c r="E16" s="23">
        <f>+(567139*0.04)+567139</f>
        <v>589824.56000000006</v>
      </c>
      <c r="F16" s="19">
        <f t="shared" si="0"/>
        <v>613418</v>
      </c>
      <c r="G16" s="19">
        <f t="shared" si="1"/>
        <v>7361016</v>
      </c>
      <c r="H16" s="19">
        <f t="shared" si="2"/>
        <v>883322</v>
      </c>
      <c r="I16" s="19">
        <f t="shared" si="3"/>
        <v>625686</v>
      </c>
      <c r="J16" s="19">
        <f t="shared" si="4"/>
        <v>36805</v>
      </c>
      <c r="K16" s="19">
        <f t="shared" si="5"/>
        <v>36805</v>
      </c>
      <c r="L16" s="19">
        <f t="shared" si="6"/>
        <v>220830</v>
      </c>
      <c r="M16" s="19">
        <f t="shared" si="7"/>
        <v>294441</v>
      </c>
      <c r="N16" s="19">
        <f t="shared" si="8"/>
        <v>73610</v>
      </c>
      <c r="O16" s="20">
        <v>4.3499999999999997E-2</v>
      </c>
      <c r="P16" s="19">
        <f t="shared" si="20"/>
        <v>320204.196</v>
      </c>
      <c r="Q16" s="19">
        <f t="shared" si="17"/>
        <v>2491703.196</v>
      </c>
      <c r="R16" s="19">
        <f t="shared" si="11"/>
        <v>40895</v>
      </c>
      <c r="S16" s="19">
        <f t="shared" si="12"/>
        <v>613418</v>
      </c>
      <c r="T16" s="19">
        <f t="shared" si="13"/>
        <v>332268</v>
      </c>
      <c r="U16" s="19">
        <f t="shared" si="18"/>
        <v>470287</v>
      </c>
      <c r="V16" s="19">
        <f t="shared" si="14"/>
        <v>692225</v>
      </c>
      <c r="W16" s="21">
        <f t="shared" si="15"/>
        <v>749911</v>
      </c>
      <c r="X16" s="21">
        <f t="shared" si="9"/>
        <v>89989.319999999992</v>
      </c>
      <c r="Y16" s="21">
        <f t="shared" si="16"/>
        <v>1050000</v>
      </c>
      <c r="Z16" s="21">
        <f t="shared" si="10"/>
        <v>2988993.32</v>
      </c>
      <c r="AA16" s="21">
        <f t="shared" si="19"/>
        <v>12841712.516000001</v>
      </c>
    </row>
    <row r="17" spans="1:27" s="32" customFormat="1" ht="11.45" customHeight="1">
      <c r="A17" s="30">
        <f>+A16+1</f>
        <v>9</v>
      </c>
      <c r="B17" s="49" t="s">
        <v>551</v>
      </c>
      <c r="C17" s="48">
        <v>4041527</v>
      </c>
      <c r="D17" s="49" t="s">
        <v>573</v>
      </c>
      <c r="E17" s="23">
        <f>+(810959*0.04)+810959</f>
        <v>843397.36</v>
      </c>
      <c r="F17" s="19">
        <f t="shared" si="0"/>
        <v>877133</v>
      </c>
      <c r="G17" s="19">
        <f t="shared" si="1"/>
        <v>10525596</v>
      </c>
      <c r="H17" s="19">
        <f t="shared" si="2"/>
        <v>1263072</v>
      </c>
      <c r="I17" s="19">
        <f t="shared" si="3"/>
        <v>894676</v>
      </c>
      <c r="J17" s="19">
        <f t="shared" si="4"/>
        <v>52628</v>
      </c>
      <c r="K17" s="19">
        <f t="shared" si="5"/>
        <v>52628</v>
      </c>
      <c r="L17" s="19">
        <f t="shared" si="6"/>
        <v>315768</v>
      </c>
      <c r="M17" s="19">
        <f t="shared" si="7"/>
        <v>421024</v>
      </c>
      <c r="N17" s="19">
        <f t="shared" si="8"/>
        <v>105256</v>
      </c>
      <c r="O17" s="20">
        <v>4.3499999999999997E-2</v>
      </c>
      <c r="P17" s="19">
        <f t="shared" si="20"/>
        <v>457863.42599999998</v>
      </c>
      <c r="Q17" s="19">
        <f t="shared" si="17"/>
        <v>3562915.426</v>
      </c>
      <c r="R17" s="19">
        <f t="shared" si="11"/>
        <v>58476</v>
      </c>
      <c r="S17" s="19">
        <f t="shared" si="12"/>
        <v>877133</v>
      </c>
      <c r="T17" s="19">
        <f t="shared" si="13"/>
        <v>475114</v>
      </c>
      <c r="U17" s="19">
        <f t="shared" si="18"/>
        <v>672469</v>
      </c>
      <c r="V17" s="19">
        <f t="shared" si="14"/>
        <v>989820</v>
      </c>
      <c r="W17" s="21">
        <f t="shared" si="15"/>
        <v>1072305</v>
      </c>
      <c r="X17" s="21">
        <f t="shared" si="9"/>
        <v>128676.59999999999</v>
      </c>
      <c r="Y17" s="21">
        <f t="shared" si="16"/>
        <v>1050000</v>
      </c>
      <c r="Z17" s="21">
        <f t="shared" si="10"/>
        <v>4273993.5999999996</v>
      </c>
      <c r="AA17" s="21">
        <f t="shared" si="19"/>
        <v>18362505.026000001</v>
      </c>
    </row>
    <row r="18" spans="1:27" s="32" customFormat="1" ht="11.45" customHeight="1">
      <c r="A18" s="30">
        <f>+A17+1</f>
        <v>10</v>
      </c>
      <c r="B18" s="33" t="s">
        <v>570</v>
      </c>
      <c r="C18" s="34">
        <v>0</v>
      </c>
      <c r="D18" s="49" t="s">
        <v>573</v>
      </c>
      <c r="E18" s="23">
        <f>+(810959*0.04)+810959</f>
        <v>843397.36</v>
      </c>
      <c r="F18" s="19">
        <f t="shared" si="0"/>
        <v>877133</v>
      </c>
      <c r="G18" s="19">
        <f>+F18*$H$5</f>
        <v>10525596</v>
      </c>
      <c r="H18" s="19">
        <f t="shared" si="2"/>
        <v>1263072</v>
      </c>
      <c r="I18" s="19">
        <f t="shared" si="3"/>
        <v>894676</v>
      </c>
      <c r="J18" s="19">
        <f t="shared" si="4"/>
        <v>52628</v>
      </c>
      <c r="K18" s="19">
        <f t="shared" si="5"/>
        <v>52628</v>
      </c>
      <c r="L18" s="19">
        <f t="shared" si="6"/>
        <v>315768</v>
      </c>
      <c r="M18" s="19">
        <f t="shared" si="7"/>
        <v>421024</v>
      </c>
      <c r="N18" s="19">
        <f t="shared" si="8"/>
        <v>105256</v>
      </c>
      <c r="O18" s="20">
        <v>4.3499999999999997E-2</v>
      </c>
      <c r="P18" s="19">
        <f>+$G18*O18</f>
        <v>457863.42599999998</v>
      </c>
      <c r="Q18" s="19">
        <f>+H18+I18+M18+L18+J18+K18+N18+P18</f>
        <v>3562915.426</v>
      </c>
      <c r="R18" s="19">
        <f t="shared" si="11"/>
        <v>58476</v>
      </c>
      <c r="S18" s="19">
        <f t="shared" si="12"/>
        <v>877133</v>
      </c>
      <c r="T18" s="19">
        <f t="shared" si="13"/>
        <v>475114</v>
      </c>
      <c r="U18" s="19">
        <f t="shared" si="18"/>
        <v>672469</v>
      </c>
      <c r="V18" s="19">
        <f t="shared" si="14"/>
        <v>989820</v>
      </c>
      <c r="W18" s="21">
        <f t="shared" si="15"/>
        <v>1072305</v>
      </c>
      <c r="X18" s="21">
        <f t="shared" si="9"/>
        <v>128676.59999999999</v>
      </c>
      <c r="Y18" s="21">
        <f t="shared" si="16"/>
        <v>1050000</v>
      </c>
      <c r="Z18" s="21">
        <f t="shared" si="10"/>
        <v>4273993.5999999996</v>
      </c>
      <c r="AA18" s="21">
        <f>+G18+Q18+Z18</f>
        <v>18362505.026000001</v>
      </c>
    </row>
    <row r="19" spans="1:27" s="32" customFormat="1" ht="11.45" customHeight="1">
      <c r="A19" s="30">
        <f>+A18+1</f>
        <v>11</v>
      </c>
      <c r="B19" s="33" t="s">
        <v>570</v>
      </c>
      <c r="C19" s="34">
        <v>0</v>
      </c>
      <c r="D19" s="49" t="s">
        <v>572</v>
      </c>
      <c r="E19" s="23">
        <f>+(810959*0.04)+810959</f>
        <v>843397.36</v>
      </c>
      <c r="F19" s="19">
        <f t="shared" si="0"/>
        <v>877133</v>
      </c>
      <c r="G19" s="19">
        <f>+F19*$H$5</f>
        <v>10525596</v>
      </c>
      <c r="H19" s="19">
        <f t="shared" si="2"/>
        <v>1263072</v>
      </c>
      <c r="I19" s="19">
        <f t="shared" si="3"/>
        <v>894676</v>
      </c>
      <c r="J19" s="19">
        <f t="shared" si="4"/>
        <v>52628</v>
      </c>
      <c r="K19" s="19">
        <f t="shared" si="5"/>
        <v>52628</v>
      </c>
      <c r="L19" s="19">
        <f t="shared" si="6"/>
        <v>315768</v>
      </c>
      <c r="M19" s="19">
        <f t="shared" si="7"/>
        <v>421024</v>
      </c>
      <c r="N19" s="19">
        <f t="shared" si="8"/>
        <v>105256</v>
      </c>
      <c r="O19" s="20">
        <v>5.2199999999999998E-3</v>
      </c>
      <c r="P19" s="19">
        <f>+$G19*O19</f>
        <v>54943.611120000001</v>
      </c>
      <c r="Q19" s="19">
        <f>+H19+I19+M19+L19+J19+K19+N19+P19</f>
        <v>3159995.61112</v>
      </c>
      <c r="R19" s="19">
        <f t="shared" si="11"/>
        <v>58476</v>
      </c>
      <c r="S19" s="19">
        <f t="shared" si="12"/>
        <v>877133</v>
      </c>
      <c r="T19" s="19">
        <f t="shared" si="13"/>
        <v>475114</v>
      </c>
      <c r="U19" s="19">
        <f t="shared" si="18"/>
        <v>672469</v>
      </c>
      <c r="V19" s="19">
        <f t="shared" si="14"/>
        <v>989820</v>
      </c>
      <c r="W19" s="21">
        <f t="shared" si="15"/>
        <v>1072305</v>
      </c>
      <c r="X19" s="21">
        <f t="shared" si="9"/>
        <v>128676.59999999999</v>
      </c>
      <c r="Y19" s="21">
        <f t="shared" si="16"/>
        <v>1050000</v>
      </c>
      <c r="Z19" s="21">
        <f t="shared" si="10"/>
        <v>4273993.5999999996</v>
      </c>
      <c r="AA19" s="21">
        <f>+G19+Q19+Z19</f>
        <v>17959585.211120002</v>
      </c>
    </row>
    <row r="20" spans="1:27" s="40" customFormat="1" ht="11.45" customHeight="1">
      <c r="A20" s="35"/>
      <c r="B20" s="36" t="s">
        <v>564</v>
      </c>
      <c r="C20" s="37"/>
      <c r="D20" s="38" t="str">
        <f>+B20</f>
        <v>T. ALCALDIA</v>
      </c>
      <c r="E20" s="39">
        <f>SUM(E9:E19)</f>
        <v>11594791.919295998</v>
      </c>
      <c r="F20" s="39">
        <f>SUM(F9:F19)</f>
        <v>12058583</v>
      </c>
      <c r="G20" s="39">
        <f t="shared" ref="G20:AA20" si="21">ROUND(SUM(G9:G19),-3)</f>
        <v>144703000</v>
      </c>
      <c r="H20" s="39">
        <f t="shared" si="21"/>
        <v>17364000</v>
      </c>
      <c r="I20" s="39">
        <f t="shared" si="21"/>
        <v>12300000</v>
      </c>
      <c r="J20" s="39">
        <f t="shared" si="21"/>
        <v>724000</v>
      </c>
      <c r="K20" s="39">
        <f t="shared" si="21"/>
        <v>724000</v>
      </c>
      <c r="L20" s="39">
        <f t="shared" si="21"/>
        <v>4341000</v>
      </c>
      <c r="M20" s="39">
        <f t="shared" si="21"/>
        <v>5788000</v>
      </c>
      <c r="N20" s="39">
        <f t="shared" si="21"/>
        <v>1447000</v>
      </c>
      <c r="O20" s="39">
        <f t="shared" si="21"/>
        <v>0</v>
      </c>
      <c r="P20" s="39">
        <f t="shared" si="21"/>
        <v>2115000</v>
      </c>
      <c r="Q20" s="39">
        <f t="shared" si="21"/>
        <v>44803000</v>
      </c>
      <c r="R20" s="39">
        <f t="shared" si="21"/>
        <v>804000</v>
      </c>
      <c r="S20" s="39">
        <f t="shared" si="21"/>
        <v>12059000</v>
      </c>
      <c r="T20" s="39">
        <f t="shared" si="21"/>
        <v>6532000</v>
      </c>
      <c r="U20" s="39">
        <f t="shared" si="21"/>
        <v>9245000</v>
      </c>
      <c r="V20" s="39">
        <f t="shared" si="21"/>
        <v>13608000</v>
      </c>
      <c r="W20" s="39">
        <f t="shared" si="21"/>
        <v>14742000</v>
      </c>
      <c r="X20" s="39">
        <f t="shared" si="21"/>
        <v>1769000</v>
      </c>
      <c r="Y20" s="39">
        <f t="shared" si="21"/>
        <v>8400000</v>
      </c>
      <c r="Z20" s="39">
        <f t="shared" si="21"/>
        <v>58758000</v>
      </c>
      <c r="AA20" s="39">
        <f t="shared" si="21"/>
        <v>248263000</v>
      </c>
    </row>
    <row r="21" spans="1:27" s="32" customFormat="1" ht="11.45" customHeight="1">
      <c r="A21" s="30">
        <v>1</v>
      </c>
      <c r="B21" s="49" t="s">
        <v>552</v>
      </c>
      <c r="C21" s="48">
        <v>40044494</v>
      </c>
      <c r="D21" s="49" t="s">
        <v>535</v>
      </c>
      <c r="E21" s="23">
        <f>+(1426138*0.04)+1426138</f>
        <v>1483183.52</v>
      </c>
      <c r="F21" s="19">
        <f>ROUND((+E21*$H$4+E21),0)</f>
        <v>1542511</v>
      </c>
      <c r="G21" s="19">
        <f>+F21*$H$5</f>
        <v>18510132</v>
      </c>
      <c r="H21" s="19">
        <f>ROUND((+$G21*$H$8),0)</f>
        <v>2221216</v>
      </c>
      <c r="I21" s="19">
        <f>ROUND((+$G21*$I$8),0)</f>
        <v>1573361</v>
      </c>
      <c r="J21" s="19">
        <f>ROUND((+$G21*$J$8),0)</f>
        <v>92551</v>
      </c>
      <c r="K21" s="19">
        <f>ROUND((+$G21*$K$8),0)</f>
        <v>92551</v>
      </c>
      <c r="L21" s="19">
        <f>ROUND((+$G21*$L$8),0)</f>
        <v>555304</v>
      </c>
      <c r="M21" s="19">
        <f>ROUND((+$G21*$M$8),0)</f>
        <v>740405</v>
      </c>
      <c r="N21" s="19">
        <f>ROUND((+$G21*$N$8),0)</f>
        <v>185101</v>
      </c>
      <c r="O21" s="20">
        <v>5.2199999999999998E-3</v>
      </c>
      <c r="P21" s="19">
        <f t="shared" si="20"/>
        <v>96622.889039999995</v>
      </c>
      <c r="Q21" s="19">
        <f t="shared" si="17"/>
        <v>5557111.8890399998</v>
      </c>
      <c r="R21" s="19">
        <f t="shared" si="11"/>
        <v>102834</v>
      </c>
      <c r="S21" s="19">
        <f t="shared" si="12"/>
        <v>1542511</v>
      </c>
      <c r="T21" s="19">
        <f t="shared" si="13"/>
        <v>835527</v>
      </c>
      <c r="U21" s="19">
        <f t="shared" si="18"/>
        <v>1182592</v>
      </c>
      <c r="V21" s="19">
        <f t="shared" si="14"/>
        <v>1740681</v>
      </c>
      <c r="W21" s="21">
        <f t="shared" si="15"/>
        <v>1885738</v>
      </c>
      <c r="X21" s="21">
        <f>+W21*0.12</f>
        <v>226288.56</v>
      </c>
      <c r="Y21" s="21">
        <f t="shared" si="16"/>
        <v>0</v>
      </c>
      <c r="Z21" s="21">
        <f>+R21+S21+T21+U21+V21+W21+X21</f>
        <v>7516171.5599999996</v>
      </c>
      <c r="AA21" s="21">
        <f t="shared" si="19"/>
        <v>31583415.449039999</v>
      </c>
    </row>
    <row r="22" spans="1:27" s="32" customFormat="1" ht="11.45" customHeight="1">
      <c r="A22" s="30">
        <v>2</v>
      </c>
      <c r="B22" s="49" t="s">
        <v>553</v>
      </c>
      <c r="C22" s="48">
        <v>6753768</v>
      </c>
      <c r="D22" s="49" t="s">
        <v>574</v>
      </c>
      <c r="E22" s="23">
        <f>+(635405*0.04)+635405</f>
        <v>660821.19999999995</v>
      </c>
      <c r="F22" s="19">
        <f>ROUND((+E22*$H$4+E22),0)</f>
        <v>687254</v>
      </c>
      <c r="G22" s="19">
        <f>+F22*$H$5</f>
        <v>8247048</v>
      </c>
      <c r="H22" s="19">
        <f>ROUND((+$G22*$H$8),0)</f>
        <v>989646</v>
      </c>
      <c r="I22" s="19">
        <f>ROUND((+$G22*$I$8),0)</f>
        <v>700999</v>
      </c>
      <c r="J22" s="19">
        <f>ROUND((+$G22*$J$8),0)</f>
        <v>41235</v>
      </c>
      <c r="K22" s="19">
        <f>ROUND((+$G22*$K$8),0)</f>
        <v>41235</v>
      </c>
      <c r="L22" s="19">
        <f>ROUND((+$G22*$L$8),0)</f>
        <v>247411</v>
      </c>
      <c r="M22" s="19">
        <f>ROUND((+$G22*$M$8),0)</f>
        <v>329882</v>
      </c>
      <c r="N22" s="19">
        <f>ROUND((+$G22*$N$8),0)</f>
        <v>82470</v>
      </c>
      <c r="O22" s="20">
        <v>1.04E-2</v>
      </c>
      <c r="P22" s="19">
        <f>+$G22*O22</f>
        <v>85769.299199999994</v>
      </c>
      <c r="Q22" s="19">
        <f>+H22+I22+M22+L22+J22+K22+N22+P22</f>
        <v>2518647.2991999998</v>
      </c>
      <c r="R22" s="19">
        <f t="shared" si="11"/>
        <v>45817</v>
      </c>
      <c r="S22" s="19">
        <f t="shared" si="12"/>
        <v>687254</v>
      </c>
      <c r="T22" s="19">
        <f t="shared" si="13"/>
        <v>372263</v>
      </c>
      <c r="U22" s="19">
        <f t="shared" si="18"/>
        <v>526895</v>
      </c>
      <c r="V22" s="19">
        <f t="shared" si="14"/>
        <v>775547</v>
      </c>
      <c r="W22" s="21">
        <f>ROUND((+F22+S22/12+T22/12+V22/12),0)</f>
        <v>840176</v>
      </c>
      <c r="X22" s="21">
        <f>+W22*0.12</f>
        <v>100821.12</v>
      </c>
      <c r="Y22" s="21">
        <f t="shared" si="16"/>
        <v>1050000</v>
      </c>
      <c r="Z22" s="21">
        <f>+R22+S22+T22+U22+V22+W22+X22</f>
        <v>3348773.12</v>
      </c>
      <c r="AA22" s="21">
        <f>+G22+Q22+Z22</f>
        <v>14114468.419199999</v>
      </c>
    </row>
    <row r="23" spans="1:27" s="40" customFormat="1" ht="11.45" customHeight="1">
      <c r="A23" s="35"/>
      <c r="B23" s="36" t="s">
        <v>565</v>
      </c>
      <c r="C23" s="37"/>
      <c r="D23" s="38" t="str">
        <f>+B23</f>
        <v>T. COMISARIA</v>
      </c>
      <c r="E23" s="39">
        <f>SUM(E21:E22)</f>
        <v>2144004.7199999997</v>
      </c>
      <c r="F23" s="39">
        <f>SUM(F21:F22)</f>
        <v>2229765</v>
      </c>
      <c r="G23" s="39">
        <f>ROUND(SUM(G21:G22),-3)</f>
        <v>26757000</v>
      </c>
      <c r="H23" s="39">
        <f t="shared" ref="H23:W23" si="22">ROUND(SUM(H21:H22),-3)</f>
        <v>3211000</v>
      </c>
      <c r="I23" s="39">
        <f t="shared" si="22"/>
        <v>2274000</v>
      </c>
      <c r="J23" s="39">
        <f t="shared" si="22"/>
        <v>134000</v>
      </c>
      <c r="K23" s="39">
        <f t="shared" si="22"/>
        <v>134000</v>
      </c>
      <c r="L23" s="39">
        <f t="shared" si="22"/>
        <v>803000</v>
      </c>
      <c r="M23" s="39">
        <f t="shared" si="22"/>
        <v>1070000</v>
      </c>
      <c r="N23" s="39">
        <f t="shared" si="22"/>
        <v>268000</v>
      </c>
      <c r="O23" s="39">
        <f t="shared" si="22"/>
        <v>0</v>
      </c>
      <c r="P23" s="39">
        <f t="shared" si="22"/>
        <v>182000</v>
      </c>
      <c r="Q23" s="39">
        <f t="shared" si="22"/>
        <v>8076000</v>
      </c>
      <c r="R23" s="39">
        <f t="shared" si="22"/>
        <v>149000</v>
      </c>
      <c r="S23" s="39">
        <f t="shared" si="22"/>
        <v>2230000</v>
      </c>
      <c r="T23" s="39">
        <f t="shared" si="22"/>
        <v>1208000</v>
      </c>
      <c r="U23" s="39">
        <f t="shared" si="22"/>
        <v>1709000</v>
      </c>
      <c r="V23" s="39">
        <f t="shared" si="22"/>
        <v>2516000</v>
      </c>
      <c r="W23" s="39">
        <f t="shared" si="22"/>
        <v>2726000</v>
      </c>
      <c r="X23" s="39">
        <f>ROUND(SUM(X21:X22),-3)</f>
        <v>327000</v>
      </c>
      <c r="Y23" s="39">
        <f>ROUND(SUM(Y21:Y22),-3)</f>
        <v>1050000</v>
      </c>
      <c r="Z23" s="39">
        <f>ROUND(SUM(Z21:Z22),-3)</f>
        <v>10865000</v>
      </c>
      <c r="AA23" s="39">
        <f>ROUND(SUM(AA21:AA22),-3)</f>
        <v>45698000</v>
      </c>
    </row>
    <row r="24" spans="1:27" s="32" customFormat="1" ht="11.45" customHeight="1">
      <c r="A24" s="30">
        <v>1</v>
      </c>
      <c r="B24" s="51" t="s">
        <v>554</v>
      </c>
      <c r="C24" s="50">
        <v>1052384261</v>
      </c>
      <c r="D24" s="51" t="s">
        <v>555</v>
      </c>
      <c r="E24" s="52">
        <v>1100000</v>
      </c>
      <c r="F24" s="19">
        <f>ROUND((+E24*$H$4+E24),0)</f>
        <v>1144000</v>
      </c>
      <c r="G24" s="19">
        <f>+F24*$H$5</f>
        <v>13728000</v>
      </c>
      <c r="H24" s="19">
        <f>ROUND((+$G24*$H$8),0)</f>
        <v>1647360</v>
      </c>
      <c r="I24" s="19">
        <f>ROUND((+$G24*$I$8),0)</f>
        <v>1166880</v>
      </c>
      <c r="J24" s="19">
        <f>ROUND((+$G24*$J$8),0)</f>
        <v>68640</v>
      </c>
      <c r="K24" s="19">
        <f>ROUND((+$G24*$K$8),0)</f>
        <v>68640</v>
      </c>
      <c r="L24" s="19">
        <f>ROUND((+$G24*$L$8),0)</f>
        <v>411840</v>
      </c>
      <c r="M24" s="19">
        <f>ROUND((+$G24*$M$8),0)</f>
        <v>549120</v>
      </c>
      <c r="N24" s="19">
        <f>ROUND((+$G24*$N$8),0)</f>
        <v>137280</v>
      </c>
      <c r="O24" s="20">
        <v>5.2199999999999998E-3</v>
      </c>
      <c r="P24" s="19">
        <f t="shared" si="20"/>
        <v>71660.160000000003</v>
      </c>
      <c r="Q24" s="19">
        <f t="shared" si="17"/>
        <v>4121420.16</v>
      </c>
      <c r="R24" s="19">
        <f t="shared" si="11"/>
        <v>76267</v>
      </c>
      <c r="S24" s="19">
        <f t="shared" si="12"/>
        <v>1144000</v>
      </c>
      <c r="T24" s="19">
        <f t="shared" si="13"/>
        <v>619667</v>
      </c>
      <c r="U24" s="19">
        <f t="shared" si="18"/>
        <v>877067</v>
      </c>
      <c r="V24" s="19">
        <f t="shared" si="14"/>
        <v>1290972</v>
      </c>
      <c r="W24" s="21">
        <f>ROUND((+F24+S24/12+T24/12+V24/12),0)</f>
        <v>1398553</v>
      </c>
      <c r="X24" s="21">
        <f>+W24*0.12</f>
        <v>167826.36</v>
      </c>
      <c r="Y24" s="21">
        <f t="shared" si="16"/>
        <v>0</v>
      </c>
      <c r="Z24" s="21">
        <f>+R24+S24+T24+U24+V24+W24+X24</f>
        <v>5574352.3600000003</v>
      </c>
      <c r="AA24" s="21">
        <f t="shared" si="19"/>
        <v>23423772.52</v>
      </c>
    </row>
    <row r="25" spans="1:27" s="40" customFormat="1" ht="11.45" customHeight="1">
      <c r="A25" s="35"/>
      <c r="B25" s="36" t="s">
        <v>566</v>
      </c>
      <c r="C25" s="37"/>
      <c r="D25" s="38" t="str">
        <f>+B25</f>
        <v>T. INPECCION POLICIA</v>
      </c>
      <c r="E25" s="39">
        <f>SUM(E24)</f>
        <v>1100000</v>
      </c>
      <c r="F25" s="39">
        <f>SUM(F24)</f>
        <v>1144000</v>
      </c>
      <c r="G25" s="39">
        <f>ROUND(SUM(G24:G24),-3)</f>
        <v>13728000</v>
      </c>
      <c r="H25" s="39">
        <f t="shared" ref="H25:W25" si="23">ROUND(SUM(H24:H24),-3)</f>
        <v>1647000</v>
      </c>
      <c r="I25" s="39">
        <f t="shared" si="23"/>
        <v>1167000</v>
      </c>
      <c r="J25" s="39">
        <f t="shared" si="23"/>
        <v>69000</v>
      </c>
      <c r="K25" s="39">
        <f t="shared" si="23"/>
        <v>69000</v>
      </c>
      <c r="L25" s="39">
        <f t="shared" si="23"/>
        <v>412000</v>
      </c>
      <c r="M25" s="39">
        <f t="shared" si="23"/>
        <v>549000</v>
      </c>
      <c r="N25" s="39">
        <f t="shared" si="23"/>
        <v>137000</v>
      </c>
      <c r="O25" s="39">
        <f t="shared" si="23"/>
        <v>0</v>
      </c>
      <c r="P25" s="39">
        <f t="shared" si="23"/>
        <v>72000</v>
      </c>
      <c r="Q25" s="39">
        <f t="shared" si="23"/>
        <v>4121000</v>
      </c>
      <c r="R25" s="39">
        <f t="shared" si="23"/>
        <v>76000</v>
      </c>
      <c r="S25" s="39">
        <f t="shared" si="23"/>
        <v>1144000</v>
      </c>
      <c r="T25" s="39">
        <f t="shared" si="23"/>
        <v>620000</v>
      </c>
      <c r="U25" s="39">
        <f t="shared" si="23"/>
        <v>877000</v>
      </c>
      <c r="V25" s="39">
        <f t="shared" si="23"/>
        <v>1291000</v>
      </c>
      <c r="W25" s="39">
        <f t="shared" si="23"/>
        <v>1399000</v>
      </c>
      <c r="X25" s="39">
        <f>ROUND(SUM(X24:X24),-3)</f>
        <v>168000</v>
      </c>
      <c r="Y25" s="39">
        <f>ROUND(SUM(Y24:Y24),-3)</f>
        <v>0</v>
      </c>
      <c r="Z25" s="39">
        <f>ROUND(SUM(Z24:Z24),-3)</f>
        <v>5574000</v>
      </c>
      <c r="AA25" s="39">
        <f>ROUND(SUM(AA24:AA24),-3)</f>
        <v>23424000</v>
      </c>
    </row>
    <row r="26" spans="1:27" s="32" customFormat="1" ht="11.45" customHeight="1">
      <c r="A26" s="30">
        <v>1</v>
      </c>
      <c r="B26" s="49" t="s">
        <v>556</v>
      </c>
      <c r="C26" s="48">
        <v>40043208</v>
      </c>
      <c r="D26" s="49" t="s">
        <v>557</v>
      </c>
      <c r="E26" s="23">
        <v>2742236</v>
      </c>
      <c r="F26" s="19">
        <f>ROUND((+E26*$H$4+E26),0)</f>
        <v>2851925</v>
      </c>
      <c r="G26" s="19">
        <f>+F26*$H$5</f>
        <v>34223100</v>
      </c>
      <c r="H26" s="19">
        <f>ROUND((+$G26*$H$8),0)</f>
        <v>4106772</v>
      </c>
      <c r="I26" s="19">
        <f>ROUND((+$G26*$I$8),0)</f>
        <v>2908964</v>
      </c>
      <c r="J26" s="19">
        <f>ROUND((+$G26*$J$8),0)</f>
        <v>171116</v>
      </c>
      <c r="K26" s="19">
        <f>ROUND((+$G26*$K$8),0)</f>
        <v>171116</v>
      </c>
      <c r="L26" s="19">
        <f>ROUND((+$G26*$L$8),0)</f>
        <v>1026693</v>
      </c>
      <c r="M26" s="19">
        <f>ROUND((+$G26*$M$8),0)</f>
        <v>1368924</v>
      </c>
      <c r="N26" s="19">
        <f>ROUND((+$G26*$N$8),0)</f>
        <v>342231</v>
      </c>
      <c r="O26" s="20">
        <v>5.2199999999999998E-3</v>
      </c>
      <c r="P26" s="19">
        <f t="shared" si="20"/>
        <v>178644.58199999999</v>
      </c>
      <c r="Q26" s="19">
        <f t="shared" si="17"/>
        <v>10274460.582</v>
      </c>
      <c r="R26" s="19">
        <f t="shared" si="11"/>
        <v>190128</v>
      </c>
      <c r="S26" s="19">
        <f t="shared" si="12"/>
        <v>2851925</v>
      </c>
      <c r="T26" s="19">
        <f t="shared" si="13"/>
        <v>1544793</v>
      </c>
      <c r="U26" s="19">
        <f t="shared" si="18"/>
        <v>2186476</v>
      </c>
      <c r="V26" s="21">
        <f>ROUND((+$F26+S26/12+T26/12),0)</f>
        <v>3218318</v>
      </c>
      <c r="W26" s="21">
        <f>ROUND((+F26+S26/12+T26/12+V26/12),0)</f>
        <v>3486511</v>
      </c>
      <c r="X26" s="21">
        <f>+W26*0.12</f>
        <v>418381.32</v>
      </c>
      <c r="Y26" s="21">
        <f t="shared" si="16"/>
        <v>0</v>
      </c>
      <c r="Z26" s="21">
        <f>+R26+S26+T26+U26+V26+W26+X26</f>
        <v>13896532.32</v>
      </c>
      <c r="AA26" s="21">
        <f t="shared" si="19"/>
        <v>58394092.902000003</v>
      </c>
    </row>
    <row r="27" spans="1:27" s="40" customFormat="1" ht="11.45" customHeight="1">
      <c r="A27" s="35"/>
      <c r="B27" s="36" t="s">
        <v>567</v>
      </c>
      <c r="C27" s="37"/>
      <c r="D27" s="38" t="str">
        <f>+B27</f>
        <v>T. PERSONERIA MUNICIPAL</v>
      </c>
      <c r="E27" s="39">
        <f>SUM(E26:E26)</f>
        <v>2742236</v>
      </c>
      <c r="F27" s="39">
        <f>SUM(F26:F26)</f>
        <v>2851925</v>
      </c>
      <c r="G27" s="39">
        <f>ROUND(SUM(G26:G26),-3)</f>
        <v>34223000</v>
      </c>
      <c r="H27" s="39">
        <f t="shared" ref="H27:W27" si="24">ROUND(SUM(H26:H26),-3)</f>
        <v>4107000</v>
      </c>
      <c r="I27" s="39">
        <f t="shared" si="24"/>
        <v>2909000</v>
      </c>
      <c r="J27" s="39">
        <f t="shared" si="24"/>
        <v>171000</v>
      </c>
      <c r="K27" s="39">
        <f t="shared" si="24"/>
        <v>171000</v>
      </c>
      <c r="L27" s="39">
        <f t="shared" si="24"/>
        <v>1027000</v>
      </c>
      <c r="M27" s="39">
        <f t="shared" si="24"/>
        <v>1369000</v>
      </c>
      <c r="N27" s="39">
        <f t="shared" si="24"/>
        <v>342000</v>
      </c>
      <c r="O27" s="39">
        <f t="shared" si="24"/>
        <v>0</v>
      </c>
      <c r="P27" s="39">
        <f t="shared" si="24"/>
        <v>179000</v>
      </c>
      <c r="Q27" s="39">
        <f t="shared" si="24"/>
        <v>10274000</v>
      </c>
      <c r="R27" s="39">
        <f t="shared" si="24"/>
        <v>190000</v>
      </c>
      <c r="S27" s="39">
        <f t="shared" si="24"/>
        <v>2852000</v>
      </c>
      <c r="T27" s="39">
        <f t="shared" si="24"/>
        <v>1545000</v>
      </c>
      <c r="U27" s="39">
        <f t="shared" si="24"/>
        <v>2186000</v>
      </c>
      <c r="V27" s="39">
        <f t="shared" si="24"/>
        <v>3218000</v>
      </c>
      <c r="W27" s="39">
        <f t="shared" si="24"/>
        <v>3487000</v>
      </c>
      <c r="X27" s="39">
        <f>ROUND(SUM(X26:X26),-3)</f>
        <v>418000</v>
      </c>
      <c r="Y27" s="39">
        <f>ROUND(SUM(Y26:Y26),-3)</f>
        <v>0</v>
      </c>
      <c r="Z27" s="39">
        <f>ROUND(SUM(Z26:Z26),-3)</f>
        <v>13897000</v>
      </c>
      <c r="AA27" s="39">
        <f>ROUND(SUM(AA26:AA26),-3)</f>
        <v>58394000</v>
      </c>
    </row>
    <row r="28" spans="1:27" s="32" customFormat="1" ht="11.45" customHeight="1">
      <c r="A28" s="30">
        <v>1</v>
      </c>
      <c r="B28" s="49" t="s">
        <v>558</v>
      </c>
      <c r="C28" s="48">
        <v>1049604047</v>
      </c>
      <c r="D28" s="49" t="s">
        <v>559</v>
      </c>
      <c r="E28" s="23">
        <f>+(803442*4/100)+803442</f>
        <v>835579.68</v>
      </c>
      <c r="F28" s="55">
        <v>835580</v>
      </c>
      <c r="G28" s="19">
        <f>+F28*$H$5</f>
        <v>10026960</v>
      </c>
      <c r="H28" s="19">
        <f>ROUND((+$G28*$H$8),0)</f>
        <v>1203235</v>
      </c>
      <c r="I28" s="19">
        <f>ROUND((+$G28*$I$8),0)</f>
        <v>852292</v>
      </c>
      <c r="J28" s="19">
        <f>ROUND((+$G28*$J$8),0)</f>
        <v>50135</v>
      </c>
      <c r="K28" s="19">
        <f>ROUND((+$G28*$K$8),0)</f>
        <v>50135</v>
      </c>
      <c r="L28" s="19">
        <f>ROUND((+$G28*$L$8),0)</f>
        <v>300809</v>
      </c>
      <c r="M28" s="19">
        <f>ROUND((+$G28*$M$8),0)</f>
        <v>401078</v>
      </c>
      <c r="N28" s="19">
        <f>ROUND((+$G28*$N$8),0)</f>
        <v>100270</v>
      </c>
      <c r="O28" s="20">
        <v>5.2199999999999998E-3</v>
      </c>
      <c r="P28" s="19">
        <f>+$G28*O28</f>
        <v>52340.731199999995</v>
      </c>
      <c r="Q28" s="19">
        <f>+H28+I28+M28+L28+J28+K28+N28+P28</f>
        <v>3010294.7311999998</v>
      </c>
      <c r="R28" s="19">
        <f t="shared" si="11"/>
        <v>55705</v>
      </c>
      <c r="S28" s="19">
        <f t="shared" si="12"/>
        <v>835580</v>
      </c>
      <c r="T28" s="19">
        <f>ROUND((+$F28/2),0)</f>
        <v>417790</v>
      </c>
      <c r="U28" s="19">
        <f t="shared" si="18"/>
        <v>640611</v>
      </c>
      <c r="V28" s="21">
        <f>ROUND((+$F28+S28/12+T28/12),0)</f>
        <v>940028</v>
      </c>
      <c r="W28" s="21">
        <f>ROUND((+F28+S28/12+T28/12+V28/12),0)</f>
        <v>1018363</v>
      </c>
      <c r="X28" s="21">
        <f>+W28*0.12</f>
        <v>122203.56</v>
      </c>
      <c r="Y28" s="21">
        <f t="shared" si="16"/>
        <v>1050000</v>
      </c>
      <c r="Z28" s="21">
        <f>+R28+S28+T28+U28+V28+W28+X28</f>
        <v>4030280.56</v>
      </c>
      <c r="AA28" s="21">
        <f>+G28+Q28+Z28</f>
        <v>17067535.291200001</v>
      </c>
    </row>
    <row r="29" spans="1:27" s="40" customFormat="1" ht="11.45" customHeight="1">
      <c r="A29" s="35"/>
      <c r="B29" s="36" t="s">
        <v>568</v>
      </c>
      <c r="C29" s="37"/>
      <c r="D29" s="38" t="str">
        <f>+B29</f>
        <v>T. CONCEJO MUNICIPAL</v>
      </c>
      <c r="E29" s="39">
        <f>SUM(E28:E28)</f>
        <v>835579.68</v>
      </c>
      <c r="F29" s="39">
        <f>SUM(F28:F28)</f>
        <v>835580</v>
      </c>
      <c r="G29" s="39">
        <f>ROUND(SUM(G28:G28),-3)</f>
        <v>10027000</v>
      </c>
      <c r="H29" s="39">
        <f t="shared" ref="H29:W29" si="25">ROUND(SUM(H28:H28),-3)</f>
        <v>1203000</v>
      </c>
      <c r="I29" s="39">
        <f t="shared" si="25"/>
        <v>852000</v>
      </c>
      <c r="J29" s="39">
        <f t="shared" si="25"/>
        <v>50000</v>
      </c>
      <c r="K29" s="39">
        <f t="shared" si="25"/>
        <v>50000</v>
      </c>
      <c r="L29" s="39">
        <f t="shared" si="25"/>
        <v>301000</v>
      </c>
      <c r="M29" s="39">
        <f t="shared" si="25"/>
        <v>401000</v>
      </c>
      <c r="N29" s="39">
        <f t="shared" si="25"/>
        <v>100000</v>
      </c>
      <c r="O29" s="39">
        <f t="shared" si="25"/>
        <v>0</v>
      </c>
      <c r="P29" s="39">
        <f t="shared" si="25"/>
        <v>52000</v>
      </c>
      <c r="Q29" s="39">
        <f t="shared" si="25"/>
        <v>3010000</v>
      </c>
      <c r="R29" s="39">
        <f t="shared" si="25"/>
        <v>56000</v>
      </c>
      <c r="S29" s="39">
        <f t="shared" si="25"/>
        <v>836000</v>
      </c>
      <c r="T29" s="39">
        <f t="shared" si="25"/>
        <v>418000</v>
      </c>
      <c r="U29" s="39">
        <f t="shared" si="25"/>
        <v>641000</v>
      </c>
      <c r="V29" s="39">
        <f t="shared" si="25"/>
        <v>940000</v>
      </c>
      <c r="W29" s="39">
        <f t="shared" si="25"/>
        <v>1018000</v>
      </c>
      <c r="X29" s="39">
        <f>ROUND(SUM(X28:X28),-3)</f>
        <v>122000</v>
      </c>
      <c r="Y29" s="39">
        <f>ROUND(SUM(Y28:Y28),-3)</f>
        <v>1050000</v>
      </c>
      <c r="Z29" s="39">
        <f>ROUND(SUM(Z28:Z28),-3)</f>
        <v>4030000</v>
      </c>
      <c r="AA29" s="39">
        <f>ROUND(SUM(AA28:AA28),-3)</f>
        <v>17068000</v>
      </c>
    </row>
    <row r="30" spans="1:27" s="32" customFormat="1" ht="11.45" customHeight="1">
      <c r="A30" s="30">
        <v>1</v>
      </c>
      <c r="B30" s="54" t="s">
        <v>560</v>
      </c>
      <c r="C30" s="53">
        <v>1003543</v>
      </c>
      <c r="D30" s="54" t="s">
        <v>561</v>
      </c>
      <c r="E30" s="55">
        <f>+(723945*4/100)+723945</f>
        <v>752902.8</v>
      </c>
      <c r="F30" s="55">
        <f>+(723945*4/100)+723945</f>
        <v>752902.8</v>
      </c>
      <c r="G30" s="19">
        <f>+F30*$H$5+F30</f>
        <v>9787736.4000000022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f>+H30+I30+M30+L30+J30+K30+N30+P30</f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21">
        <f>+R30+S30+T30+U30+V30+W30+Y30</f>
        <v>0</v>
      </c>
      <c r="AA30" s="21">
        <f>+G30+Q30+Z30</f>
        <v>9787736.4000000022</v>
      </c>
    </row>
    <row r="31" spans="1:27" s="32" customFormat="1" ht="11.45" customHeight="1">
      <c r="A31" s="30">
        <v>2</v>
      </c>
      <c r="B31" s="54" t="s">
        <v>562</v>
      </c>
      <c r="C31" s="53">
        <v>1025372</v>
      </c>
      <c r="D31" s="54" t="s">
        <v>561</v>
      </c>
      <c r="E31" s="55">
        <f>+(515000*4/100)+515000</f>
        <v>535600</v>
      </c>
      <c r="F31" s="55">
        <f>+(515000*4/100)+515000</f>
        <v>535600</v>
      </c>
      <c r="G31" s="19">
        <f>+F31*$H$5+F31</f>
        <v>6962800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f>+H31+I31+M31+L31+J31+K31+N31+P31</f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21">
        <f>+R31+S31+T31+U31+V31+W31+Y31</f>
        <v>0</v>
      </c>
      <c r="AA31" s="21">
        <f>+G31+Q31+Z31</f>
        <v>6962800</v>
      </c>
    </row>
    <row r="32" spans="1:27" s="32" customFormat="1" ht="11.45" customHeight="1">
      <c r="A32" s="30">
        <v>3</v>
      </c>
      <c r="B32" s="54" t="s">
        <v>563</v>
      </c>
      <c r="C32" s="53">
        <v>1025663</v>
      </c>
      <c r="D32" s="54" t="s">
        <v>561</v>
      </c>
      <c r="E32" s="55">
        <f>+(575888*4/100)+575888</f>
        <v>598923.52000000002</v>
      </c>
      <c r="F32" s="55">
        <f>+(575888*4/100)+575888</f>
        <v>598923.52000000002</v>
      </c>
      <c r="G32" s="19">
        <f>+F32*$H$5+F32</f>
        <v>7786005.7599999998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>+H32+I32+M32+L32+J32+K32+N32+P32</f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21">
        <f>+R32+S32+T32+U32+V32+W32+Y32</f>
        <v>0</v>
      </c>
      <c r="AA32" s="21">
        <f>+G32+Q32+Z32</f>
        <v>7786005.7599999998</v>
      </c>
    </row>
    <row r="33" spans="1:27" s="40" customFormat="1" ht="11.45" customHeight="1">
      <c r="A33" s="35"/>
      <c r="B33" s="36" t="s">
        <v>569</v>
      </c>
      <c r="C33" s="37"/>
      <c r="D33" s="38" t="str">
        <f>+B33</f>
        <v>T. PENSIONADOS</v>
      </c>
      <c r="E33" s="39">
        <f>SUM(E30:E32)</f>
        <v>1887426.32</v>
      </c>
      <c r="F33" s="39">
        <f>SUM(F30:F32)</f>
        <v>1887426.32</v>
      </c>
      <c r="G33" s="39">
        <f>ROUND(SUM(G30:G32),-3)</f>
        <v>24537000</v>
      </c>
      <c r="H33" s="39">
        <f t="shared" ref="H33:AA33" si="26">ROUND(SUM(H30:H32),-3)</f>
        <v>0</v>
      </c>
      <c r="I33" s="39">
        <f t="shared" si="26"/>
        <v>0</v>
      </c>
      <c r="J33" s="39">
        <f t="shared" si="26"/>
        <v>0</v>
      </c>
      <c r="K33" s="39">
        <f t="shared" si="26"/>
        <v>0</v>
      </c>
      <c r="L33" s="39">
        <f t="shared" si="26"/>
        <v>0</v>
      </c>
      <c r="M33" s="39">
        <f t="shared" si="26"/>
        <v>0</v>
      </c>
      <c r="N33" s="39">
        <f t="shared" si="26"/>
        <v>0</v>
      </c>
      <c r="O33" s="39">
        <f t="shared" si="26"/>
        <v>0</v>
      </c>
      <c r="P33" s="39">
        <f t="shared" si="26"/>
        <v>0</v>
      </c>
      <c r="Q33" s="39">
        <f t="shared" si="26"/>
        <v>0</v>
      </c>
      <c r="R33" s="39">
        <f t="shared" si="26"/>
        <v>0</v>
      </c>
      <c r="S33" s="39">
        <f t="shared" si="26"/>
        <v>0</v>
      </c>
      <c r="T33" s="39">
        <f t="shared" si="26"/>
        <v>0</v>
      </c>
      <c r="U33" s="39">
        <f t="shared" si="26"/>
        <v>0</v>
      </c>
      <c r="V33" s="39">
        <f t="shared" si="26"/>
        <v>0</v>
      </c>
      <c r="W33" s="39">
        <f t="shared" si="26"/>
        <v>0</v>
      </c>
      <c r="X33" s="39">
        <f t="shared" si="26"/>
        <v>0</v>
      </c>
      <c r="Y33" s="39">
        <f t="shared" si="26"/>
        <v>0</v>
      </c>
      <c r="Z33" s="39">
        <f t="shared" si="26"/>
        <v>0</v>
      </c>
      <c r="AA33" s="39">
        <f t="shared" si="26"/>
        <v>24537000</v>
      </c>
    </row>
    <row r="34" spans="1:27" s="40" customFormat="1" ht="11.45" customHeight="1">
      <c r="A34" s="35"/>
      <c r="B34" s="36" t="s">
        <v>536</v>
      </c>
      <c r="C34" s="41"/>
      <c r="D34" s="38" t="str">
        <f>+B34</f>
        <v>TOTAL NOMINA</v>
      </c>
      <c r="E34" s="39">
        <f>+E20+E23+E25+E27+E29+E33</f>
        <v>20304038.639295999</v>
      </c>
      <c r="F34" s="39">
        <f>+F20+F23+F25+F27+F29+F33</f>
        <v>21007279.32</v>
      </c>
      <c r="G34" s="39">
        <f t="shared" ref="G34:AA34" si="27">+G20+G23+G25+G27+G29+G33</f>
        <v>253975000</v>
      </c>
      <c r="H34" s="39">
        <f t="shared" si="27"/>
        <v>27532000</v>
      </c>
      <c r="I34" s="39">
        <f t="shared" si="27"/>
        <v>19502000</v>
      </c>
      <c r="J34" s="39">
        <f t="shared" si="27"/>
        <v>1148000</v>
      </c>
      <c r="K34" s="39">
        <f t="shared" si="27"/>
        <v>1148000</v>
      </c>
      <c r="L34" s="39">
        <f t="shared" si="27"/>
        <v>6884000</v>
      </c>
      <c r="M34" s="39">
        <f t="shared" si="27"/>
        <v>9177000</v>
      </c>
      <c r="N34" s="39">
        <f t="shared" si="27"/>
        <v>2294000</v>
      </c>
      <c r="O34" s="39">
        <f t="shared" si="27"/>
        <v>0</v>
      </c>
      <c r="P34" s="39">
        <f t="shared" si="27"/>
        <v>2600000</v>
      </c>
      <c r="Q34" s="39">
        <f t="shared" si="27"/>
        <v>70284000</v>
      </c>
      <c r="R34" s="39">
        <f t="shared" si="27"/>
        <v>1275000</v>
      </c>
      <c r="S34" s="39">
        <f t="shared" si="27"/>
        <v>19121000</v>
      </c>
      <c r="T34" s="39">
        <f t="shared" si="27"/>
        <v>10323000</v>
      </c>
      <c r="U34" s="39">
        <f t="shared" si="27"/>
        <v>14658000</v>
      </c>
      <c r="V34" s="39">
        <f t="shared" si="27"/>
        <v>21573000</v>
      </c>
      <c r="W34" s="39">
        <f t="shared" si="27"/>
        <v>23372000</v>
      </c>
      <c r="X34" s="39">
        <f t="shared" si="27"/>
        <v>2804000</v>
      </c>
      <c r="Y34" s="39">
        <f t="shared" si="27"/>
        <v>10500000</v>
      </c>
      <c r="Z34" s="39">
        <f t="shared" si="27"/>
        <v>93124000</v>
      </c>
      <c r="AA34" s="39">
        <f t="shared" si="27"/>
        <v>417384000</v>
      </c>
    </row>
    <row r="35" spans="1:27" ht="11.45" customHeight="1">
      <c r="B35" s="42"/>
      <c r="C35" s="43"/>
      <c r="D35" s="44"/>
      <c r="E35" s="45"/>
    </row>
  </sheetData>
  <mergeCells count="20">
    <mergeCell ref="A6:A8"/>
    <mergeCell ref="B6:B8"/>
    <mergeCell ref="C6:C8"/>
    <mergeCell ref="D6:D8"/>
    <mergeCell ref="E6:E8"/>
    <mergeCell ref="X6:X8"/>
    <mergeCell ref="F6:F8"/>
    <mergeCell ref="G6:G8"/>
    <mergeCell ref="Q6:Q8"/>
    <mergeCell ref="R6:R8"/>
    <mergeCell ref="Z6:Z8"/>
    <mergeCell ref="AA6:AA8"/>
    <mergeCell ref="O7:P8"/>
    <mergeCell ref="S6:S8"/>
    <mergeCell ref="T6:T8"/>
    <mergeCell ref="U6:U8"/>
    <mergeCell ref="V6:V8"/>
    <mergeCell ref="W6:W8"/>
    <mergeCell ref="Y6:Y8"/>
    <mergeCell ref="H6:P6"/>
  </mergeCells>
  <phoneticPr fontId="31" type="noConversion"/>
  <printOptions horizontalCentered="1"/>
  <pageMargins left="1.1811023622047245" right="3.937007874015748E-2" top="2.0499999999999998" bottom="0.19685039370078741" header="0" footer="0"/>
  <pageSetup paperSize="5" scale="8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workbookViewId="0">
      <selection activeCell="D20" sqref="D20"/>
    </sheetView>
  </sheetViews>
  <sheetFormatPr baseColWidth="10" defaultRowHeight="12.75"/>
  <cols>
    <col min="1" max="1" width="56.5703125" style="77" customWidth="1"/>
    <col min="2" max="2" width="16.7109375" style="66" customWidth="1"/>
    <col min="3" max="3" width="16" style="66" customWidth="1"/>
    <col min="4" max="4" width="19.140625" style="66" customWidth="1"/>
    <col min="5" max="5" width="21.42578125" style="66" customWidth="1"/>
    <col min="6" max="6" width="18.42578125" style="66" customWidth="1"/>
    <col min="7" max="7" width="15.85546875" style="66" bestFit="1" customWidth="1"/>
    <col min="8" max="8" width="11.42578125" style="66"/>
    <col min="9" max="10" width="14.28515625" style="66" bestFit="1" customWidth="1"/>
    <col min="11" max="16384" width="11.42578125" style="66"/>
  </cols>
  <sheetData>
    <row r="1" spans="1:7">
      <c r="A1" s="584" t="s">
        <v>584</v>
      </c>
      <c r="B1" s="584"/>
      <c r="C1" s="65"/>
      <c r="D1" s="65"/>
      <c r="E1" s="65"/>
      <c r="F1" s="65"/>
      <c r="G1" s="65"/>
    </row>
    <row r="2" spans="1:7">
      <c r="A2" s="584" t="s">
        <v>32</v>
      </c>
      <c r="B2" s="584"/>
      <c r="C2" s="65"/>
      <c r="D2" s="65"/>
      <c r="E2" s="65"/>
      <c r="F2" s="65"/>
      <c r="G2" s="65"/>
    </row>
    <row r="3" spans="1:7">
      <c r="A3" s="585" t="s">
        <v>585</v>
      </c>
      <c r="B3" s="585"/>
      <c r="C3" s="64"/>
      <c r="D3" s="64"/>
      <c r="E3" s="64"/>
      <c r="F3" s="64"/>
      <c r="G3" s="64"/>
    </row>
    <row r="4" spans="1:7">
      <c r="A4" s="67"/>
      <c r="B4" s="67"/>
      <c r="C4" s="64"/>
      <c r="D4" s="64"/>
      <c r="E4" s="64"/>
      <c r="F4" s="64"/>
      <c r="G4" s="64"/>
    </row>
    <row r="5" spans="1:7">
      <c r="A5" s="67"/>
      <c r="B5" s="67"/>
      <c r="C5" s="64"/>
      <c r="D5" s="64"/>
      <c r="E5" s="64"/>
      <c r="F5" s="64"/>
      <c r="G5" s="64"/>
    </row>
    <row r="6" spans="1:7">
      <c r="A6" s="67"/>
      <c r="B6" s="67"/>
      <c r="C6" s="64"/>
      <c r="D6" s="64"/>
      <c r="E6" s="64"/>
      <c r="F6" s="64"/>
      <c r="G6" s="64"/>
    </row>
    <row r="7" spans="1:7" ht="14.25">
      <c r="A7" s="68" t="s">
        <v>594</v>
      </c>
      <c r="B7" s="69">
        <v>535600</v>
      </c>
      <c r="C7" s="64"/>
      <c r="D7" s="64"/>
      <c r="E7" s="64"/>
      <c r="F7" s="64"/>
      <c r="G7" s="64"/>
    </row>
    <row r="8" spans="1:7" ht="14.25">
      <c r="A8" s="68" t="s">
        <v>595</v>
      </c>
      <c r="B8" s="78">
        <v>0.04</v>
      </c>
      <c r="C8" s="64"/>
      <c r="D8" s="64"/>
      <c r="E8" s="64"/>
      <c r="F8" s="64"/>
      <c r="G8" s="64"/>
    </row>
    <row r="9" spans="1:7" ht="14.25">
      <c r="A9" s="68" t="s">
        <v>596</v>
      </c>
      <c r="B9" s="69">
        <f>+B7*B8+B7</f>
        <v>557024</v>
      </c>
      <c r="C9" s="64"/>
      <c r="D9" s="64"/>
      <c r="E9" s="64"/>
      <c r="F9" s="64"/>
      <c r="G9" s="64"/>
    </row>
    <row r="10" spans="1:7" ht="14.25">
      <c r="A10" s="68" t="s">
        <v>597</v>
      </c>
      <c r="B10" s="69">
        <v>89468</v>
      </c>
      <c r="C10" s="64"/>
      <c r="D10" s="64"/>
      <c r="E10" s="64"/>
      <c r="F10" s="64"/>
      <c r="G10" s="64"/>
    </row>
    <row r="11" spans="1:7" ht="14.25">
      <c r="A11" s="68" t="s">
        <v>598</v>
      </c>
      <c r="B11" s="69">
        <f>ROUND((+B10*B8+B10),0)</f>
        <v>93047</v>
      </c>
      <c r="C11" s="64"/>
      <c r="D11" s="64"/>
      <c r="E11" s="64"/>
      <c r="F11" s="64"/>
      <c r="G11" s="64"/>
    </row>
    <row r="12" spans="1:7" ht="14.25">
      <c r="A12" s="68" t="s">
        <v>586</v>
      </c>
      <c r="B12" s="70">
        <v>7</v>
      </c>
      <c r="C12" s="64"/>
      <c r="D12" s="64"/>
      <c r="E12" s="64"/>
      <c r="F12" s="64"/>
      <c r="G12" s="64"/>
    </row>
    <row r="13" spans="1:7" ht="14.25">
      <c r="A13" s="68"/>
      <c r="B13" s="70"/>
      <c r="C13" s="64"/>
      <c r="D13" s="64"/>
      <c r="E13" s="64"/>
      <c r="F13" s="64"/>
      <c r="G13" s="64"/>
    </row>
    <row r="14" spans="1:7" ht="14.25">
      <c r="A14" s="68" t="s">
        <v>587</v>
      </c>
      <c r="B14" s="70">
        <v>70</v>
      </c>
      <c r="C14" s="64"/>
      <c r="D14" s="64"/>
      <c r="E14" s="64"/>
      <c r="F14" s="64"/>
      <c r="G14" s="64"/>
    </row>
    <row r="15" spans="1:7" ht="14.25">
      <c r="A15" s="68" t="s">
        <v>588</v>
      </c>
      <c r="B15" s="70">
        <v>20</v>
      </c>
      <c r="C15" s="64"/>
      <c r="D15" s="64"/>
      <c r="E15" s="64"/>
      <c r="F15" s="64"/>
      <c r="G15" s="64"/>
    </row>
    <row r="16" spans="1:7" ht="14.25">
      <c r="A16" s="68"/>
      <c r="B16" s="70"/>
      <c r="C16" s="64"/>
      <c r="D16" s="64"/>
      <c r="E16" s="64"/>
      <c r="F16" s="64"/>
      <c r="G16" s="64"/>
    </row>
    <row r="17" spans="1:7" ht="14.25">
      <c r="A17" s="68" t="s">
        <v>589</v>
      </c>
      <c r="B17" s="70">
        <f>+B15+B14</f>
        <v>90</v>
      </c>
      <c r="C17" s="64"/>
      <c r="D17" s="64"/>
      <c r="E17" s="64"/>
      <c r="F17" s="64"/>
      <c r="G17" s="64"/>
    </row>
    <row r="18" spans="1:7" ht="14.25">
      <c r="A18" s="68"/>
      <c r="B18" s="70"/>
      <c r="C18" s="64"/>
      <c r="D18" s="64"/>
      <c r="E18" s="64"/>
      <c r="F18" s="64"/>
      <c r="G18" s="64"/>
    </row>
    <row r="19" spans="1:7" ht="15">
      <c r="A19" s="68" t="s">
        <v>590</v>
      </c>
      <c r="B19" s="71">
        <f>+B17*B12*B11</f>
        <v>58619610</v>
      </c>
      <c r="C19" s="64"/>
      <c r="D19" s="64"/>
      <c r="E19" s="64"/>
      <c r="F19" s="64"/>
      <c r="G19" s="64"/>
    </row>
    <row r="20" spans="1:7" ht="14.25">
      <c r="A20" s="68"/>
      <c r="B20" s="70"/>
      <c r="C20" s="64"/>
      <c r="D20" s="64"/>
      <c r="E20" s="64"/>
      <c r="F20" s="64"/>
      <c r="G20" s="64"/>
    </row>
    <row r="21" spans="1:7" ht="14.25">
      <c r="A21" s="72" t="s">
        <v>591</v>
      </c>
      <c r="B21" s="70"/>
      <c r="C21" s="64"/>
      <c r="D21" s="64"/>
      <c r="E21" s="64"/>
      <c r="F21" s="64"/>
      <c r="G21" s="64"/>
    </row>
    <row r="22" spans="1:7" ht="27" customHeight="1">
      <c r="A22" s="73" t="s">
        <v>592</v>
      </c>
      <c r="B22" s="74">
        <f>+B9*60</f>
        <v>33421440</v>
      </c>
      <c r="C22" s="64"/>
      <c r="D22" s="64"/>
      <c r="E22" s="64"/>
      <c r="F22" s="64"/>
      <c r="G22" s="64"/>
    </row>
    <row r="24" spans="1:7">
      <c r="A24" s="75" t="s">
        <v>593</v>
      </c>
      <c r="B24" s="76">
        <f>+B19+B22</f>
        <v>92041050</v>
      </c>
    </row>
  </sheetData>
  <mergeCells count="3">
    <mergeCell ref="A1:B1"/>
    <mergeCell ref="A2:B2"/>
    <mergeCell ref="A3:B3"/>
  </mergeCells>
  <phoneticPr fontId="31" type="noConversion"/>
  <pageMargins left="1.54" right="0.74803149606299213" top="0.98425196850393704" bottom="0.98425196850393704" header="0" footer="0"/>
  <pageSetup scale="95" orientation="portrait" horizontalDpi="4294967295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3" sqref="E3:E5"/>
    </sheetView>
  </sheetViews>
  <sheetFormatPr baseColWidth="10" defaultRowHeight="12.75"/>
  <cols>
    <col min="1" max="1" width="21.28515625" customWidth="1"/>
  </cols>
  <sheetData>
    <row r="1" spans="1:5">
      <c r="A1" s="79" t="s">
        <v>607</v>
      </c>
      <c r="B1">
        <v>1</v>
      </c>
      <c r="C1">
        <v>2</v>
      </c>
      <c r="D1">
        <v>3</v>
      </c>
      <c r="E1" s="79" t="s">
        <v>610</v>
      </c>
    </row>
    <row r="2" spans="1:5">
      <c r="A2" s="79" t="s">
        <v>611</v>
      </c>
      <c r="B2" s="80">
        <v>0.4</v>
      </c>
      <c r="C2" s="80">
        <v>0.4</v>
      </c>
      <c r="D2" s="80">
        <v>0.15</v>
      </c>
      <c r="E2" s="80">
        <f>SUM(B2:D2)</f>
        <v>0.95000000000000007</v>
      </c>
    </row>
    <row r="3" spans="1:5">
      <c r="A3" s="79" t="s">
        <v>612</v>
      </c>
      <c r="B3" s="80">
        <v>0.6</v>
      </c>
      <c r="C3" s="80">
        <v>0.4</v>
      </c>
      <c r="D3" s="80">
        <v>0.15</v>
      </c>
      <c r="E3" s="80">
        <f>SUM(B3:D3)</f>
        <v>1.1499999999999999</v>
      </c>
    </row>
    <row r="4" spans="1:5">
      <c r="A4" s="79" t="s">
        <v>608</v>
      </c>
      <c r="B4" s="80">
        <v>0.6</v>
      </c>
      <c r="C4" s="80">
        <v>0.4</v>
      </c>
      <c r="D4" s="80">
        <v>0.15</v>
      </c>
      <c r="E4" s="80">
        <f>SUM(B4:D4)</f>
        <v>1.1499999999999999</v>
      </c>
    </row>
    <row r="5" spans="1:5">
      <c r="A5" s="79" t="s">
        <v>609</v>
      </c>
      <c r="B5" s="80">
        <v>0.6</v>
      </c>
      <c r="C5" s="80">
        <v>0.4</v>
      </c>
      <c r="D5" s="80">
        <v>0.15</v>
      </c>
      <c r="E5" s="80">
        <f>SUM(B5:D5)</f>
        <v>1.1499999999999999</v>
      </c>
    </row>
    <row r="6" spans="1:5">
      <c r="A6" s="79" t="s">
        <v>610</v>
      </c>
      <c r="B6" s="80">
        <f>SUM(B2:B5)</f>
        <v>2.2000000000000002</v>
      </c>
      <c r="C6" s="80">
        <f>SUM(C2:C5)</f>
        <v>1.6</v>
      </c>
      <c r="D6" s="80">
        <f>SUM(D2:D5)</f>
        <v>0.6</v>
      </c>
      <c r="E6" s="80"/>
    </row>
  </sheetData>
  <phoneticPr fontId="3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X503"/>
  <sheetViews>
    <sheetView zoomScale="82" zoomScaleNormal="82" workbookViewId="0">
      <selection activeCell="A4" sqref="A4:S4"/>
    </sheetView>
  </sheetViews>
  <sheetFormatPr baseColWidth="10" defaultRowHeight="12.75"/>
  <cols>
    <col min="1" max="1" width="12.5703125" style="438" customWidth="1"/>
    <col min="2" max="2" width="52.28515625" style="487" customWidth="1"/>
    <col min="3" max="6" width="14.28515625" style="487" customWidth="1"/>
    <col min="7" max="10" width="15.5703125" style="487" customWidth="1"/>
    <col min="11" max="14" width="16.5703125" style="487" customWidth="1"/>
    <col min="15" max="18" width="18.7109375" style="487" customWidth="1"/>
    <col min="19" max="19" width="17.7109375" style="487" customWidth="1"/>
    <col min="20" max="20" width="16.7109375" style="276" customWidth="1"/>
    <col min="21" max="21" width="15.28515625" style="276" customWidth="1"/>
    <col min="22" max="22" width="14.140625" style="276" customWidth="1"/>
    <col min="23" max="16384" width="11.42578125" style="276"/>
  </cols>
  <sheetData>
    <row r="1" spans="1:19" ht="13.5" customHeight="1">
      <c r="A1" s="514" t="str">
        <f>+POAI!A1</f>
        <v>PROYECTO DE ACUERDO No 016 DE 2011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</row>
    <row r="2" spans="1:19" ht="13.5" customHeight="1">
      <c r="A2" s="514" t="str">
        <f>+POAI!A2</f>
        <v>(Noviembre 01 de 2011)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</row>
    <row r="3" spans="1:19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</row>
    <row r="4" spans="1:19" ht="27.75" customHeight="1">
      <c r="A4" s="514" t="str">
        <f>+POAI!A4</f>
        <v>POR MEDIO DEL CUAL SE ADOPTA EL PRESUPUESTO GENERAL DE RENTAS Y GASTOS DEL MUNICIPIO PARA LA VIGENCIA FISCAL DEL 1° DE ENERO AL 31 DE DICIEMBRE DEL 2012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</row>
    <row r="5" spans="1:19" ht="32.25" customHeight="1">
      <c r="A5" s="514" t="str">
        <f>+POAI!A5</f>
        <v>EL CONCEJO MUNICIPAL EN USO DE SUS FACULTADES LEGALES Y CONSTITUCIONES, EN ESPECIAL EL DECRETO 111 DE 1996, LEY 1176 DE 2007,  LA LEY 617 DE 2000, LEY 819 DE 2002, EOP MUNICIPAL Y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</row>
    <row r="6" spans="1:19">
      <c r="A6" s="514"/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</row>
    <row r="7" spans="1:19" ht="11.25" customHeight="1">
      <c r="A7" s="514" t="str">
        <f>+POAI!A7</f>
        <v>CONSIDERANDO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</row>
    <row r="8" spans="1:19">
      <c r="A8" s="515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</row>
    <row r="9" spans="1:19" s="425" customFormat="1" ht="30" customHeight="1">
      <c r="A9" s="516" t="str">
        <f>+POAI!A9</f>
        <v>1. Que el estatuto de presupuesto municipal establece el procedimiento para la presentación y aprobación del presupuesto de cada vigencia acorde con el Decreto 111 de 1996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</row>
    <row r="10" spans="1:19" s="425" customFormat="1" ht="30" customHeight="1">
      <c r="A10" s="516" t="str">
        <f>+POAI!A10</f>
        <v xml:space="preserve">2. Que el órgano de Asesoría y Consulta en materia de Hacienda conceptuó favorablemente sobre el POAI para la próxima vigencia ajustado al plan plurianual de inversiones, el cual se presenta en el anexo 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</row>
    <row r="11" spans="1:19" s="425" customFormat="1" ht="30" customHeight="1">
      <c r="A11" s="516" t="str">
        <f>+POAI!A11</f>
        <v>3. Que se han proyectado los ingresos que se calcula el municipio percibirá en la siguiente vigencia para financiar los gastos de funcionamiento así como los gastos sectoriales, sus programas y subprogramas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</row>
    <row r="12" spans="1:19" s="425" customFormat="1" ht="30" customHeight="1">
      <c r="A12" s="516" t="str">
        <f>+POAI!A12</f>
        <v>4. Que el presupuesto debe estar acompañado por el MFMP el cual se presenta anexo y se encuentra acorde con las metas anuales de superávit primario con aval del órgano de Asesoría y Consulta en materia de hacienda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</row>
    <row r="13" spans="1:19" s="425" customFormat="1" ht="30" customHeight="1">
      <c r="A13" s="516" t="str">
        <f>+POAI!A13</f>
        <v>5. Que se han incluido los anteproyectos de las diferentes secciones presupuestales, y aquellas que no lo hicieron se han presupuestado los valores aprobados por el concejo para la actual vigencia</v>
      </c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</row>
    <row r="14" spans="1:19" s="425" customFormat="1" ht="30" customHeight="1">
      <c r="A14" s="516" t="str">
        <f>+POAI!A14</f>
        <v>6. Que el presupuesto es de iniciativa del ejecutivo, el cual se ha estructurado según presupuesto programático y por resultados haciéndolo concordante con el plan de desarrollo aporbado por el Concejo Municipal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</row>
    <row r="15" spans="1:19" s="425" customFormat="1" ht="30" customHeight="1">
      <c r="A15" s="516" t="str">
        <f>+POAI!A15</f>
        <v>7. Por lo anterior,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</row>
    <row r="16" spans="1:19">
      <c r="A16" s="515" t="str">
        <f>+POAI!A16</f>
        <v>ACUERDA:</v>
      </c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</row>
    <row r="17" spans="1:22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</row>
    <row r="18" spans="1:22" ht="13.5" thickBot="1">
      <c r="A18" s="426" t="str">
        <f>+POAI!A17</f>
        <v>ARTICULO PRIMERO: Calcular para la vigencia de 2012 el presupuesto de ingresos y conforme el siguiente pormenor la suma de: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>
        <f>+POAI!G17</f>
        <v>2990779389</v>
      </c>
    </row>
    <row r="19" spans="1:22">
      <c r="A19" s="426"/>
      <c r="B19" s="426"/>
      <c r="C19" s="493">
        <v>2012</v>
      </c>
      <c r="D19" s="494">
        <v>2013</v>
      </c>
      <c r="E19" s="494">
        <v>2014</v>
      </c>
      <c r="F19" s="495">
        <v>2015</v>
      </c>
      <c r="G19" s="493">
        <v>2012</v>
      </c>
      <c r="H19" s="494">
        <v>2013</v>
      </c>
      <c r="I19" s="494">
        <v>2014</v>
      </c>
      <c r="J19" s="495">
        <v>2015</v>
      </c>
      <c r="K19" s="493">
        <v>2012</v>
      </c>
      <c r="L19" s="494">
        <v>2013</v>
      </c>
      <c r="M19" s="494">
        <v>2014</v>
      </c>
      <c r="N19" s="495">
        <v>2015</v>
      </c>
      <c r="O19" s="493">
        <v>2012</v>
      </c>
      <c r="P19" s="494">
        <v>2013</v>
      </c>
      <c r="Q19" s="494">
        <v>2014</v>
      </c>
      <c r="R19" s="495">
        <v>2015</v>
      </c>
      <c r="S19" s="493">
        <v>2012</v>
      </c>
      <c r="T19" s="494">
        <v>2013</v>
      </c>
      <c r="U19" s="494">
        <v>2014</v>
      </c>
      <c r="V19" s="495">
        <v>2015</v>
      </c>
    </row>
    <row r="20" spans="1:22" ht="13.5" thickBot="1">
      <c r="A20" s="426"/>
      <c r="B20" s="426" t="s">
        <v>632</v>
      </c>
      <c r="C20" s="496">
        <v>4</v>
      </c>
      <c r="D20" s="497">
        <v>4</v>
      </c>
      <c r="E20" s="497">
        <v>4</v>
      </c>
      <c r="F20" s="498">
        <v>4</v>
      </c>
      <c r="G20" s="496">
        <v>4</v>
      </c>
      <c r="H20" s="497">
        <v>4</v>
      </c>
      <c r="I20" s="497">
        <v>4</v>
      </c>
      <c r="J20" s="498">
        <v>4</v>
      </c>
      <c r="K20" s="496">
        <v>4</v>
      </c>
      <c r="L20" s="497">
        <v>4</v>
      </c>
      <c r="M20" s="497">
        <v>4</v>
      </c>
      <c r="N20" s="498">
        <v>4</v>
      </c>
      <c r="O20" s="496">
        <v>4</v>
      </c>
      <c r="P20" s="497">
        <v>4</v>
      </c>
      <c r="Q20" s="497">
        <v>4</v>
      </c>
      <c r="R20" s="498">
        <v>4</v>
      </c>
      <c r="S20" s="496">
        <v>4</v>
      </c>
      <c r="T20" s="497">
        <v>4</v>
      </c>
      <c r="U20" s="497">
        <v>4</v>
      </c>
      <c r="V20" s="498">
        <v>4</v>
      </c>
    </row>
    <row r="21" spans="1:22" s="429" customFormat="1">
      <c r="A21" s="427" t="str">
        <f>+POAI!A18</f>
        <v>1</v>
      </c>
      <c r="B21" s="427" t="str">
        <f>+POAI!B18</f>
        <v>INGRESOS MUNICIPIO DE CUCAITA</v>
      </c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28"/>
      <c r="P21" s="428"/>
      <c r="Q21" s="428"/>
      <c r="R21" s="428"/>
      <c r="S21" s="428">
        <f>+POAI!G18</f>
        <v>2990779389</v>
      </c>
      <c r="T21" s="431">
        <f>SUM(S21*4/100)+S21</f>
        <v>3110410564.5599999</v>
      </c>
      <c r="U21" s="431">
        <f>SUM(T21*4/100)+T21</f>
        <v>3234826987.1423998</v>
      </c>
      <c r="V21" s="431">
        <f>SUM(U21*4/100)+U21</f>
        <v>3364220066.6280956</v>
      </c>
    </row>
    <row r="22" spans="1:22" s="429" customFormat="1">
      <c r="A22" s="427"/>
      <c r="B22" s="427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</row>
    <row r="23" spans="1:22" s="429" customFormat="1">
      <c r="A23" s="427">
        <f>+POAI!A20</f>
        <v>11</v>
      </c>
      <c r="B23" s="427" t="str">
        <f>+POAI!B20</f>
        <v>INGRESOS CORRIENTES DE LIBRE DESTINACIÓN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>
        <f>+POAI!F20</f>
        <v>812343520</v>
      </c>
      <c r="P23" s="431">
        <f>SUM(O23*4/100)+O23</f>
        <v>844837260.79999995</v>
      </c>
      <c r="Q23" s="431">
        <f>SUM(P23*4/100)+P23</f>
        <v>878630751.23199999</v>
      </c>
      <c r="R23" s="431">
        <f>SUM(Q23*4/100)+Q23</f>
        <v>913775981.28128004</v>
      </c>
      <c r="S23" s="428"/>
    </row>
    <row r="24" spans="1:22" s="429" customFormat="1">
      <c r="A24" s="427"/>
      <c r="B24" s="427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</row>
    <row r="25" spans="1:22" s="429" customFormat="1">
      <c r="A25" s="427">
        <f>+POAI!A22</f>
        <v>111</v>
      </c>
      <c r="B25" s="427" t="str">
        <f>+POAI!B22</f>
        <v>INGRESOS TRIBUTARIOS</v>
      </c>
      <c r="C25" s="428"/>
      <c r="D25" s="428"/>
      <c r="E25" s="428"/>
      <c r="F25" s="428"/>
      <c r="G25" s="428"/>
      <c r="H25" s="428"/>
      <c r="I25" s="428"/>
      <c r="J25" s="428"/>
      <c r="K25" s="428">
        <f>+POAI!E22</f>
        <v>226850000</v>
      </c>
      <c r="L25" s="431">
        <f>SUM(K25*4/100)+K25</f>
        <v>235924000</v>
      </c>
      <c r="M25" s="431">
        <f>SUM(L25*4/100)+L25</f>
        <v>245360960</v>
      </c>
      <c r="N25" s="431">
        <f>SUM(M25*4/100)+M25</f>
        <v>255175398.40000001</v>
      </c>
      <c r="O25" s="428"/>
      <c r="P25" s="428"/>
      <c r="Q25" s="428"/>
      <c r="R25" s="428"/>
      <c r="S25" s="428"/>
    </row>
    <row r="26" spans="1:22" s="429" customFormat="1">
      <c r="A26" s="427"/>
      <c r="B26" s="427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</row>
    <row r="27" spans="1:22" s="429" customFormat="1">
      <c r="A27" s="427">
        <f>+POAI!A24</f>
        <v>1111</v>
      </c>
      <c r="B27" s="427" t="str">
        <f>+POAI!B24</f>
        <v>IMPUESTOS DIRECTOS</v>
      </c>
      <c r="C27" s="428"/>
      <c r="D27" s="428"/>
      <c r="E27" s="428"/>
      <c r="F27" s="428"/>
      <c r="G27" s="428">
        <f>+POAI!D24</f>
        <v>60000000</v>
      </c>
      <c r="H27" s="431">
        <f>SUM(G27*4/100)+G27</f>
        <v>62400000</v>
      </c>
      <c r="I27" s="431">
        <f>SUM(H27*4/100)+H27</f>
        <v>64896000</v>
      </c>
      <c r="J27" s="431">
        <f>SUM(I27*4/100)+I27</f>
        <v>67491840</v>
      </c>
      <c r="K27" s="428"/>
      <c r="L27" s="428"/>
      <c r="M27" s="428"/>
      <c r="N27" s="428"/>
      <c r="O27" s="428"/>
      <c r="P27" s="428"/>
      <c r="Q27" s="428"/>
      <c r="R27" s="428"/>
      <c r="S27" s="428"/>
    </row>
    <row r="28" spans="1:22" s="429" customFormat="1">
      <c r="A28" s="430">
        <f>+POAI!A25</f>
        <v>111101</v>
      </c>
      <c r="B28" s="430" t="str">
        <f>+POAI!B25</f>
        <v>Impuesto predial unificado vigenci actual</v>
      </c>
      <c r="C28" s="431">
        <f>+POAI!C25</f>
        <v>45000000</v>
      </c>
      <c r="D28" s="431">
        <f>SUM(C28*4/100)+C28</f>
        <v>46800000</v>
      </c>
      <c r="E28" s="431">
        <f>SUM(D28*4/100)+D28</f>
        <v>48672000</v>
      </c>
      <c r="F28" s="431">
        <f>SUM(E28*4/100)+E28</f>
        <v>50618880</v>
      </c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</row>
    <row r="29" spans="1:22" s="429" customFormat="1">
      <c r="A29" s="430">
        <f>+POAI!A26</f>
        <v>111102</v>
      </c>
      <c r="B29" s="430" t="str">
        <f>+POAI!B26</f>
        <v>Impuesto predial unificado vigencia anterior</v>
      </c>
      <c r="C29" s="431">
        <f>+POAI!C26</f>
        <v>5000000</v>
      </c>
      <c r="D29" s="431">
        <f t="shared" ref="D29:F92" si="0">SUM(C29*4/100)+C29</f>
        <v>5200000</v>
      </c>
      <c r="E29" s="431">
        <f t="shared" si="0"/>
        <v>5408000</v>
      </c>
      <c r="F29" s="431">
        <f t="shared" si="0"/>
        <v>5624320</v>
      </c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</row>
    <row r="30" spans="1:22" s="429" customFormat="1">
      <c r="A30" s="430">
        <f>+POAI!A27</f>
        <v>112103</v>
      </c>
      <c r="B30" s="430" t="str">
        <f>+POAI!B27</f>
        <v>Sobretasa Coporación Autónoma Regional</v>
      </c>
      <c r="C30" s="431">
        <f>+POAI!C27</f>
        <v>10000000</v>
      </c>
      <c r="D30" s="431">
        <f t="shared" si="0"/>
        <v>10400000</v>
      </c>
      <c r="E30" s="431">
        <f t="shared" si="0"/>
        <v>10816000</v>
      </c>
      <c r="F30" s="431">
        <f t="shared" si="0"/>
        <v>11248640</v>
      </c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</row>
    <row r="31" spans="1:22" s="429" customFormat="1" hidden="1">
      <c r="A31" s="430"/>
      <c r="B31" s="430"/>
      <c r="C31" s="431"/>
      <c r="D31" s="431">
        <f t="shared" si="0"/>
        <v>0</v>
      </c>
      <c r="E31" s="431">
        <f t="shared" si="0"/>
        <v>0</v>
      </c>
      <c r="F31" s="431">
        <f t="shared" si="0"/>
        <v>0</v>
      </c>
      <c r="G31" s="431"/>
      <c r="H31" s="431">
        <f t="shared" ref="H31:J32" si="1">SUM(G31*4/100)+G31</f>
        <v>0</v>
      </c>
      <c r="I31" s="431">
        <f t="shared" si="1"/>
        <v>0</v>
      </c>
      <c r="J31" s="431">
        <f t="shared" si="1"/>
        <v>0</v>
      </c>
      <c r="K31" s="431"/>
      <c r="L31" s="431"/>
      <c r="M31" s="431"/>
      <c r="N31" s="431"/>
      <c r="O31" s="431"/>
      <c r="P31" s="431"/>
      <c r="Q31" s="431"/>
      <c r="R31" s="431"/>
      <c r="S31" s="431"/>
    </row>
    <row r="32" spans="1:22" s="432" customFormat="1">
      <c r="A32" s="427">
        <f>+POAI!A29</f>
        <v>1112</v>
      </c>
      <c r="B32" s="427" t="str">
        <f>+POAI!B29</f>
        <v>IMPUESTOS INDIRECTOS</v>
      </c>
      <c r="C32" s="428"/>
      <c r="D32" s="431"/>
      <c r="E32" s="431"/>
      <c r="F32" s="431"/>
      <c r="G32" s="428">
        <f>+POAI!D29</f>
        <v>166850000</v>
      </c>
      <c r="H32" s="431">
        <f t="shared" si="1"/>
        <v>173524000</v>
      </c>
      <c r="I32" s="431">
        <f t="shared" si="1"/>
        <v>180464960</v>
      </c>
      <c r="J32" s="431">
        <f t="shared" si="1"/>
        <v>187683558.40000001</v>
      </c>
      <c r="K32" s="428"/>
      <c r="L32" s="428"/>
      <c r="M32" s="428"/>
      <c r="N32" s="428"/>
      <c r="O32" s="428"/>
      <c r="P32" s="428"/>
      <c r="Q32" s="428"/>
      <c r="R32" s="428"/>
      <c r="S32" s="428"/>
    </row>
    <row r="33" spans="1:19" s="429" customFormat="1">
      <c r="A33" s="430">
        <f>+POAI!A30</f>
        <v>111201</v>
      </c>
      <c r="B33" s="430" t="str">
        <f>+POAI!B30</f>
        <v>Industria y comercio</v>
      </c>
      <c r="C33" s="431">
        <f>+POAI!C30</f>
        <v>30000000</v>
      </c>
      <c r="D33" s="431">
        <f t="shared" si="0"/>
        <v>31200000</v>
      </c>
      <c r="E33" s="431">
        <f t="shared" si="0"/>
        <v>32448000</v>
      </c>
      <c r="F33" s="431">
        <f t="shared" si="0"/>
        <v>33745920</v>
      </c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</row>
    <row r="34" spans="1:19" s="429" customFormat="1">
      <c r="A34" s="430">
        <f>+POAI!A31</f>
        <v>111202</v>
      </c>
      <c r="B34" s="430" t="str">
        <f>+POAI!B31</f>
        <v>Avisos y tableros</v>
      </c>
      <c r="C34" s="431">
        <f>+POAI!C31</f>
        <v>800000</v>
      </c>
      <c r="D34" s="431">
        <f t="shared" si="0"/>
        <v>832000</v>
      </c>
      <c r="E34" s="431">
        <f t="shared" si="0"/>
        <v>865280</v>
      </c>
      <c r="F34" s="431">
        <f t="shared" si="0"/>
        <v>899891.19999999995</v>
      </c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</row>
    <row r="35" spans="1:19" s="429" customFormat="1">
      <c r="A35" s="430">
        <f>+POAI!A32</f>
        <v>111203</v>
      </c>
      <c r="B35" s="430" t="str">
        <f>+POAI!B32</f>
        <v>Delineación urbana, estudios y licencias</v>
      </c>
      <c r="C35" s="431">
        <f>+POAI!C32</f>
        <v>1000000</v>
      </c>
      <c r="D35" s="431">
        <f t="shared" si="0"/>
        <v>1040000</v>
      </c>
      <c r="E35" s="431">
        <f t="shared" si="0"/>
        <v>1081600</v>
      </c>
      <c r="F35" s="431">
        <f t="shared" si="0"/>
        <v>1124864</v>
      </c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</row>
    <row r="36" spans="1:19" s="429" customFormat="1">
      <c r="A36" s="430">
        <f>+POAI!A33</f>
        <v>111204</v>
      </c>
      <c r="B36" s="430" t="str">
        <f>+POAI!B33</f>
        <v>Ocupación de vías</v>
      </c>
      <c r="C36" s="431">
        <f>+POAI!C33</f>
        <v>50000</v>
      </c>
      <c r="D36" s="431">
        <f t="shared" si="0"/>
        <v>52000</v>
      </c>
      <c r="E36" s="431">
        <f t="shared" si="0"/>
        <v>54080</v>
      </c>
      <c r="F36" s="431">
        <f t="shared" si="0"/>
        <v>56243.199999999997</v>
      </c>
      <c r="G36" s="431"/>
      <c r="H36" s="431"/>
      <c r="I36" s="431">
        <f t="shared" ref="I36:J38" si="2">SUM(H36*4/100)+H36</f>
        <v>0</v>
      </c>
      <c r="J36" s="431">
        <f t="shared" si="2"/>
        <v>0</v>
      </c>
      <c r="K36" s="431"/>
      <c r="L36" s="431"/>
      <c r="M36" s="431"/>
      <c r="N36" s="431"/>
      <c r="O36" s="431"/>
      <c r="P36" s="431"/>
      <c r="Q36" s="431"/>
      <c r="R36" s="431"/>
      <c r="S36" s="431"/>
    </row>
    <row r="37" spans="1:19" s="429" customFormat="1">
      <c r="A37" s="430">
        <f>+POAI!A34</f>
        <v>111205</v>
      </c>
      <c r="B37" s="430" t="str">
        <f>+POAI!B34</f>
        <v>Impuesto al transporte de gasoductos</v>
      </c>
      <c r="C37" s="431">
        <f>+POAI!C34</f>
        <v>5000000</v>
      </c>
      <c r="D37" s="431">
        <f t="shared" si="0"/>
        <v>5200000</v>
      </c>
      <c r="E37" s="431">
        <f t="shared" si="0"/>
        <v>5408000</v>
      </c>
      <c r="F37" s="431">
        <f t="shared" si="0"/>
        <v>5624320</v>
      </c>
      <c r="G37" s="431"/>
      <c r="H37" s="431">
        <f>SUM(G37*4/100)+G37</f>
        <v>0</v>
      </c>
      <c r="I37" s="431">
        <f t="shared" si="2"/>
        <v>0</v>
      </c>
      <c r="J37" s="431">
        <f t="shared" si="2"/>
        <v>0</v>
      </c>
      <c r="K37" s="431"/>
      <c r="L37" s="431"/>
      <c r="M37" s="431"/>
      <c r="N37" s="431"/>
      <c r="O37" s="431"/>
      <c r="P37" s="431"/>
      <c r="Q37" s="431"/>
      <c r="R37" s="431"/>
      <c r="S37" s="431"/>
    </row>
    <row r="38" spans="1:19" s="429" customFormat="1">
      <c r="A38" s="430">
        <f>+POAI!A35</f>
        <v>111206</v>
      </c>
      <c r="B38" s="430" t="str">
        <f>+POAI!B35</f>
        <v>Sobretasa a la Gasolina Motor</v>
      </c>
      <c r="C38" s="431">
        <f>+POAI!C35</f>
        <v>130000000</v>
      </c>
      <c r="D38" s="431">
        <f t="shared" si="0"/>
        <v>135200000</v>
      </c>
      <c r="E38" s="431">
        <f t="shared" si="0"/>
        <v>140608000</v>
      </c>
      <c r="F38" s="431">
        <f t="shared" si="0"/>
        <v>146232320</v>
      </c>
      <c r="G38" s="431"/>
      <c r="H38" s="431">
        <f>SUM(G38*4/100)+G38</f>
        <v>0</v>
      </c>
      <c r="I38" s="431">
        <f t="shared" si="2"/>
        <v>0</v>
      </c>
      <c r="J38" s="431">
        <f t="shared" si="2"/>
        <v>0</v>
      </c>
      <c r="K38" s="431"/>
      <c r="L38" s="431"/>
      <c r="M38" s="431"/>
      <c r="N38" s="431"/>
      <c r="O38" s="431"/>
      <c r="P38" s="431"/>
      <c r="Q38" s="431"/>
      <c r="R38" s="431"/>
      <c r="S38" s="431"/>
    </row>
    <row r="39" spans="1:19" s="432" customFormat="1">
      <c r="A39" s="427">
        <f>+POAI!A37</f>
        <v>112</v>
      </c>
      <c r="B39" s="427" t="str">
        <f>+POAI!B37</f>
        <v>INGRESOS NO TRIBUTARIOS</v>
      </c>
      <c r="C39" s="428"/>
      <c r="D39" s="431"/>
      <c r="E39" s="431"/>
      <c r="F39" s="431"/>
      <c r="G39" s="428"/>
      <c r="H39" s="431">
        <f>SUM(G39*4/100)+G39</f>
        <v>0</v>
      </c>
      <c r="I39" s="431">
        <f>SUM(H39*4/100)+H39</f>
        <v>0</v>
      </c>
      <c r="J39" s="431"/>
      <c r="K39" s="428">
        <f>+POAI!E37</f>
        <v>584493520</v>
      </c>
      <c r="L39" s="431">
        <f>SUM(K39*4/100)+K39</f>
        <v>607873260.79999995</v>
      </c>
      <c r="M39" s="431">
        <f>SUM(L39*4/100)+L39</f>
        <v>632188191.23199999</v>
      </c>
      <c r="N39" s="431">
        <f>SUM(M39*4/100)+M39</f>
        <v>657475718.88127995</v>
      </c>
      <c r="O39" s="428"/>
      <c r="P39" s="428"/>
      <c r="Q39" s="428"/>
      <c r="R39" s="428"/>
      <c r="S39" s="428"/>
    </row>
    <row r="40" spans="1:19" s="432" customFormat="1">
      <c r="A40" s="427">
        <f>+POAI!A39</f>
        <v>1121</v>
      </c>
      <c r="B40" s="427" t="str">
        <f>+POAI!B39</f>
        <v>TRANSFERENCIAS Y PARTICIPACIONES NACIONALES</v>
      </c>
      <c r="C40" s="428"/>
      <c r="D40" s="431"/>
      <c r="E40" s="431"/>
      <c r="F40" s="431"/>
      <c r="G40" s="428">
        <f>+POAI!D39</f>
        <v>547493518</v>
      </c>
      <c r="H40" s="431">
        <f>SUM(G40*4/100)+G40</f>
        <v>569393258.72000003</v>
      </c>
      <c r="I40" s="431">
        <f>SUM(H40*4/100)+H40</f>
        <v>592168989.06879997</v>
      </c>
      <c r="J40" s="431">
        <f>SUM(I40*4/100)+I40</f>
        <v>615855748.63155198</v>
      </c>
      <c r="K40" s="428"/>
      <c r="L40" s="428"/>
      <c r="M40" s="428"/>
      <c r="N40" s="428"/>
      <c r="O40" s="428"/>
      <c r="P40" s="428"/>
      <c r="Q40" s="428"/>
      <c r="R40" s="428"/>
      <c r="S40" s="428"/>
    </row>
    <row r="41" spans="1:19" s="429" customFormat="1">
      <c r="A41" s="430">
        <f>+POAI!A40</f>
        <v>112101</v>
      </c>
      <c r="B41" s="430" t="str">
        <f>+POAI!B40</f>
        <v>SGP-Proposito General - Libre Destinacion</v>
      </c>
      <c r="C41" s="431">
        <f>+POAI!C40</f>
        <v>545993518</v>
      </c>
      <c r="D41" s="431">
        <f t="shared" si="0"/>
        <v>567833258.72000003</v>
      </c>
      <c r="E41" s="431">
        <f t="shared" si="0"/>
        <v>590546589.06879997</v>
      </c>
      <c r="F41" s="431">
        <f t="shared" si="0"/>
        <v>614168452.63155198</v>
      </c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</row>
    <row r="42" spans="1:19" s="429" customFormat="1">
      <c r="A42" s="430">
        <f>+POAI!A41</f>
        <v>112102</v>
      </c>
      <c r="B42" s="430" t="str">
        <f>+POAI!B41</f>
        <v>Transferencia electrica Chivor S.A - Ley 99</v>
      </c>
      <c r="C42" s="431">
        <f>+POAI!C41</f>
        <v>1500000</v>
      </c>
      <c r="D42" s="431">
        <f t="shared" si="0"/>
        <v>1560000</v>
      </c>
      <c r="E42" s="431">
        <f t="shared" si="0"/>
        <v>1622400</v>
      </c>
      <c r="F42" s="431">
        <f t="shared" si="0"/>
        <v>1687296</v>
      </c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</row>
    <row r="43" spans="1:19" s="432" customFormat="1">
      <c r="A43" s="427">
        <f>+POAI!A43</f>
        <v>1122</v>
      </c>
      <c r="B43" s="427" t="str">
        <f>+POAI!B43</f>
        <v>TRANSFERENCIAS DEPARTAMENTALES</v>
      </c>
      <c r="C43" s="428"/>
      <c r="D43" s="431"/>
      <c r="E43" s="431"/>
      <c r="F43" s="431"/>
      <c r="G43" s="428">
        <f>+POAI!D43</f>
        <v>5000000</v>
      </c>
      <c r="H43" s="431">
        <f>SUM(G43*4/100)+G43</f>
        <v>5200000</v>
      </c>
      <c r="I43" s="431">
        <f>SUM(H43*4/100)+H43</f>
        <v>5408000</v>
      </c>
      <c r="J43" s="431">
        <f>SUM(I43*4/100)+I43</f>
        <v>5624320</v>
      </c>
      <c r="K43" s="428"/>
      <c r="L43" s="428"/>
      <c r="M43" s="428"/>
      <c r="N43" s="428"/>
      <c r="O43" s="428"/>
      <c r="P43" s="428"/>
      <c r="Q43" s="428"/>
      <c r="R43" s="428"/>
      <c r="S43" s="428"/>
    </row>
    <row r="44" spans="1:19" s="429" customFormat="1">
      <c r="A44" s="430">
        <f>+POAI!A44</f>
        <v>112201</v>
      </c>
      <c r="B44" s="430" t="str">
        <f>+POAI!B44</f>
        <v>Impuesto a vehículos automotores</v>
      </c>
      <c r="C44" s="431">
        <f>+POAI!C44</f>
        <v>5000000</v>
      </c>
      <c r="D44" s="431">
        <f t="shared" si="0"/>
        <v>5200000</v>
      </c>
      <c r="E44" s="431">
        <f t="shared" si="0"/>
        <v>5408000</v>
      </c>
      <c r="F44" s="431">
        <f t="shared" si="0"/>
        <v>5624320</v>
      </c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</row>
    <row r="45" spans="1:19" s="432" customFormat="1">
      <c r="A45" s="427">
        <f>+POAI!A46</f>
        <v>1123</v>
      </c>
      <c r="B45" s="427" t="str">
        <f>+POAI!B46</f>
        <v>MULTAS Y SANCIONES</v>
      </c>
      <c r="C45" s="428"/>
      <c r="D45" s="431"/>
      <c r="E45" s="431"/>
      <c r="F45" s="431"/>
      <c r="G45" s="428">
        <f>+POAI!D46</f>
        <v>1000000</v>
      </c>
      <c r="H45" s="431">
        <f>SUM(G45*4/100)+G45</f>
        <v>1040000</v>
      </c>
      <c r="I45" s="431">
        <f>SUM(H45*4/100)+H45</f>
        <v>1081600</v>
      </c>
      <c r="J45" s="431">
        <f>SUM(I45*4/100)+I45</f>
        <v>1124864</v>
      </c>
      <c r="K45" s="428"/>
      <c r="L45" s="428"/>
      <c r="M45" s="428"/>
      <c r="N45" s="428"/>
      <c r="O45" s="428"/>
      <c r="P45" s="428"/>
      <c r="Q45" s="428"/>
      <c r="R45" s="428"/>
      <c r="S45" s="428"/>
    </row>
    <row r="46" spans="1:19" s="429" customFormat="1">
      <c r="A46" s="430">
        <f>+POAI!A47</f>
        <v>112301</v>
      </c>
      <c r="B46" s="430" t="str">
        <f>+POAI!B47</f>
        <v>Multas</v>
      </c>
      <c r="C46" s="431">
        <f>+POAI!C47</f>
        <v>500000</v>
      </c>
      <c r="D46" s="431">
        <f t="shared" si="0"/>
        <v>520000</v>
      </c>
      <c r="E46" s="431">
        <f t="shared" si="0"/>
        <v>540800</v>
      </c>
      <c r="F46" s="431">
        <f t="shared" si="0"/>
        <v>562432</v>
      </c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</row>
    <row r="47" spans="1:19" s="429" customFormat="1">
      <c r="A47" s="430">
        <f>+POAI!A48</f>
        <v>112302</v>
      </c>
      <c r="B47" s="430" t="str">
        <f>+POAI!B48</f>
        <v>Sanciones</v>
      </c>
      <c r="C47" s="431">
        <f>+POAI!C48</f>
        <v>500000</v>
      </c>
      <c r="D47" s="431">
        <f t="shared" si="0"/>
        <v>520000</v>
      </c>
      <c r="E47" s="431">
        <f t="shared" si="0"/>
        <v>540800</v>
      </c>
      <c r="F47" s="431">
        <f t="shared" si="0"/>
        <v>562432</v>
      </c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</row>
    <row r="48" spans="1:19" s="432" customFormat="1">
      <c r="A48" s="427">
        <f>+POAI!A50</f>
        <v>1124</v>
      </c>
      <c r="B48" s="427" t="str">
        <f>+POAI!B50</f>
        <v>VENTA DE BIENES Y SERVICIOS</v>
      </c>
      <c r="C48" s="428"/>
      <c r="D48" s="431"/>
      <c r="E48" s="431"/>
      <c r="F48" s="431"/>
      <c r="G48" s="428">
        <f>+POAI!D50</f>
        <v>31000000</v>
      </c>
      <c r="H48" s="431">
        <f>SUM(G48*4/100)+G48</f>
        <v>32240000</v>
      </c>
      <c r="I48" s="431">
        <f>SUM(H48*4/100)+H48</f>
        <v>33529600</v>
      </c>
      <c r="J48" s="431">
        <f>SUM(I48*4/100)+I48</f>
        <v>34870784</v>
      </c>
      <c r="K48" s="428"/>
      <c r="L48" s="428"/>
      <c r="M48" s="428"/>
      <c r="N48" s="428"/>
      <c r="O48" s="428"/>
      <c r="P48" s="428"/>
      <c r="Q48" s="428"/>
      <c r="R48" s="428"/>
      <c r="S48" s="428"/>
    </row>
    <row r="49" spans="1:19" s="429" customFormat="1">
      <c r="A49" s="430">
        <f>+POAI!A51</f>
        <v>112401</v>
      </c>
      <c r="B49" s="430" t="str">
        <f>+POAI!B51</f>
        <v>Alquiler de maquinaria</v>
      </c>
      <c r="C49" s="431">
        <f>+POAI!C51</f>
        <v>25000000</v>
      </c>
      <c r="D49" s="431">
        <f t="shared" si="0"/>
        <v>26000000</v>
      </c>
      <c r="E49" s="431">
        <f t="shared" si="0"/>
        <v>27040000</v>
      </c>
      <c r="F49" s="431">
        <f t="shared" si="0"/>
        <v>28121600</v>
      </c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</row>
    <row r="50" spans="1:19" s="429" customFormat="1">
      <c r="A50" s="430">
        <f>+POAI!A52</f>
        <v>112402</v>
      </c>
      <c r="B50" s="430" t="str">
        <f>+POAI!B52</f>
        <v>Publicación gaceta municipal</v>
      </c>
      <c r="C50" s="431">
        <f>+POAI!C52</f>
        <v>5000000</v>
      </c>
      <c r="D50" s="431">
        <f t="shared" si="0"/>
        <v>5200000</v>
      </c>
      <c r="E50" s="431">
        <f t="shared" si="0"/>
        <v>5408000</v>
      </c>
      <c r="F50" s="431">
        <f t="shared" si="0"/>
        <v>5624320</v>
      </c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</row>
    <row r="51" spans="1:19" s="429" customFormat="1">
      <c r="A51" s="430">
        <f>+POAI!A53</f>
        <v>112403</v>
      </c>
      <c r="B51" s="430" t="str">
        <f>+POAI!B53</f>
        <v>Venta de servicios e insumos</v>
      </c>
      <c r="C51" s="431">
        <f>+POAI!C53</f>
        <v>1000000</v>
      </c>
      <c r="D51" s="431">
        <f t="shared" si="0"/>
        <v>1040000</v>
      </c>
      <c r="E51" s="431">
        <f t="shared" si="0"/>
        <v>1081600</v>
      </c>
      <c r="F51" s="431">
        <f t="shared" si="0"/>
        <v>1124864</v>
      </c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</row>
    <row r="52" spans="1:19" s="432" customFormat="1">
      <c r="A52" s="427">
        <f>+POAI!A55</f>
        <v>1126</v>
      </c>
      <c r="B52" s="427" t="str">
        <f>+POAI!B55</f>
        <v>OTROS INGRESOS NO TRIBUTARIOS</v>
      </c>
      <c r="C52" s="428"/>
      <c r="D52" s="431"/>
      <c r="E52" s="431"/>
      <c r="F52" s="431"/>
      <c r="G52" s="428">
        <f>+POAI!D55</f>
        <v>2</v>
      </c>
      <c r="H52" s="431">
        <f>SUM(G52*4/100)+G52</f>
        <v>2.08</v>
      </c>
      <c r="I52" s="431">
        <f>SUM(H52*4/100)+H52</f>
        <v>2.1632000000000002</v>
      </c>
      <c r="J52" s="431">
        <f>SUM(I52*4/100)+I52</f>
        <v>2.2497280000000002</v>
      </c>
      <c r="K52" s="428"/>
      <c r="L52" s="428"/>
      <c r="M52" s="428"/>
      <c r="N52" s="428"/>
      <c r="O52" s="428"/>
      <c r="P52" s="428"/>
      <c r="Q52" s="428"/>
      <c r="R52" s="428"/>
      <c r="S52" s="428"/>
    </row>
    <row r="53" spans="1:19" s="429" customFormat="1">
      <c r="A53" s="430">
        <f>+POAI!A56</f>
        <v>112601</v>
      </c>
      <c r="B53" s="430" t="str">
        <f>+POAI!B56</f>
        <v>Otros Ingresos no tributarios</v>
      </c>
      <c r="C53" s="431">
        <f>+POAI!C56</f>
        <v>1</v>
      </c>
      <c r="D53" s="431">
        <f t="shared" si="0"/>
        <v>1.04</v>
      </c>
      <c r="E53" s="431">
        <f t="shared" si="0"/>
        <v>1.0816000000000001</v>
      </c>
      <c r="F53" s="431">
        <f t="shared" si="0"/>
        <v>1.1248640000000001</v>
      </c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</row>
    <row r="54" spans="1:19" s="429" customFormat="1">
      <c r="A54" s="430">
        <f>+POAI!A57</f>
        <v>112602</v>
      </c>
      <c r="B54" s="430" t="str">
        <f>+POAI!B57</f>
        <v>licencias de maternidad</v>
      </c>
      <c r="C54" s="431">
        <f>+POAI!C57</f>
        <v>1</v>
      </c>
      <c r="D54" s="431">
        <f t="shared" si="0"/>
        <v>1.04</v>
      </c>
      <c r="E54" s="431">
        <f t="shared" si="0"/>
        <v>1.0816000000000001</v>
      </c>
      <c r="F54" s="431">
        <f t="shared" si="0"/>
        <v>1.1248640000000001</v>
      </c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</row>
    <row r="55" spans="1:19" s="432" customFormat="1">
      <c r="A55" s="427">
        <f>+POAI!A59</f>
        <v>113</v>
      </c>
      <c r="B55" s="427" t="str">
        <f>+POAI!B59</f>
        <v>RECURSOS DE CAPITAL RECURSOS PROPIOS</v>
      </c>
      <c r="C55" s="428"/>
      <c r="D55" s="431"/>
      <c r="E55" s="431"/>
      <c r="F55" s="431"/>
      <c r="G55" s="428"/>
      <c r="H55" s="431"/>
      <c r="I55" s="431"/>
      <c r="J55" s="431"/>
      <c r="K55" s="428">
        <f>+POAI!E59</f>
        <v>1000000</v>
      </c>
      <c r="L55" s="431">
        <f>SUM(K55*4/100)+K55</f>
        <v>1040000</v>
      </c>
      <c r="M55" s="431">
        <f>SUM(L55*4/100)+L55</f>
        <v>1081600</v>
      </c>
      <c r="N55" s="431">
        <f>SUM(M55*4/100)+M55</f>
        <v>1124864</v>
      </c>
      <c r="O55" s="428"/>
      <c r="P55" s="428"/>
      <c r="Q55" s="428"/>
      <c r="R55" s="428"/>
      <c r="S55" s="428"/>
    </row>
    <row r="56" spans="1:19" s="432" customFormat="1">
      <c r="A56" s="427">
        <f>+POAI!A60</f>
        <v>1131</v>
      </c>
      <c r="B56" s="427" t="str">
        <f>+POAI!B60</f>
        <v>RENDIMIENTOS DE OPERACIONES FINANCIERAS</v>
      </c>
      <c r="C56" s="428"/>
      <c r="D56" s="431"/>
      <c r="E56" s="431"/>
      <c r="F56" s="431"/>
      <c r="G56" s="428">
        <f>+POAI!D60</f>
        <v>1000000</v>
      </c>
      <c r="H56" s="431">
        <f t="shared" ref="H56:J75" si="3">SUM(G56*4/100)+G56</f>
        <v>1040000</v>
      </c>
      <c r="I56" s="431">
        <f t="shared" si="3"/>
        <v>1081600</v>
      </c>
      <c r="J56" s="431">
        <f t="shared" si="3"/>
        <v>1124864</v>
      </c>
      <c r="K56" s="428"/>
      <c r="L56" s="428"/>
      <c r="M56" s="428"/>
      <c r="N56" s="428"/>
      <c r="O56" s="428"/>
      <c r="P56" s="428"/>
      <c r="Q56" s="428"/>
      <c r="R56" s="428"/>
      <c r="S56" s="428"/>
    </row>
    <row r="57" spans="1:19" s="429" customFormat="1">
      <c r="A57" s="430">
        <f>+POAI!A61</f>
        <v>113101</v>
      </c>
      <c r="B57" s="430" t="str">
        <f>+POAI!B61</f>
        <v>Intereses y dividendos recursos Propios</v>
      </c>
      <c r="C57" s="431">
        <f>+POAI!C61</f>
        <v>1000000</v>
      </c>
      <c r="D57" s="431">
        <f t="shared" si="0"/>
        <v>1040000</v>
      </c>
      <c r="E57" s="431">
        <f t="shared" si="0"/>
        <v>1081600</v>
      </c>
      <c r="F57" s="431">
        <f t="shared" si="0"/>
        <v>1124864</v>
      </c>
      <c r="G57" s="431"/>
      <c r="H57" s="431">
        <f t="shared" si="3"/>
        <v>0</v>
      </c>
      <c r="I57" s="431">
        <f t="shared" si="3"/>
        <v>0</v>
      </c>
      <c r="J57" s="431">
        <f t="shared" si="3"/>
        <v>0</v>
      </c>
      <c r="K57" s="431"/>
      <c r="L57" s="431"/>
      <c r="M57" s="431"/>
      <c r="N57" s="431"/>
      <c r="O57" s="431"/>
      <c r="P57" s="431"/>
      <c r="Q57" s="431"/>
      <c r="R57" s="431"/>
      <c r="S57" s="431"/>
    </row>
    <row r="58" spans="1:19" s="432" customFormat="1">
      <c r="A58" s="427">
        <f>+POAI!A63</f>
        <v>12</v>
      </c>
      <c r="B58" s="427" t="str">
        <f>+POAI!B63</f>
        <v>SISTEMA GENERAL DE PARTICIPACIONES</v>
      </c>
      <c r="C58" s="428"/>
      <c r="D58" s="431">
        <f t="shared" si="0"/>
        <v>0</v>
      </c>
      <c r="E58" s="431">
        <f t="shared" si="0"/>
        <v>0</v>
      </c>
      <c r="F58" s="431">
        <f t="shared" si="0"/>
        <v>0</v>
      </c>
      <c r="G58" s="428"/>
      <c r="H58" s="431">
        <f t="shared" si="3"/>
        <v>0</v>
      </c>
      <c r="I58" s="431">
        <f t="shared" si="3"/>
        <v>0</v>
      </c>
      <c r="J58" s="431">
        <f t="shared" si="3"/>
        <v>0</v>
      </c>
      <c r="K58" s="428"/>
      <c r="L58" s="428"/>
      <c r="M58" s="428"/>
      <c r="N58" s="428"/>
      <c r="O58" s="428">
        <f>+POAI!F63</f>
        <v>1359199079</v>
      </c>
      <c r="P58" s="431">
        <f>SUM(O58*4/100)+O58</f>
        <v>1413567042.1600001</v>
      </c>
      <c r="Q58" s="431">
        <f>SUM(P58*4/100)+P58</f>
        <v>1470109723.8464</v>
      </c>
      <c r="R58" s="431">
        <f>SUM(Q58*4/100)+Q58</f>
        <v>1528914112.800256</v>
      </c>
      <c r="S58" s="428"/>
    </row>
    <row r="59" spans="1:19" s="432" customFormat="1">
      <c r="A59" s="427">
        <f>+POAI!A64</f>
        <v>1201</v>
      </c>
      <c r="B59" s="427" t="str">
        <f>+POAI!B64</f>
        <v>SGP EDUCACIÓN</v>
      </c>
      <c r="C59" s="428"/>
      <c r="D59" s="431">
        <f t="shared" si="0"/>
        <v>0</v>
      </c>
      <c r="E59" s="431">
        <f t="shared" si="0"/>
        <v>0</v>
      </c>
      <c r="F59" s="431">
        <f t="shared" si="0"/>
        <v>0</v>
      </c>
      <c r="G59" s="428"/>
      <c r="H59" s="431">
        <f t="shared" si="3"/>
        <v>0</v>
      </c>
      <c r="I59" s="431">
        <f t="shared" si="3"/>
        <v>0</v>
      </c>
      <c r="J59" s="431">
        <f t="shared" si="3"/>
        <v>0</v>
      </c>
      <c r="K59" s="428">
        <f>+POAI!E64</f>
        <v>114914354</v>
      </c>
      <c r="L59" s="431">
        <f>SUM(K59*4/100)+K59</f>
        <v>119510928.16</v>
      </c>
      <c r="M59" s="431">
        <f>SUM(L59*4/100)+L59</f>
        <v>124291365.28639999</v>
      </c>
      <c r="N59" s="431">
        <f>SUM(M59*4/100)+M59</f>
        <v>129263019.897856</v>
      </c>
      <c r="O59" s="428"/>
      <c r="P59" s="428"/>
      <c r="Q59" s="428"/>
      <c r="R59" s="428"/>
      <c r="S59" s="428"/>
    </row>
    <row r="60" spans="1:19" s="429" customFormat="1">
      <c r="A60" s="430">
        <f>+POAI!A65</f>
        <v>120101</v>
      </c>
      <c r="B60" s="430" t="str">
        <f>+POAI!B65</f>
        <v>SGP Educacion Calidad</v>
      </c>
      <c r="C60" s="431">
        <f>+POAI!C65</f>
        <v>82267354</v>
      </c>
      <c r="D60" s="431">
        <f t="shared" si="0"/>
        <v>85558048.159999996</v>
      </c>
      <c r="E60" s="431">
        <f t="shared" si="0"/>
        <v>88980370.086400002</v>
      </c>
      <c r="F60" s="431">
        <f t="shared" si="0"/>
        <v>92539584.889855996</v>
      </c>
      <c r="G60" s="431"/>
      <c r="H60" s="431">
        <f t="shared" si="3"/>
        <v>0</v>
      </c>
      <c r="I60" s="431">
        <f t="shared" si="3"/>
        <v>0</v>
      </c>
      <c r="J60" s="431">
        <f t="shared" si="3"/>
        <v>0</v>
      </c>
      <c r="K60" s="431"/>
      <c r="L60" s="431"/>
      <c r="M60" s="431"/>
      <c r="N60" s="431"/>
      <c r="O60" s="431"/>
      <c r="P60" s="431"/>
      <c r="Q60" s="431"/>
      <c r="R60" s="431"/>
      <c r="S60" s="431"/>
    </row>
    <row r="61" spans="1:19" s="429" customFormat="1">
      <c r="A61" s="430">
        <f>+POAI!A66</f>
        <v>120102</v>
      </c>
      <c r="B61" s="430" t="str">
        <f>+POAI!B66</f>
        <v>SGP Educacion Gratuidad</v>
      </c>
      <c r="C61" s="431">
        <f>+POAI!C66</f>
        <v>32647000</v>
      </c>
      <c r="D61" s="431">
        <f t="shared" si="0"/>
        <v>33952880</v>
      </c>
      <c r="E61" s="431">
        <f t="shared" si="0"/>
        <v>35310995.200000003</v>
      </c>
      <c r="F61" s="431">
        <f t="shared" si="0"/>
        <v>36723435.008000001</v>
      </c>
      <c r="G61" s="431"/>
      <c r="H61" s="431">
        <f t="shared" si="3"/>
        <v>0</v>
      </c>
      <c r="I61" s="431">
        <f t="shared" si="3"/>
        <v>0</v>
      </c>
      <c r="J61" s="431">
        <f t="shared" si="3"/>
        <v>0</v>
      </c>
      <c r="K61" s="431"/>
      <c r="L61" s="431"/>
      <c r="M61" s="431"/>
      <c r="N61" s="431"/>
      <c r="O61" s="431"/>
      <c r="P61" s="431"/>
      <c r="Q61" s="431"/>
      <c r="R61" s="431"/>
      <c r="S61" s="431"/>
    </row>
    <row r="62" spans="1:19" s="432" customFormat="1">
      <c r="A62" s="427">
        <f>+POAI!A67</f>
        <v>1202</v>
      </c>
      <c r="B62" s="427" t="str">
        <f>+POAI!B67</f>
        <v>SGP ALIMENT ESCOLAR</v>
      </c>
      <c r="C62" s="428"/>
      <c r="D62" s="431">
        <f t="shared" si="0"/>
        <v>0</v>
      </c>
      <c r="E62" s="431">
        <f t="shared" si="0"/>
        <v>0</v>
      </c>
      <c r="F62" s="431">
        <f t="shared" si="0"/>
        <v>0</v>
      </c>
      <c r="G62" s="428"/>
      <c r="H62" s="431">
        <f t="shared" si="3"/>
        <v>0</v>
      </c>
      <c r="I62" s="431">
        <f t="shared" si="3"/>
        <v>0</v>
      </c>
      <c r="J62" s="431">
        <f t="shared" si="3"/>
        <v>0</v>
      </c>
      <c r="K62" s="428">
        <f>+POAI!E67</f>
        <v>16780115</v>
      </c>
      <c r="L62" s="431">
        <f>SUM(K62*4/100)+K62</f>
        <v>17451319.600000001</v>
      </c>
      <c r="M62" s="431">
        <f>SUM(L62*4/100)+L62</f>
        <v>18149372.384000003</v>
      </c>
      <c r="N62" s="431">
        <f>SUM(M62*4/100)+M62</f>
        <v>18875347.279360004</v>
      </c>
      <c r="O62" s="428"/>
      <c r="P62" s="428"/>
      <c r="Q62" s="428"/>
      <c r="R62" s="428"/>
      <c r="S62" s="428"/>
    </row>
    <row r="63" spans="1:19" s="429" customFormat="1">
      <c r="A63" s="430">
        <f>+POAI!A68</f>
        <v>120201</v>
      </c>
      <c r="B63" s="430" t="str">
        <f>+POAI!B68</f>
        <v>SGP Alimentacion Escolar</v>
      </c>
      <c r="C63" s="431">
        <f>+POAI!C68</f>
        <v>16780115</v>
      </c>
      <c r="D63" s="431">
        <f t="shared" si="0"/>
        <v>17451319.600000001</v>
      </c>
      <c r="E63" s="431">
        <f t="shared" si="0"/>
        <v>18149372.384000003</v>
      </c>
      <c r="F63" s="431">
        <f t="shared" si="0"/>
        <v>18875347.279360004</v>
      </c>
      <c r="G63" s="431"/>
      <c r="H63" s="431">
        <f t="shared" si="3"/>
        <v>0</v>
      </c>
      <c r="I63" s="431">
        <f t="shared" si="3"/>
        <v>0</v>
      </c>
      <c r="J63" s="431">
        <f t="shared" si="3"/>
        <v>0</v>
      </c>
      <c r="K63" s="431"/>
      <c r="L63" s="431"/>
      <c r="M63" s="431"/>
      <c r="N63" s="431"/>
      <c r="O63" s="431"/>
      <c r="P63" s="431"/>
      <c r="Q63" s="431"/>
      <c r="R63" s="431"/>
      <c r="S63" s="431"/>
    </row>
    <row r="64" spans="1:19" s="432" customFormat="1">
      <c r="A64" s="427">
        <f>+POAI!A69</f>
        <v>1204</v>
      </c>
      <c r="B64" s="427" t="str">
        <f>+POAI!B69</f>
        <v>SGP AGUA POTABLE Y SANEAMIENTO BASICO</v>
      </c>
      <c r="C64" s="428"/>
      <c r="D64" s="431">
        <f t="shared" si="0"/>
        <v>0</v>
      </c>
      <c r="E64" s="431">
        <f t="shared" si="0"/>
        <v>0</v>
      </c>
      <c r="F64" s="431">
        <f t="shared" si="0"/>
        <v>0</v>
      </c>
      <c r="G64" s="428"/>
      <c r="H64" s="431">
        <f t="shared" si="3"/>
        <v>0</v>
      </c>
      <c r="I64" s="431">
        <f t="shared" si="3"/>
        <v>0</v>
      </c>
      <c r="J64" s="431">
        <f t="shared" si="3"/>
        <v>0</v>
      </c>
      <c r="K64" s="428">
        <f>+POAI!E69</f>
        <v>276310740</v>
      </c>
      <c r="L64" s="431">
        <f>SUM(K64*4/100)+K64</f>
        <v>287363169.60000002</v>
      </c>
      <c r="M64" s="431">
        <f>SUM(L64*4/100)+L64</f>
        <v>298857696.384</v>
      </c>
      <c r="N64" s="431">
        <f>SUM(M64*4/100)+M64</f>
        <v>310812004.23935997</v>
      </c>
      <c r="O64" s="428"/>
      <c r="P64" s="428"/>
      <c r="Q64" s="428"/>
      <c r="R64" s="428"/>
      <c r="S64" s="428"/>
    </row>
    <row r="65" spans="1:19" s="429" customFormat="1">
      <c r="A65" s="430">
        <f>+POAI!A70</f>
        <v>120401</v>
      </c>
      <c r="B65" s="430" t="str">
        <f>+POAI!B70</f>
        <v>SGP Agua Potable y Saneamiento Basico</v>
      </c>
      <c r="C65" s="431">
        <f>+POAI!C70</f>
        <v>276310740</v>
      </c>
      <c r="D65" s="431">
        <f t="shared" si="0"/>
        <v>287363169.60000002</v>
      </c>
      <c r="E65" s="431">
        <f t="shared" si="0"/>
        <v>298857696.384</v>
      </c>
      <c r="F65" s="431">
        <f t="shared" si="0"/>
        <v>310812004.23935997</v>
      </c>
      <c r="G65" s="431"/>
      <c r="H65" s="431">
        <f t="shared" si="3"/>
        <v>0</v>
      </c>
      <c r="I65" s="431">
        <f t="shared" si="3"/>
        <v>0</v>
      </c>
      <c r="J65" s="431">
        <f t="shared" si="3"/>
        <v>0</v>
      </c>
      <c r="K65" s="431"/>
      <c r="L65" s="431"/>
      <c r="M65" s="431"/>
      <c r="N65" s="431"/>
      <c r="O65" s="431"/>
      <c r="P65" s="431"/>
      <c r="Q65" s="431"/>
      <c r="R65" s="431"/>
      <c r="S65" s="431"/>
    </row>
    <row r="66" spans="1:19" s="432" customFormat="1">
      <c r="A66" s="427">
        <f>+POAI!A71</f>
        <v>1205</v>
      </c>
      <c r="B66" s="427" t="str">
        <f>+POAI!B71</f>
        <v>SGP PROPÓSITO GENERAL INVERSIÓN</v>
      </c>
      <c r="C66" s="428"/>
      <c r="D66" s="431">
        <f t="shared" si="0"/>
        <v>0</v>
      </c>
      <c r="E66" s="431">
        <f t="shared" si="0"/>
        <v>0</v>
      </c>
      <c r="F66" s="431">
        <f t="shared" si="0"/>
        <v>0</v>
      </c>
      <c r="G66" s="428"/>
      <c r="H66" s="431">
        <f t="shared" si="3"/>
        <v>0</v>
      </c>
      <c r="I66" s="431">
        <f t="shared" si="3"/>
        <v>0</v>
      </c>
      <c r="J66" s="431">
        <f t="shared" si="3"/>
        <v>0</v>
      </c>
      <c r="K66" s="428">
        <f>+POAI!E71</f>
        <v>951193870</v>
      </c>
      <c r="L66" s="431">
        <f>SUM(K66*4/100)+K66</f>
        <v>989241624.79999995</v>
      </c>
      <c r="M66" s="431">
        <f>SUM(L66*4/100)+L66</f>
        <v>1028811289.7919999</v>
      </c>
      <c r="N66" s="431">
        <f>SUM(M66*4/100)+M66</f>
        <v>1069963741.38368</v>
      </c>
      <c r="O66" s="428"/>
      <c r="P66" s="428"/>
      <c r="Q66" s="428"/>
      <c r="R66" s="428"/>
      <c r="S66" s="428"/>
    </row>
    <row r="67" spans="1:19" s="429" customFormat="1">
      <c r="A67" s="430">
        <f>+POAI!A72</f>
        <v>120501</v>
      </c>
      <c r="B67" s="430" t="str">
        <f>+POAI!B72</f>
        <v xml:space="preserve">   SGP- PG Deporte</v>
      </c>
      <c r="C67" s="431">
        <f>+POAI!C72</f>
        <v>66295935</v>
      </c>
      <c r="D67" s="431">
        <f t="shared" si="0"/>
        <v>68947772.400000006</v>
      </c>
      <c r="E67" s="431">
        <f t="shared" si="0"/>
        <v>71705683.296000004</v>
      </c>
      <c r="F67" s="431">
        <f t="shared" si="0"/>
        <v>74573910.627839997</v>
      </c>
      <c r="G67" s="431"/>
      <c r="H67" s="431">
        <f t="shared" si="3"/>
        <v>0</v>
      </c>
      <c r="I67" s="431">
        <f t="shared" si="3"/>
        <v>0</v>
      </c>
      <c r="J67" s="431">
        <f t="shared" si="3"/>
        <v>0</v>
      </c>
      <c r="K67" s="431"/>
      <c r="L67" s="431"/>
      <c r="M67" s="431"/>
      <c r="N67" s="431"/>
      <c r="O67" s="431"/>
      <c r="P67" s="431"/>
      <c r="Q67" s="431"/>
      <c r="R67" s="431"/>
      <c r="S67" s="431"/>
    </row>
    <row r="68" spans="1:19" s="429" customFormat="1">
      <c r="A68" s="430">
        <f>+POAI!A73</f>
        <v>120502</v>
      </c>
      <c r="B68" s="430" t="str">
        <f>+POAI!B73</f>
        <v xml:space="preserve">   SGP- PG Cultura</v>
      </c>
      <c r="C68" s="431">
        <f>+POAI!C73</f>
        <v>49720950</v>
      </c>
      <c r="D68" s="431">
        <f t="shared" si="0"/>
        <v>51709788</v>
      </c>
      <c r="E68" s="431">
        <f t="shared" si="0"/>
        <v>53778179.520000003</v>
      </c>
      <c r="F68" s="431">
        <f t="shared" si="0"/>
        <v>55929306.700800002</v>
      </c>
      <c r="G68" s="431"/>
      <c r="H68" s="431">
        <f t="shared" si="3"/>
        <v>0</v>
      </c>
      <c r="I68" s="431">
        <f t="shared" si="3"/>
        <v>0</v>
      </c>
      <c r="J68" s="431">
        <f t="shared" si="3"/>
        <v>0</v>
      </c>
      <c r="K68" s="431"/>
      <c r="L68" s="431"/>
      <c r="M68" s="431"/>
      <c r="N68" s="431"/>
      <c r="O68" s="431"/>
      <c r="P68" s="431"/>
      <c r="Q68" s="431"/>
      <c r="R68" s="431"/>
      <c r="S68" s="431"/>
    </row>
    <row r="69" spans="1:19" s="429" customFormat="1">
      <c r="A69" s="430">
        <f>+POAI!A74</f>
        <v>120503</v>
      </c>
      <c r="B69" s="430" t="str">
        <f>+POAI!B74</f>
        <v xml:space="preserve">   SGP- PG Libre Inversion</v>
      </c>
      <c r="C69" s="431">
        <f>+POAI!C74</f>
        <v>835176985</v>
      </c>
      <c r="D69" s="431">
        <f t="shared" si="0"/>
        <v>868584064.39999998</v>
      </c>
      <c r="E69" s="431">
        <f t="shared" si="0"/>
        <v>903327426.97599995</v>
      </c>
      <c r="F69" s="431">
        <f t="shared" si="0"/>
        <v>939460524.05504</v>
      </c>
      <c r="G69" s="431"/>
      <c r="H69" s="431">
        <f t="shared" si="3"/>
        <v>0</v>
      </c>
      <c r="I69" s="431">
        <f t="shared" si="3"/>
        <v>0</v>
      </c>
      <c r="J69" s="431">
        <f t="shared" si="3"/>
        <v>0</v>
      </c>
      <c r="K69" s="431"/>
      <c r="L69" s="431"/>
      <c r="M69" s="431"/>
      <c r="N69" s="431"/>
      <c r="O69" s="431"/>
      <c r="P69" s="431"/>
      <c r="Q69" s="431"/>
      <c r="R69" s="431"/>
      <c r="S69" s="431"/>
    </row>
    <row r="70" spans="1:19" s="432" customFormat="1">
      <c r="A70" s="427">
        <f>+POAI!A76</f>
        <v>13</v>
      </c>
      <c r="B70" s="427" t="str">
        <f>+POAI!B76</f>
        <v>TRANSFERENCIAS, COFINANCIACIONES Y PARTICIPACIONES</v>
      </c>
      <c r="C70" s="428"/>
      <c r="D70" s="431">
        <f t="shared" si="0"/>
        <v>0</v>
      </c>
      <c r="E70" s="431">
        <f t="shared" si="0"/>
        <v>0</v>
      </c>
      <c r="F70" s="431">
        <f t="shared" si="0"/>
        <v>0</v>
      </c>
      <c r="G70" s="428"/>
      <c r="H70" s="431">
        <f t="shared" si="3"/>
        <v>0</v>
      </c>
      <c r="I70" s="431">
        <f t="shared" si="3"/>
        <v>0</v>
      </c>
      <c r="J70" s="431">
        <f t="shared" si="3"/>
        <v>0</v>
      </c>
      <c r="K70" s="428"/>
      <c r="L70" s="428"/>
      <c r="M70" s="428"/>
      <c r="N70" s="428"/>
      <c r="O70" s="428">
        <f>+POAI!F76</f>
        <v>16501000</v>
      </c>
      <c r="P70" s="431">
        <f>SUM(O70*4/100)+O70</f>
        <v>17161040</v>
      </c>
      <c r="Q70" s="431">
        <f>SUM(P70*4/100)+P70</f>
        <v>17847481.600000001</v>
      </c>
      <c r="R70" s="431">
        <f>SUM(Q70*4/100)+Q70</f>
        <v>18561380.864</v>
      </c>
      <c r="S70" s="428"/>
    </row>
    <row r="71" spans="1:19" s="432" customFormat="1">
      <c r="A71" s="427">
        <f>+POAI!A77</f>
        <v>1301</v>
      </c>
      <c r="B71" s="427" t="str">
        <f>+POAI!B77</f>
        <v>TRANSFERENCIAS Y COFINANCIACIONES DEL NIVEL NACIONAL</v>
      </c>
      <c r="C71" s="428"/>
      <c r="D71" s="431">
        <f t="shared" si="0"/>
        <v>0</v>
      </c>
      <c r="E71" s="431">
        <f t="shared" si="0"/>
        <v>0</v>
      </c>
      <c r="F71" s="431">
        <f t="shared" si="0"/>
        <v>0</v>
      </c>
      <c r="G71" s="428"/>
      <c r="H71" s="431">
        <f t="shared" si="3"/>
        <v>0</v>
      </c>
      <c r="I71" s="431">
        <f t="shared" si="3"/>
        <v>0</v>
      </c>
      <c r="J71" s="431">
        <f t="shared" si="3"/>
        <v>0</v>
      </c>
      <c r="K71" s="428">
        <f>+POAI!E77</f>
        <v>13500000</v>
      </c>
      <c r="L71" s="431">
        <f>SUM(K71*4/100)+K71</f>
        <v>14040000</v>
      </c>
      <c r="M71" s="431">
        <f>SUM(L71*4/100)+L71</f>
        <v>14601600</v>
      </c>
      <c r="N71" s="431">
        <f>SUM(M71*4/100)+M71</f>
        <v>15185664</v>
      </c>
      <c r="O71" s="428"/>
      <c r="P71" s="428"/>
      <c r="Q71" s="428"/>
      <c r="R71" s="428"/>
      <c r="S71" s="428"/>
    </row>
    <row r="72" spans="1:19" s="429" customFormat="1">
      <c r="A72" s="430">
        <f>+POAI!A78</f>
        <v>130101</v>
      </c>
      <c r="B72" s="430" t="str">
        <f>+POAI!B78</f>
        <v>Transferencia electrica Chivor S.A - Ley 99</v>
      </c>
      <c r="C72" s="431">
        <f>+POAI!C78</f>
        <v>13500000</v>
      </c>
      <c r="D72" s="431">
        <f t="shared" si="0"/>
        <v>14040000</v>
      </c>
      <c r="E72" s="431">
        <f t="shared" si="0"/>
        <v>14601600</v>
      </c>
      <c r="F72" s="431">
        <f t="shared" si="0"/>
        <v>15185664</v>
      </c>
      <c r="G72" s="431"/>
      <c r="H72" s="431">
        <f t="shared" si="3"/>
        <v>0</v>
      </c>
      <c r="I72" s="431">
        <f t="shared" si="3"/>
        <v>0</v>
      </c>
      <c r="J72" s="431">
        <f t="shared" si="3"/>
        <v>0</v>
      </c>
      <c r="K72" s="431"/>
      <c r="L72" s="431"/>
      <c r="M72" s="431"/>
      <c r="N72" s="431"/>
      <c r="O72" s="431"/>
      <c r="P72" s="431"/>
      <c r="Q72" s="431"/>
      <c r="R72" s="431"/>
      <c r="S72" s="431"/>
    </row>
    <row r="73" spans="1:19" s="432" customFormat="1">
      <c r="A73" s="427">
        <f>+POAI!A80</f>
        <v>1302</v>
      </c>
      <c r="B73" s="427" t="str">
        <f>+POAI!B80</f>
        <v>TRANSFERENCIAS Y COFINANCIACIONES DEL NIVEL DEPARTAMENTAL</v>
      </c>
      <c r="C73" s="428"/>
      <c r="D73" s="431">
        <f t="shared" si="0"/>
        <v>0</v>
      </c>
      <c r="E73" s="431">
        <f t="shared" si="0"/>
        <v>0</v>
      </c>
      <c r="F73" s="431">
        <f t="shared" si="0"/>
        <v>0</v>
      </c>
      <c r="G73" s="428"/>
      <c r="H73" s="431">
        <f t="shared" si="3"/>
        <v>0</v>
      </c>
      <c r="I73" s="431">
        <f t="shared" si="3"/>
        <v>0</v>
      </c>
      <c r="J73" s="431">
        <f t="shared" si="3"/>
        <v>0</v>
      </c>
      <c r="K73" s="428">
        <f>+POAI!E80</f>
        <v>1000</v>
      </c>
      <c r="L73" s="431">
        <f>SUM(K73*4/100)+K73</f>
        <v>1040</v>
      </c>
      <c r="M73" s="431">
        <f>SUM(L73*4/100)+L73</f>
        <v>1081.5999999999999</v>
      </c>
      <c r="N73" s="431">
        <f>SUM(M73*4/100)+M73</f>
        <v>1124.8639999999998</v>
      </c>
      <c r="O73" s="428"/>
      <c r="P73" s="428"/>
      <c r="Q73" s="428"/>
      <c r="R73" s="428"/>
      <c r="S73" s="428"/>
    </row>
    <row r="74" spans="1:19" s="429" customFormat="1">
      <c r="A74" s="430">
        <f>+POAI!A81</f>
        <v>130201</v>
      </c>
      <c r="B74" s="430" t="str">
        <f>+POAI!B81</f>
        <v>Participación en impuesto a los cigarrillos</v>
      </c>
      <c r="C74" s="431">
        <f>+POAI!C81</f>
        <v>1000</v>
      </c>
      <c r="D74" s="431">
        <f t="shared" si="0"/>
        <v>1040</v>
      </c>
      <c r="E74" s="431">
        <f t="shared" si="0"/>
        <v>1081.5999999999999</v>
      </c>
      <c r="F74" s="431">
        <f t="shared" si="0"/>
        <v>1124.8639999999998</v>
      </c>
      <c r="G74" s="431"/>
      <c r="H74" s="431">
        <f t="shared" si="3"/>
        <v>0</v>
      </c>
      <c r="I74" s="431">
        <f t="shared" si="3"/>
        <v>0</v>
      </c>
      <c r="J74" s="431">
        <f t="shared" si="3"/>
        <v>0</v>
      </c>
      <c r="K74" s="431"/>
      <c r="L74" s="431"/>
      <c r="M74" s="431"/>
      <c r="N74" s="431"/>
      <c r="O74" s="431"/>
      <c r="P74" s="431"/>
      <c r="Q74" s="431"/>
      <c r="R74" s="431"/>
      <c r="S74" s="431"/>
    </row>
    <row r="75" spans="1:19" s="432" customFormat="1">
      <c r="A75" s="427">
        <f>+POAI!A83</f>
        <v>1303</v>
      </c>
      <c r="B75" s="427" t="str">
        <f>+POAI!B83</f>
        <v>PARTICIPACIONES POR REGALIAS</v>
      </c>
      <c r="C75" s="428"/>
      <c r="D75" s="431">
        <f t="shared" si="0"/>
        <v>0</v>
      </c>
      <c r="E75" s="431">
        <f t="shared" si="0"/>
        <v>0</v>
      </c>
      <c r="F75" s="431">
        <f t="shared" si="0"/>
        <v>0</v>
      </c>
      <c r="G75" s="428"/>
      <c r="H75" s="431">
        <f t="shared" si="3"/>
        <v>0</v>
      </c>
      <c r="I75" s="431">
        <f t="shared" si="3"/>
        <v>0</v>
      </c>
      <c r="J75" s="431">
        <f t="shared" si="3"/>
        <v>0</v>
      </c>
      <c r="K75" s="428">
        <f>+POAI!E83</f>
        <v>3000000</v>
      </c>
      <c r="L75" s="431">
        <f>SUM(K75*4/100)+K75</f>
        <v>3120000</v>
      </c>
      <c r="M75" s="431">
        <f>SUM(L75*4/100)+L75</f>
        <v>3244800</v>
      </c>
      <c r="N75" s="431">
        <f>SUM(M75*4/100)+M75</f>
        <v>3374592</v>
      </c>
      <c r="O75" s="428"/>
      <c r="P75" s="428"/>
      <c r="Q75" s="428"/>
      <c r="R75" s="428"/>
      <c r="S75" s="428"/>
    </row>
    <row r="76" spans="1:19" s="429" customFormat="1">
      <c r="A76" s="430">
        <f>+POAI!A84</f>
        <v>130301</v>
      </c>
      <c r="B76" s="430" t="str">
        <f>+POAI!B84</f>
        <v>Regalías carboníferas</v>
      </c>
      <c r="C76" s="431">
        <f>+POAI!C84</f>
        <v>3000000</v>
      </c>
      <c r="D76" s="431">
        <f t="shared" si="0"/>
        <v>3120000</v>
      </c>
      <c r="E76" s="431">
        <f t="shared" si="0"/>
        <v>3244800</v>
      </c>
      <c r="F76" s="431">
        <f t="shared" si="0"/>
        <v>3374592</v>
      </c>
      <c r="G76" s="431"/>
      <c r="H76" s="431">
        <f t="shared" ref="H76:J90" si="4">SUM(G76*4/100)+G76</f>
        <v>0</v>
      </c>
      <c r="I76" s="431">
        <f t="shared" si="4"/>
        <v>0</v>
      </c>
      <c r="J76" s="431">
        <f t="shared" si="4"/>
        <v>0</v>
      </c>
      <c r="K76" s="431"/>
      <c r="L76" s="431"/>
      <c r="M76" s="431"/>
      <c r="N76" s="431"/>
      <c r="O76" s="431"/>
      <c r="P76" s="431"/>
      <c r="Q76" s="431"/>
      <c r="R76" s="431"/>
      <c r="S76" s="431"/>
    </row>
    <row r="77" spans="1:19" s="432" customFormat="1">
      <c r="A77" s="427">
        <f>+POAI!A86</f>
        <v>14</v>
      </c>
      <c r="B77" s="427" t="str">
        <f>+POAI!B86</f>
        <v>FONDOS DE DESTINACION ESPECIFICA</v>
      </c>
      <c r="C77" s="428"/>
      <c r="D77" s="431">
        <f t="shared" si="0"/>
        <v>0</v>
      </c>
      <c r="E77" s="431">
        <f t="shared" si="0"/>
        <v>0</v>
      </c>
      <c r="F77" s="431">
        <f t="shared" si="0"/>
        <v>0</v>
      </c>
      <c r="G77" s="428"/>
      <c r="H77" s="431">
        <f t="shared" si="4"/>
        <v>0</v>
      </c>
      <c r="I77" s="431">
        <f t="shared" si="4"/>
        <v>0</v>
      </c>
      <c r="J77" s="431">
        <f t="shared" si="4"/>
        <v>0</v>
      </c>
      <c r="K77" s="428"/>
      <c r="L77" s="428"/>
      <c r="M77" s="428"/>
      <c r="N77" s="428"/>
      <c r="O77" s="428">
        <f>+POAI!F86</f>
        <v>802735790</v>
      </c>
      <c r="P77" s="431">
        <f>SUM(O77*4/100)+O77</f>
        <v>834845221.60000002</v>
      </c>
      <c r="Q77" s="431">
        <f>SUM(P77*4/100)+P77</f>
        <v>868239030.46399999</v>
      </c>
      <c r="R77" s="431">
        <f>SUM(Q77*4/100)+Q77</f>
        <v>902968591.68255997</v>
      </c>
      <c r="S77" s="428"/>
    </row>
    <row r="78" spans="1:19" s="432" customFormat="1">
      <c r="A78" s="427">
        <f>+POAI!A87</f>
        <v>1401</v>
      </c>
      <c r="B78" s="427" t="str">
        <f>+POAI!B87</f>
        <v>SOBRETASA BOMBERIL</v>
      </c>
      <c r="C78" s="428"/>
      <c r="D78" s="431">
        <f t="shared" si="0"/>
        <v>0</v>
      </c>
      <c r="E78" s="431">
        <f t="shared" si="0"/>
        <v>0</v>
      </c>
      <c r="F78" s="431">
        <f t="shared" si="0"/>
        <v>0</v>
      </c>
      <c r="G78" s="428"/>
      <c r="H78" s="431">
        <f t="shared" si="4"/>
        <v>0</v>
      </c>
      <c r="I78" s="431">
        <f t="shared" si="4"/>
        <v>0</v>
      </c>
      <c r="J78" s="431">
        <f t="shared" si="4"/>
        <v>0</v>
      </c>
      <c r="K78" s="428">
        <f>+POAI!E87</f>
        <v>7000000</v>
      </c>
      <c r="L78" s="431">
        <f>SUM(K78*4/100)+K78</f>
        <v>7280000</v>
      </c>
      <c r="M78" s="431">
        <f>SUM(L78*4/100)+L78</f>
        <v>7571200</v>
      </c>
      <c r="N78" s="431">
        <f>SUM(M78*4/100)+M78</f>
        <v>7874048</v>
      </c>
      <c r="O78" s="428"/>
      <c r="P78" s="428"/>
      <c r="Q78" s="428"/>
      <c r="R78" s="428"/>
      <c r="S78" s="428"/>
    </row>
    <row r="79" spans="1:19" s="429" customFormat="1">
      <c r="A79" s="430">
        <f>+POAI!A88</f>
        <v>140101</v>
      </c>
      <c r="B79" s="430" t="str">
        <f>+POAI!B88</f>
        <v>Sobretasa bomberil</v>
      </c>
      <c r="C79" s="431">
        <f>+POAI!C88</f>
        <v>7000000</v>
      </c>
      <c r="D79" s="431">
        <f t="shared" si="0"/>
        <v>7280000</v>
      </c>
      <c r="E79" s="431">
        <f t="shared" si="0"/>
        <v>7571200</v>
      </c>
      <c r="F79" s="431">
        <f t="shared" si="0"/>
        <v>7874048</v>
      </c>
      <c r="G79" s="431"/>
      <c r="H79" s="431">
        <f t="shared" si="4"/>
        <v>0</v>
      </c>
      <c r="I79" s="431">
        <f t="shared" si="4"/>
        <v>0</v>
      </c>
      <c r="J79" s="431">
        <f t="shared" si="4"/>
        <v>0</v>
      </c>
      <c r="K79" s="431"/>
      <c r="L79" s="431"/>
      <c r="M79" s="431"/>
      <c r="N79" s="431"/>
      <c r="O79" s="431"/>
      <c r="P79" s="431"/>
      <c r="Q79" s="431"/>
      <c r="R79" s="431"/>
      <c r="S79" s="431"/>
    </row>
    <row r="80" spans="1:19" s="432" customFormat="1">
      <c r="A80" s="427">
        <f>+POAI!A90</f>
        <v>1402</v>
      </c>
      <c r="B80" s="427" t="str">
        <f>+POAI!B90</f>
        <v>ESTAMPILLA PRO CULTURA</v>
      </c>
      <c r="C80" s="428"/>
      <c r="D80" s="431">
        <f t="shared" si="0"/>
        <v>0</v>
      </c>
      <c r="E80" s="431">
        <f t="shared" si="0"/>
        <v>0</v>
      </c>
      <c r="F80" s="431">
        <f t="shared" si="0"/>
        <v>0</v>
      </c>
      <c r="G80" s="428"/>
      <c r="H80" s="431">
        <f t="shared" si="4"/>
        <v>0</v>
      </c>
      <c r="I80" s="431">
        <f t="shared" si="4"/>
        <v>0</v>
      </c>
      <c r="J80" s="431">
        <f t="shared" si="4"/>
        <v>0</v>
      </c>
      <c r="K80" s="428">
        <f>+POAI!E90</f>
        <v>10000000</v>
      </c>
      <c r="L80" s="431">
        <f>SUM(K80*4/100)+K80</f>
        <v>10400000</v>
      </c>
      <c r="M80" s="431">
        <f>SUM(L80*4/100)+L80</f>
        <v>10816000</v>
      </c>
      <c r="N80" s="431">
        <f>SUM(M80*4/100)+M80</f>
        <v>11248640</v>
      </c>
      <c r="O80" s="428"/>
      <c r="P80" s="428"/>
      <c r="Q80" s="428"/>
      <c r="R80" s="428"/>
      <c r="S80" s="428"/>
    </row>
    <row r="81" spans="1:19" s="429" customFormat="1">
      <c r="A81" s="430">
        <f>+POAI!A91</f>
        <v>140201</v>
      </c>
      <c r="B81" s="430" t="str">
        <f>+POAI!B91</f>
        <v>Estampilla pro cultura</v>
      </c>
      <c r="C81" s="431">
        <f>+POAI!C91</f>
        <v>10000000</v>
      </c>
      <c r="D81" s="431">
        <f t="shared" si="0"/>
        <v>10400000</v>
      </c>
      <c r="E81" s="431">
        <f t="shared" si="0"/>
        <v>10816000</v>
      </c>
      <c r="F81" s="431">
        <f t="shared" si="0"/>
        <v>11248640</v>
      </c>
      <c r="G81" s="431"/>
      <c r="H81" s="431">
        <f t="shared" si="4"/>
        <v>0</v>
      </c>
      <c r="I81" s="431">
        <f t="shared" si="4"/>
        <v>0</v>
      </c>
      <c r="J81" s="431">
        <f t="shared" si="4"/>
        <v>0</v>
      </c>
      <c r="K81" s="431"/>
      <c r="L81" s="431"/>
      <c r="M81" s="431"/>
      <c r="N81" s="431"/>
      <c r="O81" s="431"/>
      <c r="P81" s="431"/>
      <c r="Q81" s="431"/>
      <c r="R81" s="431"/>
      <c r="S81" s="431"/>
    </row>
    <row r="82" spans="1:19" s="432" customFormat="1">
      <c r="A82" s="427">
        <f>+POAI!A93</f>
        <v>1403</v>
      </c>
      <c r="B82" s="427" t="str">
        <f>+POAI!B93</f>
        <v>ESTAMPILLA PRO ANCIANO</v>
      </c>
      <c r="C82" s="428"/>
      <c r="D82" s="431">
        <f t="shared" si="0"/>
        <v>0</v>
      </c>
      <c r="E82" s="431">
        <f t="shared" si="0"/>
        <v>0</v>
      </c>
      <c r="F82" s="431">
        <f t="shared" si="0"/>
        <v>0</v>
      </c>
      <c r="G82" s="428"/>
      <c r="H82" s="431">
        <f t="shared" si="4"/>
        <v>0</v>
      </c>
      <c r="I82" s="431">
        <f t="shared" si="4"/>
        <v>0</v>
      </c>
      <c r="J82" s="431">
        <f t="shared" si="4"/>
        <v>0</v>
      </c>
      <c r="K82" s="428">
        <f>+POAI!E93</f>
        <v>5000000</v>
      </c>
      <c r="L82" s="431">
        <f>SUM(K82*4/100)+K82</f>
        <v>5200000</v>
      </c>
      <c r="M82" s="431">
        <f>SUM(L82*4/100)+L82</f>
        <v>5408000</v>
      </c>
      <c r="N82" s="431">
        <f>SUM(M82*4/100)+M82</f>
        <v>5624320</v>
      </c>
      <c r="O82" s="428"/>
      <c r="P82" s="428"/>
      <c r="Q82" s="428"/>
      <c r="R82" s="428"/>
      <c r="S82" s="428"/>
    </row>
    <row r="83" spans="1:19" s="429" customFormat="1">
      <c r="A83" s="430">
        <f>+POAI!A94</f>
        <v>140301</v>
      </c>
      <c r="B83" s="430" t="str">
        <f>+POAI!B94</f>
        <v>Estampilla pro bienestar del anciano</v>
      </c>
      <c r="C83" s="431">
        <f>+POAI!C94</f>
        <v>5000000</v>
      </c>
      <c r="D83" s="431">
        <f t="shared" si="0"/>
        <v>5200000</v>
      </c>
      <c r="E83" s="431">
        <f t="shared" si="0"/>
        <v>5408000</v>
      </c>
      <c r="F83" s="431">
        <f t="shared" si="0"/>
        <v>5624320</v>
      </c>
      <c r="G83" s="431"/>
      <c r="H83" s="431">
        <f t="shared" si="4"/>
        <v>0</v>
      </c>
      <c r="I83" s="431">
        <f t="shared" si="4"/>
        <v>0</v>
      </c>
      <c r="J83" s="431">
        <f t="shared" si="4"/>
        <v>0</v>
      </c>
      <c r="K83" s="431"/>
      <c r="L83" s="431"/>
      <c r="M83" s="431"/>
      <c r="N83" s="431"/>
      <c r="O83" s="431"/>
      <c r="P83" s="431"/>
      <c r="Q83" s="431"/>
      <c r="R83" s="431"/>
      <c r="S83" s="431"/>
    </row>
    <row r="84" spans="1:19" s="432" customFormat="1">
      <c r="A84" s="427">
        <f>+POAI!A96</f>
        <v>1404</v>
      </c>
      <c r="B84" s="427" t="str">
        <f>+POAI!B96</f>
        <v>FONDO DE SEGURIDAD</v>
      </c>
      <c r="C84" s="428"/>
      <c r="D84" s="431">
        <f t="shared" si="0"/>
        <v>0</v>
      </c>
      <c r="E84" s="431">
        <f t="shared" si="0"/>
        <v>0</v>
      </c>
      <c r="F84" s="431">
        <f t="shared" si="0"/>
        <v>0</v>
      </c>
      <c r="G84" s="428"/>
      <c r="H84" s="431">
        <f t="shared" si="4"/>
        <v>0</v>
      </c>
      <c r="I84" s="431">
        <f t="shared" si="4"/>
        <v>0</v>
      </c>
      <c r="J84" s="431">
        <f t="shared" si="4"/>
        <v>0</v>
      </c>
      <c r="K84" s="428">
        <f>+POAI!E96</f>
        <v>12000000</v>
      </c>
      <c r="L84" s="431">
        <f>SUM(K84*4/100)+K84</f>
        <v>12480000</v>
      </c>
      <c r="M84" s="431">
        <f>SUM(L84*4/100)+L84</f>
        <v>12979200</v>
      </c>
      <c r="N84" s="431">
        <f>SUM(M84*4/100)+M84</f>
        <v>13498368</v>
      </c>
      <c r="O84" s="428"/>
      <c r="P84" s="428"/>
      <c r="Q84" s="428"/>
      <c r="R84" s="428"/>
      <c r="S84" s="428"/>
    </row>
    <row r="85" spans="1:19" s="429" customFormat="1">
      <c r="A85" s="430">
        <f>+POAI!A97</f>
        <v>140401</v>
      </c>
      <c r="B85" s="430" t="str">
        <f>+POAI!B97</f>
        <v xml:space="preserve">Fondo de seguridad ley 418 de 1997 </v>
      </c>
      <c r="C85" s="431">
        <f>+POAI!C97</f>
        <v>12000000</v>
      </c>
      <c r="D85" s="431">
        <f t="shared" si="0"/>
        <v>12480000</v>
      </c>
      <c r="E85" s="431">
        <f t="shared" si="0"/>
        <v>12979200</v>
      </c>
      <c r="F85" s="431">
        <f t="shared" si="0"/>
        <v>13498368</v>
      </c>
      <c r="G85" s="431"/>
      <c r="H85" s="431">
        <f t="shared" si="4"/>
        <v>0</v>
      </c>
      <c r="I85" s="431">
        <f t="shared" si="4"/>
        <v>0</v>
      </c>
      <c r="J85" s="431">
        <f t="shared" si="4"/>
        <v>0</v>
      </c>
      <c r="K85" s="431"/>
      <c r="L85" s="431"/>
      <c r="M85" s="431"/>
      <c r="N85" s="431"/>
      <c r="O85" s="431"/>
      <c r="P85" s="431"/>
      <c r="Q85" s="431"/>
      <c r="R85" s="431"/>
      <c r="S85" s="431"/>
    </row>
    <row r="86" spans="1:19" s="432" customFormat="1">
      <c r="A86" s="427">
        <f>+POAI!A99</f>
        <v>1405</v>
      </c>
      <c r="B86" s="427" t="str">
        <f>+POAI!B99</f>
        <v>FONDO LOCAL DE SALUD</v>
      </c>
      <c r="C86" s="428"/>
      <c r="D86" s="431">
        <f t="shared" si="0"/>
        <v>0</v>
      </c>
      <c r="E86" s="431">
        <f t="shared" si="0"/>
        <v>0</v>
      </c>
      <c r="F86" s="431">
        <f t="shared" si="0"/>
        <v>0</v>
      </c>
      <c r="G86" s="428"/>
      <c r="H86" s="431">
        <f t="shared" si="4"/>
        <v>0</v>
      </c>
      <c r="I86" s="431">
        <f t="shared" si="4"/>
        <v>0</v>
      </c>
      <c r="J86" s="431">
        <f t="shared" si="4"/>
        <v>0</v>
      </c>
      <c r="K86" s="428">
        <f>+POAI!E99</f>
        <v>768735790</v>
      </c>
      <c r="L86" s="431">
        <f>SUM(K86*4/100)+K86</f>
        <v>799485221.60000002</v>
      </c>
      <c r="M86" s="431">
        <f>SUM(L86*4/100)+L86</f>
        <v>831464630.46399999</v>
      </c>
      <c r="N86" s="431">
        <f>SUM(M86*4/100)+M86</f>
        <v>864723215.68255997</v>
      </c>
      <c r="O86" s="428"/>
      <c r="P86" s="428"/>
      <c r="Q86" s="428"/>
      <c r="R86" s="428"/>
      <c r="S86" s="428"/>
    </row>
    <row r="87" spans="1:19" s="432" customFormat="1">
      <c r="A87" s="427">
        <f>+POAI!A100</f>
        <v>14051</v>
      </c>
      <c r="B87" s="427" t="str">
        <f>+POAI!B100</f>
        <v>PROGRAMA REGIMEN SUBSIDIADO</v>
      </c>
      <c r="C87" s="428"/>
      <c r="D87" s="431">
        <f t="shared" si="0"/>
        <v>0</v>
      </c>
      <c r="E87" s="431">
        <f t="shared" si="0"/>
        <v>0</v>
      </c>
      <c r="F87" s="431">
        <f t="shared" si="0"/>
        <v>0</v>
      </c>
      <c r="G87" s="428">
        <f>+POAI!D100</f>
        <v>746774185</v>
      </c>
      <c r="H87" s="431">
        <f t="shared" si="4"/>
        <v>776645152.39999998</v>
      </c>
      <c r="I87" s="431">
        <f t="shared" si="4"/>
        <v>807710958.49599993</v>
      </c>
      <c r="J87" s="431">
        <f t="shared" si="4"/>
        <v>840019396.83583999</v>
      </c>
      <c r="K87" s="428"/>
      <c r="L87" s="428"/>
      <c r="M87" s="428"/>
      <c r="N87" s="428"/>
      <c r="O87" s="428"/>
      <c r="P87" s="428"/>
      <c r="Q87" s="428"/>
      <c r="R87" s="428"/>
      <c r="S87" s="428"/>
    </row>
    <row r="88" spans="1:19" s="432" customFormat="1">
      <c r="A88" s="430">
        <f>+POAI!A101</f>
        <v>1405101</v>
      </c>
      <c r="B88" s="430" t="str">
        <f>+POAI!B101</f>
        <v>SGP SALUD RÉGIMEN SUBSIDIADO</v>
      </c>
      <c r="C88" s="431">
        <f>+POAI!C101</f>
        <v>547054416</v>
      </c>
      <c r="D88" s="431">
        <f t="shared" si="0"/>
        <v>568936592.63999999</v>
      </c>
      <c r="E88" s="431">
        <f t="shared" si="0"/>
        <v>591694056.34560001</v>
      </c>
      <c r="F88" s="431">
        <f t="shared" si="0"/>
        <v>615361818.599424</v>
      </c>
      <c r="G88" s="431"/>
      <c r="H88" s="431">
        <f t="shared" si="4"/>
        <v>0</v>
      </c>
      <c r="I88" s="431">
        <f t="shared" si="4"/>
        <v>0</v>
      </c>
      <c r="J88" s="431">
        <f t="shared" si="4"/>
        <v>0</v>
      </c>
      <c r="K88" s="431"/>
      <c r="L88" s="431"/>
      <c r="M88" s="431"/>
      <c r="N88" s="431"/>
      <c r="O88" s="431"/>
      <c r="P88" s="431"/>
      <c r="Q88" s="431"/>
      <c r="R88" s="431"/>
      <c r="S88" s="431"/>
    </row>
    <row r="89" spans="1:19" s="432" customFormat="1">
      <c r="A89" s="430">
        <f>+POAI!A102</f>
        <v>1405102</v>
      </c>
      <c r="B89" s="430" t="str">
        <f>+POAI!B102</f>
        <v>SGP PG - LIBRE DESTINACION</v>
      </c>
      <c r="C89" s="431">
        <f>+POAI!C102</f>
        <v>62819769</v>
      </c>
      <c r="D89" s="431">
        <f t="shared" si="0"/>
        <v>65332559.759999998</v>
      </c>
      <c r="E89" s="431">
        <f t="shared" si="0"/>
        <v>67945862.150399998</v>
      </c>
      <c r="F89" s="431">
        <f t="shared" si="0"/>
        <v>70663696.636416003</v>
      </c>
      <c r="G89" s="431"/>
      <c r="H89" s="431">
        <f t="shared" si="4"/>
        <v>0</v>
      </c>
      <c r="I89" s="431">
        <f t="shared" si="4"/>
        <v>0</v>
      </c>
      <c r="J89" s="431">
        <f t="shared" si="4"/>
        <v>0</v>
      </c>
      <c r="K89" s="431"/>
      <c r="L89" s="431"/>
      <c r="M89" s="431"/>
      <c r="N89" s="431"/>
      <c r="O89" s="431"/>
      <c r="P89" s="431"/>
      <c r="Q89" s="431"/>
      <c r="R89" s="431"/>
      <c r="S89" s="431"/>
    </row>
    <row r="90" spans="1:19" s="432" customFormat="1">
      <c r="A90" s="430">
        <f>+POAI!A103</f>
        <v>1405103</v>
      </c>
      <c r="B90" s="430" t="str">
        <f>+POAI!B103</f>
        <v>Recursos ETESA - Régimen subsidiado Continuidad</v>
      </c>
      <c r="C90" s="431">
        <f>+POAI!C103</f>
        <v>6000000</v>
      </c>
      <c r="D90" s="431">
        <f t="shared" si="0"/>
        <v>6240000</v>
      </c>
      <c r="E90" s="431">
        <f t="shared" si="0"/>
        <v>6489600</v>
      </c>
      <c r="F90" s="431">
        <f t="shared" si="0"/>
        <v>6749184</v>
      </c>
      <c r="G90" s="431"/>
      <c r="H90" s="431">
        <f t="shared" si="4"/>
        <v>0</v>
      </c>
      <c r="I90" s="431">
        <f t="shared" si="4"/>
        <v>0</v>
      </c>
      <c r="J90" s="431">
        <f t="shared" si="4"/>
        <v>0</v>
      </c>
      <c r="K90" s="431"/>
      <c r="L90" s="431"/>
      <c r="M90" s="431"/>
      <c r="N90" s="431"/>
      <c r="O90" s="431"/>
      <c r="P90" s="431"/>
      <c r="Q90" s="431"/>
      <c r="R90" s="431"/>
      <c r="S90" s="431"/>
    </row>
    <row r="91" spans="1:19" s="429" customFormat="1">
      <c r="A91" s="430">
        <f>+POAI!A104</f>
        <v>1405104</v>
      </c>
      <c r="B91" s="430" t="str">
        <f>+POAI!B104</f>
        <v>FOSYGA CORRIENTE - Régimen subsidiado Continuidad</v>
      </c>
      <c r="C91" s="431">
        <f>+POAI!C104</f>
        <v>55000000</v>
      </c>
      <c r="D91" s="431">
        <f t="shared" si="0"/>
        <v>57200000</v>
      </c>
      <c r="E91" s="431">
        <f t="shared" si="0"/>
        <v>59488000</v>
      </c>
      <c r="F91" s="431">
        <f t="shared" si="0"/>
        <v>61867520</v>
      </c>
      <c r="G91" s="431"/>
      <c r="H91" s="431"/>
      <c r="I91" s="431">
        <f t="shared" ref="I91:J93" si="5">SUM(H91*4/100)+H91</f>
        <v>0</v>
      </c>
      <c r="J91" s="431">
        <f t="shared" si="5"/>
        <v>0</v>
      </c>
      <c r="K91" s="431"/>
      <c r="L91" s="431"/>
      <c r="M91" s="431"/>
      <c r="N91" s="431"/>
      <c r="O91" s="431"/>
      <c r="P91" s="431"/>
      <c r="Q91" s="431"/>
      <c r="R91" s="431"/>
      <c r="S91" s="431"/>
    </row>
    <row r="92" spans="1:19" s="429" customFormat="1">
      <c r="A92" s="430">
        <f>+POAI!A105</f>
        <v>1405105</v>
      </c>
      <c r="B92" s="430" t="str">
        <f>+POAI!B105</f>
        <v>Aportes Departamento para regimen subsidiado</v>
      </c>
      <c r="C92" s="431">
        <f>+POAI!C105</f>
        <v>75400000</v>
      </c>
      <c r="D92" s="431">
        <f t="shared" si="0"/>
        <v>78416000</v>
      </c>
      <c r="E92" s="431">
        <f t="shared" si="0"/>
        <v>81552640</v>
      </c>
      <c r="F92" s="431">
        <f t="shared" si="0"/>
        <v>84814745.599999994</v>
      </c>
      <c r="G92" s="431"/>
      <c r="H92" s="431"/>
      <c r="I92" s="431">
        <f t="shared" si="5"/>
        <v>0</v>
      </c>
      <c r="J92" s="431">
        <f t="shared" si="5"/>
        <v>0</v>
      </c>
      <c r="K92" s="431"/>
      <c r="L92" s="431"/>
      <c r="M92" s="431"/>
      <c r="N92" s="431"/>
      <c r="O92" s="431"/>
      <c r="P92" s="431"/>
      <c r="Q92" s="431"/>
      <c r="R92" s="431"/>
      <c r="S92" s="431"/>
    </row>
    <row r="93" spans="1:19" s="432" customFormat="1">
      <c r="A93" s="430">
        <f>+POAI!A106</f>
        <v>1405108</v>
      </c>
      <c r="B93" s="430" t="str">
        <f>+POAI!B106</f>
        <v>RECURSOS DE CAPITAL</v>
      </c>
      <c r="C93" s="431"/>
      <c r="D93" s="431">
        <f t="shared" ref="D93:F102" si="6">SUM(C93*4/100)+C93</f>
        <v>0</v>
      </c>
      <c r="E93" s="431">
        <f t="shared" si="6"/>
        <v>0</v>
      </c>
      <c r="F93" s="431">
        <f t="shared" si="6"/>
        <v>0</v>
      </c>
      <c r="G93" s="431"/>
      <c r="H93" s="431"/>
      <c r="I93" s="431">
        <f t="shared" si="5"/>
        <v>0</v>
      </c>
      <c r="J93" s="431">
        <f t="shared" si="5"/>
        <v>0</v>
      </c>
      <c r="K93" s="431"/>
      <c r="L93" s="431"/>
      <c r="M93" s="431"/>
      <c r="N93" s="431"/>
      <c r="O93" s="431"/>
      <c r="P93" s="431"/>
      <c r="Q93" s="431"/>
      <c r="R93" s="431"/>
      <c r="S93" s="431"/>
    </row>
    <row r="94" spans="1:19" s="429" customFormat="1">
      <c r="A94" s="430">
        <f>+POAI!A107</f>
        <v>140510801</v>
      </c>
      <c r="B94" s="430" t="str">
        <f>+POAI!B107</f>
        <v>Rendimientos Financieros Regimen Subsidiado</v>
      </c>
      <c r="C94" s="431">
        <f>+POAI!C107</f>
        <v>500000</v>
      </c>
      <c r="D94" s="431">
        <f t="shared" si="6"/>
        <v>520000</v>
      </c>
      <c r="E94" s="431">
        <f t="shared" si="6"/>
        <v>540800</v>
      </c>
      <c r="F94" s="431">
        <f t="shared" si="6"/>
        <v>562432</v>
      </c>
      <c r="G94" s="431"/>
      <c r="H94" s="431"/>
      <c r="I94" s="431">
        <f>SUM(H94*4/100)+H94</f>
        <v>0</v>
      </c>
      <c r="J94" s="431"/>
      <c r="K94" s="431"/>
      <c r="L94" s="431"/>
      <c r="M94" s="431"/>
      <c r="N94" s="431"/>
      <c r="O94" s="431"/>
      <c r="P94" s="431"/>
      <c r="Q94" s="431"/>
      <c r="R94" s="431"/>
      <c r="S94" s="431"/>
    </row>
    <row r="95" spans="1:19" s="432" customFormat="1">
      <c r="A95" s="427">
        <f>+POAI!A109</f>
        <v>14052</v>
      </c>
      <c r="B95" s="427" t="str">
        <f>+POAI!B109</f>
        <v>PROGRAMA SALUD PUBLICA</v>
      </c>
      <c r="C95" s="428"/>
      <c r="D95" s="431">
        <f t="shared" si="6"/>
        <v>0</v>
      </c>
      <c r="E95" s="431">
        <f t="shared" si="6"/>
        <v>0</v>
      </c>
      <c r="F95" s="431">
        <f t="shared" si="6"/>
        <v>0</v>
      </c>
      <c r="G95" s="428">
        <f>+POAI!D109</f>
        <v>21961605</v>
      </c>
      <c r="H95" s="431">
        <f>SUM(G95*4/100)+G95</f>
        <v>22840069.199999999</v>
      </c>
      <c r="I95" s="431">
        <f>SUM(H95*4/100)+H95</f>
        <v>23753671.967999998</v>
      </c>
      <c r="J95" s="431">
        <f>SUM(I95*4/100)+I95</f>
        <v>24703818.846719999</v>
      </c>
      <c r="K95" s="428"/>
      <c r="L95" s="428"/>
      <c r="M95" s="428"/>
      <c r="N95" s="428"/>
      <c r="O95" s="428"/>
      <c r="P95" s="428"/>
      <c r="Q95" s="428"/>
      <c r="R95" s="428"/>
      <c r="S95" s="428"/>
    </row>
    <row r="96" spans="1:19" s="429" customFormat="1">
      <c r="A96" s="430">
        <f>+POAI!A110</f>
        <v>1405201</v>
      </c>
      <c r="B96" s="430" t="str">
        <f>+POAI!B110</f>
        <v>SGP-SALUD Plan territorial de salud</v>
      </c>
      <c r="C96" s="431">
        <f>+POAI!C110</f>
        <v>21961605</v>
      </c>
      <c r="D96" s="431">
        <f t="shared" si="6"/>
        <v>22840069.199999999</v>
      </c>
      <c r="E96" s="431">
        <f t="shared" si="6"/>
        <v>23753671.967999998</v>
      </c>
      <c r="F96" s="431">
        <f t="shared" si="6"/>
        <v>24703818.846719999</v>
      </c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</row>
    <row r="97" spans="1:19" s="432" customFormat="1" hidden="1">
      <c r="A97" s="427">
        <f>+POAI!A112</f>
        <v>1405208</v>
      </c>
      <c r="B97" s="427" t="str">
        <f>+POAI!B112</f>
        <v>RECURSOS DE CAPITAL</v>
      </c>
      <c r="C97" s="428"/>
      <c r="D97" s="431">
        <f t="shared" si="6"/>
        <v>0</v>
      </c>
      <c r="E97" s="431">
        <f t="shared" si="6"/>
        <v>0</v>
      </c>
      <c r="F97" s="431">
        <f t="shared" si="6"/>
        <v>0</v>
      </c>
      <c r="G97" s="428">
        <f>+POAI!D112</f>
        <v>0</v>
      </c>
      <c r="H97" s="431">
        <f t="shared" ref="H97:J98" si="7">SUM(G97*4/100)+G97</f>
        <v>0</v>
      </c>
      <c r="I97" s="431">
        <f t="shared" si="7"/>
        <v>0</v>
      </c>
      <c r="J97" s="431">
        <f t="shared" si="7"/>
        <v>0</v>
      </c>
      <c r="K97" s="428"/>
      <c r="L97" s="428"/>
      <c r="M97" s="428"/>
      <c r="N97" s="428"/>
      <c r="O97" s="428"/>
      <c r="P97" s="428"/>
      <c r="Q97" s="428"/>
      <c r="R97" s="428"/>
      <c r="S97" s="428"/>
    </row>
    <row r="98" spans="1:19" s="432" customFormat="1" hidden="1">
      <c r="A98" s="430">
        <f>+POAI!A113</f>
        <v>140520801</v>
      </c>
      <c r="B98" s="430" t="str">
        <f>+POAI!B113</f>
        <v>Rendimientos Financieros Salud Publica</v>
      </c>
      <c r="C98" s="431">
        <f>+POAI!C113</f>
        <v>0</v>
      </c>
      <c r="D98" s="431">
        <f t="shared" si="6"/>
        <v>0</v>
      </c>
      <c r="E98" s="431">
        <f t="shared" si="6"/>
        <v>0</v>
      </c>
      <c r="F98" s="431">
        <f t="shared" si="6"/>
        <v>0</v>
      </c>
      <c r="G98" s="431"/>
      <c r="H98" s="431">
        <f t="shared" si="7"/>
        <v>0</v>
      </c>
      <c r="I98" s="431">
        <f t="shared" si="7"/>
        <v>0</v>
      </c>
      <c r="J98" s="431">
        <f t="shared" si="7"/>
        <v>0</v>
      </c>
      <c r="K98" s="431"/>
      <c r="L98" s="431"/>
      <c r="M98" s="431"/>
      <c r="N98" s="431"/>
      <c r="O98" s="431"/>
      <c r="P98" s="431"/>
      <c r="Q98" s="431"/>
      <c r="R98" s="431"/>
      <c r="S98" s="431"/>
    </row>
    <row r="99" spans="1:19" s="432" customFormat="1" hidden="1">
      <c r="A99" s="427">
        <f>+POAI!A115</f>
        <v>15</v>
      </c>
      <c r="B99" s="427" t="str">
        <f>+POAI!B115</f>
        <v>RECURSOS DE CAPITAL</v>
      </c>
      <c r="C99" s="428"/>
      <c r="D99" s="431">
        <f t="shared" si="6"/>
        <v>0</v>
      </c>
      <c r="E99" s="431">
        <f t="shared" si="6"/>
        <v>0</v>
      </c>
      <c r="F99" s="431">
        <f t="shared" si="6"/>
        <v>0</v>
      </c>
      <c r="G99" s="428"/>
      <c r="H99" s="428"/>
      <c r="I99" s="428"/>
      <c r="J99" s="428"/>
      <c r="K99" s="428">
        <f>+POAI!E115</f>
        <v>0</v>
      </c>
      <c r="L99" s="428"/>
      <c r="M99" s="428"/>
      <c r="N99" s="428"/>
      <c r="O99" s="428"/>
      <c r="P99" s="428"/>
      <c r="Q99" s="428"/>
      <c r="R99" s="428"/>
      <c r="S99" s="428"/>
    </row>
    <row r="100" spans="1:19" s="432" customFormat="1" hidden="1">
      <c r="A100" s="427">
        <f>+POAI!A117</f>
        <v>151</v>
      </c>
      <c r="B100" s="427" t="str">
        <f>+POAI!B117</f>
        <v>RENDIMIENTOS DE OPERACIONES FINANCIERAS</v>
      </c>
      <c r="C100" s="428"/>
      <c r="D100" s="431">
        <f t="shared" si="6"/>
        <v>0</v>
      </c>
      <c r="E100" s="431">
        <f t="shared" si="6"/>
        <v>0</v>
      </c>
      <c r="F100" s="431">
        <f t="shared" si="6"/>
        <v>0</v>
      </c>
      <c r="G100" s="428">
        <f>+POAI!D117</f>
        <v>0</v>
      </c>
      <c r="H100" s="428"/>
      <c r="I100" s="428"/>
      <c r="J100" s="428"/>
      <c r="K100" s="428">
        <f>+POAI!E117</f>
        <v>0</v>
      </c>
      <c r="L100" s="428"/>
      <c r="M100" s="428"/>
      <c r="N100" s="428"/>
      <c r="O100" s="428"/>
      <c r="P100" s="428"/>
      <c r="Q100" s="428"/>
      <c r="R100" s="428"/>
      <c r="S100" s="428"/>
    </row>
    <row r="101" spans="1:19" s="429" customFormat="1" hidden="1">
      <c r="A101" s="430">
        <f>+POAI!A118</f>
        <v>15101</v>
      </c>
      <c r="B101" s="430" t="str">
        <f>+POAI!B118</f>
        <v>Intereses y dividendos recursos SGP Proposito General</v>
      </c>
      <c r="C101" s="431">
        <f>+POAI!C118</f>
        <v>0</v>
      </c>
      <c r="D101" s="431">
        <f t="shared" si="6"/>
        <v>0</v>
      </c>
      <c r="E101" s="431">
        <f t="shared" si="6"/>
        <v>0</v>
      </c>
      <c r="F101" s="431">
        <f t="shared" si="6"/>
        <v>0</v>
      </c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</row>
    <row r="102" spans="1:19" s="432" customFormat="1" hidden="1">
      <c r="A102" s="430">
        <f>+POAI!A119</f>
        <v>15102</v>
      </c>
      <c r="B102" s="430" t="str">
        <f>+POAI!B119</f>
        <v>Intereses y dividendos recursos de regalìas</v>
      </c>
      <c r="C102" s="431">
        <f>+POAI!C119</f>
        <v>0</v>
      </c>
      <c r="D102" s="431">
        <f t="shared" si="6"/>
        <v>0</v>
      </c>
      <c r="E102" s="431">
        <f t="shared" si="6"/>
        <v>0</v>
      </c>
      <c r="F102" s="431">
        <f t="shared" si="6"/>
        <v>0</v>
      </c>
      <c r="G102" s="431"/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</row>
    <row r="103" spans="1:19">
      <c r="A103" s="433"/>
      <c r="B103" s="434"/>
      <c r="C103" s="435"/>
      <c r="D103" s="431"/>
      <c r="E103" s="431"/>
      <c r="F103" s="431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5"/>
    </row>
    <row r="104" spans="1:19" ht="13.5" thickBot="1">
      <c r="A104" s="436"/>
      <c r="B104" s="437"/>
      <c r="C104" s="437"/>
      <c r="D104" s="431"/>
      <c r="E104" s="431"/>
      <c r="F104" s="431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</row>
    <row r="105" spans="1:19">
      <c r="B105" s="439" t="s">
        <v>183</v>
      </c>
      <c r="C105" s="440">
        <f>+POAI!C122</f>
        <v>875163289</v>
      </c>
      <c r="D105" s="431">
        <f t="shared" ref="D105:F114" si="8">SUM(C105*4/100)+C105</f>
        <v>910169820.55999994</v>
      </c>
      <c r="E105" s="431">
        <f t="shared" si="8"/>
        <v>946576613.38239992</v>
      </c>
      <c r="F105" s="431">
        <f t="shared" si="8"/>
        <v>984439677.91769588</v>
      </c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</row>
    <row r="106" spans="1:19">
      <c r="B106" s="442" t="s">
        <v>211</v>
      </c>
      <c r="C106" s="443">
        <f>+POAI!C123</f>
        <v>700130631.20000005</v>
      </c>
      <c r="D106" s="431">
        <f t="shared" si="8"/>
        <v>728135856.44800007</v>
      </c>
      <c r="E106" s="431">
        <f t="shared" si="8"/>
        <v>757261290.7059201</v>
      </c>
      <c r="F106" s="431">
        <f t="shared" si="8"/>
        <v>787551742.33415687</v>
      </c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</row>
    <row r="107" spans="1:19">
      <c r="B107" s="442" t="s">
        <v>180</v>
      </c>
      <c r="C107" s="443">
        <f>+POAI!C124</f>
        <v>499837400</v>
      </c>
      <c r="D107" s="431">
        <f t="shared" si="8"/>
        <v>519830896</v>
      </c>
      <c r="E107" s="431">
        <f t="shared" si="8"/>
        <v>540624131.84000003</v>
      </c>
      <c r="F107" s="431">
        <f t="shared" si="8"/>
        <v>562249097.11360002</v>
      </c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</row>
    <row r="108" spans="1:19">
      <c r="B108" s="442" t="s">
        <v>605</v>
      </c>
      <c r="C108" s="443">
        <f>+POAI!C125</f>
        <v>92041050</v>
      </c>
      <c r="D108" s="431">
        <f t="shared" si="8"/>
        <v>95722692</v>
      </c>
      <c r="E108" s="431">
        <f t="shared" si="8"/>
        <v>99551599.680000007</v>
      </c>
      <c r="F108" s="431">
        <f t="shared" si="8"/>
        <v>103533663.66720001</v>
      </c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</row>
    <row r="109" spans="1:19">
      <c r="B109" s="442" t="s">
        <v>606</v>
      </c>
      <c r="C109" s="443">
        <f>+POAI!C126</f>
        <v>83553600</v>
      </c>
      <c r="D109" s="431">
        <f t="shared" si="8"/>
        <v>86895744</v>
      </c>
      <c r="E109" s="431">
        <f t="shared" si="8"/>
        <v>90371573.760000005</v>
      </c>
      <c r="F109" s="431">
        <f t="shared" si="8"/>
        <v>93986436.7104</v>
      </c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</row>
    <row r="110" spans="1:19">
      <c r="B110" s="444" t="s">
        <v>181</v>
      </c>
      <c r="C110" s="443">
        <f>+POAI!C127</f>
        <v>675432050</v>
      </c>
      <c r="D110" s="431">
        <f t="shared" si="8"/>
        <v>702449332</v>
      </c>
      <c r="E110" s="431">
        <f t="shared" si="8"/>
        <v>730547305.27999997</v>
      </c>
      <c r="F110" s="431">
        <f t="shared" si="8"/>
        <v>759769197.49119997</v>
      </c>
      <c r="G110" s="445">
        <f>+C106-C110</f>
        <v>24698581.200000048</v>
      </c>
      <c r="H110" s="445"/>
      <c r="I110" s="445"/>
      <c r="J110" s="445"/>
      <c r="K110" s="441"/>
      <c r="L110" s="441"/>
      <c r="M110" s="441"/>
      <c r="N110" s="441"/>
      <c r="O110" s="441"/>
      <c r="P110" s="441"/>
      <c r="Q110" s="441"/>
      <c r="R110" s="441"/>
      <c r="S110" s="441"/>
    </row>
    <row r="111" spans="1:19">
      <c r="B111" s="442" t="s">
        <v>182</v>
      </c>
      <c r="C111" s="443">
        <f>+POAI!C128</f>
        <v>199731239</v>
      </c>
      <c r="D111" s="431">
        <f t="shared" si="8"/>
        <v>207720488.56</v>
      </c>
      <c r="E111" s="431">
        <f t="shared" si="8"/>
        <v>216029308.1024</v>
      </c>
      <c r="F111" s="431">
        <f t="shared" si="8"/>
        <v>224670480.426496</v>
      </c>
      <c r="G111" s="445">
        <f>+C107/(C105-C108)</f>
        <v>0.63826229815445201</v>
      </c>
      <c r="H111" s="445"/>
      <c r="I111" s="445"/>
      <c r="J111" s="445"/>
      <c r="K111" s="441"/>
      <c r="L111" s="441"/>
      <c r="M111" s="441"/>
      <c r="N111" s="441"/>
      <c r="O111" s="441"/>
      <c r="P111" s="441"/>
      <c r="Q111" s="441"/>
      <c r="R111" s="441"/>
      <c r="S111" s="441"/>
    </row>
    <row r="112" spans="1:19">
      <c r="B112" s="442" t="s">
        <v>469</v>
      </c>
      <c r="C112" s="443">
        <f>+POAI!C129</f>
        <v>2115616100</v>
      </c>
      <c r="D112" s="431">
        <f t="shared" si="8"/>
        <v>2200240744</v>
      </c>
      <c r="E112" s="431">
        <f t="shared" si="8"/>
        <v>2288250373.7600002</v>
      </c>
      <c r="F112" s="431">
        <f t="shared" si="8"/>
        <v>2379780388.7104001</v>
      </c>
      <c r="G112" s="445">
        <f>+C107/C105*100</f>
        <v>57.113615971156214</v>
      </c>
      <c r="H112" s="445"/>
      <c r="I112" s="445"/>
      <c r="J112" s="445"/>
      <c r="K112" s="441"/>
      <c r="L112" s="441"/>
      <c r="M112" s="441"/>
      <c r="N112" s="441"/>
      <c r="O112" s="441"/>
      <c r="P112" s="441"/>
      <c r="Q112" s="441"/>
      <c r="R112" s="441"/>
      <c r="S112" s="441"/>
    </row>
    <row r="113" spans="1:24">
      <c r="B113" s="444" t="s">
        <v>85</v>
      </c>
      <c r="C113" s="443">
        <f>+POAI!C130</f>
        <v>2315347339</v>
      </c>
      <c r="D113" s="431">
        <f t="shared" si="8"/>
        <v>2407961232.5599999</v>
      </c>
      <c r="E113" s="431">
        <f t="shared" si="8"/>
        <v>2504279681.8624001</v>
      </c>
      <c r="F113" s="431">
        <f t="shared" si="8"/>
        <v>2604450869.1368961</v>
      </c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</row>
    <row r="114" spans="1:24">
      <c r="B114" s="442" t="s">
        <v>184</v>
      </c>
      <c r="C114" s="443">
        <f>+POAI!C131</f>
        <v>2990779389</v>
      </c>
      <c r="D114" s="431">
        <f t="shared" si="8"/>
        <v>3110410564.5599999</v>
      </c>
      <c r="E114" s="431">
        <f t="shared" si="8"/>
        <v>3234826987.1423998</v>
      </c>
      <c r="F114" s="431">
        <f t="shared" si="8"/>
        <v>3364220066.6280956</v>
      </c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6"/>
      <c r="U114" s="447" t="s">
        <v>86</v>
      </c>
      <c r="V114" s="447" t="s">
        <v>87</v>
      </c>
      <c r="W114" s="447" t="s">
        <v>88</v>
      </c>
      <c r="X114" s="447" t="s">
        <v>89</v>
      </c>
    </row>
    <row r="115" spans="1:24" ht="13.5" thickBot="1">
      <c r="B115" s="448" t="s">
        <v>150</v>
      </c>
      <c r="C115" s="449"/>
      <c r="D115" s="431"/>
      <c r="E115" s="431"/>
      <c r="F115" s="43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6"/>
      <c r="U115" s="446"/>
      <c r="V115" s="446"/>
      <c r="W115" s="446"/>
      <c r="X115" s="446"/>
    </row>
    <row r="116" spans="1:24" s="451" customFormat="1">
      <c r="A116" s="450"/>
      <c r="B116" s="441"/>
      <c r="C116" s="441"/>
      <c r="D116" s="441"/>
      <c r="E116" s="441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6"/>
      <c r="U116" s="446"/>
      <c r="V116" s="446"/>
      <c r="W116" s="446"/>
      <c r="X116" s="446"/>
    </row>
    <row r="117" spans="1:24" s="451" customFormat="1">
      <c r="A117" s="450"/>
      <c r="B117" s="441"/>
      <c r="C117" s="441"/>
      <c r="D117" s="441"/>
      <c r="E117" s="441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6"/>
      <c r="U117" s="446"/>
      <c r="V117" s="446"/>
      <c r="W117" s="446"/>
      <c r="X117" s="446"/>
    </row>
    <row r="118" spans="1:24" s="279" customFormat="1" ht="12" customHeight="1">
      <c r="A118" s="518" t="str">
        <f>+POAI!A135</f>
        <v>ARTICULO 2.- Autorizar para la vigencia del 2012 el presupuesto de gastos conforme el siguiente pormenor por la suma de:</v>
      </c>
      <c r="B118" s="518"/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277"/>
      <c r="Q118" s="277"/>
      <c r="R118" s="277"/>
      <c r="S118" s="277">
        <f>+POAI!G135</f>
        <v>2990779389</v>
      </c>
      <c r="T118" s="452">
        <f>+S118-S18</f>
        <v>0</v>
      </c>
      <c r="U118" s="452">
        <f>+S21-S120</f>
        <v>21961605</v>
      </c>
      <c r="V118" s="453"/>
      <c r="W118" s="452"/>
      <c r="X118" s="452"/>
    </row>
    <row r="119" spans="1:24" s="279" customFormat="1" ht="12" customHeight="1" thickBot="1">
      <c r="A119" s="454"/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4"/>
      <c r="Q119" s="454"/>
      <c r="R119" s="454"/>
      <c r="S119" s="277"/>
    </row>
    <row r="120" spans="1:24">
      <c r="A120" s="455" t="s">
        <v>173</v>
      </c>
      <c r="B120" s="456" t="s">
        <v>20</v>
      </c>
      <c r="C120" s="456"/>
      <c r="D120" s="456"/>
      <c r="E120" s="456"/>
      <c r="F120" s="456"/>
      <c r="G120" s="457"/>
      <c r="H120" s="457"/>
      <c r="I120" s="457"/>
      <c r="J120" s="457"/>
      <c r="K120" s="457"/>
      <c r="L120" s="457"/>
      <c r="M120" s="457"/>
      <c r="N120" s="457"/>
      <c r="O120" s="457" t="s">
        <v>115</v>
      </c>
      <c r="P120" s="499"/>
      <c r="Q120" s="499"/>
      <c r="R120" s="499"/>
      <c r="S120" s="458">
        <f>+S121+S125+S129</f>
        <v>2968817784</v>
      </c>
    </row>
    <row r="121" spans="1:24">
      <c r="A121" s="459" t="s">
        <v>188</v>
      </c>
      <c r="B121" s="460" t="s">
        <v>161</v>
      </c>
      <c r="C121" s="461"/>
      <c r="D121" s="461"/>
      <c r="E121" s="461"/>
      <c r="F121" s="461"/>
      <c r="G121" s="460"/>
      <c r="H121" s="460"/>
      <c r="I121" s="460"/>
      <c r="J121" s="460"/>
      <c r="K121" s="460"/>
      <c r="L121" s="460"/>
      <c r="M121" s="460"/>
      <c r="N121" s="460"/>
      <c r="O121" s="460"/>
      <c r="P121" s="500"/>
      <c r="Q121" s="500"/>
      <c r="R121" s="500"/>
      <c r="S121" s="462">
        <f>+O122+O123+O124</f>
        <v>675432050</v>
      </c>
    </row>
    <row r="122" spans="1:24">
      <c r="A122" s="459" t="str">
        <f>+'ANEXO1. GASTOS FUNCIONAMIENTO'!A3</f>
        <v>213</v>
      </c>
      <c r="B122" s="463" t="str">
        <f>+'ANEXO1. GASTOS FUNCIONAMIENTO'!B3</f>
        <v>ALCALDIA  Y SUS DEPENDENCIAS</v>
      </c>
      <c r="C122" s="461"/>
      <c r="D122" s="461"/>
      <c r="E122" s="461"/>
      <c r="F122" s="461"/>
      <c r="G122" s="464"/>
      <c r="H122" s="464"/>
      <c r="I122" s="464"/>
      <c r="J122" s="464"/>
      <c r="K122" s="463"/>
      <c r="L122" s="463"/>
      <c r="M122" s="463"/>
      <c r="N122" s="463"/>
      <c r="O122" s="460">
        <f>+'ANEXO1. GASTOS FUNCIONAMIENTO'!F3</f>
        <v>499837400</v>
      </c>
      <c r="P122" s="431">
        <f t="shared" ref="P122:R124" si="9">SUM(O122*4/100)+O122</f>
        <v>519830896</v>
      </c>
      <c r="Q122" s="431">
        <f t="shared" si="9"/>
        <v>540624131.84000003</v>
      </c>
      <c r="R122" s="431">
        <f t="shared" si="9"/>
        <v>562249097.11360002</v>
      </c>
      <c r="S122" s="465"/>
    </row>
    <row r="123" spans="1:24">
      <c r="A123" s="459" t="s">
        <v>189</v>
      </c>
      <c r="B123" s="460" t="s">
        <v>218</v>
      </c>
      <c r="C123" s="461"/>
      <c r="D123" s="461"/>
      <c r="E123" s="461"/>
      <c r="F123" s="461"/>
      <c r="G123" s="460"/>
      <c r="H123" s="486"/>
      <c r="I123" s="486"/>
      <c r="J123" s="486"/>
      <c r="K123" s="276"/>
      <c r="L123" s="276"/>
      <c r="M123" s="276"/>
      <c r="N123" s="276"/>
      <c r="O123" s="460">
        <f>+'GASTOS CONCEJO'!B24</f>
        <v>92041050</v>
      </c>
      <c r="P123" s="431">
        <f t="shared" si="9"/>
        <v>95722692</v>
      </c>
      <c r="Q123" s="431">
        <f t="shared" si="9"/>
        <v>99551599.680000007</v>
      </c>
      <c r="R123" s="431">
        <f t="shared" si="9"/>
        <v>103533663.66720001</v>
      </c>
      <c r="S123" s="462"/>
    </row>
    <row r="124" spans="1:24">
      <c r="A124" s="459" t="s">
        <v>190</v>
      </c>
      <c r="B124" s="460" t="s">
        <v>219</v>
      </c>
      <c r="C124" s="466"/>
      <c r="D124" s="466"/>
      <c r="E124" s="466"/>
      <c r="F124" s="466"/>
      <c r="G124" s="467"/>
      <c r="H124" s="441"/>
      <c r="I124" s="441"/>
      <c r="J124" s="441"/>
      <c r="K124" s="276"/>
      <c r="L124" s="276"/>
      <c r="M124" s="276"/>
      <c r="N124" s="276"/>
      <c r="O124" s="460">
        <f>+'ANEXO X. PROYECCION DE NOMINA'!K5*150</f>
        <v>83553600</v>
      </c>
      <c r="P124" s="431">
        <f t="shared" si="9"/>
        <v>86895744</v>
      </c>
      <c r="Q124" s="431">
        <f t="shared" si="9"/>
        <v>90371573.760000005</v>
      </c>
      <c r="R124" s="431">
        <f t="shared" si="9"/>
        <v>93986436.7104</v>
      </c>
      <c r="S124" s="468"/>
    </row>
    <row r="125" spans="1:24">
      <c r="A125" s="469">
        <v>22</v>
      </c>
      <c r="B125" s="470" t="s">
        <v>65</v>
      </c>
      <c r="C125" s="471"/>
      <c r="D125" s="471"/>
      <c r="E125" s="471"/>
      <c r="F125" s="471"/>
      <c r="G125" s="471"/>
      <c r="H125" s="471"/>
      <c r="I125" s="471"/>
      <c r="J125" s="471"/>
      <c r="K125" s="472"/>
      <c r="L125" s="472"/>
      <c r="M125" s="472"/>
      <c r="N125" s="472"/>
      <c r="O125" s="467"/>
      <c r="P125" s="501"/>
      <c r="Q125" s="501"/>
      <c r="R125" s="501"/>
      <c r="S125" s="462">
        <f>+G126</f>
        <v>266600000</v>
      </c>
    </row>
    <row r="126" spans="1:24">
      <c r="A126" s="469">
        <v>221</v>
      </c>
      <c r="B126" s="470" t="s">
        <v>64</v>
      </c>
      <c r="C126" s="471"/>
      <c r="D126" s="471"/>
      <c r="E126" s="471"/>
      <c r="F126" s="471"/>
      <c r="G126" s="472">
        <f>SUM(C127:C128)</f>
        <v>266600000</v>
      </c>
      <c r="H126" s="431">
        <f>SUM(G126*4/100)+G126</f>
        <v>277264000</v>
      </c>
      <c r="I126" s="431">
        <f>SUM(H126*4/100)+H126</f>
        <v>288354560</v>
      </c>
      <c r="J126" s="431">
        <f>SUM(I126*4/100)+I126</f>
        <v>299888742.39999998</v>
      </c>
      <c r="K126" s="467"/>
      <c r="L126" s="467"/>
      <c r="M126" s="467"/>
      <c r="N126" s="467"/>
      <c r="O126" s="467"/>
      <c r="P126" s="501"/>
      <c r="Q126" s="501"/>
      <c r="R126" s="501"/>
      <c r="S126" s="468"/>
    </row>
    <row r="127" spans="1:24">
      <c r="A127" s="473" t="s">
        <v>634</v>
      </c>
      <c r="B127" s="474" t="str">
        <f>+POAI!B443</f>
        <v>Amortización capital servicio a la deuda otros sectores</v>
      </c>
      <c r="C127" s="475">
        <f>+POAI!C443</f>
        <v>234600000</v>
      </c>
      <c r="D127" s="431">
        <f t="shared" ref="D127:F128" si="10">SUM(C127*4/100)+C127</f>
        <v>243984000</v>
      </c>
      <c r="E127" s="431">
        <f t="shared" si="10"/>
        <v>253743360</v>
      </c>
      <c r="F127" s="431">
        <f t="shared" si="10"/>
        <v>263893094.40000001</v>
      </c>
      <c r="G127" s="471"/>
      <c r="H127" s="471"/>
      <c r="I127" s="471"/>
      <c r="J127" s="471"/>
      <c r="K127" s="467"/>
      <c r="L127" s="467"/>
      <c r="M127" s="467"/>
      <c r="N127" s="467"/>
      <c r="O127" s="467"/>
      <c r="P127" s="501"/>
      <c r="Q127" s="501"/>
      <c r="R127" s="501"/>
      <c r="S127" s="468"/>
    </row>
    <row r="128" spans="1:24">
      <c r="A128" s="473">
        <v>22102</v>
      </c>
      <c r="B128" s="474" t="str">
        <f>+POAI!B444</f>
        <v>Amortización intereses servicio a la deuda otros sectores</v>
      </c>
      <c r="C128" s="475">
        <f>+POAI!C444</f>
        <v>32000000</v>
      </c>
      <c r="D128" s="431">
        <f t="shared" si="10"/>
        <v>33280000</v>
      </c>
      <c r="E128" s="431">
        <f t="shared" si="10"/>
        <v>34611200</v>
      </c>
      <c r="F128" s="431">
        <f t="shared" si="10"/>
        <v>35995648</v>
      </c>
      <c r="G128" s="471"/>
      <c r="H128" s="471"/>
      <c r="I128" s="471"/>
      <c r="J128" s="471"/>
      <c r="K128" s="467"/>
      <c r="L128" s="467"/>
      <c r="M128" s="467"/>
      <c r="N128" s="467"/>
      <c r="O128" s="467"/>
      <c r="P128" s="501"/>
      <c r="Q128" s="501"/>
      <c r="R128" s="501"/>
      <c r="S128" s="468"/>
    </row>
    <row r="129" spans="1:19">
      <c r="A129" s="469">
        <v>23</v>
      </c>
      <c r="B129" s="470" t="s">
        <v>98</v>
      </c>
      <c r="C129" s="471"/>
      <c r="D129" s="431"/>
      <c r="E129" s="431"/>
      <c r="F129" s="431"/>
      <c r="G129" s="471"/>
      <c r="H129" s="471"/>
      <c r="I129" s="471"/>
      <c r="J129" s="471"/>
      <c r="K129" s="467"/>
      <c r="L129" s="467"/>
      <c r="M129" s="467"/>
      <c r="N129" s="467"/>
      <c r="O129" s="467"/>
      <c r="P129" s="501"/>
      <c r="Q129" s="501"/>
      <c r="R129" s="501"/>
      <c r="S129" s="476">
        <f>+O130+O275+O383+O401</f>
        <v>2026785734</v>
      </c>
    </row>
    <row r="130" spans="1:19" ht="12" customHeight="1">
      <c r="A130" s="469">
        <v>231</v>
      </c>
      <c r="B130" s="470" t="s">
        <v>63</v>
      </c>
      <c r="C130" s="471"/>
      <c r="D130" s="431"/>
      <c r="E130" s="431"/>
      <c r="F130" s="431"/>
      <c r="G130" s="471"/>
      <c r="H130" s="471"/>
      <c r="I130" s="471"/>
      <c r="J130" s="471"/>
      <c r="K130" s="467"/>
      <c r="L130" s="467"/>
      <c r="M130" s="467"/>
      <c r="N130" s="467"/>
      <c r="O130" s="472">
        <f>SUM(K131:K199)</f>
        <v>1105510549</v>
      </c>
      <c r="P130" s="431">
        <f>SUM(O130*4/100)+O130</f>
        <v>1149730970.96</v>
      </c>
      <c r="Q130" s="431">
        <f>SUM(P130*4/100)+P130</f>
        <v>1195720209.7983999</v>
      </c>
      <c r="R130" s="431">
        <f>SUM(Q130*4/100)+Q130</f>
        <v>1243549018.190336</v>
      </c>
      <c r="S130" s="468"/>
    </row>
    <row r="131" spans="1:19">
      <c r="A131" s="469">
        <v>2311</v>
      </c>
      <c r="B131" s="477" t="str">
        <f>+POAI!A220</f>
        <v>SECTOR DE INVERSION</v>
      </c>
      <c r="C131" s="471"/>
      <c r="D131" s="431"/>
      <c r="E131" s="431"/>
      <c r="F131" s="431"/>
      <c r="G131" s="471"/>
      <c r="H131" s="471"/>
      <c r="I131" s="471"/>
      <c r="J131" s="471"/>
      <c r="K131" s="472">
        <f>SUM(G132:G144)</f>
        <v>125914354</v>
      </c>
      <c r="L131" s="431">
        <f>SUM(K131*4/100)+K131</f>
        <v>130950928.16</v>
      </c>
      <c r="M131" s="431">
        <f>SUM(L131*4/100)+L131</f>
        <v>136188965.28639999</v>
      </c>
      <c r="N131" s="431">
        <f>SUM(M131*4/100)+M131</f>
        <v>141636523.897856</v>
      </c>
      <c r="O131" s="467"/>
      <c r="P131" s="501"/>
      <c r="Q131" s="501"/>
      <c r="R131" s="501"/>
      <c r="S131" s="468"/>
    </row>
    <row r="132" spans="1:19" ht="25.5">
      <c r="A132" s="469">
        <v>231101</v>
      </c>
      <c r="B132" s="477" t="str">
        <f>+POAI!B224</f>
        <v>PROGRAMA: LA EDUCACION, RESPONSABILIDAD Y CONCIENCIA DE TODOS</v>
      </c>
      <c r="C132" s="471"/>
      <c r="D132" s="431"/>
      <c r="E132" s="431"/>
      <c r="F132" s="431"/>
      <c r="G132" s="472">
        <f>SUM(C133:C138)</f>
        <v>105647000</v>
      </c>
      <c r="H132" s="431">
        <f>SUM(G132*4/100)+G132</f>
        <v>109872880</v>
      </c>
      <c r="I132" s="431">
        <f>SUM(H132*4/100)+H132</f>
        <v>114267795.2</v>
      </c>
      <c r="J132" s="431">
        <f>SUM(I132*4/100)+I132</f>
        <v>118838507.008</v>
      </c>
      <c r="K132" s="467"/>
      <c r="L132" s="467"/>
      <c r="M132" s="467"/>
      <c r="N132" s="467"/>
      <c r="O132" s="467"/>
      <c r="P132" s="501"/>
      <c r="Q132" s="501"/>
      <c r="R132" s="501"/>
      <c r="S132" s="468"/>
    </row>
    <row r="133" spans="1:19">
      <c r="A133" s="473">
        <v>23110101</v>
      </c>
      <c r="B133" s="474" t="str">
        <f>+POAI!B225</f>
        <v>Subprograma: matrícula gratuita en instituciones educativas</v>
      </c>
      <c r="C133" s="475">
        <f>+POAI!C225</f>
        <v>32647000</v>
      </c>
      <c r="D133" s="431">
        <f t="shared" ref="D133:F138" si="11">SUM(C133*4/100)+C133</f>
        <v>33952880</v>
      </c>
      <c r="E133" s="431">
        <f t="shared" si="11"/>
        <v>35310995.200000003</v>
      </c>
      <c r="F133" s="431">
        <f t="shared" si="11"/>
        <v>36723435.008000001</v>
      </c>
      <c r="G133" s="471"/>
      <c r="H133" s="471"/>
      <c r="I133" s="471"/>
      <c r="J133" s="471"/>
      <c r="K133" s="467"/>
      <c r="L133" s="467"/>
      <c r="M133" s="467"/>
      <c r="N133" s="467"/>
      <c r="O133" s="467"/>
      <c r="P133" s="501"/>
      <c r="Q133" s="501"/>
      <c r="R133" s="501"/>
      <c r="S133" s="468"/>
    </row>
    <row r="134" spans="1:19" ht="25.5" hidden="1">
      <c r="A134" s="473">
        <f>+A133+1</f>
        <v>23110102</v>
      </c>
      <c r="B134" s="474" t="str">
        <f>+POAI!B226</f>
        <v>Subprograma: Construccion Aulas en Instituciones Educativas</v>
      </c>
      <c r="C134" s="475">
        <f>+POAI!C226</f>
        <v>0</v>
      </c>
      <c r="D134" s="431">
        <f t="shared" si="11"/>
        <v>0</v>
      </c>
      <c r="E134" s="431">
        <f t="shared" si="11"/>
        <v>0</v>
      </c>
      <c r="F134" s="431">
        <f t="shared" si="11"/>
        <v>0</v>
      </c>
      <c r="G134" s="471"/>
      <c r="H134" s="471"/>
      <c r="I134" s="471"/>
      <c r="J134" s="471"/>
      <c r="K134" s="467"/>
      <c r="L134" s="467"/>
      <c r="M134" s="467"/>
      <c r="N134" s="467"/>
      <c r="O134" s="467"/>
      <c r="P134" s="501"/>
      <c r="Q134" s="501"/>
      <c r="R134" s="501"/>
      <c r="S134" s="468"/>
    </row>
    <row r="135" spans="1:19">
      <c r="A135" s="473">
        <f>+A134+1</f>
        <v>23110103</v>
      </c>
      <c r="B135" s="474" t="str">
        <f>+POAI!B227</f>
        <v>Subprograma: Canasta educativa</v>
      </c>
      <c r="C135" s="475">
        <f>+POAI!H227</f>
        <v>13000000</v>
      </c>
      <c r="D135" s="431">
        <f t="shared" si="11"/>
        <v>13520000</v>
      </c>
      <c r="E135" s="431">
        <f t="shared" si="11"/>
        <v>14060800</v>
      </c>
      <c r="F135" s="431">
        <f t="shared" si="11"/>
        <v>14623232</v>
      </c>
      <c r="G135" s="471"/>
      <c r="H135" s="471"/>
      <c r="I135" s="471"/>
      <c r="J135" s="471"/>
      <c r="K135" s="467"/>
      <c r="L135" s="467"/>
      <c r="M135" s="467"/>
      <c r="N135" s="467"/>
      <c r="O135" s="467"/>
      <c r="P135" s="501"/>
      <c r="Q135" s="501"/>
      <c r="R135" s="501"/>
      <c r="S135" s="468"/>
    </row>
    <row r="136" spans="1:19">
      <c r="A136" s="473">
        <f>+A135+1</f>
        <v>23110104</v>
      </c>
      <c r="B136" s="474" t="str">
        <f>+POAI!B228</f>
        <v>Subporgrama: Transporte escolar</v>
      </c>
      <c r="C136" s="475">
        <f>+POAI!H228</f>
        <v>26000000</v>
      </c>
      <c r="D136" s="431">
        <f t="shared" si="11"/>
        <v>27040000</v>
      </c>
      <c r="E136" s="431">
        <f t="shared" si="11"/>
        <v>28121600</v>
      </c>
      <c r="F136" s="431">
        <f t="shared" si="11"/>
        <v>29246464</v>
      </c>
      <c r="G136" s="471"/>
      <c r="H136" s="471"/>
      <c r="I136" s="471"/>
      <c r="J136" s="471"/>
      <c r="K136" s="467"/>
      <c r="L136" s="467"/>
      <c r="M136" s="467"/>
      <c r="N136" s="467"/>
      <c r="O136" s="467"/>
      <c r="P136" s="501"/>
      <c r="Q136" s="501"/>
      <c r="R136" s="501"/>
      <c r="S136" s="468"/>
    </row>
    <row r="137" spans="1:19">
      <c r="A137" s="473">
        <f>+A136+1</f>
        <v>23110105</v>
      </c>
      <c r="B137" s="474" t="str">
        <f>+POAI!B229</f>
        <v>Subporgrama: Amplicion planta fisica Centros Educativos</v>
      </c>
      <c r="C137" s="475">
        <f>+POAI!C229</f>
        <v>12000000</v>
      </c>
      <c r="D137" s="431">
        <f t="shared" si="11"/>
        <v>12480000</v>
      </c>
      <c r="E137" s="431">
        <f t="shared" si="11"/>
        <v>12979200</v>
      </c>
      <c r="F137" s="431">
        <f t="shared" si="11"/>
        <v>13498368</v>
      </c>
      <c r="G137" s="471"/>
      <c r="H137" s="471"/>
      <c r="I137" s="471"/>
      <c r="J137" s="471"/>
      <c r="K137" s="467"/>
      <c r="L137" s="467"/>
      <c r="M137" s="467"/>
      <c r="N137" s="467"/>
      <c r="O137" s="467"/>
      <c r="P137" s="501"/>
      <c r="Q137" s="501"/>
      <c r="R137" s="501"/>
      <c r="S137" s="468"/>
    </row>
    <row r="138" spans="1:19">
      <c r="A138" s="473">
        <f>+A137+1</f>
        <v>23110106</v>
      </c>
      <c r="B138" s="474" t="str">
        <f>+POAI!B230</f>
        <v>Subporgrama: Mantenimiento Instituciones Educativas</v>
      </c>
      <c r="C138" s="475">
        <f>+POAI!C230</f>
        <v>22000000</v>
      </c>
      <c r="D138" s="431">
        <f t="shared" si="11"/>
        <v>22880000</v>
      </c>
      <c r="E138" s="431">
        <f t="shared" si="11"/>
        <v>23795200</v>
      </c>
      <c r="F138" s="431">
        <f t="shared" si="11"/>
        <v>24747008</v>
      </c>
      <c r="G138" s="471"/>
      <c r="H138" s="471"/>
      <c r="I138" s="471"/>
      <c r="J138" s="471"/>
      <c r="K138" s="467"/>
      <c r="L138" s="467"/>
      <c r="M138" s="467"/>
      <c r="N138" s="467"/>
      <c r="O138" s="467"/>
      <c r="P138" s="501"/>
      <c r="Q138" s="501"/>
      <c r="R138" s="501"/>
      <c r="S138" s="468"/>
    </row>
    <row r="139" spans="1:19" s="480" customFormat="1" ht="25.5">
      <c r="A139" s="469">
        <v>231102</v>
      </c>
      <c r="B139" s="477" t="str">
        <f>+POAI!B232</f>
        <v>PROGRAMA: INTERNET Y COMUNICACIÓN, BIENESTAR GENERAL</v>
      </c>
      <c r="C139" s="478"/>
      <c r="D139" s="431"/>
      <c r="E139" s="431"/>
      <c r="F139" s="431"/>
      <c r="G139" s="479">
        <f>SUM(C140:C141)</f>
        <v>3267354</v>
      </c>
      <c r="H139" s="431">
        <f>SUM(G139*4/100)+G139</f>
        <v>3398048.16</v>
      </c>
      <c r="I139" s="431">
        <f>SUM(H139*4/100)+H139</f>
        <v>3533970.0864000004</v>
      </c>
      <c r="J139" s="431">
        <f>SUM(I139*4/100)+I139</f>
        <v>3675328.8898560004</v>
      </c>
      <c r="K139" s="460"/>
      <c r="L139" s="460"/>
      <c r="M139" s="460"/>
      <c r="N139" s="460"/>
      <c r="O139" s="460"/>
      <c r="P139" s="500"/>
      <c r="Q139" s="500"/>
      <c r="R139" s="500"/>
      <c r="S139" s="462"/>
    </row>
    <row r="140" spans="1:19" ht="25.5">
      <c r="A140" s="473">
        <v>23110201</v>
      </c>
      <c r="B140" s="474" t="str">
        <f>+POAI!B233</f>
        <v>Subprograma: Mantenimiento red inalambrica y sala de informatica</v>
      </c>
      <c r="C140" s="475">
        <f>+POAI!C233</f>
        <v>3267354</v>
      </c>
      <c r="D140" s="431">
        <f t="shared" ref="D140:F141" si="12">SUM(C140*4/100)+C140</f>
        <v>3398048.16</v>
      </c>
      <c r="E140" s="431">
        <f t="shared" si="12"/>
        <v>3533970.0864000004</v>
      </c>
      <c r="F140" s="431">
        <f t="shared" si="12"/>
        <v>3675328.8898560004</v>
      </c>
      <c r="G140" s="471"/>
      <c r="H140" s="471"/>
      <c r="I140" s="471"/>
      <c r="J140" s="471"/>
      <c r="K140" s="467"/>
      <c r="L140" s="467"/>
      <c r="M140" s="467"/>
      <c r="N140" s="467"/>
      <c r="O140" s="467"/>
      <c r="P140" s="501"/>
      <c r="Q140" s="501"/>
      <c r="R140" s="501"/>
      <c r="S140" s="468"/>
    </row>
    <row r="141" spans="1:19" ht="25.5" hidden="1">
      <c r="A141" s="473">
        <v>23110202</v>
      </c>
      <c r="B141" s="474" t="str">
        <f>+POAI!B234</f>
        <v>Subprograma: Masificación del acceso a la informática y las comunicaciones TIC</v>
      </c>
      <c r="C141" s="475">
        <f>+POAI!C234</f>
        <v>0</v>
      </c>
      <c r="D141" s="431">
        <f t="shared" si="12"/>
        <v>0</v>
      </c>
      <c r="E141" s="431">
        <f t="shared" si="12"/>
        <v>0</v>
      </c>
      <c r="F141" s="431">
        <f t="shared" si="12"/>
        <v>0</v>
      </c>
      <c r="G141" s="471"/>
      <c r="H141" s="471"/>
      <c r="I141" s="471"/>
      <c r="J141" s="471"/>
      <c r="K141" s="467"/>
      <c r="L141" s="467"/>
      <c r="M141" s="467"/>
      <c r="N141" s="467"/>
      <c r="O141" s="467"/>
      <c r="P141" s="501"/>
      <c r="Q141" s="501"/>
      <c r="R141" s="501"/>
      <c r="S141" s="468"/>
    </row>
    <row r="142" spans="1:19" s="480" customFormat="1">
      <c r="A142" s="469">
        <v>231103</v>
      </c>
      <c r="B142" s="477" t="str">
        <f>+POAI!B236</f>
        <v>PROGRAMA: OTROS PROGRAMAS</v>
      </c>
      <c r="C142" s="478"/>
      <c r="D142" s="431"/>
      <c r="E142" s="431"/>
      <c r="F142" s="431"/>
      <c r="G142" s="479">
        <f>SUM(C143:C144)</f>
        <v>17000000</v>
      </c>
      <c r="H142" s="431">
        <f>SUM(G142*4/100)+G142</f>
        <v>17680000</v>
      </c>
      <c r="I142" s="431">
        <f>SUM(H142*4/100)+H142</f>
        <v>18387200</v>
      </c>
      <c r="J142" s="431">
        <f>SUM(I142*4/100)+I142</f>
        <v>19122688</v>
      </c>
      <c r="K142" s="460"/>
      <c r="L142" s="460"/>
      <c r="M142" s="460"/>
      <c r="N142" s="460"/>
      <c r="O142" s="460"/>
      <c r="P142" s="500"/>
      <c r="Q142" s="500"/>
      <c r="R142" s="500"/>
      <c r="S142" s="462"/>
    </row>
    <row r="143" spans="1:19" ht="25.5">
      <c r="A143" s="473">
        <v>23110301</v>
      </c>
      <c r="B143" s="474" t="str">
        <f>+POAI!B237</f>
        <v>Subprograma: Capacitación a la población docente y dicente municipal</v>
      </c>
      <c r="C143" s="475">
        <f>+POAI!C237</f>
        <v>2000000</v>
      </c>
      <c r="D143" s="431">
        <f t="shared" ref="D143:F144" si="13">SUM(C143*4/100)+C143</f>
        <v>2080000</v>
      </c>
      <c r="E143" s="431">
        <f t="shared" si="13"/>
        <v>2163200</v>
      </c>
      <c r="F143" s="431">
        <f t="shared" si="13"/>
        <v>2249728</v>
      </c>
      <c r="G143" s="471"/>
      <c r="H143" s="471"/>
      <c r="I143" s="471"/>
      <c r="J143" s="471"/>
      <c r="K143" s="467"/>
      <c r="L143" s="467"/>
      <c r="M143" s="467"/>
      <c r="N143" s="467"/>
      <c r="O143" s="467"/>
      <c r="P143" s="501"/>
      <c r="Q143" s="501"/>
      <c r="R143" s="501"/>
      <c r="S143" s="468"/>
    </row>
    <row r="144" spans="1:19" ht="25.5">
      <c r="A144" s="473">
        <v>23110302</v>
      </c>
      <c r="B144" s="474" t="str">
        <f>+POAI!B238</f>
        <v>Subprograma: Servicios públicos domiciliarios de centros educativos municipales</v>
      </c>
      <c r="C144" s="475">
        <f>+POAI!H238</f>
        <v>15000000</v>
      </c>
      <c r="D144" s="431">
        <f t="shared" si="13"/>
        <v>15600000</v>
      </c>
      <c r="E144" s="431">
        <f t="shared" si="13"/>
        <v>16224000</v>
      </c>
      <c r="F144" s="431">
        <f t="shared" si="13"/>
        <v>16872960</v>
      </c>
      <c r="G144" s="471"/>
      <c r="H144" s="471"/>
      <c r="I144" s="471"/>
      <c r="J144" s="471"/>
      <c r="K144" s="467"/>
      <c r="L144" s="467"/>
      <c r="M144" s="467"/>
      <c r="N144" s="467"/>
      <c r="O144" s="467"/>
      <c r="P144" s="501"/>
      <c r="Q144" s="501"/>
      <c r="R144" s="501"/>
      <c r="S144" s="468"/>
    </row>
    <row r="145" spans="1:19">
      <c r="A145" s="469">
        <v>2312</v>
      </c>
      <c r="B145" s="479" t="str">
        <f>+POAI!B243</f>
        <v>SECTOR ALIMENTACION ESCOLAR</v>
      </c>
      <c r="C145" s="471"/>
      <c r="D145" s="431"/>
      <c r="E145" s="431"/>
      <c r="F145" s="431"/>
      <c r="G145" s="471"/>
      <c r="H145" s="471"/>
      <c r="I145" s="471"/>
      <c r="J145" s="471"/>
      <c r="K145" s="472">
        <f>+G146</f>
        <v>16780115</v>
      </c>
      <c r="L145" s="431">
        <f>SUM(K145*4/100)+K145</f>
        <v>17451319.600000001</v>
      </c>
      <c r="M145" s="431">
        <f>SUM(L145*4/100)+L145</f>
        <v>18149372.384000003</v>
      </c>
      <c r="N145" s="431">
        <f>SUM(M145*4/100)+M145</f>
        <v>18875347.279360004</v>
      </c>
      <c r="O145" s="467"/>
      <c r="P145" s="501"/>
      <c r="Q145" s="501"/>
      <c r="R145" s="501"/>
      <c r="S145" s="468"/>
    </row>
    <row r="146" spans="1:19">
      <c r="A146" s="469">
        <v>231204</v>
      </c>
      <c r="B146" s="477" t="str">
        <f>+POAI!B247</f>
        <v>PROGRAMA: ALIMENTACION ESCOLAR</v>
      </c>
      <c r="C146" s="471"/>
      <c r="D146" s="431"/>
      <c r="E146" s="431"/>
      <c r="F146" s="431"/>
      <c r="G146" s="472">
        <f>SUM(C147:C148)</f>
        <v>16780115</v>
      </c>
      <c r="H146" s="431">
        <f>SUM(G146*4/100)+G146</f>
        <v>17451319.600000001</v>
      </c>
      <c r="I146" s="431">
        <f>SUM(H146*4/100)+H146</f>
        <v>18149372.384000003</v>
      </c>
      <c r="J146" s="431">
        <f>SUM(I146*4/100)+I146</f>
        <v>18875347.279360004</v>
      </c>
      <c r="K146" s="467"/>
      <c r="L146" s="467"/>
      <c r="M146" s="467"/>
      <c r="N146" s="467"/>
      <c r="O146" s="467"/>
      <c r="P146" s="501"/>
      <c r="Q146" s="501"/>
      <c r="R146" s="501"/>
      <c r="S146" s="468"/>
    </row>
    <row r="147" spans="1:19" ht="25.5">
      <c r="A147" s="473">
        <v>23120401</v>
      </c>
      <c r="B147" s="474" t="str">
        <f>+POAI!B248</f>
        <v>Subprograma: Complemento nutricional para la población escolar</v>
      </c>
      <c r="C147" s="475">
        <f>+POAI!C248</f>
        <v>16780115</v>
      </c>
      <c r="D147" s="431">
        <f t="shared" ref="D147:F166" si="14">SUM(C147*4/100)+C147</f>
        <v>17451319.600000001</v>
      </c>
      <c r="E147" s="431">
        <f t="shared" si="14"/>
        <v>18149372.384000003</v>
      </c>
      <c r="F147" s="431">
        <f t="shared" si="14"/>
        <v>18875347.279360004</v>
      </c>
      <c r="G147" s="471"/>
      <c r="H147" s="471"/>
      <c r="I147" s="471"/>
      <c r="J147" s="471"/>
      <c r="K147" s="467"/>
      <c r="L147" s="467"/>
      <c r="M147" s="467"/>
      <c r="N147" s="467"/>
      <c r="O147" s="467"/>
      <c r="P147" s="501"/>
      <c r="Q147" s="501"/>
      <c r="R147" s="501"/>
      <c r="S147" s="468"/>
    </row>
    <row r="148" spans="1:19">
      <c r="A148" s="473">
        <v>23120402</v>
      </c>
      <c r="B148" s="474" t="str">
        <f>+POAI!B249</f>
        <v>Subprograma: Dotación de los restaurantes escolares</v>
      </c>
      <c r="C148" s="475"/>
      <c r="D148" s="431"/>
      <c r="E148" s="431"/>
      <c r="F148" s="431"/>
      <c r="G148" s="471"/>
      <c r="H148" s="471"/>
      <c r="I148" s="471"/>
      <c r="J148" s="471"/>
      <c r="K148" s="467"/>
      <c r="L148" s="467"/>
      <c r="M148" s="467"/>
      <c r="N148" s="467"/>
      <c r="O148" s="467"/>
      <c r="P148" s="501"/>
      <c r="Q148" s="501"/>
      <c r="R148" s="501"/>
      <c r="S148" s="468"/>
    </row>
    <row r="149" spans="1:19">
      <c r="A149" s="469">
        <v>2314</v>
      </c>
      <c r="B149" s="477" t="str">
        <f>+POAI!B291</f>
        <v>SECTOR AGUA Y SANEAMIENTO BÁSICO</v>
      </c>
      <c r="C149" s="467"/>
      <c r="D149" s="431"/>
      <c r="E149" s="431"/>
      <c r="F149" s="431"/>
      <c r="G149" s="471"/>
      <c r="H149" s="471"/>
      <c r="I149" s="471"/>
      <c r="J149" s="471"/>
      <c r="K149" s="472">
        <f>SUM(G150:G170)</f>
        <v>278222210</v>
      </c>
      <c r="L149" s="431">
        <f>SUM(K149*4/100)+K149</f>
        <v>289351098.39999998</v>
      </c>
      <c r="M149" s="431">
        <f>SUM(L149*4/100)+L149</f>
        <v>300925142.33599997</v>
      </c>
      <c r="N149" s="431">
        <f>SUM(M149*4/100)+M149</f>
        <v>312962148.02943999</v>
      </c>
      <c r="O149" s="467"/>
      <c r="P149" s="501"/>
      <c r="Q149" s="501"/>
      <c r="R149" s="501"/>
      <c r="S149" s="468"/>
    </row>
    <row r="150" spans="1:19">
      <c r="A150" s="469">
        <v>231401</v>
      </c>
      <c r="B150" s="477" t="str">
        <f>+POAI!B296</f>
        <v>PROGRAMA: COBERTURA DE A.A.A.</v>
      </c>
      <c r="C150" s="467"/>
      <c r="D150" s="431"/>
      <c r="E150" s="431"/>
      <c r="F150" s="431"/>
      <c r="G150" s="472">
        <f>SUM(C151:C161)</f>
        <v>233222210</v>
      </c>
      <c r="H150" s="431">
        <f>SUM(G150*4/100)+G150</f>
        <v>242551098.40000001</v>
      </c>
      <c r="I150" s="431">
        <f>SUM(H150*4/100)+H150</f>
        <v>252253142.336</v>
      </c>
      <c r="J150" s="431">
        <f>SUM(I150*4/100)+I150</f>
        <v>262343268.02943999</v>
      </c>
      <c r="K150" s="467"/>
      <c r="L150" s="467"/>
      <c r="M150" s="467"/>
      <c r="N150" s="467"/>
      <c r="O150" s="467"/>
      <c r="P150" s="501"/>
      <c r="Q150" s="501"/>
      <c r="R150" s="501"/>
      <c r="S150" s="468"/>
    </row>
    <row r="151" spans="1:19">
      <c r="A151" s="473">
        <v>23140101</v>
      </c>
      <c r="B151" s="474" t="str">
        <f>+POAI!B297</f>
        <v>Subprograma: Ampliaciòn alcantarillados municipales</v>
      </c>
      <c r="C151" s="475">
        <f>+POAI!C297</f>
        <v>36650000</v>
      </c>
      <c r="D151" s="431">
        <f t="shared" si="14"/>
        <v>38116000</v>
      </c>
      <c r="E151" s="431">
        <f t="shared" si="14"/>
        <v>39640640</v>
      </c>
      <c r="F151" s="431">
        <f t="shared" si="14"/>
        <v>41226265.600000001</v>
      </c>
      <c r="G151" s="471"/>
      <c r="H151" s="471"/>
      <c r="I151" s="471"/>
      <c r="J151" s="471"/>
      <c r="K151" s="467"/>
      <c r="L151" s="467"/>
      <c r="M151" s="467"/>
      <c r="N151" s="467"/>
      <c r="O151" s="467"/>
      <c r="P151" s="501"/>
      <c r="Q151" s="501"/>
      <c r="R151" s="501"/>
      <c r="S151" s="468"/>
    </row>
    <row r="152" spans="1:19" ht="25.5">
      <c r="A152" s="473">
        <v>23140102</v>
      </c>
      <c r="B152" s="474" t="str">
        <f>+POAI!B298</f>
        <v>Subprograma: Construcción  plantas de tratamiento municipales</v>
      </c>
      <c r="C152" s="475">
        <f>+POAI!H298</f>
        <v>30572210</v>
      </c>
      <c r="D152" s="431">
        <f t="shared" si="14"/>
        <v>31795098.399999999</v>
      </c>
      <c r="E152" s="431">
        <f t="shared" si="14"/>
        <v>33066902.335999999</v>
      </c>
      <c r="F152" s="431">
        <f t="shared" si="14"/>
        <v>34389578.429439999</v>
      </c>
      <c r="G152" s="471"/>
      <c r="H152" s="471"/>
      <c r="I152" s="471"/>
      <c r="J152" s="471"/>
      <c r="K152" s="467"/>
      <c r="L152" s="467"/>
      <c r="M152" s="467"/>
      <c r="N152" s="467"/>
      <c r="O152" s="467"/>
      <c r="P152" s="501"/>
      <c r="Q152" s="501"/>
      <c r="R152" s="501"/>
      <c r="S152" s="468"/>
    </row>
    <row r="153" spans="1:19">
      <c r="A153" s="473">
        <v>23140103</v>
      </c>
      <c r="B153" s="474" t="str">
        <f>+POAI!B299</f>
        <v>Subprograma: Ampliacion redes acueductos rurales</v>
      </c>
      <c r="C153" s="475">
        <f>+POAI!H299</f>
        <v>50000000</v>
      </c>
      <c r="D153" s="431">
        <f t="shared" si="14"/>
        <v>52000000</v>
      </c>
      <c r="E153" s="431">
        <f t="shared" si="14"/>
        <v>54080000</v>
      </c>
      <c r="F153" s="431">
        <f t="shared" si="14"/>
        <v>56243200</v>
      </c>
      <c r="G153" s="471"/>
      <c r="H153" s="471"/>
      <c r="I153" s="471"/>
      <c r="J153" s="471"/>
      <c r="K153" s="467"/>
      <c r="L153" s="467"/>
      <c r="M153" s="467"/>
      <c r="N153" s="467"/>
      <c r="O153" s="467"/>
      <c r="P153" s="501"/>
      <c r="Q153" s="501"/>
      <c r="R153" s="501"/>
      <c r="S153" s="468"/>
    </row>
    <row r="154" spans="1:19">
      <c r="A154" s="473">
        <v>23140104</v>
      </c>
      <c r="B154" s="474" t="str">
        <f>+POAI!B300</f>
        <v xml:space="preserve">subprograma, ampliación redes acueducto urbano </v>
      </c>
      <c r="C154" s="475">
        <f>+POAI!H300</f>
        <v>40000000</v>
      </c>
      <c r="D154" s="431">
        <f t="shared" si="14"/>
        <v>41600000</v>
      </c>
      <c r="E154" s="431">
        <f t="shared" si="14"/>
        <v>43264000</v>
      </c>
      <c r="F154" s="431">
        <f t="shared" si="14"/>
        <v>44994560</v>
      </c>
      <c r="G154" s="471"/>
      <c r="H154" s="471"/>
      <c r="I154" s="471"/>
      <c r="J154" s="471"/>
      <c r="K154" s="467"/>
      <c r="L154" s="467"/>
      <c r="M154" s="467"/>
      <c r="N154" s="467"/>
      <c r="O154" s="467"/>
      <c r="P154" s="501"/>
      <c r="Q154" s="501"/>
      <c r="R154" s="501"/>
      <c r="S154" s="468"/>
    </row>
    <row r="155" spans="1:19">
      <c r="A155" s="473">
        <v>23140105</v>
      </c>
      <c r="B155" s="474" t="str">
        <f>+POAI!B301</f>
        <v xml:space="preserve">subprograma, mantenimiento acueductos municipales </v>
      </c>
      <c r="C155" s="475">
        <f>+POAI!H301</f>
        <v>46000000</v>
      </c>
      <c r="D155" s="431">
        <f t="shared" si="14"/>
        <v>47840000</v>
      </c>
      <c r="E155" s="431">
        <f t="shared" si="14"/>
        <v>49753600</v>
      </c>
      <c r="F155" s="431">
        <f t="shared" si="14"/>
        <v>51743744</v>
      </c>
      <c r="G155" s="471"/>
      <c r="H155" s="471"/>
      <c r="I155" s="471"/>
      <c r="J155" s="471"/>
      <c r="K155" s="467"/>
      <c r="L155" s="467"/>
      <c r="M155" s="467"/>
      <c r="N155" s="467"/>
      <c r="O155" s="467"/>
      <c r="P155" s="501"/>
      <c r="Q155" s="501"/>
      <c r="R155" s="501"/>
      <c r="S155" s="468"/>
    </row>
    <row r="156" spans="1:19" ht="25.5" hidden="1">
      <c r="A156" s="473">
        <v>23140106</v>
      </c>
      <c r="B156" s="474" t="str">
        <f>+POAI!B302</f>
        <v>subprograma,optimización planta tratamiento vereda Llano grande</v>
      </c>
      <c r="C156" s="475">
        <f>+POAI!C302</f>
        <v>0</v>
      </c>
      <c r="D156" s="431">
        <f t="shared" si="14"/>
        <v>0</v>
      </c>
      <c r="E156" s="431">
        <f t="shared" si="14"/>
        <v>0</v>
      </c>
      <c r="F156" s="431">
        <f t="shared" si="14"/>
        <v>0</v>
      </c>
      <c r="G156" s="471"/>
      <c r="H156" s="471"/>
      <c r="I156" s="471"/>
      <c r="J156" s="471"/>
      <c r="K156" s="467"/>
      <c r="L156" s="467"/>
      <c r="M156" s="467"/>
      <c r="N156" s="467"/>
      <c r="O156" s="467"/>
      <c r="P156" s="501"/>
      <c r="Q156" s="501"/>
      <c r="R156" s="501"/>
      <c r="S156" s="468"/>
    </row>
    <row r="157" spans="1:19" hidden="1">
      <c r="A157" s="473">
        <v>23140107</v>
      </c>
      <c r="B157" s="474" t="str">
        <f>+POAI!B303</f>
        <v xml:space="preserve">subprograma, ampliación redes acueducto vereda escalones </v>
      </c>
      <c r="C157" s="475">
        <f>+POAI!C303</f>
        <v>0</v>
      </c>
      <c r="D157" s="431">
        <f t="shared" si="14"/>
        <v>0</v>
      </c>
      <c r="E157" s="431">
        <f t="shared" si="14"/>
        <v>0</v>
      </c>
      <c r="F157" s="431">
        <f t="shared" si="14"/>
        <v>0</v>
      </c>
      <c r="G157" s="471"/>
      <c r="H157" s="471"/>
      <c r="I157" s="471"/>
      <c r="J157" s="471"/>
      <c r="K157" s="467"/>
      <c r="L157" s="467"/>
      <c r="M157" s="467"/>
      <c r="N157" s="467"/>
      <c r="O157" s="467"/>
      <c r="P157" s="501"/>
      <c r="Q157" s="501"/>
      <c r="R157" s="501"/>
      <c r="S157" s="468"/>
    </row>
    <row r="158" spans="1:19" hidden="1">
      <c r="A158" s="473">
        <v>23140108</v>
      </c>
      <c r="B158" s="474" t="str">
        <f>+POAI!B304</f>
        <v>Subporgrama: Vigencias futuras contraidas para el PDA</v>
      </c>
      <c r="C158" s="475">
        <v>0</v>
      </c>
      <c r="D158" s="431">
        <f t="shared" si="14"/>
        <v>0</v>
      </c>
      <c r="E158" s="431">
        <f t="shared" si="14"/>
        <v>0</v>
      </c>
      <c r="F158" s="431">
        <f t="shared" si="14"/>
        <v>0</v>
      </c>
      <c r="G158" s="471"/>
      <c r="H158" s="471"/>
      <c r="I158" s="471"/>
      <c r="J158" s="471"/>
      <c r="K158" s="467"/>
      <c r="L158" s="467"/>
      <c r="M158" s="467"/>
      <c r="N158" s="467"/>
      <c r="O158" s="467"/>
      <c r="P158" s="501"/>
      <c r="Q158" s="501"/>
      <c r="R158" s="501"/>
      <c r="S158" s="468"/>
    </row>
    <row r="159" spans="1:19">
      <c r="A159" s="473">
        <v>23140109</v>
      </c>
      <c r="B159" s="474" t="str">
        <f>+POAI!B305</f>
        <v>Subprograma: Servicios públicos del sector</v>
      </c>
      <c r="C159" s="475">
        <f>+POAI!C305</f>
        <v>30000000</v>
      </c>
      <c r="D159" s="431">
        <f t="shared" si="14"/>
        <v>31200000</v>
      </c>
      <c r="E159" s="431">
        <f t="shared" si="14"/>
        <v>32448000</v>
      </c>
      <c r="F159" s="431">
        <f t="shared" si="14"/>
        <v>33745920</v>
      </c>
      <c r="G159" s="471"/>
      <c r="H159" s="471"/>
      <c r="I159" s="471"/>
      <c r="J159" s="471"/>
      <c r="K159" s="467"/>
      <c r="L159" s="467"/>
      <c r="M159" s="467"/>
      <c r="N159" s="467"/>
      <c r="O159" s="467"/>
      <c r="P159" s="501"/>
      <c r="Q159" s="501"/>
      <c r="R159" s="501"/>
      <c r="S159" s="468"/>
    </row>
    <row r="160" spans="1:19" ht="25.5" hidden="1">
      <c r="A160" s="473">
        <v>23140110</v>
      </c>
      <c r="B160" s="474" t="str">
        <f>+POAI!B306</f>
        <v>Subprograma; Construcción sistema almacenamiento acueducto vereda cuesta en medio</v>
      </c>
      <c r="C160" s="475">
        <f>+POAI!C306</f>
        <v>0</v>
      </c>
      <c r="D160" s="431">
        <f t="shared" si="14"/>
        <v>0</v>
      </c>
      <c r="E160" s="431">
        <f t="shared" si="14"/>
        <v>0</v>
      </c>
      <c r="F160" s="431">
        <f t="shared" si="14"/>
        <v>0</v>
      </c>
      <c r="G160" s="471"/>
      <c r="H160" s="471"/>
      <c r="I160" s="471"/>
      <c r="J160" s="471"/>
      <c r="K160" s="467"/>
      <c r="L160" s="467"/>
      <c r="M160" s="467"/>
      <c r="N160" s="467"/>
      <c r="O160" s="467"/>
      <c r="P160" s="501"/>
      <c r="Q160" s="501"/>
      <c r="R160" s="501"/>
      <c r="S160" s="468"/>
    </row>
    <row r="161" spans="1:19" ht="25.5" hidden="1">
      <c r="A161" s="473">
        <v>23140111</v>
      </c>
      <c r="B161" s="474" t="str">
        <f>+POAI!B307</f>
        <v xml:space="preserve">Subprograma: Terminacion Red acueducto el chorro Sector san felipe </v>
      </c>
      <c r="C161" s="475">
        <f>+POAI!C307</f>
        <v>0</v>
      </c>
      <c r="D161" s="431">
        <f t="shared" si="14"/>
        <v>0</v>
      </c>
      <c r="E161" s="431">
        <f t="shared" si="14"/>
        <v>0</v>
      </c>
      <c r="F161" s="431">
        <f t="shared" si="14"/>
        <v>0</v>
      </c>
      <c r="G161" s="471"/>
      <c r="H161" s="471"/>
      <c r="I161" s="471"/>
      <c r="J161" s="471"/>
      <c r="K161" s="467"/>
      <c r="L161" s="467"/>
      <c r="M161" s="467"/>
      <c r="N161" s="467"/>
      <c r="O161" s="467"/>
      <c r="P161" s="501"/>
      <c r="Q161" s="501"/>
      <c r="R161" s="501"/>
      <c r="S161" s="468"/>
    </row>
    <row r="162" spans="1:19" ht="25.5">
      <c r="A162" s="469">
        <v>231402</v>
      </c>
      <c r="B162" s="477" t="str">
        <f>+POAI!B309</f>
        <v>PROGRAMA: SUBSIDIO A LA DEMANDA SERVICIOS PUBLICOS DE AAA</v>
      </c>
      <c r="C162" s="478"/>
      <c r="D162" s="431"/>
      <c r="E162" s="431"/>
      <c r="F162" s="431"/>
      <c r="G162" s="479">
        <f>SUM(C163:C166)</f>
        <v>45000000</v>
      </c>
      <c r="H162" s="431">
        <f>SUM(G162*4/100)+G162</f>
        <v>46800000</v>
      </c>
      <c r="I162" s="431">
        <f>SUM(H162*4/100)+H162</f>
        <v>48672000</v>
      </c>
      <c r="J162" s="431">
        <f>SUM(I162*4/100)+I162</f>
        <v>50618880</v>
      </c>
      <c r="K162" s="467"/>
      <c r="L162" s="467"/>
      <c r="M162" s="467"/>
      <c r="N162" s="467"/>
      <c r="O162" s="467"/>
      <c r="P162" s="501"/>
      <c r="Q162" s="501"/>
      <c r="R162" s="501"/>
      <c r="S162" s="468"/>
    </row>
    <row r="163" spans="1:19" ht="25.5">
      <c r="A163" s="473">
        <v>23140201</v>
      </c>
      <c r="B163" s="474" t="str">
        <f>+POAI!B310</f>
        <v>Subprograma: Subsidio a la demanda de servicios públicos domiciliarios acueducto</v>
      </c>
      <c r="C163" s="475">
        <f>+POAI!C310</f>
        <v>31500000</v>
      </c>
      <c r="D163" s="431">
        <f t="shared" si="14"/>
        <v>32760000</v>
      </c>
      <c r="E163" s="431">
        <f t="shared" si="14"/>
        <v>34070400</v>
      </c>
      <c r="F163" s="431">
        <f t="shared" si="14"/>
        <v>35433216</v>
      </c>
      <c r="G163" s="471"/>
      <c r="H163" s="471"/>
      <c r="I163" s="471"/>
      <c r="J163" s="471"/>
      <c r="K163" s="467"/>
      <c r="L163" s="467"/>
      <c r="M163" s="467"/>
      <c r="N163" s="467"/>
      <c r="O163" s="467"/>
      <c r="P163" s="501"/>
      <c r="Q163" s="501"/>
      <c r="R163" s="501"/>
      <c r="S163" s="468"/>
    </row>
    <row r="164" spans="1:19" ht="25.5">
      <c r="A164" s="473">
        <v>23140202</v>
      </c>
      <c r="B164" s="474" t="str">
        <f>+POAI!B311</f>
        <v>Subprograma: Subsidio a la demanda de servicios públicos domiciliarios alcantarillado</v>
      </c>
      <c r="C164" s="475">
        <f>+POAI!C311</f>
        <v>3600000</v>
      </c>
      <c r="D164" s="431">
        <f t="shared" si="14"/>
        <v>3744000</v>
      </c>
      <c r="E164" s="431">
        <f t="shared" si="14"/>
        <v>3893760</v>
      </c>
      <c r="F164" s="431">
        <f t="shared" si="14"/>
        <v>4049510.3999999999</v>
      </c>
      <c r="G164" s="471"/>
      <c r="H164" s="471"/>
      <c r="I164" s="471"/>
      <c r="J164" s="471"/>
      <c r="K164" s="467"/>
      <c r="L164" s="467"/>
      <c r="M164" s="467"/>
      <c r="N164" s="467"/>
      <c r="O164" s="467"/>
      <c r="P164" s="501"/>
      <c r="Q164" s="501"/>
      <c r="R164" s="501"/>
      <c r="S164" s="468"/>
    </row>
    <row r="165" spans="1:19" ht="25.5">
      <c r="A165" s="473">
        <v>23140203</v>
      </c>
      <c r="B165" s="474" t="str">
        <f>+POAI!B312</f>
        <v>Subprograma: Subsidio a la demanda de servicios públicos domiciliarios aseo</v>
      </c>
      <c r="C165" s="475">
        <f>+POAI!C312</f>
        <v>9900000</v>
      </c>
      <c r="D165" s="431">
        <f t="shared" si="14"/>
        <v>10296000</v>
      </c>
      <c r="E165" s="431">
        <f t="shared" si="14"/>
        <v>10707840</v>
      </c>
      <c r="F165" s="431">
        <f t="shared" si="14"/>
        <v>11136153.6</v>
      </c>
      <c r="G165" s="471"/>
      <c r="H165" s="471"/>
      <c r="I165" s="471"/>
      <c r="J165" s="471"/>
      <c r="K165" s="467"/>
      <c r="L165" s="467"/>
      <c r="M165" s="467"/>
      <c r="N165" s="467"/>
      <c r="O165" s="467"/>
      <c r="P165" s="501"/>
      <c r="Q165" s="501"/>
      <c r="R165" s="501"/>
      <c r="S165" s="468"/>
    </row>
    <row r="166" spans="1:19" hidden="1">
      <c r="A166" s="469"/>
      <c r="B166" s="474"/>
      <c r="C166" s="475"/>
      <c r="D166" s="431">
        <f t="shared" si="14"/>
        <v>0</v>
      </c>
      <c r="E166" s="431">
        <f t="shared" si="14"/>
        <v>0</v>
      </c>
      <c r="F166" s="431">
        <f t="shared" si="14"/>
        <v>0</v>
      </c>
      <c r="G166" s="471"/>
      <c r="H166" s="471"/>
      <c r="I166" s="471"/>
      <c r="J166" s="471"/>
      <c r="K166" s="467"/>
      <c r="L166" s="467"/>
      <c r="M166" s="467"/>
      <c r="N166" s="467"/>
      <c r="O166" s="467"/>
      <c r="P166" s="501"/>
      <c r="Q166" s="501"/>
      <c r="R166" s="501"/>
      <c r="S166" s="468"/>
    </row>
    <row r="167" spans="1:19" hidden="1">
      <c r="A167" s="469">
        <v>231403</v>
      </c>
      <c r="B167" s="477" t="str">
        <f>+POAI!B314</f>
        <v>PROGRAMA: SERVICIO A LA DEUDA DEL SECTOR</v>
      </c>
      <c r="C167" s="478"/>
      <c r="D167" s="431">
        <f t="shared" ref="D167:F186" si="15">SUM(C167*4/100)+C167</f>
        <v>0</v>
      </c>
      <c r="E167" s="431">
        <f t="shared" si="15"/>
        <v>0</v>
      </c>
      <c r="F167" s="431">
        <f t="shared" si="15"/>
        <v>0</v>
      </c>
      <c r="G167" s="479">
        <f>SUM(C168:C170)</f>
        <v>0</v>
      </c>
      <c r="H167" s="479"/>
      <c r="I167" s="479"/>
      <c r="J167" s="479"/>
      <c r="K167" s="467"/>
      <c r="L167" s="467"/>
      <c r="M167" s="467"/>
      <c r="N167" s="467"/>
      <c r="O167" s="467"/>
      <c r="P167" s="501"/>
      <c r="Q167" s="501"/>
      <c r="R167" s="501"/>
      <c r="S167" s="468"/>
    </row>
    <row r="168" spans="1:19" hidden="1">
      <c r="A168" s="473">
        <v>23140301</v>
      </c>
      <c r="B168" s="474" t="str">
        <f>+POAI!B315</f>
        <v>Amortización servicio a la deuda sector de agua potable</v>
      </c>
      <c r="C168" s="475">
        <f>+POAI!C315</f>
        <v>0</v>
      </c>
      <c r="D168" s="431">
        <f t="shared" si="15"/>
        <v>0</v>
      </c>
      <c r="E168" s="431">
        <f t="shared" si="15"/>
        <v>0</v>
      </c>
      <c r="F168" s="431">
        <f t="shared" si="15"/>
        <v>0</v>
      </c>
      <c r="G168" s="471"/>
      <c r="H168" s="471"/>
      <c r="I168" s="471"/>
      <c r="J168" s="471"/>
      <c r="K168" s="467"/>
      <c r="L168" s="467"/>
      <c r="M168" s="467"/>
      <c r="N168" s="467"/>
      <c r="O168" s="467"/>
      <c r="P168" s="501"/>
      <c r="Q168" s="501"/>
      <c r="R168" s="501"/>
      <c r="S168" s="468"/>
    </row>
    <row r="169" spans="1:19" hidden="1">
      <c r="A169" s="473">
        <v>23140302</v>
      </c>
      <c r="B169" s="474" t="str">
        <f>+POAI!B316</f>
        <v>Intereses servicio a la deuda sector de agua potable</v>
      </c>
      <c r="C169" s="475">
        <f>+POAI!C316</f>
        <v>0</v>
      </c>
      <c r="D169" s="431">
        <f t="shared" si="15"/>
        <v>0</v>
      </c>
      <c r="E169" s="431">
        <f t="shared" si="15"/>
        <v>0</v>
      </c>
      <c r="F169" s="431">
        <f t="shared" si="15"/>
        <v>0</v>
      </c>
      <c r="G169" s="471"/>
      <c r="H169" s="471"/>
      <c r="I169" s="471"/>
      <c r="J169" s="471"/>
      <c r="K169" s="467"/>
      <c r="L169" s="467"/>
      <c r="M169" s="467"/>
      <c r="N169" s="467"/>
      <c r="O169" s="467"/>
      <c r="P169" s="501"/>
      <c r="Q169" s="501"/>
      <c r="R169" s="501"/>
      <c r="S169" s="468"/>
    </row>
    <row r="170" spans="1:19" hidden="1">
      <c r="A170" s="469"/>
      <c r="B170" s="474"/>
      <c r="C170" s="475"/>
      <c r="D170" s="431">
        <f t="shared" si="15"/>
        <v>0</v>
      </c>
      <c r="E170" s="431">
        <f t="shared" si="15"/>
        <v>0</v>
      </c>
      <c r="F170" s="431">
        <f t="shared" si="15"/>
        <v>0</v>
      </c>
      <c r="G170" s="471"/>
      <c r="H170" s="471"/>
      <c r="I170" s="471"/>
      <c r="J170" s="471"/>
      <c r="K170" s="467"/>
      <c r="L170" s="467"/>
      <c r="M170" s="467"/>
      <c r="N170" s="467"/>
      <c r="O170" s="467"/>
      <c r="P170" s="501"/>
      <c r="Q170" s="501"/>
      <c r="R170" s="501"/>
      <c r="S170" s="468"/>
    </row>
    <row r="171" spans="1:19">
      <c r="A171" s="469">
        <v>2315</v>
      </c>
      <c r="B171" s="477" t="str">
        <f>+POAI!B321</f>
        <v>SECTOR DEPORTE Y TIEMPO LIBRE</v>
      </c>
      <c r="C171" s="467"/>
      <c r="D171" s="431"/>
      <c r="E171" s="431"/>
      <c r="F171" s="431"/>
      <c r="G171" s="471"/>
      <c r="H171" s="471"/>
      <c r="I171" s="471"/>
      <c r="J171" s="471"/>
      <c r="K171" s="472">
        <f>SUM(G173:G182)</f>
        <v>66295935</v>
      </c>
      <c r="L171" s="431">
        <f>SUM(K171*4/100)+K171</f>
        <v>68947772.400000006</v>
      </c>
      <c r="M171" s="431">
        <f>SUM(L171*4/100)+L171</f>
        <v>71705683.296000004</v>
      </c>
      <c r="N171" s="431">
        <f>SUM(M171*4/100)+M171</f>
        <v>74573910.627839997</v>
      </c>
      <c r="O171" s="467"/>
      <c r="P171" s="501"/>
      <c r="Q171" s="501"/>
      <c r="R171" s="501"/>
      <c r="S171" s="468"/>
    </row>
    <row r="172" spans="1:19" hidden="1">
      <c r="A172" s="469"/>
      <c r="B172" s="470"/>
      <c r="C172" s="472"/>
      <c r="D172" s="431">
        <f t="shared" si="15"/>
        <v>0</v>
      </c>
      <c r="E172" s="431">
        <f t="shared" si="15"/>
        <v>0</v>
      </c>
      <c r="F172" s="431">
        <f t="shared" si="15"/>
        <v>0</v>
      </c>
      <c r="G172" s="471"/>
      <c r="H172" s="471"/>
      <c r="I172" s="471"/>
      <c r="J172" s="471"/>
      <c r="K172" s="467"/>
      <c r="L172" s="467"/>
      <c r="M172" s="467"/>
      <c r="N172" s="467"/>
      <c r="O172" s="467"/>
      <c r="P172" s="501"/>
      <c r="Q172" s="501"/>
      <c r="R172" s="501"/>
      <c r="S172" s="468"/>
    </row>
    <row r="173" spans="1:19">
      <c r="A173" s="469">
        <v>231501</v>
      </c>
      <c r="B173" s="477" t="str">
        <f>+POAI!B326</f>
        <v>PROGRAMA: INFRAESTRUCTURA</v>
      </c>
      <c r="C173" s="467"/>
      <c r="D173" s="431"/>
      <c r="E173" s="431"/>
      <c r="F173" s="431"/>
      <c r="G173" s="472">
        <f>SUM(C174:C177)</f>
        <v>40000000</v>
      </c>
      <c r="H173" s="431">
        <f>SUM(G173*4/100)+G173</f>
        <v>41600000</v>
      </c>
      <c r="I173" s="431">
        <f>SUM(H173*4/100)+H173</f>
        <v>43264000</v>
      </c>
      <c r="J173" s="431">
        <f>SUM(I173*4/100)+I173</f>
        <v>44994560</v>
      </c>
      <c r="K173" s="467"/>
      <c r="L173" s="467"/>
      <c r="M173" s="467"/>
      <c r="N173" s="467"/>
      <c r="O173" s="467"/>
      <c r="P173" s="501"/>
      <c r="Q173" s="501"/>
      <c r="R173" s="501"/>
      <c r="S173" s="468"/>
    </row>
    <row r="174" spans="1:19">
      <c r="A174" s="473">
        <v>23150101</v>
      </c>
      <c r="B174" s="474" t="str">
        <f>+POAI!B327</f>
        <v>Subprograma: construcción escenarios deportivos</v>
      </c>
      <c r="C174" s="475">
        <f>+POAI!C327</f>
        <v>25000000</v>
      </c>
      <c r="D174" s="431">
        <f t="shared" si="15"/>
        <v>26000000</v>
      </c>
      <c r="E174" s="431">
        <f t="shared" si="15"/>
        <v>27040000</v>
      </c>
      <c r="F174" s="431">
        <f t="shared" si="15"/>
        <v>28121600</v>
      </c>
      <c r="G174" s="471"/>
      <c r="H174" s="471"/>
      <c r="I174" s="471"/>
      <c r="J174" s="471"/>
      <c r="K174" s="467"/>
      <c r="L174" s="467"/>
      <c r="M174" s="467"/>
      <c r="N174" s="467"/>
      <c r="O174" s="467"/>
      <c r="P174" s="501"/>
      <c r="Q174" s="501"/>
      <c r="R174" s="501"/>
      <c r="S174" s="468"/>
    </row>
    <row r="175" spans="1:19">
      <c r="A175" s="473">
        <v>23150102</v>
      </c>
      <c r="B175" s="474" t="str">
        <f>+POAI!B328</f>
        <v>Subprograma: mantenimiento de escenarios deportivos</v>
      </c>
      <c r="C175" s="475">
        <f>+POAI!C328</f>
        <v>15000000</v>
      </c>
      <c r="D175" s="431">
        <f t="shared" si="15"/>
        <v>15600000</v>
      </c>
      <c r="E175" s="431">
        <f t="shared" si="15"/>
        <v>16224000</v>
      </c>
      <c r="F175" s="431">
        <f t="shared" si="15"/>
        <v>16872960</v>
      </c>
      <c r="G175" s="471"/>
      <c r="H175" s="471"/>
      <c r="I175" s="471"/>
      <c r="J175" s="471"/>
      <c r="K175" s="467"/>
      <c r="L175" s="467"/>
      <c r="M175" s="467"/>
      <c r="N175" s="467"/>
      <c r="O175" s="467"/>
      <c r="P175" s="501"/>
      <c r="Q175" s="501"/>
      <c r="R175" s="501"/>
      <c r="S175" s="468"/>
    </row>
    <row r="176" spans="1:19" hidden="1">
      <c r="A176" s="473">
        <v>23150103</v>
      </c>
      <c r="B176" s="474" t="str">
        <f>+POAI!B329</f>
        <v>Subprograma: construcción graderia movil</v>
      </c>
      <c r="C176" s="475">
        <f>+POAI!C329</f>
        <v>0</v>
      </c>
      <c r="D176" s="431">
        <f t="shared" si="15"/>
        <v>0</v>
      </c>
      <c r="E176" s="431">
        <f t="shared" si="15"/>
        <v>0</v>
      </c>
      <c r="F176" s="431">
        <f t="shared" si="15"/>
        <v>0</v>
      </c>
      <c r="G176" s="471"/>
      <c r="H176" s="471"/>
      <c r="I176" s="471"/>
      <c r="J176" s="471"/>
      <c r="K176" s="467"/>
      <c r="L176" s="467"/>
      <c r="M176" s="467"/>
      <c r="N176" s="467"/>
      <c r="O176" s="467"/>
      <c r="P176" s="501"/>
      <c r="Q176" s="501"/>
      <c r="R176" s="501"/>
      <c r="S176" s="468"/>
    </row>
    <row r="177" spans="1:19" hidden="1">
      <c r="A177" s="469"/>
      <c r="B177" s="474"/>
      <c r="C177" s="475"/>
      <c r="D177" s="431">
        <f t="shared" si="15"/>
        <v>0</v>
      </c>
      <c r="E177" s="431">
        <f t="shared" si="15"/>
        <v>0</v>
      </c>
      <c r="F177" s="431">
        <f t="shared" si="15"/>
        <v>0</v>
      </c>
      <c r="G177" s="471"/>
      <c r="H177" s="471"/>
      <c r="I177" s="471"/>
      <c r="J177" s="471"/>
      <c r="K177" s="467"/>
      <c r="L177" s="467"/>
      <c r="M177" s="467"/>
      <c r="N177" s="467"/>
      <c r="O177" s="467"/>
      <c r="P177" s="501"/>
      <c r="Q177" s="501"/>
      <c r="R177" s="501"/>
      <c r="S177" s="468"/>
    </row>
    <row r="178" spans="1:19" s="480" customFormat="1">
      <c r="A178" s="469">
        <v>231502</v>
      </c>
      <c r="B178" s="477" t="str">
        <f>+POAI!B331</f>
        <v>PROGRAMA: MASIFICACIÓN DEPORTIVA</v>
      </c>
      <c r="C178" s="478"/>
      <c r="D178" s="431">
        <f t="shared" si="15"/>
        <v>0</v>
      </c>
      <c r="E178" s="431">
        <f t="shared" si="15"/>
        <v>0</v>
      </c>
      <c r="F178" s="431">
        <f t="shared" si="15"/>
        <v>0</v>
      </c>
      <c r="G178" s="479">
        <f>SUM(C179:C182)</f>
        <v>26295935</v>
      </c>
      <c r="H178" s="431">
        <f>SUM(G178*4/100)+G178</f>
        <v>27347772.399999999</v>
      </c>
      <c r="I178" s="431">
        <f>SUM(H178*4/100)+H178</f>
        <v>28441683.296</v>
      </c>
      <c r="J178" s="431">
        <f>SUM(I178*4/100)+I178</f>
        <v>29579350.627840001</v>
      </c>
      <c r="K178" s="460"/>
      <c r="L178" s="460"/>
      <c r="M178" s="460"/>
      <c r="N178" s="460"/>
      <c r="O178" s="460"/>
      <c r="P178" s="500"/>
      <c r="Q178" s="500"/>
      <c r="R178" s="500"/>
      <c r="S178" s="462"/>
    </row>
    <row r="179" spans="1:19">
      <c r="A179" s="473">
        <v>23150201</v>
      </c>
      <c r="B179" s="474" t="str">
        <f>+POAI!B332</f>
        <v xml:space="preserve">Subprograma: Dotación implementos deportivos </v>
      </c>
      <c r="C179" s="475">
        <f>+POAI!C332</f>
        <v>10000000</v>
      </c>
      <c r="D179" s="431">
        <f t="shared" si="15"/>
        <v>10400000</v>
      </c>
      <c r="E179" s="431">
        <f t="shared" si="15"/>
        <v>10816000</v>
      </c>
      <c r="F179" s="431">
        <f t="shared" si="15"/>
        <v>11248640</v>
      </c>
      <c r="G179" s="471"/>
      <c r="H179" s="471"/>
      <c r="I179" s="471"/>
      <c r="J179" s="471"/>
      <c r="K179" s="467"/>
      <c r="L179" s="467"/>
      <c r="M179" s="467"/>
      <c r="N179" s="467"/>
      <c r="O179" s="467"/>
      <c r="P179" s="501"/>
      <c r="Q179" s="501"/>
      <c r="R179" s="501"/>
      <c r="S179" s="468"/>
    </row>
    <row r="180" spans="1:19" ht="25.5">
      <c r="A180" s="473">
        <v>23150202</v>
      </c>
      <c r="B180" s="474" t="str">
        <f>+POAI!B333</f>
        <v>Subprograma: Promoción eventos de recreación aprovechamiento del tiempo libre</v>
      </c>
      <c r="C180" s="475">
        <f>+POAI!C333</f>
        <v>10000000</v>
      </c>
      <c r="D180" s="431">
        <f t="shared" si="15"/>
        <v>10400000</v>
      </c>
      <c r="E180" s="431">
        <f t="shared" si="15"/>
        <v>10816000</v>
      </c>
      <c r="F180" s="431">
        <f t="shared" si="15"/>
        <v>11248640</v>
      </c>
      <c r="G180" s="471"/>
      <c r="H180" s="471"/>
      <c r="I180" s="471"/>
      <c r="J180" s="471"/>
      <c r="K180" s="467"/>
      <c r="L180" s="467"/>
      <c r="M180" s="467"/>
      <c r="N180" s="467"/>
      <c r="O180" s="467"/>
      <c r="P180" s="501"/>
      <c r="Q180" s="501"/>
      <c r="R180" s="501"/>
      <c r="S180" s="468"/>
    </row>
    <row r="181" spans="1:19">
      <c r="A181" s="473">
        <v>23150203</v>
      </c>
      <c r="B181" s="474" t="str">
        <f>+POAI!B334</f>
        <v>Subprograma: Escuelas de formacion deportiva</v>
      </c>
      <c r="C181" s="475">
        <f>+POAI!C334</f>
        <v>6295935</v>
      </c>
      <c r="D181" s="431">
        <f t="shared" si="15"/>
        <v>6547772.4000000004</v>
      </c>
      <c r="E181" s="431">
        <f t="shared" si="15"/>
        <v>6809683.2960000001</v>
      </c>
      <c r="F181" s="431">
        <f t="shared" si="15"/>
        <v>7082070.6278400002</v>
      </c>
      <c r="G181" s="471"/>
      <c r="H181" s="471"/>
      <c r="I181" s="471"/>
      <c r="J181" s="471"/>
      <c r="K181" s="467"/>
      <c r="L181" s="467"/>
      <c r="M181" s="467"/>
      <c r="N181" s="467"/>
      <c r="O181" s="467"/>
      <c r="P181" s="501"/>
      <c r="Q181" s="501"/>
      <c r="R181" s="501"/>
      <c r="S181" s="468"/>
    </row>
    <row r="182" spans="1:19" hidden="1">
      <c r="A182" s="469"/>
      <c r="B182" s="474"/>
      <c r="C182" s="475"/>
      <c r="D182" s="431">
        <f t="shared" si="15"/>
        <v>0</v>
      </c>
      <c r="E182" s="431">
        <f t="shared" si="15"/>
        <v>0</v>
      </c>
      <c r="F182" s="431">
        <f t="shared" si="15"/>
        <v>0</v>
      </c>
      <c r="G182" s="471"/>
      <c r="H182" s="471"/>
      <c r="I182" s="471"/>
      <c r="J182" s="471"/>
      <c r="K182" s="467"/>
      <c r="L182" s="467"/>
      <c r="M182" s="467"/>
      <c r="N182" s="467"/>
      <c r="O182" s="467"/>
      <c r="P182" s="501"/>
      <c r="Q182" s="501"/>
      <c r="R182" s="501"/>
      <c r="S182" s="468"/>
    </row>
    <row r="183" spans="1:19">
      <c r="A183" s="469">
        <v>2316</v>
      </c>
      <c r="B183" s="477" t="str">
        <f>+POAI!B341</f>
        <v>SECTOR CULTURA</v>
      </c>
      <c r="C183" s="467"/>
      <c r="D183" s="431">
        <f t="shared" si="15"/>
        <v>0</v>
      </c>
      <c r="E183" s="431">
        <f t="shared" si="15"/>
        <v>0</v>
      </c>
      <c r="F183" s="431">
        <f t="shared" si="15"/>
        <v>0</v>
      </c>
      <c r="G183" s="471"/>
      <c r="H183" s="471"/>
      <c r="I183" s="471"/>
      <c r="J183" s="471"/>
      <c r="K183" s="472">
        <f>SUM(G185:G196)</f>
        <v>49720950</v>
      </c>
      <c r="L183" s="431">
        <f>SUM(K183*4/100)+K183</f>
        <v>51709788</v>
      </c>
      <c r="M183" s="431">
        <f>SUM(L183*4/100)+L183</f>
        <v>53778179.520000003</v>
      </c>
      <c r="N183" s="431">
        <f>SUM(M183*4/100)+M183</f>
        <v>55929306.700800002</v>
      </c>
      <c r="O183" s="467"/>
      <c r="P183" s="501"/>
      <c r="Q183" s="501"/>
      <c r="R183" s="501"/>
      <c r="S183" s="468"/>
    </row>
    <row r="184" spans="1:19" hidden="1">
      <c r="A184" s="469"/>
      <c r="B184" s="470"/>
      <c r="C184" s="472"/>
      <c r="D184" s="431">
        <f t="shared" si="15"/>
        <v>0</v>
      </c>
      <c r="E184" s="431">
        <f t="shared" si="15"/>
        <v>0</v>
      </c>
      <c r="F184" s="431">
        <f t="shared" si="15"/>
        <v>0</v>
      </c>
      <c r="G184" s="471"/>
      <c r="H184" s="471"/>
      <c r="I184" s="471"/>
      <c r="J184" s="471"/>
      <c r="K184" s="467"/>
      <c r="L184" s="467"/>
      <c r="M184" s="467"/>
      <c r="N184" s="467"/>
      <c r="O184" s="467"/>
      <c r="P184" s="501"/>
      <c r="Q184" s="501"/>
      <c r="R184" s="501"/>
      <c r="S184" s="468"/>
    </row>
    <row r="185" spans="1:19" ht="25.5">
      <c r="A185" s="469">
        <v>231601</v>
      </c>
      <c r="B185" s="477" t="str">
        <f>+POAI!B346</f>
        <v>PROGRAMA: MEJORAMIENTO DE LA INFRAESTRUCTURA CULTURAL</v>
      </c>
      <c r="C185" s="467"/>
      <c r="D185" s="431">
        <f t="shared" si="15"/>
        <v>0</v>
      </c>
      <c r="E185" s="431">
        <f t="shared" si="15"/>
        <v>0</v>
      </c>
      <c r="F185" s="431">
        <f t="shared" si="15"/>
        <v>0</v>
      </c>
      <c r="G185" s="472">
        <f>SUM(C186:C189)</f>
        <v>1800000</v>
      </c>
      <c r="H185" s="431">
        <f>SUM(G185*4/100)+G185</f>
        <v>1872000</v>
      </c>
      <c r="I185" s="431">
        <f>SUM(H185*4/100)+H185</f>
        <v>1946880</v>
      </c>
      <c r="J185" s="431">
        <f>SUM(I185*4/100)+I185</f>
        <v>2024755.2</v>
      </c>
      <c r="K185" s="467"/>
      <c r="L185" s="467"/>
      <c r="M185" s="467"/>
      <c r="N185" s="467"/>
      <c r="O185" s="467"/>
      <c r="P185" s="501"/>
      <c r="Q185" s="501"/>
      <c r="R185" s="501"/>
      <c r="S185" s="468"/>
    </row>
    <row r="186" spans="1:19" ht="25.5">
      <c r="A186" s="473">
        <v>23160101</v>
      </c>
      <c r="B186" s="474" t="str">
        <f>+POAI!B347</f>
        <v>Subprograma: Mantenimiento de escenarios de cultura municipales</v>
      </c>
      <c r="C186" s="475">
        <f>+POAI!C347</f>
        <v>1000000</v>
      </c>
      <c r="D186" s="431">
        <f t="shared" si="15"/>
        <v>1040000</v>
      </c>
      <c r="E186" s="431">
        <f t="shared" si="15"/>
        <v>1081600</v>
      </c>
      <c r="F186" s="431">
        <f t="shared" si="15"/>
        <v>1124864</v>
      </c>
      <c r="G186" s="471"/>
      <c r="H186" s="471"/>
      <c r="I186" s="471"/>
      <c r="J186" s="471"/>
      <c r="K186" s="467"/>
      <c r="L186" s="467"/>
      <c r="M186" s="467"/>
      <c r="N186" s="467"/>
      <c r="O186" s="467"/>
      <c r="P186" s="501"/>
      <c r="Q186" s="501"/>
      <c r="R186" s="501"/>
      <c r="S186" s="468"/>
    </row>
    <row r="187" spans="1:19">
      <c r="A187" s="473">
        <v>23160102</v>
      </c>
      <c r="B187" s="474" t="str">
        <f>+POAI!B348</f>
        <v>Subprograma: Servicios pùblicos del sector</v>
      </c>
      <c r="C187" s="475">
        <f>+POAI!C348</f>
        <v>800000</v>
      </c>
      <c r="D187" s="431">
        <f t="shared" ref="D187:F192" si="16">SUM(C187*4/100)+C187</f>
        <v>832000</v>
      </c>
      <c r="E187" s="431">
        <f t="shared" si="16"/>
        <v>865280</v>
      </c>
      <c r="F187" s="431">
        <f t="shared" si="16"/>
        <v>899891.19999999995</v>
      </c>
      <c r="G187" s="471"/>
      <c r="H187" s="471"/>
      <c r="I187" s="471"/>
      <c r="J187" s="471"/>
      <c r="K187" s="467"/>
      <c r="L187" s="467"/>
      <c r="M187" s="467"/>
      <c r="N187" s="467"/>
      <c r="O187" s="467"/>
      <c r="P187" s="501"/>
      <c r="Q187" s="501"/>
      <c r="R187" s="501"/>
      <c r="S187" s="468"/>
    </row>
    <row r="188" spans="1:19" ht="25.5" hidden="1">
      <c r="A188" s="473">
        <v>23160103</v>
      </c>
      <c r="B188" s="474" t="str">
        <f>+POAI!B349</f>
        <v>Subprograma: Construcción escenarios de cultura municipales</v>
      </c>
      <c r="C188" s="475">
        <f>+POAI!C349</f>
        <v>0</v>
      </c>
      <c r="D188" s="431">
        <f t="shared" si="16"/>
        <v>0</v>
      </c>
      <c r="E188" s="431">
        <f t="shared" si="16"/>
        <v>0</v>
      </c>
      <c r="F188" s="431">
        <f t="shared" si="16"/>
        <v>0</v>
      </c>
      <c r="G188" s="471"/>
      <c r="H188" s="471"/>
      <c r="I188" s="471"/>
      <c r="J188" s="471"/>
      <c r="K188" s="467"/>
      <c r="L188" s="467"/>
      <c r="M188" s="467"/>
      <c r="N188" s="467"/>
      <c r="O188" s="467"/>
      <c r="P188" s="501"/>
      <c r="Q188" s="501"/>
      <c r="R188" s="501"/>
      <c r="S188" s="468"/>
    </row>
    <row r="189" spans="1:19" hidden="1">
      <c r="A189" s="469"/>
      <c r="B189" s="474"/>
      <c r="C189" s="475"/>
      <c r="D189" s="431">
        <f t="shared" si="16"/>
        <v>0</v>
      </c>
      <c r="E189" s="431">
        <f t="shared" si="16"/>
        <v>0</v>
      </c>
      <c r="F189" s="431">
        <f t="shared" si="16"/>
        <v>0</v>
      </c>
      <c r="G189" s="471"/>
      <c r="H189" s="471"/>
      <c r="I189" s="471"/>
      <c r="J189" s="471"/>
      <c r="K189" s="467"/>
      <c r="L189" s="467"/>
      <c r="M189" s="467"/>
      <c r="N189" s="467"/>
      <c r="O189" s="467"/>
      <c r="P189" s="501"/>
      <c r="Q189" s="501"/>
      <c r="R189" s="501"/>
      <c r="S189" s="468"/>
    </row>
    <row r="190" spans="1:19" ht="25.5">
      <c r="A190" s="469">
        <v>231602</v>
      </c>
      <c r="B190" s="477" t="str">
        <f>+POAI!B351</f>
        <v>PROGRAMA: MASIFICACIÓN DEL TIEMPO LIBRE Y RESCATE CULTURAL</v>
      </c>
      <c r="C190" s="475"/>
      <c r="D190" s="431">
        <f t="shared" si="16"/>
        <v>0</v>
      </c>
      <c r="E190" s="431">
        <f t="shared" si="16"/>
        <v>0</v>
      </c>
      <c r="F190" s="431">
        <f t="shared" si="16"/>
        <v>0</v>
      </c>
      <c r="G190" s="472">
        <f>SUM(C191:C197)</f>
        <v>47920950</v>
      </c>
      <c r="H190" s="431">
        <f>SUM(G190*4/100)+G190</f>
        <v>49837788</v>
      </c>
      <c r="I190" s="431">
        <f>SUM(H190*4/100)+H190</f>
        <v>51831299.520000003</v>
      </c>
      <c r="J190" s="431">
        <f>SUM(I190*4/100)+I190</f>
        <v>53904551.500800006</v>
      </c>
      <c r="K190" s="467"/>
      <c r="L190" s="467"/>
      <c r="M190" s="467"/>
      <c r="N190" s="467"/>
      <c r="O190" s="467"/>
      <c r="P190" s="501"/>
      <c r="Q190" s="501"/>
      <c r="R190" s="501"/>
      <c r="S190" s="468"/>
    </row>
    <row r="191" spans="1:19">
      <c r="A191" s="473">
        <v>23160201</v>
      </c>
      <c r="B191" s="474" t="str">
        <f>+POAI!B352</f>
        <v xml:space="preserve">Subprograma: Promoción de eventos culturales </v>
      </c>
      <c r="C191" s="475">
        <f>+POAI!C352</f>
        <v>29920950</v>
      </c>
      <c r="D191" s="431">
        <f t="shared" si="16"/>
        <v>31117788</v>
      </c>
      <c r="E191" s="431">
        <f t="shared" si="16"/>
        <v>32362499.52</v>
      </c>
      <c r="F191" s="431">
        <f t="shared" si="16"/>
        <v>33656999.500799999</v>
      </c>
      <c r="G191" s="471"/>
      <c r="H191" s="471"/>
      <c r="I191" s="471"/>
      <c r="J191" s="471"/>
      <c r="K191" s="467"/>
      <c r="L191" s="467"/>
      <c r="M191" s="467"/>
      <c r="N191" s="467"/>
      <c r="O191" s="467"/>
      <c r="P191" s="501"/>
      <c r="Q191" s="501"/>
      <c r="R191" s="501"/>
      <c r="S191" s="468"/>
    </row>
    <row r="192" spans="1:19" ht="25.5">
      <c r="A192" s="473">
        <v>23160202</v>
      </c>
      <c r="B192" s="474" t="str">
        <f>+POAI!B353</f>
        <v>Subprograma: Operación escuelas de formación artística y cultural</v>
      </c>
      <c r="C192" s="475">
        <f>+POAI!C353</f>
        <v>18000000</v>
      </c>
      <c r="D192" s="431">
        <f t="shared" si="16"/>
        <v>18720000</v>
      </c>
      <c r="E192" s="431">
        <f t="shared" si="16"/>
        <v>19468800</v>
      </c>
      <c r="F192" s="431">
        <f t="shared" si="16"/>
        <v>20247552</v>
      </c>
      <c r="G192" s="471"/>
      <c r="H192" s="471"/>
      <c r="I192" s="471"/>
      <c r="J192" s="471"/>
      <c r="K192" s="467"/>
      <c r="L192" s="467"/>
      <c r="M192" s="467"/>
      <c r="N192" s="467"/>
      <c r="O192" s="467"/>
      <c r="P192" s="501"/>
      <c r="Q192" s="501"/>
      <c r="R192" s="501"/>
      <c r="S192" s="468"/>
    </row>
    <row r="193" spans="1:19" ht="25.5" hidden="1">
      <c r="A193" s="473">
        <v>23160203</v>
      </c>
      <c r="B193" s="474" t="str">
        <f>+POAI!B354</f>
        <v>Subprograma: Apoyo a la investigaciòn de la historia Cucaitense</v>
      </c>
      <c r="C193" s="475">
        <f>+POAI!C354</f>
        <v>0</v>
      </c>
      <c r="D193" s="431">
        <f t="shared" ref="D193:F256" si="17">SUM(C193*4/100)+C193</f>
        <v>0</v>
      </c>
      <c r="E193" s="431">
        <f t="shared" si="17"/>
        <v>0</v>
      </c>
      <c r="F193" s="431">
        <f t="shared" si="17"/>
        <v>0</v>
      </c>
      <c r="G193" s="471"/>
      <c r="H193" s="471"/>
      <c r="I193" s="471"/>
      <c r="J193" s="471"/>
      <c r="K193" s="467"/>
      <c r="L193" s="467"/>
      <c r="M193" s="467"/>
      <c r="N193" s="467"/>
      <c r="O193" s="467"/>
      <c r="P193" s="501"/>
      <c r="Q193" s="501"/>
      <c r="R193" s="501"/>
      <c r="S193" s="468"/>
    </row>
    <row r="194" spans="1:19" hidden="1">
      <c r="A194" s="473">
        <v>23160204</v>
      </c>
      <c r="B194" s="474" t="str">
        <f>+POAI!B355</f>
        <v>Subprograma: 10% seguridad social gestor de cultura</v>
      </c>
      <c r="C194" s="475">
        <f>+POAI!C355</f>
        <v>0</v>
      </c>
      <c r="D194" s="431">
        <f t="shared" si="17"/>
        <v>0</v>
      </c>
      <c r="E194" s="431">
        <f t="shared" si="17"/>
        <v>0</v>
      </c>
      <c r="F194" s="431">
        <f t="shared" si="17"/>
        <v>0</v>
      </c>
      <c r="G194" s="471"/>
      <c r="H194" s="471"/>
      <c r="I194" s="471"/>
      <c r="J194" s="471"/>
      <c r="K194" s="467"/>
      <c r="L194" s="467"/>
      <c r="M194" s="467"/>
      <c r="N194" s="467"/>
      <c r="O194" s="467"/>
      <c r="P194" s="501"/>
      <c r="Q194" s="501"/>
      <c r="R194" s="501"/>
      <c r="S194" s="468"/>
    </row>
    <row r="195" spans="1:19" hidden="1">
      <c r="A195" s="473">
        <v>23160205</v>
      </c>
      <c r="B195" s="474" t="str">
        <f>+POAI!B356</f>
        <v>Subprograma: 20% fonpet</v>
      </c>
      <c r="C195" s="475">
        <f>+POAI!C356</f>
        <v>0</v>
      </c>
      <c r="D195" s="431">
        <f t="shared" si="17"/>
        <v>0</v>
      </c>
      <c r="E195" s="431">
        <f t="shared" si="17"/>
        <v>0</v>
      </c>
      <c r="F195" s="431">
        <f t="shared" si="17"/>
        <v>0</v>
      </c>
      <c r="G195" s="471"/>
      <c r="H195" s="471"/>
      <c r="I195" s="471"/>
      <c r="J195" s="471"/>
      <c r="K195" s="467"/>
      <c r="L195" s="467"/>
      <c r="M195" s="467"/>
      <c r="N195" s="467"/>
      <c r="O195" s="467"/>
      <c r="P195" s="501"/>
      <c r="Q195" s="501"/>
      <c r="R195" s="501"/>
      <c r="S195" s="468"/>
    </row>
    <row r="196" spans="1:19" hidden="1">
      <c r="A196" s="473">
        <v>23160206</v>
      </c>
      <c r="B196" s="474" t="str">
        <f>+POAI!B357</f>
        <v>Subprograma: 10% sostenimiento de bibliotecas publicas</v>
      </c>
      <c r="C196" s="475">
        <f>+POAI!C357</f>
        <v>0</v>
      </c>
      <c r="D196" s="431">
        <f t="shared" si="17"/>
        <v>0</v>
      </c>
      <c r="E196" s="431">
        <f t="shared" si="17"/>
        <v>0</v>
      </c>
      <c r="F196" s="431">
        <f t="shared" si="17"/>
        <v>0</v>
      </c>
      <c r="G196" s="471"/>
      <c r="H196" s="471"/>
      <c r="I196" s="471"/>
      <c r="J196" s="471"/>
      <c r="K196" s="467"/>
      <c r="L196" s="467"/>
      <c r="M196" s="467"/>
      <c r="N196" s="467"/>
      <c r="O196" s="467"/>
      <c r="P196" s="501"/>
      <c r="Q196" s="501"/>
      <c r="R196" s="501"/>
      <c r="S196" s="468"/>
    </row>
    <row r="197" spans="1:19" hidden="1">
      <c r="A197" s="469"/>
      <c r="B197" s="470"/>
      <c r="C197" s="472"/>
      <c r="D197" s="431">
        <f t="shared" si="17"/>
        <v>0</v>
      </c>
      <c r="E197" s="431">
        <f t="shared" si="17"/>
        <v>0</v>
      </c>
      <c r="F197" s="431">
        <f t="shared" si="17"/>
        <v>0</v>
      </c>
      <c r="G197" s="471"/>
      <c r="H197" s="471"/>
      <c r="I197" s="471"/>
      <c r="J197" s="471"/>
      <c r="K197" s="467"/>
      <c r="L197" s="467"/>
      <c r="M197" s="467"/>
      <c r="N197" s="467"/>
      <c r="O197" s="467"/>
      <c r="P197" s="501"/>
      <c r="Q197" s="501"/>
      <c r="R197" s="501"/>
      <c r="S197" s="468"/>
    </row>
    <row r="198" spans="1:19" s="480" customFormat="1">
      <c r="A198" s="469">
        <v>2317</v>
      </c>
      <c r="B198" s="477" t="str">
        <f>+POAI!B362</f>
        <v>SECTOR OTROS SECTORES</v>
      </c>
      <c r="C198" s="460"/>
      <c r="D198" s="431">
        <f t="shared" si="17"/>
        <v>0</v>
      </c>
      <c r="E198" s="431">
        <f t="shared" si="17"/>
        <v>0</v>
      </c>
      <c r="F198" s="431">
        <f t="shared" si="17"/>
        <v>0</v>
      </c>
      <c r="G198" s="479"/>
      <c r="H198" s="479"/>
      <c r="I198" s="479"/>
      <c r="J198" s="479"/>
      <c r="K198" s="472">
        <f>SUM(G200:G274)</f>
        <v>568576985</v>
      </c>
      <c r="L198" s="431">
        <f>SUM(K198*4/100)+K198</f>
        <v>591320064.39999998</v>
      </c>
      <c r="M198" s="431">
        <f>SUM(L198*4/100)+L198</f>
        <v>614972866.97599995</v>
      </c>
      <c r="N198" s="431">
        <f>SUM(M198*4/100)+M198</f>
        <v>639571781.65503991</v>
      </c>
      <c r="O198" s="460"/>
      <c r="P198" s="500"/>
      <c r="Q198" s="500"/>
      <c r="R198" s="500"/>
      <c r="S198" s="462"/>
    </row>
    <row r="199" spans="1:19" hidden="1">
      <c r="A199" s="469"/>
      <c r="B199" s="470"/>
      <c r="C199" s="472"/>
      <c r="D199" s="431">
        <f t="shared" si="17"/>
        <v>0</v>
      </c>
      <c r="E199" s="431">
        <f t="shared" si="17"/>
        <v>0</v>
      </c>
      <c r="F199" s="431">
        <f t="shared" si="17"/>
        <v>0</v>
      </c>
      <c r="G199" s="471"/>
      <c r="H199" s="471"/>
      <c r="I199" s="471"/>
      <c r="J199" s="471"/>
      <c r="K199" s="467"/>
      <c r="L199" s="467"/>
      <c r="M199" s="467"/>
      <c r="N199" s="467"/>
      <c r="O199" s="467"/>
      <c r="P199" s="501"/>
      <c r="Q199" s="501"/>
      <c r="R199" s="501"/>
      <c r="S199" s="468"/>
    </row>
    <row r="200" spans="1:19" s="480" customFormat="1">
      <c r="A200" s="469">
        <v>231707</v>
      </c>
      <c r="B200" s="477" t="str">
        <f>+POAI!B367</f>
        <v>PROGRAMA: VIVIENDA SALUDABLE</v>
      </c>
      <c r="C200" s="460"/>
      <c r="D200" s="431">
        <f t="shared" si="17"/>
        <v>0</v>
      </c>
      <c r="E200" s="431">
        <f t="shared" si="17"/>
        <v>0</v>
      </c>
      <c r="F200" s="431">
        <f t="shared" si="17"/>
        <v>0</v>
      </c>
      <c r="G200" s="472">
        <f>SUM(C201:C203)</f>
        <v>100000000</v>
      </c>
      <c r="H200" s="431">
        <f>SUM(G200*4/100)+G200</f>
        <v>104000000</v>
      </c>
      <c r="I200" s="431">
        <f>SUM(H200*4/100)+H200</f>
        <v>108160000</v>
      </c>
      <c r="J200" s="431">
        <f>SUM(I200*4/100)+I200</f>
        <v>112486400</v>
      </c>
      <c r="K200" s="460"/>
      <c r="L200" s="460"/>
      <c r="M200" s="460"/>
      <c r="N200" s="460"/>
      <c r="O200" s="460"/>
      <c r="P200" s="500"/>
      <c r="Q200" s="500"/>
      <c r="R200" s="500"/>
      <c r="S200" s="462"/>
    </row>
    <row r="201" spans="1:19">
      <c r="A201" s="473">
        <v>23170701</v>
      </c>
      <c r="B201" s="474" t="str">
        <f>+POAI!B368</f>
        <v>Subprograma: Mejoramiento Vivienda de interés social</v>
      </c>
      <c r="C201" s="475">
        <f>+POAI!C368</f>
        <v>50000000</v>
      </c>
      <c r="D201" s="431">
        <f t="shared" si="17"/>
        <v>52000000</v>
      </c>
      <c r="E201" s="431">
        <f t="shared" si="17"/>
        <v>54080000</v>
      </c>
      <c r="F201" s="431">
        <f t="shared" si="17"/>
        <v>56243200</v>
      </c>
      <c r="G201" s="471"/>
      <c r="H201" s="471"/>
      <c r="I201" s="471"/>
      <c r="J201" s="471"/>
      <c r="K201" s="467"/>
      <c r="L201" s="467"/>
      <c r="M201" s="467"/>
      <c r="N201" s="467"/>
      <c r="O201" s="467"/>
      <c r="P201" s="501"/>
      <c r="Q201" s="501"/>
      <c r="R201" s="501"/>
      <c r="S201" s="468"/>
    </row>
    <row r="202" spans="1:19">
      <c r="A202" s="473">
        <v>23170702</v>
      </c>
      <c r="B202" s="474" t="str">
        <f>+POAI!B369</f>
        <v>Subprograma: Construcción vivienda de interes social</v>
      </c>
      <c r="C202" s="475">
        <f>+POAI!C369</f>
        <v>50000000</v>
      </c>
      <c r="D202" s="431">
        <f t="shared" si="17"/>
        <v>52000000</v>
      </c>
      <c r="E202" s="431">
        <f t="shared" si="17"/>
        <v>54080000</v>
      </c>
      <c r="F202" s="431">
        <f t="shared" si="17"/>
        <v>56243200</v>
      </c>
      <c r="G202" s="471"/>
      <c r="H202" s="471"/>
      <c r="I202" s="471"/>
      <c r="J202" s="471"/>
      <c r="K202" s="467"/>
      <c r="L202" s="467"/>
      <c r="M202" s="467"/>
      <c r="N202" s="467"/>
      <c r="O202" s="467"/>
      <c r="P202" s="501"/>
      <c r="Q202" s="501"/>
      <c r="R202" s="501"/>
      <c r="S202" s="468"/>
    </row>
    <row r="203" spans="1:19" hidden="1">
      <c r="A203" s="469"/>
      <c r="B203" s="474"/>
      <c r="C203" s="475"/>
      <c r="D203" s="431">
        <f t="shared" si="17"/>
        <v>0</v>
      </c>
      <c r="E203" s="431">
        <f t="shared" si="17"/>
        <v>0</v>
      </c>
      <c r="F203" s="431">
        <f t="shared" si="17"/>
        <v>0</v>
      </c>
      <c r="G203" s="471"/>
      <c r="H203" s="471"/>
      <c r="I203" s="471"/>
      <c r="J203" s="471"/>
      <c r="K203" s="467"/>
      <c r="L203" s="467"/>
      <c r="M203" s="467"/>
      <c r="N203" s="467"/>
      <c r="O203" s="467"/>
      <c r="P203" s="501"/>
      <c r="Q203" s="501"/>
      <c r="R203" s="501"/>
      <c r="S203" s="468"/>
    </row>
    <row r="204" spans="1:19" s="480" customFormat="1">
      <c r="A204" s="469">
        <v>231708</v>
      </c>
      <c r="B204" s="477" t="str">
        <f>+POAI!B371</f>
        <v xml:space="preserve">PROGRAMA:  PRODUCTIVIDAD AGROPECUARIA </v>
      </c>
      <c r="C204" s="478"/>
      <c r="D204" s="431"/>
      <c r="E204" s="431"/>
      <c r="F204" s="431"/>
      <c r="G204" s="472">
        <f>SUM(C205:C208)</f>
        <v>52000000</v>
      </c>
      <c r="H204" s="431">
        <f>SUM(G204*4/100)+G204</f>
        <v>54080000</v>
      </c>
      <c r="I204" s="431">
        <f>SUM(H204*4/100)+H204</f>
        <v>56243200</v>
      </c>
      <c r="J204" s="431">
        <f>SUM(I204*4/100)+I204</f>
        <v>58492928</v>
      </c>
      <c r="K204" s="460"/>
      <c r="L204" s="460"/>
      <c r="M204" s="460"/>
      <c r="N204" s="460"/>
      <c r="O204" s="460"/>
      <c r="P204" s="500"/>
      <c r="Q204" s="500"/>
      <c r="R204" s="500"/>
      <c r="S204" s="462"/>
    </row>
    <row r="205" spans="1:19">
      <c r="A205" s="473">
        <v>23170801</v>
      </c>
      <c r="B205" s="474" t="str">
        <f>+POAI!B372</f>
        <v>Subprograma: Asistencia técnica agropecuaria</v>
      </c>
      <c r="C205" s="475">
        <f>+POAI!C372</f>
        <v>43000000</v>
      </c>
      <c r="D205" s="431">
        <f t="shared" si="17"/>
        <v>44720000</v>
      </c>
      <c r="E205" s="431">
        <f t="shared" si="17"/>
        <v>46508800</v>
      </c>
      <c r="F205" s="431">
        <f t="shared" si="17"/>
        <v>48369152</v>
      </c>
      <c r="G205" s="471"/>
      <c r="H205" s="471"/>
      <c r="I205" s="471"/>
      <c r="J205" s="471"/>
      <c r="K205" s="467"/>
      <c r="L205" s="467"/>
      <c r="M205" s="467"/>
      <c r="N205" s="467"/>
      <c r="O205" s="467"/>
      <c r="P205" s="501"/>
      <c r="Q205" s="501"/>
      <c r="R205" s="501"/>
      <c r="S205" s="468"/>
    </row>
    <row r="206" spans="1:19">
      <c r="A206" s="473">
        <v>23170802</v>
      </c>
      <c r="B206" s="474" t="str">
        <f>+POAI!B373</f>
        <v>Subprograma: Apoyo proyectos productivos agropecuarios</v>
      </c>
      <c r="C206" s="475">
        <f>+POAI!C373</f>
        <v>5000000</v>
      </c>
      <c r="D206" s="431">
        <f t="shared" si="17"/>
        <v>5200000</v>
      </c>
      <c r="E206" s="431">
        <f t="shared" si="17"/>
        <v>5408000</v>
      </c>
      <c r="F206" s="431">
        <f t="shared" si="17"/>
        <v>5624320</v>
      </c>
      <c r="G206" s="471"/>
      <c r="H206" s="471"/>
      <c r="I206" s="471"/>
      <c r="J206" s="471"/>
      <c r="K206" s="467"/>
      <c r="L206" s="467"/>
      <c r="M206" s="467"/>
      <c r="N206" s="467"/>
      <c r="O206" s="467"/>
      <c r="P206" s="501"/>
      <c r="Q206" s="501"/>
      <c r="R206" s="501"/>
      <c r="S206" s="468"/>
    </row>
    <row r="207" spans="1:19">
      <c r="A207" s="473">
        <v>23170803</v>
      </c>
      <c r="B207" s="474" t="str">
        <f>+POAI!B374</f>
        <v>Subprograma: Apoyo a la feria técnica agropecuaria</v>
      </c>
      <c r="C207" s="475">
        <f>+POAI!C374</f>
        <v>4000000</v>
      </c>
      <c r="D207" s="431">
        <f t="shared" si="17"/>
        <v>4160000</v>
      </c>
      <c r="E207" s="431">
        <f t="shared" si="17"/>
        <v>4326400</v>
      </c>
      <c r="F207" s="431">
        <f t="shared" si="17"/>
        <v>4499456</v>
      </c>
      <c r="G207" s="471"/>
      <c r="H207" s="471"/>
      <c r="I207" s="471"/>
      <c r="J207" s="471"/>
      <c r="K207" s="467"/>
      <c r="L207" s="467"/>
      <c r="M207" s="467"/>
      <c r="N207" s="467"/>
      <c r="O207" s="467"/>
      <c r="P207" s="501"/>
      <c r="Q207" s="501"/>
      <c r="R207" s="501"/>
      <c r="S207" s="468"/>
    </row>
    <row r="208" spans="1:19" hidden="1">
      <c r="A208" s="469"/>
      <c r="B208" s="474"/>
      <c r="C208" s="475"/>
      <c r="D208" s="431">
        <f t="shared" si="17"/>
        <v>0</v>
      </c>
      <c r="E208" s="431">
        <f t="shared" si="17"/>
        <v>0</v>
      </c>
      <c r="F208" s="431">
        <f t="shared" si="17"/>
        <v>0</v>
      </c>
      <c r="G208" s="471"/>
      <c r="H208" s="471"/>
      <c r="I208" s="471"/>
      <c r="J208" s="471"/>
      <c r="K208" s="467"/>
      <c r="L208" s="467"/>
      <c r="M208" s="467"/>
      <c r="N208" s="467"/>
      <c r="O208" s="467"/>
      <c r="P208" s="501"/>
      <c r="Q208" s="501"/>
      <c r="R208" s="501"/>
      <c r="S208" s="468"/>
    </row>
    <row r="209" spans="1:19" s="480" customFormat="1">
      <c r="A209" s="469">
        <v>231709</v>
      </c>
      <c r="B209" s="477" t="str">
        <f>+POAI!B376</f>
        <v>PROGRAMA:  VÍAS Y MOVILIDAD MUNICIPAL</v>
      </c>
      <c r="C209" s="478"/>
      <c r="D209" s="431">
        <f t="shared" si="17"/>
        <v>0</v>
      </c>
      <c r="E209" s="431">
        <f t="shared" si="17"/>
        <v>0</v>
      </c>
      <c r="F209" s="431">
        <f t="shared" si="17"/>
        <v>0</v>
      </c>
      <c r="G209" s="472">
        <f>SUM(C210:C214)</f>
        <v>151724363</v>
      </c>
      <c r="H209" s="431">
        <f>SUM(G209*4/100)+G209</f>
        <v>157793337.52000001</v>
      </c>
      <c r="I209" s="431">
        <f>SUM(H209*4/100)+H209</f>
        <v>164105071.02080002</v>
      </c>
      <c r="J209" s="431">
        <f>SUM(I209*4/100)+I209</f>
        <v>170669273.86163202</v>
      </c>
      <c r="K209" s="460"/>
      <c r="L209" s="460"/>
      <c r="M209" s="460"/>
      <c r="N209" s="460"/>
      <c r="O209" s="460"/>
      <c r="P209" s="500"/>
      <c r="Q209" s="500"/>
      <c r="R209" s="500"/>
      <c r="S209" s="462"/>
    </row>
    <row r="210" spans="1:19">
      <c r="A210" s="473">
        <v>23170901</v>
      </c>
      <c r="B210" s="474" t="str">
        <f>+POAI!B377</f>
        <v xml:space="preserve">Subprograma: Mantenimiento de la red vial municipal </v>
      </c>
      <c r="C210" s="475">
        <f>+POAI!C377+1724363</f>
        <v>66724363</v>
      </c>
      <c r="D210" s="431">
        <f t="shared" si="17"/>
        <v>69393337.519999996</v>
      </c>
      <c r="E210" s="431">
        <f t="shared" si="17"/>
        <v>72169071.020799994</v>
      </c>
      <c r="F210" s="431">
        <f t="shared" si="17"/>
        <v>75055833.861631989</v>
      </c>
      <c r="G210" s="471"/>
      <c r="H210" s="471"/>
      <c r="I210" s="471"/>
      <c r="J210" s="471"/>
      <c r="K210" s="467"/>
      <c r="L210" s="467"/>
      <c r="M210" s="467"/>
      <c r="N210" s="467"/>
      <c r="O210" s="467"/>
      <c r="P210" s="501"/>
      <c r="Q210" s="501"/>
      <c r="R210" s="501"/>
      <c r="S210" s="468"/>
    </row>
    <row r="211" spans="1:19">
      <c r="A211" s="473">
        <v>23170902</v>
      </c>
      <c r="B211" s="474" t="str">
        <f>+POAI!B378</f>
        <v>Subprograma: Mejoramiento de vias urbanas</v>
      </c>
      <c r="C211" s="475">
        <f>+POAI!C378</f>
        <v>85000000</v>
      </c>
      <c r="D211" s="431">
        <f t="shared" si="17"/>
        <v>88400000</v>
      </c>
      <c r="E211" s="431">
        <f t="shared" si="17"/>
        <v>91936000</v>
      </c>
      <c r="F211" s="431">
        <f t="shared" si="17"/>
        <v>95613440</v>
      </c>
      <c r="G211" s="471"/>
      <c r="H211" s="471"/>
      <c r="I211" s="471"/>
      <c r="J211" s="471"/>
      <c r="K211" s="467"/>
      <c r="L211" s="467"/>
      <c r="M211" s="467"/>
      <c r="N211" s="467"/>
      <c r="O211" s="467"/>
      <c r="P211" s="501"/>
      <c r="Q211" s="501"/>
      <c r="R211" s="501"/>
      <c r="S211" s="468"/>
    </row>
    <row r="212" spans="1:19" ht="25.5" hidden="1">
      <c r="A212" s="473">
        <v>23170903</v>
      </c>
      <c r="B212" s="474" t="str">
        <f>+POAI!B379</f>
        <v xml:space="preserve"> Subprograma: Operación y Mantenimiento de Maquinaria Municipal</v>
      </c>
      <c r="C212" s="475">
        <f>+POAI!C379</f>
        <v>0</v>
      </c>
      <c r="D212" s="431">
        <f t="shared" si="17"/>
        <v>0</v>
      </c>
      <c r="E212" s="431">
        <f t="shared" si="17"/>
        <v>0</v>
      </c>
      <c r="F212" s="431">
        <f t="shared" si="17"/>
        <v>0</v>
      </c>
      <c r="G212" s="471"/>
      <c r="H212" s="471"/>
      <c r="I212" s="471"/>
      <c r="J212" s="471"/>
      <c r="K212" s="467"/>
      <c r="L212" s="467"/>
      <c r="M212" s="467"/>
      <c r="N212" s="467"/>
      <c r="O212" s="467"/>
      <c r="P212" s="501"/>
      <c r="Q212" s="501"/>
      <c r="R212" s="501"/>
      <c r="S212" s="468"/>
    </row>
    <row r="213" spans="1:19" hidden="1">
      <c r="A213" s="473">
        <v>23170904</v>
      </c>
      <c r="B213" s="474" t="str">
        <f>+POAI!B380</f>
        <v xml:space="preserve"> Subprograma: Construccion puente con juirsdiccion Sora</v>
      </c>
      <c r="C213" s="475">
        <v>0</v>
      </c>
      <c r="D213" s="431">
        <f t="shared" si="17"/>
        <v>0</v>
      </c>
      <c r="E213" s="431">
        <f t="shared" si="17"/>
        <v>0</v>
      </c>
      <c r="F213" s="431">
        <f t="shared" si="17"/>
        <v>0</v>
      </c>
      <c r="G213" s="471"/>
      <c r="H213" s="471"/>
      <c r="I213" s="471"/>
      <c r="J213" s="471"/>
      <c r="K213" s="467"/>
      <c r="L213" s="467"/>
      <c r="M213" s="467"/>
      <c r="N213" s="467"/>
      <c r="O213" s="467"/>
      <c r="P213" s="501"/>
      <c r="Q213" s="501"/>
      <c r="R213" s="501"/>
      <c r="S213" s="468"/>
    </row>
    <row r="214" spans="1:19" hidden="1">
      <c r="A214" s="469"/>
      <c r="B214" s="474"/>
      <c r="C214" s="475"/>
      <c r="D214" s="431">
        <f t="shared" si="17"/>
        <v>0</v>
      </c>
      <c r="E214" s="431">
        <f t="shared" si="17"/>
        <v>0</v>
      </c>
      <c r="F214" s="431">
        <f t="shared" si="17"/>
        <v>0</v>
      </c>
      <c r="G214" s="471"/>
      <c r="H214" s="471"/>
      <c r="I214" s="471"/>
      <c r="J214" s="471"/>
      <c r="K214" s="467"/>
      <c r="L214" s="467"/>
      <c r="M214" s="467"/>
      <c r="N214" s="467"/>
      <c r="O214" s="467"/>
      <c r="P214" s="501"/>
      <c r="Q214" s="501"/>
      <c r="R214" s="501"/>
      <c r="S214" s="468"/>
    </row>
    <row r="215" spans="1:19" s="480" customFormat="1" ht="25.5">
      <c r="A215" s="469">
        <v>231710</v>
      </c>
      <c r="B215" s="477" t="str">
        <f>+POAI!B382</f>
        <v>PROGRAMA: PROTEGIENDO LOS RECURSOS NATURALES</v>
      </c>
      <c r="C215" s="478"/>
      <c r="D215" s="431">
        <f t="shared" si="17"/>
        <v>0</v>
      </c>
      <c r="E215" s="431">
        <f t="shared" si="17"/>
        <v>0</v>
      </c>
      <c r="F215" s="431">
        <f t="shared" si="17"/>
        <v>0</v>
      </c>
      <c r="G215" s="472">
        <f>SUM(C216:C219)</f>
        <v>38800000</v>
      </c>
      <c r="H215" s="431">
        <f>SUM(G215*4/100)+G215</f>
        <v>40352000</v>
      </c>
      <c r="I215" s="431">
        <f>SUM(H215*4/100)+H215</f>
        <v>41966080</v>
      </c>
      <c r="J215" s="431">
        <f>SUM(I215*4/100)+I215</f>
        <v>43644723.200000003</v>
      </c>
      <c r="K215" s="460"/>
      <c r="L215" s="460"/>
      <c r="M215" s="460"/>
      <c r="N215" s="460"/>
      <c r="O215" s="460"/>
      <c r="P215" s="500"/>
      <c r="Q215" s="500"/>
      <c r="R215" s="500"/>
      <c r="S215" s="462"/>
    </row>
    <row r="216" spans="1:19">
      <c r="A216" s="473">
        <v>23171001</v>
      </c>
      <c r="B216" s="474" t="str">
        <f>+POAI!B383</f>
        <v>Subprograma: Reforestación protectora y proudctiva</v>
      </c>
      <c r="C216" s="475">
        <f>+POAI!C383</f>
        <v>8800000</v>
      </c>
      <c r="D216" s="431">
        <f t="shared" si="17"/>
        <v>9152000</v>
      </c>
      <c r="E216" s="431">
        <f t="shared" si="17"/>
        <v>9518080</v>
      </c>
      <c r="F216" s="431">
        <f t="shared" si="17"/>
        <v>9898803.1999999993</v>
      </c>
      <c r="G216" s="471"/>
      <c r="H216" s="471"/>
      <c r="I216" s="471"/>
      <c r="J216" s="471"/>
      <c r="K216" s="467"/>
      <c r="L216" s="467"/>
      <c r="M216" s="467"/>
      <c r="N216" s="467"/>
      <c r="O216" s="467"/>
      <c r="P216" s="501"/>
      <c r="Q216" s="501"/>
      <c r="R216" s="501"/>
      <c r="S216" s="468"/>
    </row>
    <row r="217" spans="1:19" ht="25.5">
      <c r="A217" s="473">
        <v>23171002</v>
      </c>
      <c r="B217" s="474" t="str">
        <f>+POAI!B384</f>
        <v>Subprograma: Adquisición y mantenimiento de predios de micro cuencas  (Art 106 ley 1151 de 2006)</v>
      </c>
      <c r="C217" s="475">
        <f>+POAI!C384</f>
        <v>30000000</v>
      </c>
      <c r="D217" s="431">
        <f t="shared" si="17"/>
        <v>31200000</v>
      </c>
      <c r="E217" s="431">
        <f t="shared" si="17"/>
        <v>32448000</v>
      </c>
      <c r="F217" s="431">
        <f t="shared" si="17"/>
        <v>33745920</v>
      </c>
      <c r="G217" s="471"/>
      <c r="H217" s="471"/>
      <c r="I217" s="471"/>
      <c r="J217" s="471"/>
      <c r="K217" s="467"/>
      <c r="L217" s="467"/>
      <c r="M217" s="467"/>
      <c r="N217" s="467"/>
      <c r="O217" s="467"/>
      <c r="P217" s="501"/>
      <c r="Q217" s="501"/>
      <c r="R217" s="501"/>
      <c r="S217" s="468"/>
    </row>
    <row r="218" spans="1:19" hidden="1">
      <c r="A218" s="473">
        <v>23171003</v>
      </c>
      <c r="B218" s="474" t="str">
        <f>+POAI!B385</f>
        <v>Sistema local areas protegidas</v>
      </c>
      <c r="C218" s="475">
        <f>+POAI!C385</f>
        <v>0</v>
      </c>
      <c r="D218" s="431">
        <f t="shared" si="17"/>
        <v>0</v>
      </c>
      <c r="E218" s="431">
        <f t="shared" si="17"/>
        <v>0</v>
      </c>
      <c r="F218" s="431">
        <f t="shared" si="17"/>
        <v>0</v>
      </c>
      <c r="G218" s="471"/>
      <c r="H218" s="471"/>
      <c r="I218" s="471"/>
      <c r="J218" s="471"/>
      <c r="K218" s="467"/>
      <c r="L218" s="467"/>
      <c r="M218" s="467"/>
      <c r="N218" s="467"/>
      <c r="O218" s="467"/>
      <c r="P218" s="501"/>
      <c r="Q218" s="501"/>
      <c r="R218" s="501"/>
      <c r="S218" s="468"/>
    </row>
    <row r="219" spans="1:19" hidden="1">
      <c r="A219" s="469"/>
      <c r="B219" s="474"/>
      <c r="C219" s="475"/>
      <c r="D219" s="431">
        <f t="shared" si="17"/>
        <v>0</v>
      </c>
      <c r="E219" s="431">
        <f t="shared" si="17"/>
        <v>0</v>
      </c>
      <c r="F219" s="431">
        <f t="shared" si="17"/>
        <v>0</v>
      </c>
      <c r="G219" s="471"/>
      <c r="H219" s="471"/>
      <c r="I219" s="471"/>
      <c r="J219" s="471"/>
      <c r="K219" s="467"/>
      <c r="L219" s="467"/>
      <c r="M219" s="467"/>
      <c r="N219" s="467"/>
      <c r="O219" s="467"/>
      <c r="P219" s="501"/>
      <c r="Q219" s="501"/>
      <c r="R219" s="501"/>
      <c r="S219" s="468"/>
    </row>
    <row r="220" spans="1:19" s="480" customFormat="1">
      <c r="A220" s="469">
        <v>231711</v>
      </c>
      <c r="B220" s="477" t="str">
        <f>+POAI!B387</f>
        <v>PROGRAMA: SECTOR ELECTRIFICACION</v>
      </c>
      <c r="C220" s="478"/>
      <c r="D220" s="431">
        <f t="shared" si="17"/>
        <v>0</v>
      </c>
      <c r="E220" s="431">
        <f t="shared" si="17"/>
        <v>0</v>
      </c>
      <c r="F220" s="431">
        <f t="shared" si="17"/>
        <v>0</v>
      </c>
      <c r="G220" s="472">
        <f>SUM(C221:C223)</f>
        <v>20000000</v>
      </c>
      <c r="H220" s="431">
        <f>SUM(G220*4/100)+G220</f>
        <v>20800000</v>
      </c>
      <c r="I220" s="431">
        <f>SUM(H220*4/100)+H220</f>
        <v>21632000</v>
      </c>
      <c r="J220" s="431">
        <f>SUM(I220*4/100)+I220</f>
        <v>22497280</v>
      </c>
      <c r="K220" s="460"/>
      <c r="L220" s="460"/>
      <c r="M220" s="460"/>
      <c r="N220" s="460"/>
      <c r="O220" s="460"/>
      <c r="P220" s="500"/>
      <c r="Q220" s="500"/>
      <c r="R220" s="500"/>
      <c r="S220" s="462"/>
    </row>
    <row r="221" spans="1:19">
      <c r="A221" s="473">
        <v>23171101</v>
      </c>
      <c r="B221" s="474" t="str">
        <f>+POAI!B388</f>
        <v>Subprograma: alumbrado publico</v>
      </c>
      <c r="C221" s="475">
        <f>+POAI!C388</f>
        <v>10000000</v>
      </c>
      <c r="D221" s="431">
        <f t="shared" si="17"/>
        <v>10400000</v>
      </c>
      <c r="E221" s="431">
        <f t="shared" si="17"/>
        <v>10816000</v>
      </c>
      <c r="F221" s="431">
        <f t="shared" si="17"/>
        <v>11248640</v>
      </c>
      <c r="G221" s="471"/>
      <c r="H221" s="471"/>
      <c r="I221" s="471"/>
      <c r="J221" s="471"/>
      <c r="K221" s="467"/>
      <c r="L221" s="467"/>
      <c r="M221" s="467"/>
      <c r="N221" s="467"/>
      <c r="O221" s="467"/>
      <c r="P221" s="501"/>
      <c r="Q221" s="501"/>
      <c r="R221" s="501"/>
      <c r="S221" s="468"/>
    </row>
    <row r="222" spans="1:19">
      <c r="A222" s="473">
        <v>23171102</v>
      </c>
      <c r="B222" s="474" t="str">
        <f>+POAI!B389</f>
        <v>Subprograma: Mantenimiento alumbrado publico municipal</v>
      </c>
      <c r="C222" s="475">
        <f>+POAI!C389</f>
        <v>10000000</v>
      </c>
      <c r="D222" s="431">
        <f t="shared" si="17"/>
        <v>10400000</v>
      </c>
      <c r="E222" s="431">
        <f t="shared" si="17"/>
        <v>10816000</v>
      </c>
      <c r="F222" s="431">
        <f t="shared" si="17"/>
        <v>11248640</v>
      </c>
      <c r="G222" s="471"/>
      <c r="H222" s="471"/>
      <c r="I222" s="471"/>
      <c r="J222" s="471"/>
      <c r="K222" s="467"/>
      <c r="L222" s="467"/>
      <c r="M222" s="467"/>
      <c r="N222" s="467"/>
      <c r="O222" s="467"/>
      <c r="P222" s="501"/>
      <c r="Q222" s="501"/>
      <c r="R222" s="501"/>
      <c r="S222" s="468"/>
    </row>
    <row r="223" spans="1:19" hidden="1">
      <c r="A223" s="469"/>
      <c r="B223" s="474"/>
      <c r="C223" s="475"/>
      <c r="D223" s="431">
        <f t="shared" si="17"/>
        <v>0</v>
      </c>
      <c r="E223" s="431">
        <f t="shared" si="17"/>
        <v>0</v>
      </c>
      <c r="F223" s="431">
        <f t="shared" si="17"/>
        <v>0</v>
      </c>
      <c r="G223" s="471"/>
      <c r="H223" s="471"/>
      <c r="I223" s="471"/>
      <c r="J223" s="471"/>
      <c r="K223" s="467"/>
      <c r="L223" s="467"/>
      <c r="M223" s="467"/>
      <c r="N223" s="467"/>
      <c r="O223" s="467"/>
      <c r="P223" s="501"/>
      <c r="Q223" s="501"/>
      <c r="R223" s="501"/>
      <c r="S223" s="468"/>
    </row>
    <row r="224" spans="1:19" s="480" customFormat="1" ht="25.5">
      <c r="A224" s="469">
        <v>231712</v>
      </c>
      <c r="B224" s="477" t="str">
        <f>+POAI!B391</f>
        <v>PROGRAMA: PREVENCIÓN Y ATENCIÓN DE DESASTRES</v>
      </c>
      <c r="C224" s="478"/>
      <c r="D224" s="431">
        <f t="shared" si="17"/>
        <v>0</v>
      </c>
      <c r="E224" s="431">
        <f t="shared" si="17"/>
        <v>0</v>
      </c>
      <c r="F224" s="431">
        <f t="shared" si="17"/>
        <v>0</v>
      </c>
      <c r="G224" s="472">
        <f>SUM(C225:C229)</f>
        <v>18400000</v>
      </c>
      <c r="H224" s="431">
        <f>SUM(G224*4/100)+G224</f>
        <v>19136000</v>
      </c>
      <c r="I224" s="431">
        <f>SUM(H224*4/100)+H224</f>
        <v>19901440</v>
      </c>
      <c r="J224" s="431">
        <f>SUM(I224*4/100)+I224</f>
        <v>20697497.600000001</v>
      </c>
      <c r="K224" s="460"/>
      <c r="L224" s="460"/>
      <c r="M224" s="460"/>
      <c r="N224" s="460"/>
      <c r="O224" s="460"/>
      <c r="P224" s="500"/>
      <c r="Q224" s="500"/>
      <c r="R224" s="500"/>
      <c r="S224" s="462"/>
    </row>
    <row r="225" spans="1:19">
      <c r="A225" s="473">
        <v>23171201</v>
      </c>
      <c r="B225" s="474" t="str">
        <f>+POAI!B392</f>
        <v>Subprograma: Prevención y atención de desastres</v>
      </c>
      <c r="C225" s="475">
        <f>+POAI!C392</f>
        <v>10000000</v>
      </c>
      <c r="D225" s="431">
        <f t="shared" si="17"/>
        <v>10400000</v>
      </c>
      <c r="E225" s="431">
        <f t="shared" si="17"/>
        <v>10816000</v>
      </c>
      <c r="F225" s="431">
        <f t="shared" si="17"/>
        <v>11248640</v>
      </c>
      <c r="G225" s="471"/>
      <c r="H225" s="471"/>
      <c r="I225" s="471"/>
      <c r="J225" s="471"/>
      <c r="K225" s="467"/>
      <c r="L225" s="467"/>
      <c r="M225" s="467"/>
      <c r="N225" s="467"/>
      <c r="O225" s="467"/>
      <c r="P225" s="501"/>
      <c r="Q225" s="501"/>
      <c r="R225" s="501"/>
      <c r="S225" s="468"/>
    </row>
    <row r="226" spans="1:19">
      <c r="A226" s="473">
        <v>23171202</v>
      </c>
      <c r="B226" s="474" t="str">
        <f>+POAI!B393</f>
        <v>Subprograma: Atención a calamidades y emergencias</v>
      </c>
      <c r="C226" s="475">
        <f>+POAI!C393</f>
        <v>8400000</v>
      </c>
      <c r="D226" s="431">
        <f t="shared" si="17"/>
        <v>8736000</v>
      </c>
      <c r="E226" s="431">
        <f t="shared" si="17"/>
        <v>9085440</v>
      </c>
      <c r="F226" s="431">
        <f t="shared" si="17"/>
        <v>9448857.5999999996</v>
      </c>
      <c r="G226" s="471"/>
      <c r="H226" s="471"/>
      <c r="I226" s="471"/>
      <c r="J226" s="471"/>
      <c r="K226" s="467"/>
      <c r="L226" s="467"/>
      <c r="M226" s="467"/>
      <c r="N226" s="467"/>
      <c r="O226" s="467"/>
      <c r="P226" s="501"/>
      <c r="Q226" s="501"/>
      <c r="R226" s="501"/>
      <c r="S226" s="468"/>
    </row>
    <row r="227" spans="1:19" hidden="1">
      <c r="A227" s="473">
        <v>23171203</v>
      </c>
      <c r="B227" s="474" t="str">
        <f>+POAI!B394</f>
        <v xml:space="preserve">Subprograma: Servicio de cuerpo de bomberos </v>
      </c>
      <c r="C227" s="475">
        <f>+POAI!C394</f>
        <v>0</v>
      </c>
      <c r="D227" s="431">
        <f t="shared" si="17"/>
        <v>0</v>
      </c>
      <c r="E227" s="431">
        <f t="shared" si="17"/>
        <v>0</v>
      </c>
      <c r="F227" s="431">
        <f t="shared" si="17"/>
        <v>0</v>
      </c>
      <c r="G227" s="471"/>
      <c r="H227" s="471"/>
      <c r="I227" s="471"/>
      <c r="J227" s="471"/>
      <c r="K227" s="467"/>
      <c r="L227" s="467"/>
      <c r="M227" s="467"/>
      <c r="N227" s="467"/>
      <c r="O227" s="467"/>
      <c r="P227" s="501"/>
      <c r="Q227" s="501"/>
      <c r="R227" s="501"/>
      <c r="S227" s="468"/>
    </row>
    <row r="228" spans="1:19" hidden="1">
      <c r="A228" s="473">
        <v>23171204</v>
      </c>
      <c r="B228" s="474" t="str">
        <f>+POAI!B395</f>
        <v xml:space="preserve">Subprograma: Limpeza de lechos de quebradas </v>
      </c>
      <c r="C228" s="475">
        <f>+POAI!C395</f>
        <v>0</v>
      </c>
      <c r="D228" s="431">
        <f t="shared" si="17"/>
        <v>0</v>
      </c>
      <c r="E228" s="431">
        <f t="shared" si="17"/>
        <v>0</v>
      </c>
      <c r="F228" s="431">
        <f t="shared" si="17"/>
        <v>0</v>
      </c>
      <c r="G228" s="471"/>
      <c r="H228" s="471"/>
      <c r="I228" s="471"/>
      <c r="J228" s="471"/>
      <c r="K228" s="467"/>
      <c r="L228" s="467"/>
      <c r="M228" s="467"/>
      <c r="N228" s="467"/>
      <c r="O228" s="467"/>
      <c r="P228" s="501"/>
      <c r="Q228" s="501"/>
      <c r="R228" s="501"/>
      <c r="S228" s="468"/>
    </row>
    <row r="229" spans="1:19" hidden="1">
      <c r="A229" s="469"/>
      <c r="B229" s="474"/>
      <c r="C229" s="475"/>
      <c r="D229" s="431">
        <f t="shared" si="17"/>
        <v>0</v>
      </c>
      <c r="E229" s="431">
        <f t="shared" si="17"/>
        <v>0</v>
      </c>
      <c r="F229" s="431">
        <f t="shared" si="17"/>
        <v>0</v>
      </c>
      <c r="G229" s="471"/>
      <c r="H229" s="471"/>
      <c r="I229" s="471"/>
      <c r="J229" s="471"/>
      <c r="K229" s="467"/>
      <c r="L229" s="467"/>
      <c r="M229" s="467"/>
      <c r="N229" s="467"/>
      <c r="O229" s="467"/>
      <c r="P229" s="501"/>
      <c r="Q229" s="501"/>
      <c r="R229" s="501"/>
      <c r="S229" s="468"/>
    </row>
    <row r="230" spans="1:19" s="480" customFormat="1">
      <c r="A230" s="469">
        <v>231713</v>
      </c>
      <c r="B230" s="477" t="str">
        <f>+POAI!B397</f>
        <v>PROGRAMA: PROMOCIÓN DEL DESARROLLO</v>
      </c>
      <c r="C230" s="478"/>
      <c r="D230" s="431">
        <f t="shared" si="17"/>
        <v>0</v>
      </c>
      <c r="E230" s="431">
        <f t="shared" si="17"/>
        <v>0</v>
      </c>
      <c r="F230" s="431">
        <f t="shared" si="17"/>
        <v>0</v>
      </c>
      <c r="G230" s="472">
        <f>SUM(C231:C232)</f>
        <v>3000000</v>
      </c>
      <c r="H230" s="431">
        <f>SUM(G230*4/100)+G230</f>
        <v>3120000</v>
      </c>
      <c r="I230" s="431">
        <f>SUM(H230*4/100)+H230</f>
        <v>3244800</v>
      </c>
      <c r="J230" s="431">
        <f>SUM(I230*4/100)+I230</f>
        <v>3374592</v>
      </c>
      <c r="K230" s="460"/>
      <c r="L230" s="460"/>
      <c r="M230" s="460"/>
      <c r="N230" s="460"/>
      <c r="O230" s="460"/>
      <c r="P230" s="500"/>
      <c r="Q230" s="500"/>
      <c r="R230" s="500"/>
      <c r="S230" s="462"/>
    </row>
    <row r="231" spans="1:19">
      <c r="A231" s="473">
        <v>23171301</v>
      </c>
      <c r="B231" s="474" t="str">
        <f>+POAI!B398</f>
        <v>Subprograma: Fomento a la participación comunitaria</v>
      </c>
      <c r="C231" s="475">
        <f>+POAI!C398</f>
        <v>3000000</v>
      </c>
      <c r="D231" s="431">
        <f t="shared" si="17"/>
        <v>3120000</v>
      </c>
      <c r="E231" s="431">
        <f t="shared" si="17"/>
        <v>3244800</v>
      </c>
      <c r="F231" s="431">
        <f t="shared" si="17"/>
        <v>3374592</v>
      </c>
      <c r="G231" s="471"/>
      <c r="H231" s="471"/>
      <c r="I231" s="471"/>
      <c r="J231" s="471"/>
      <c r="K231" s="467"/>
      <c r="L231" s="467"/>
      <c r="M231" s="467"/>
      <c r="N231" s="467"/>
      <c r="O231" s="467"/>
      <c r="P231" s="501"/>
      <c r="Q231" s="501"/>
      <c r="R231" s="501"/>
      <c r="S231" s="468"/>
    </row>
    <row r="232" spans="1:19" hidden="1">
      <c r="A232" s="469"/>
      <c r="B232" s="474"/>
      <c r="C232" s="475"/>
      <c r="D232" s="431">
        <f t="shared" si="17"/>
        <v>0</v>
      </c>
      <c r="E232" s="431">
        <f t="shared" si="17"/>
        <v>0</v>
      </c>
      <c r="F232" s="431">
        <f t="shared" si="17"/>
        <v>0</v>
      </c>
      <c r="G232" s="471"/>
      <c r="H232" s="471"/>
      <c r="I232" s="471"/>
      <c r="J232" s="471"/>
      <c r="K232" s="467"/>
      <c r="L232" s="467"/>
      <c r="M232" s="467"/>
      <c r="N232" s="467"/>
      <c r="O232" s="467"/>
      <c r="P232" s="501"/>
      <c r="Q232" s="501"/>
      <c r="R232" s="501"/>
      <c r="S232" s="468"/>
    </row>
    <row r="233" spans="1:19" s="480" customFormat="1">
      <c r="A233" s="469">
        <v>231714</v>
      </c>
      <c r="B233" s="477" t="str">
        <f>+POAI!B400</f>
        <v>PROGRAMA: POBLACIÓN VULNERABLE</v>
      </c>
      <c r="C233" s="478"/>
      <c r="D233" s="431">
        <f t="shared" si="17"/>
        <v>0</v>
      </c>
      <c r="E233" s="431">
        <f t="shared" si="17"/>
        <v>0</v>
      </c>
      <c r="F233" s="431">
        <f t="shared" si="17"/>
        <v>0</v>
      </c>
      <c r="G233" s="472">
        <f>SUM(C234:C250)</f>
        <v>44000000</v>
      </c>
      <c r="H233" s="431">
        <f>SUM(G233*4/100)+G233</f>
        <v>45760000</v>
      </c>
      <c r="I233" s="431">
        <f>SUM(H233*4/100)+H233</f>
        <v>47590400</v>
      </c>
      <c r="J233" s="431">
        <f>SUM(I233*4/100)+I233</f>
        <v>49494016</v>
      </c>
      <c r="K233" s="460"/>
      <c r="L233" s="460"/>
      <c r="M233" s="460"/>
      <c r="N233" s="460"/>
      <c r="O233" s="460"/>
      <c r="P233" s="500"/>
      <c r="Q233" s="500"/>
      <c r="R233" s="500"/>
      <c r="S233" s="462"/>
    </row>
    <row r="234" spans="1:19" ht="25.5">
      <c r="A234" s="473">
        <v>23171401</v>
      </c>
      <c r="B234" s="474" t="str">
        <f>+POAI!B401</f>
        <v>Subprograma:  Inhumación de cadáveres pobres de solemnidad</v>
      </c>
      <c r="C234" s="475">
        <f>+POAI!C401</f>
        <v>3000000</v>
      </c>
      <c r="D234" s="431">
        <f t="shared" si="17"/>
        <v>3120000</v>
      </c>
      <c r="E234" s="431">
        <f t="shared" si="17"/>
        <v>3244800</v>
      </c>
      <c r="F234" s="431">
        <f t="shared" si="17"/>
        <v>3374592</v>
      </c>
      <c r="G234" s="471"/>
      <c r="H234" s="471"/>
      <c r="I234" s="471"/>
      <c r="J234" s="471"/>
      <c r="K234" s="467"/>
      <c r="L234" s="467"/>
      <c r="M234" s="467"/>
      <c r="N234" s="467"/>
      <c r="O234" s="467"/>
      <c r="P234" s="501"/>
      <c r="Q234" s="501"/>
      <c r="R234" s="501"/>
      <c r="S234" s="468"/>
    </row>
    <row r="235" spans="1:19" ht="25.5">
      <c r="A235" s="473">
        <f>+A234+1</f>
        <v>23171402</v>
      </c>
      <c r="B235" s="474" t="str">
        <f>+POAI!B402</f>
        <v xml:space="preserve">Subprograma: Prevención, atención, protección de desplazados </v>
      </c>
      <c r="C235" s="475">
        <f>+POAI!C402</f>
        <v>3000000</v>
      </c>
      <c r="D235" s="431">
        <f t="shared" si="17"/>
        <v>3120000</v>
      </c>
      <c r="E235" s="431">
        <f t="shared" si="17"/>
        <v>3244800</v>
      </c>
      <c r="F235" s="431">
        <f t="shared" si="17"/>
        <v>3374592</v>
      </c>
      <c r="G235" s="471"/>
      <c r="H235" s="471"/>
      <c r="I235" s="471"/>
      <c r="J235" s="471"/>
      <c r="K235" s="467"/>
      <c r="L235" s="467"/>
      <c r="M235" s="467"/>
      <c r="N235" s="467"/>
      <c r="O235" s="467"/>
      <c r="P235" s="501"/>
      <c r="Q235" s="501"/>
      <c r="R235" s="501"/>
      <c r="S235" s="468"/>
    </row>
    <row r="236" spans="1:19">
      <c r="A236" s="473">
        <f t="shared" ref="A236:A249" si="18">+A235+1</f>
        <v>23171403</v>
      </c>
      <c r="B236" s="474" t="str">
        <f>+POAI!B403</f>
        <v>Subprograma: Familias en Acción</v>
      </c>
      <c r="C236" s="475">
        <f>+POAI!C403</f>
        <v>14000000</v>
      </c>
      <c r="D236" s="431">
        <f t="shared" si="17"/>
        <v>14560000</v>
      </c>
      <c r="E236" s="431">
        <f t="shared" si="17"/>
        <v>15142400</v>
      </c>
      <c r="F236" s="431">
        <f t="shared" si="17"/>
        <v>15748096</v>
      </c>
      <c r="G236" s="471"/>
      <c r="H236" s="471"/>
      <c r="I236" s="471"/>
      <c r="J236" s="471"/>
      <c r="K236" s="467"/>
      <c r="L236" s="467"/>
      <c r="M236" s="467"/>
      <c r="N236" s="467"/>
      <c r="O236" s="467"/>
      <c r="P236" s="501"/>
      <c r="Q236" s="501"/>
      <c r="R236" s="501"/>
      <c r="S236" s="468"/>
    </row>
    <row r="237" spans="1:19">
      <c r="A237" s="473">
        <f t="shared" si="18"/>
        <v>23171404</v>
      </c>
      <c r="B237" s="474" t="str">
        <f>+POAI!B404</f>
        <v>Subprograma: Red Unidos</v>
      </c>
      <c r="C237" s="475">
        <f>+POAI!C404</f>
        <v>1000000</v>
      </c>
      <c r="D237" s="431">
        <f t="shared" si="17"/>
        <v>1040000</v>
      </c>
      <c r="E237" s="431">
        <f t="shared" si="17"/>
        <v>1081600</v>
      </c>
      <c r="F237" s="431">
        <f t="shared" si="17"/>
        <v>1124864</v>
      </c>
      <c r="G237" s="471"/>
      <c r="H237" s="471"/>
      <c r="I237" s="471"/>
      <c r="J237" s="471"/>
      <c r="K237" s="467"/>
      <c r="L237" s="467"/>
      <c r="M237" s="467"/>
      <c r="N237" s="467"/>
      <c r="O237" s="467"/>
      <c r="P237" s="501"/>
      <c r="Q237" s="501"/>
      <c r="R237" s="501"/>
      <c r="S237" s="468"/>
    </row>
    <row r="238" spans="1:19" ht="25.5">
      <c r="A238" s="473">
        <f t="shared" si="18"/>
        <v>23171405</v>
      </c>
      <c r="B238" s="474" t="str">
        <f>+POAI!B405</f>
        <v>Subprograma: Centro Especializado de Servicios para el adolescente Infractor</v>
      </c>
      <c r="C238" s="475">
        <f>+POAI!C405</f>
        <v>2000000</v>
      </c>
      <c r="D238" s="431">
        <f t="shared" si="17"/>
        <v>2080000</v>
      </c>
      <c r="E238" s="431">
        <f t="shared" si="17"/>
        <v>2163200</v>
      </c>
      <c r="F238" s="431">
        <f t="shared" si="17"/>
        <v>2249728</v>
      </c>
      <c r="G238" s="471"/>
      <c r="H238" s="471"/>
      <c r="I238" s="471"/>
      <c r="J238" s="471"/>
      <c r="K238" s="467"/>
      <c r="L238" s="467"/>
      <c r="M238" s="467"/>
      <c r="N238" s="467"/>
      <c r="O238" s="467"/>
      <c r="P238" s="501"/>
      <c r="Q238" s="501"/>
      <c r="R238" s="501"/>
      <c r="S238" s="468"/>
    </row>
    <row r="239" spans="1:19">
      <c r="A239" s="473">
        <f t="shared" si="18"/>
        <v>23171406</v>
      </c>
      <c r="B239" s="474" t="str">
        <f>+POAI!B406</f>
        <v>Subprograma: Apoyo Casa del Menor</v>
      </c>
      <c r="C239" s="475">
        <f>+POAI!C406</f>
        <v>2000000</v>
      </c>
      <c r="D239" s="431">
        <f t="shared" si="17"/>
        <v>2080000</v>
      </c>
      <c r="E239" s="431">
        <f t="shared" si="17"/>
        <v>2163200</v>
      </c>
      <c r="F239" s="431">
        <f t="shared" si="17"/>
        <v>2249728</v>
      </c>
      <c r="G239" s="471"/>
      <c r="H239" s="471"/>
      <c r="I239" s="471"/>
      <c r="J239" s="471"/>
      <c r="K239" s="467"/>
      <c r="L239" s="467"/>
      <c r="M239" s="467"/>
      <c r="N239" s="467"/>
      <c r="O239" s="467"/>
      <c r="P239" s="501"/>
      <c r="Q239" s="501"/>
      <c r="R239" s="501"/>
      <c r="S239" s="468"/>
    </row>
    <row r="240" spans="1:19" hidden="1">
      <c r="A240" s="473">
        <f t="shared" si="18"/>
        <v>23171407</v>
      </c>
      <c r="B240" s="474" t="str">
        <f>+POAI!B407</f>
        <v>Subprograma: Familias en Acción</v>
      </c>
      <c r="C240" s="475">
        <f>+POAI!C407</f>
        <v>0</v>
      </c>
      <c r="D240" s="431">
        <f t="shared" si="17"/>
        <v>0</v>
      </c>
      <c r="E240" s="431">
        <f t="shared" si="17"/>
        <v>0</v>
      </c>
      <c r="F240" s="431">
        <f t="shared" si="17"/>
        <v>0</v>
      </c>
      <c r="G240" s="471"/>
      <c r="H240" s="471"/>
      <c r="I240" s="471"/>
      <c r="J240" s="471"/>
      <c r="K240" s="467"/>
      <c r="L240" s="467"/>
      <c r="M240" s="467"/>
      <c r="N240" s="467"/>
      <c r="O240" s="467"/>
      <c r="P240" s="501"/>
      <c r="Q240" s="501"/>
      <c r="R240" s="501"/>
      <c r="S240" s="468"/>
    </row>
    <row r="241" spans="1:19">
      <c r="A241" s="473">
        <f t="shared" si="18"/>
        <v>23171408</v>
      </c>
      <c r="B241" s="474" t="str">
        <f>+POAI!B408</f>
        <v>Subprograma: Clubes juveniles</v>
      </c>
      <c r="C241" s="475">
        <f>+POAI!C408</f>
        <v>2000000</v>
      </c>
      <c r="D241" s="431">
        <f t="shared" si="17"/>
        <v>2080000</v>
      </c>
      <c r="E241" s="431">
        <f t="shared" si="17"/>
        <v>2163200</v>
      </c>
      <c r="F241" s="431">
        <f t="shared" si="17"/>
        <v>2249728</v>
      </c>
      <c r="G241" s="471"/>
      <c r="H241" s="471"/>
      <c r="I241" s="471"/>
      <c r="J241" s="471"/>
      <c r="K241" s="467"/>
      <c r="L241" s="467"/>
      <c r="M241" s="467"/>
      <c r="N241" s="467"/>
      <c r="O241" s="467"/>
      <c r="P241" s="501"/>
      <c r="Q241" s="501"/>
      <c r="R241" s="501"/>
      <c r="S241" s="468"/>
    </row>
    <row r="242" spans="1:19">
      <c r="A242" s="473">
        <f t="shared" si="18"/>
        <v>23171409</v>
      </c>
      <c r="B242" s="474" t="str">
        <f>+POAI!B409</f>
        <v>Subprograma: Clubes pre juveniles</v>
      </c>
      <c r="C242" s="475">
        <f>+POAI!C409</f>
        <v>2000000</v>
      </c>
      <c r="D242" s="431">
        <f t="shared" si="17"/>
        <v>2080000</v>
      </c>
      <c r="E242" s="431">
        <f t="shared" si="17"/>
        <v>2163200</v>
      </c>
      <c r="F242" s="431">
        <f t="shared" si="17"/>
        <v>2249728</v>
      </c>
      <c r="G242" s="471"/>
      <c r="H242" s="471"/>
      <c r="I242" s="471"/>
      <c r="J242" s="471"/>
      <c r="K242" s="467"/>
      <c r="L242" s="467"/>
      <c r="M242" s="467"/>
      <c r="N242" s="467"/>
      <c r="O242" s="467"/>
      <c r="P242" s="501"/>
      <c r="Q242" s="501"/>
      <c r="R242" s="501"/>
      <c r="S242" s="468"/>
    </row>
    <row r="243" spans="1:19">
      <c r="A243" s="473">
        <f t="shared" si="18"/>
        <v>23171410</v>
      </c>
      <c r="B243" s="474" t="str">
        <f>+POAI!B410</f>
        <v>Subprograma: nutrición y seguridad alimentaria</v>
      </c>
      <c r="C243" s="475">
        <f>+POAI!C410</f>
        <v>1000000</v>
      </c>
      <c r="D243" s="431">
        <f t="shared" si="17"/>
        <v>1040000</v>
      </c>
      <c r="E243" s="431">
        <f t="shared" si="17"/>
        <v>1081600</v>
      </c>
      <c r="F243" s="431">
        <f t="shared" si="17"/>
        <v>1124864</v>
      </c>
      <c r="G243" s="471"/>
      <c r="H243" s="471"/>
      <c r="I243" s="471"/>
      <c r="J243" s="471"/>
      <c r="K243" s="467"/>
      <c r="L243" s="467"/>
      <c r="M243" s="467"/>
      <c r="N243" s="467"/>
      <c r="O243" s="467"/>
      <c r="P243" s="501"/>
      <c r="Q243" s="501"/>
      <c r="R243" s="501"/>
      <c r="S243" s="468"/>
    </row>
    <row r="244" spans="1:19">
      <c r="A244" s="473">
        <f t="shared" si="18"/>
        <v>23171411</v>
      </c>
      <c r="B244" s="474" t="str">
        <f>+POAI!B411</f>
        <v>Subprograma: Atenciòn al adulto mayor</v>
      </c>
      <c r="C244" s="475">
        <f>+POAI!C411</f>
        <v>4000000</v>
      </c>
      <c r="D244" s="431">
        <f t="shared" si="17"/>
        <v>4160000</v>
      </c>
      <c r="E244" s="431">
        <f t="shared" si="17"/>
        <v>4326400</v>
      </c>
      <c r="F244" s="431">
        <f t="shared" si="17"/>
        <v>4499456</v>
      </c>
      <c r="G244" s="471"/>
      <c r="H244" s="471"/>
      <c r="I244" s="471"/>
      <c r="J244" s="471"/>
      <c r="K244" s="467"/>
      <c r="L244" s="467"/>
      <c r="M244" s="467"/>
      <c r="N244" s="467"/>
      <c r="O244" s="467"/>
      <c r="P244" s="501"/>
      <c r="Q244" s="501"/>
      <c r="R244" s="501"/>
      <c r="S244" s="468"/>
    </row>
    <row r="245" spans="1:19">
      <c r="A245" s="473">
        <f t="shared" si="18"/>
        <v>23171412</v>
      </c>
      <c r="B245" s="474" t="str">
        <f>+POAI!B412</f>
        <v xml:space="preserve">Subprograma: Atencion a la niñez, infancia y adolescencia </v>
      </c>
      <c r="C245" s="475">
        <f>+POAI!C412</f>
        <v>4000000</v>
      </c>
      <c r="D245" s="431">
        <f t="shared" si="17"/>
        <v>4160000</v>
      </c>
      <c r="E245" s="431">
        <f t="shared" si="17"/>
        <v>4326400</v>
      </c>
      <c r="F245" s="431">
        <f t="shared" si="17"/>
        <v>4499456</v>
      </c>
      <c r="G245" s="471"/>
      <c r="H245" s="471"/>
      <c r="I245" s="471"/>
      <c r="J245" s="471"/>
      <c r="K245" s="467"/>
      <c r="L245" s="467"/>
      <c r="M245" s="467"/>
      <c r="N245" s="467"/>
      <c r="O245" s="467"/>
      <c r="P245" s="501"/>
      <c r="Q245" s="501"/>
      <c r="R245" s="501"/>
      <c r="S245" s="468"/>
    </row>
    <row r="246" spans="1:19" ht="25.5">
      <c r="A246" s="473">
        <f t="shared" si="18"/>
        <v>23171413</v>
      </c>
      <c r="B246" s="474" t="str">
        <f>+POAI!B413</f>
        <v>Subprograma: Atencion a madres gestantes y primera infancia</v>
      </c>
      <c r="C246" s="475">
        <f>+POAI!C413</f>
        <v>1000000</v>
      </c>
      <c r="D246" s="431">
        <f t="shared" si="17"/>
        <v>1040000</v>
      </c>
      <c r="E246" s="431">
        <f t="shared" si="17"/>
        <v>1081600</v>
      </c>
      <c r="F246" s="431">
        <f t="shared" si="17"/>
        <v>1124864</v>
      </c>
      <c r="G246" s="471"/>
      <c r="H246" s="471"/>
      <c r="I246" s="471"/>
      <c r="J246" s="471"/>
      <c r="K246" s="467"/>
      <c r="L246" s="467"/>
      <c r="M246" s="467"/>
      <c r="N246" s="467"/>
      <c r="O246" s="467"/>
      <c r="P246" s="501"/>
      <c r="Q246" s="501"/>
      <c r="R246" s="501"/>
      <c r="S246" s="468"/>
    </row>
    <row r="247" spans="1:19">
      <c r="A247" s="473">
        <f t="shared" si="18"/>
        <v>23171414</v>
      </c>
      <c r="B247" s="474" t="str">
        <f>+POAI!B414</f>
        <v>Subprograma: Atencion a discapacitados</v>
      </c>
      <c r="C247" s="475">
        <f>+POAI!C414</f>
        <v>1000000</v>
      </c>
      <c r="D247" s="431">
        <f t="shared" si="17"/>
        <v>1040000</v>
      </c>
      <c r="E247" s="431">
        <f t="shared" si="17"/>
        <v>1081600</v>
      </c>
      <c r="F247" s="431">
        <f t="shared" si="17"/>
        <v>1124864</v>
      </c>
      <c r="G247" s="471"/>
      <c r="H247" s="471"/>
      <c r="I247" s="471"/>
      <c r="J247" s="471"/>
      <c r="K247" s="467"/>
      <c r="L247" s="467"/>
      <c r="M247" s="467"/>
      <c r="N247" s="467"/>
      <c r="O247" s="467"/>
      <c r="P247" s="501"/>
      <c r="Q247" s="501"/>
      <c r="R247" s="501"/>
      <c r="S247" s="468"/>
    </row>
    <row r="248" spans="1:19">
      <c r="A248" s="473">
        <f t="shared" si="18"/>
        <v>23171415</v>
      </c>
      <c r="B248" s="474" t="str">
        <f>+POAI!B415</f>
        <v>Subprograma: Apoyo a hogares infantiles</v>
      </c>
      <c r="C248" s="475">
        <f>+POAI!C415</f>
        <v>1000000</v>
      </c>
      <c r="D248" s="431">
        <f t="shared" si="17"/>
        <v>1040000</v>
      </c>
      <c r="E248" s="431">
        <f t="shared" si="17"/>
        <v>1081600</v>
      </c>
      <c r="F248" s="431">
        <f t="shared" si="17"/>
        <v>1124864</v>
      </c>
      <c r="G248" s="471"/>
      <c r="H248" s="471"/>
      <c r="I248" s="471"/>
      <c r="J248" s="471"/>
      <c r="K248" s="467"/>
      <c r="L248" s="467"/>
      <c r="M248" s="467"/>
      <c r="N248" s="467"/>
      <c r="O248" s="467"/>
      <c r="P248" s="501"/>
      <c r="Q248" s="501"/>
      <c r="R248" s="501"/>
      <c r="S248" s="468"/>
    </row>
    <row r="249" spans="1:19">
      <c r="A249" s="473">
        <f t="shared" si="18"/>
        <v>23171416</v>
      </c>
      <c r="B249" s="474" t="str">
        <f>+POAI!B416</f>
        <v>Subprograma: Operación hogares de paso</v>
      </c>
      <c r="C249" s="475">
        <f>+POAI!C416</f>
        <v>3000000</v>
      </c>
      <c r="D249" s="431">
        <f t="shared" si="17"/>
        <v>3120000</v>
      </c>
      <c r="E249" s="431">
        <f t="shared" si="17"/>
        <v>3244800</v>
      </c>
      <c r="F249" s="431">
        <f t="shared" si="17"/>
        <v>3374592</v>
      </c>
      <c r="G249" s="471"/>
      <c r="H249" s="471"/>
      <c r="I249" s="471"/>
      <c r="J249" s="471"/>
      <c r="K249" s="467"/>
      <c r="L249" s="467"/>
      <c r="M249" s="467"/>
      <c r="N249" s="467"/>
      <c r="O249" s="467"/>
      <c r="P249" s="501"/>
      <c r="Q249" s="501"/>
      <c r="R249" s="501"/>
      <c r="S249" s="468"/>
    </row>
    <row r="250" spans="1:19" hidden="1">
      <c r="A250" s="469"/>
      <c r="B250" s="474"/>
      <c r="C250" s="475"/>
      <c r="D250" s="431">
        <f t="shared" si="17"/>
        <v>0</v>
      </c>
      <c r="E250" s="431">
        <f t="shared" si="17"/>
        <v>0</v>
      </c>
      <c r="F250" s="431">
        <f t="shared" si="17"/>
        <v>0</v>
      </c>
      <c r="G250" s="471"/>
      <c r="H250" s="471"/>
      <c r="I250" s="471"/>
      <c r="J250" s="471"/>
      <c r="K250" s="467"/>
      <c r="L250" s="467"/>
      <c r="M250" s="467"/>
      <c r="N250" s="467"/>
      <c r="O250" s="467"/>
      <c r="P250" s="501"/>
      <c r="Q250" s="501"/>
      <c r="R250" s="501"/>
      <c r="S250" s="468"/>
    </row>
    <row r="251" spans="1:19" s="480" customFormat="1" ht="25.5">
      <c r="A251" s="469">
        <v>231715</v>
      </c>
      <c r="B251" s="477" t="str">
        <f>+POAI!B418</f>
        <v>PROGRAMA: EQUIPAMIENTO MUNICIPAL Y BIENES PÚBLICOS</v>
      </c>
      <c r="C251" s="478"/>
      <c r="D251" s="431">
        <f t="shared" si="17"/>
        <v>0</v>
      </c>
      <c r="E251" s="431">
        <f t="shared" si="17"/>
        <v>0</v>
      </c>
      <c r="F251" s="431">
        <f t="shared" si="17"/>
        <v>0</v>
      </c>
      <c r="G251" s="472">
        <f>SUM(C252:C259)</f>
        <v>19000000</v>
      </c>
      <c r="H251" s="431">
        <f>SUM(G251*4/100)+G251</f>
        <v>19760000</v>
      </c>
      <c r="I251" s="431">
        <f>SUM(H251*4/100)+H251</f>
        <v>20550400</v>
      </c>
      <c r="J251" s="431">
        <f>SUM(I251*4/100)+I251</f>
        <v>21372416</v>
      </c>
      <c r="K251" s="460"/>
      <c r="L251" s="460"/>
      <c r="M251" s="460"/>
      <c r="N251" s="460"/>
      <c r="O251" s="460"/>
      <c r="P251" s="500"/>
      <c r="Q251" s="500"/>
      <c r="R251" s="500"/>
      <c r="S251" s="462"/>
    </row>
    <row r="252" spans="1:19">
      <c r="A252" s="473">
        <v>23171501</v>
      </c>
      <c r="B252" s="474" t="str">
        <f>+POAI!B419</f>
        <v>Subprograma: Mantenimiento bienes publicos municipales</v>
      </c>
      <c r="C252" s="475">
        <f>+POAI!C419</f>
        <v>2000000</v>
      </c>
      <c r="D252" s="431">
        <f t="shared" si="17"/>
        <v>2080000</v>
      </c>
      <c r="E252" s="431">
        <f t="shared" si="17"/>
        <v>2163200</v>
      </c>
      <c r="F252" s="431">
        <f t="shared" si="17"/>
        <v>2249728</v>
      </c>
      <c r="G252" s="471"/>
      <c r="H252" s="471"/>
      <c r="I252" s="471"/>
      <c r="J252" s="471"/>
      <c r="K252" s="467"/>
      <c r="L252" s="467"/>
      <c r="M252" s="467"/>
      <c r="N252" s="467"/>
      <c r="O252" s="467"/>
      <c r="P252" s="501"/>
      <c r="Q252" s="501"/>
      <c r="R252" s="501"/>
      <c r="S252" s="468"/>
    </row>
    <row r="253" spans="1:19">
      <c r="A253" s="473">
        <v>23171502</v>
      </c>
      <c r="B253" s="474" t="str">
        <f>+POAI!B420</f>
        <v>Sub programa: Mantenimiento parques municipales</v>
      </c>
      <c r="C253" s="475">
        <f>+POAI!C420</f>
        <v>5000000</v>
      </c>
      <c r="D253" s="431">
        <f t="shared" si="17"/>
        <v>5200000</v>
      </c>
      <c r="E253" s="431">
        <f t="shared" si="17"/>
        <v>5408000</v>
      </c>
      <c r="F253" s="431">
        <f t="shared" si="17"/>
        <v>5624320</v>
      </c>
      <c r="G253" s="471"/>
      <c r="H253" s="471"/>
      <c r="I253" s="471"/>
      <c r="J253" s="471"/>
      <c r="K253" s="467"/>
      <c r="L253" s="467"/>
      <c r="M253" s="467"/>
      <c r="N253" s="467"/>
      <c r="O253" s="467"/>
      <c r="P253" s="501"/>
      <c r="Q253" s="501"/>
      <c r="R253" s="501"/>
      <c r="S253" s="468"/>
    </row>
    <row r="254" spans="1:19" ht="25.5">
      <c r="A254" s="473">
        <f>+A253+1</f>
        <v>23171503</v>
      </c>
      <c r="B254" s="474" t="str">
        <f>+POAI!B421</f>
        <v>Sub programa: Construcciòn y mantenimiento de la morque municipal</v>
      </c>
      <c r="C254" s="475">
        <f>+POAI!C421</f>
        <v>2000000</v>
      </c>
      <c r="D254" s="431">
        <f t="shared" si="17"/>
        <v>2080000</v>
      </c>
      <c r="E254" s="431">
        <f t="shared" si="17"/>
        <v>2163200</v>
      </c>
      <c r="F254" s="431">
        <f t="shared" si="17"/>
        <v>2249728</v>
      </c>
      <c r="G254" s="471"/>
      <c r="H254" s="471"/>
      <c r="I254" s="471"/>
      <c r="J254" s="471"/>
      <c r="K254" s="467"/>
      <c r="L254" s="467"/>
      <c r="M254" s="467"/>
      <c r="N254" s="467"/>
      <c r="O254" s="467"/>
      <c r="P254" s="501"/>
      <c r="Q254" s="501"/>
      <c r="R254" s="501"/>
      <c r="S254" s="468"/>
    </row>
    <row r="255" spans="1:19" ht="25.5" hidden="1">
      <c r="A255" s="473">
        <f>+A254+1</f>
        <v>23171504</v>
      </c>
      <c r="B255" s="474" t="str">
        <f>+POAI!B422</f>
        <v>Sub programa: Construccion salon sector mata redonda vereda pijaos</v>
      </c>
      <c r="C255" s="475">
        <f>+POAI!C422</f>
        <v>0</v>
      </c>
      <c r="D255" s="431">
        <f t="shared" si="17"/>
        <v>0</v>
      </c>
      <c r="E255" s="431">
        <f t="shared" si="17"/>
        <v>0</v>
      </c>
      <c r="F255" s="431">
        <f t="shared" si="17"/>
        <v>0</v>
      </c>
      <c r="G255" s="471"/>
      <c r="H255" s="471"/>
      <c r="I255" s="471"/>
      <c r="J255" s="471"/>
      <c r="K255" s="467"/>
      <c r="L255" s="467"/>
      <c r="M255" s="467"/>
      <c r="N255" s="467"/>
      <c r="O255" s="467"/>
      <c r="P255" s="501"/>
      <c r="Q255" s="501"/>
      <c r="R255" s="501"/>
      <c r="S255" s="468"/>
    </row>
    <row r="256" spans="1:19">
      <c r="A256" s="473">
        <f>+A255+1</f>
        <v>23171505</v>
      </c>
      <c r="B256" s="474" t="str">
        <f>+POAI!B423</f>
        <v>Sub programa: Ornato Municipal</v>
      </c>
      <c r="C256" s="475">
        <f>+POAI!C423</f>
        <v>5000000</v>
      </c>
      <c r="D256" s="431">
        <f t="shared" si="17"/>
        <v>5200000</v>
      </c>
      <c r="E256" s="431">
        <f t="shared" si="17"/>
        <v>5408000</v>
      </c>
      <c r="F256" s="431">
        <f t="shared" si="17"/>
        <v>5624320</v>
      </c>
      <c r="G256" s="471"/>
      <c r="H256" s="471"/>
      <c r="I256" s="471"/>
      <c r="J256" s="471"/>
      <c r="K256" s="467"/>
      <c r="L256" s="467"/>
      <c r="M256" s="467"/>
      <c r="N256" s="467"/>
      <c r="O256" s="467"/>
      <c r="P256" s="501"/>
      <c r="Q256" s="501"/>
      <c r="R256" s="501"/>
      <c r="S256" s="468"/>
    </row>
    <row r="257" spans="1:19" hidden="1">
      <c r="A257" s="473">
        <f>+A256+1</f>
        <v>23171506</v>
      </c>
      <c r="B257" s="474" t="str">
        <f>+POAI!B424</f>
        <v>Sub programa: Adquisicion vehiculo Alcaldia</v>
      </c>
      <c r="C257" s="475">
        <f>+POAI!C424</f>
        <v>0</v>
      </c>
      <c r="D257" s="431">
        <f t="shared" ref="D257:F320" si="19">SUM(C257*4/100)+C257</f>
        <v>0</v>
      </c>
      <c r="E257" s="431">
        <f t="shared" si="19"/>
        <v>0</v>
      </c>
      <c r="F257" s="431">
        <f t="shared" si="19"/>
        <v>0</v>
      </c>
      <c r="G257" s="471"/>
      <c r="H257" s="471"/>
      <c r="I257" s="471"/>
      <c r="J257" s="471"/>
      <c r="K257" s="467"/>
      <c r="L257" s="467"/>
      <c r="M257" s="467"/>
      <c r="N257" s="467"/>
      <c r="O257" s="467"/>
      <c r="P257" s="501"/>
      <c r="Q257" s="501"/>
      <c r="R257" s="501"/>
      <c r="S257" s="468"/>
    </row>
    <row r="258" spans="1:19" ht="25.5">
      <c r="A258" s="473">
        <f>+A257+1</f>
        <v>23171507</v>
      </c>
      <c r="B258" s="474" t="str">
        <f>+POAI!B425</f>
        <v>Sub programa: Terminacion de salon comunal vereda lluviosos</v>
      </c>
      <c r="C258" s="475">
        <f>+POAI!C425</f>
        <v>5000000</v>
      </c>
      <c r="D258" s="431">
        <f t="shared" si="19"/>
        <v>5200000</v>
      </c>
      <c r="E258" s="431">
        <f t="shared" si="19"/>
        <v>5408000</v>
      </c>
      <c r="F258" s="431">
        <f t="shared" si="19"/>
        <v>5624320</v>
      </c>
      <c r="G258" s="471"/>
      <c r="H258" s="471"/>
      <c r="I258" s="471"/>
      <c r="J258" s="471"/>
      <c r="K258" s="467"/>
      <c r="L258" s="467"/>
      <c r="M258" s="467"/>
      <c r="N258" s="467"/>
      <c r="O258" s="467"/>
      <c r="P258" s="501"/>
      <c r="Q258" s="501"/>
      <c r="R258" s="501"/>
      <c r="S258" s="468"/>
    </row>
    <row r="259" spans="1:19" hidden="1">
      <c r="A259" s="469"/>
      <c r="B259" s="474"/>
      <c r="C259" s="475"/>
      <c r="D259" s="431">
        <f t="shared" si="19"/>
        <v>0</v>
      </c>
      <c r="E259" s="431">
        <f t="shared" si="19"/>
        <v>0</v>
      </c>
      <c r="F259" s="431">
        <f t="shared" si="19"/>
        <v>0</v>
      </c>
      <c r="G259" s="471"/>
      <c r="H259" s="471"/>
      <c r="I259" s="471"/>
      <c r="J259" s="471"/>
      <c r="K259" s="467"/>
      <c r="L259" s="467"/>
      <c r="M259" s="467"/>
      <c r="N259" s="467"/>
      <c r="O259" s="467"/>
      <c r="P259" s="501"/>
      <c r="Q259" s="501"/>
      <c r="R259" s="501"/>
      <c r="S259" s="468"/>
    </row>
    <row r="260" spans="1:19" s="480" customFormat="1">
      <c r="A260" s="469">
        <v>231716</v>
      </c>
      <c r="B260" s="477" t="str">
        <f>+POAI!B427</f>
        <v>PROGRAMA: CENTROS DE RECLUSIÓN</v>
      </c>
      <c r="C260" s="478"/>
      <c r="D260" s="431">
        <f t="shared" si="19"/>
        <v>0</v>
      </c>
      <c r="E260" s="431">
        <f t="shared" si="19"/>
        <v>0</v>
      </c>
      <c r="F260" s="431">
        <f t="shared" si="19"/>
        <v>0</v>
      </c>
      <c r="G260" s="472">
        <f>SUM(C261:C262)</f>
        <v>1000000</v>
      </c>
      <c r="H260" s="431">
        <f>SUM(G260*4/100)+G260</f>
        <v>1040000</v>
      </c>
      <c r="I260" s="431">
        <f>SUM(H260*4/100)+H260</f>
        <v>1081600</v>
      </c>
      <c r="J260" s="431">
        <f>SUM(I260*4/100)+I260</f>
        <v>1124864</v>
      </c>
      <c r="K260" s="460"/>
      <c r="L260" s="460"/>
      <c r="M260" s="460"/>
      <c r="N260" s="460"/>
      <c r="O260" s="460"/>
      <c r="P260" s="500"/>
      <c r="Q260" s="500"/>
      <c r="R260" s="500"/>
      <c r="S260" s="462"/>
    </row>
    <row r="261" spans="1:19" ht="25.5">
      <c r="A261" s="473">
        <v>23171601</v>
      </c>
      <c r="B261" s="474" t="str">
        <f>+POAI!B428</f>
        <v>Subprograma: Operación y funcionamiento de cárceles municipales (Ley 65/93)</v>
      </c>
      <c r="C261" s="475">
        <f>+POAI!C428</f>
        <v>1000000</v>
      </c>
      <c r="D261" s="431">
        <f t="shared" si="19"/>
        <v>1040000</v>
      </c>
      <c r="E261" s="431">
        <f t="shared" si="19"/>
        <v>1081600</v>
      </c>
      <c r="F261" s="431">
        <f t="shared" si="19"/>
        <v>1124864</v>
      </c>
      <c r="G261" s="471"/>
      <c r="H261" s="471"/>
      <c r="I261" s="471"/>
      <c r="J261" s="471"/>
      <c r="K261" s="467"/>
      <c r="L261" s="467"/>
      <c r="M261" s="467"/>
      <c r="N261" s="467"/>
      <c r="O261" s="467"/>
      <c r="P261" s="501"/>
      <c r="Q261" s="501"/>
      <c r="R261" s="501"/>
      <c r="S261" s="468"/>
    </row>
    <row r="262" spans="1:19" hidden="1">
      <c r="A262" s="469"/>
      <c r="B262" s="474"/>
      <c r="C262" s="475"/>
      <c r="D262" s="431">
        <f t="shared" si="19"/>
        <v>0</v>
      </c>
      <c r="E262" s="431">
        <f t="shared" si="19"/>
        <v>0</v>
      </c>
      <c r="F262" s="431">
        <f t="shared" si="19"/>
        <v>0</v>
      </c>
      <c r="G262" s="471"/>
      <c r="H262" s="471"/>
      <c r="I262" s="471"/>
      <c r="J262" s="471"/>
      <c r="K262" s="467"/>
      <c r="L262" s="467"/>
      <c r="M262" s="467"/>
      <c r="N262" s="467"/>
      <c r="O262" s="467"/>
      <c r="P262" s="501"/>
      <c r="Q262" s="501"/>
      <c r="R262" s="501"/>
      <c r="S262" s="468"/>
    </row>
    <row r="263" spans="1:19" s="480" customFormat="1" ht="25.5">
      <c r="A263" s="469">
        <v>231717</v>
      </c>
      <c r="B263" s="477" t="str">
        <f>+POAI!B430</f>
        <v>PROGRAMA: GOBIERNO, PLANEACIÓN Y DESARROLLO INSTITUCIONAL</v>
      </c>
      <c r="C263" s="478"/>
      <c r="D263" s="431">
        <f t="shared" si="19"/>
        <v>0</v>
      </c>
      <c r="E263" s="431">
        <f t="shared" si="19"/>
        <v>0</v>
      </c>
      <c r="F263" s="431">
        <f t="shared" si="19"/>
        <v>0</v>
      </c>
      <c r="G263" s="472">
        <f>SUM(C264:C269)</f>
        <v>40530622</v>
      </c>
      <c r="H263" s="431">
        <f>SUM(G263*4/100)+G263</f>
        <v>42151846.880000003</v>
      </c>
      <c r="I263" s="431">
        <f>SUM(H263*4/100)+H263</f>
        <v>43837920.755200006</v>
      </c>
      <c r="J263" s="431">
        <f>SUM(I263*4/100)+I263</f>
        <v>45591437.58540801</v>
      </c>
      <c r="K263" s="460"/>
      <c r="L263" s="460"/>
      <c r="M263" s="460"/>
      <c r="N263" s="460"/>
      <c r="O263" s="460"/>
      <c r="P263" s="500"/>
      <c r="Q263" s="500"/>
      <c r="R263" s="500"/>
      <c r="S263" s="462"/>
    </row>
    <row r="264" spans="1:19">
      <c r="A264" s="473">
        <v>23171701</v>
      </c>
      <c r="B264" s="474" t="str">
        <f>+POAI!B431</f>
        <v>Sub programa: Capacitación de funcionarios municipales</v>
      </c>
      <c r="C264" s="475">
        <f>+POAI!C431</f>
        <v>9030622</v>
      </c>
      <c r="D264" s="431">
        <f t="shared" si="19"/>
        <v>9391846.8800000008</v>
      </c>
      <c r="E264" s="431">
        <f t="shared" si="19"/>
        <v>9767520.7552000005</v>
      </c>
      <c r="F264" s="431">
        <f t="shared" si="19"/>
        <v>10158221.585408</v>
      </c>
      <c r="G264" s="471"/>
      <c r="H264" s="471"/>
      <c r="I264" s="471"/>
      <c r="J264" s="471"/>
      <c r="K264" s="467"/>
      <c r="L264" s="467"/>
      <c r="M264" s="467"/>
      <c r="N264" s="467"/>
      <c r="O264" s="467"/>
      <c r="P264" s="501"/>
      <c r="Q264" s="501"/>
      <c r="R264" s="501"/>
      <c r="S264" s="468"/>
    </row>
    <row r="265" spans="1:19" ht="25.5">
      <c r="A265" s="473">
        <f>+A264+1</f>
        <v>23171702</v>
      </c>
      <c r="B265" s="474" t="str">
        <f>+POAI!B432</f>
        <v>Sub programa: Evaluación institucional y esquemas organizacionales para el mejoramiento de gestión</v>
      </c>
      <c r="C265" s="475">
        <f>+POAI!C432</f>
        <v>18000000</v>
      </c>
      <c r="D265" s="431">
        <f t="shared" si="19"/>
        <v>18720000</v>
      </c>
      <c r="E265" s="431">
        <f t="shared" si="19"/>
        <v>19468800</v>
      </c>
      <c r="F265" s="431">
        <f t="shared" si="19"/>
        <v>20247552</v>
      </c>
      <c r="G265" s="471"/>
      <c r="H265" s="471"/>
      <c r="I265" s="471"/>
      <c r="J265" s="471"/>
      <c r="K265" s="467"/>
      <c r="L265" s="467"/>
      <c r="M265" s="467"/>
      <c r="N265" s="467"/>
      <c r="O265" s="467"/>
      <c r="P265" s="501"/>
      <c r="Q265" s="501"/>
      <c r="R265" s="501"/>
      <c r="S265" s="468"/>
    </row>
    <row r="266" spans="1:19">
      <c r="A266" s="473">
        <f>+A265+1</f>
        <v>23171703</v>
      </c>
      <c r="B266" s="474" t="str">
        <f>+POAI!B433</f>
        <v>Apoyo consejo territorial de planeacion</v>
      </c>
      <c r="C266" s="475">
        <f>+POAI!C433</f>
        <v>2500000</v>
      </c>
      <c r="D266" s="431">
        <f t="shared" si="19"/>
        <v>2600000</v>
      </c>
      <c r="E266" s="431">
        <f t="shared" si="19"/>
        <v>2704000</v>
      </c>
      <c r="F266" s="431">
        <f t="shared" si="19"/>
        <v>2812160</v>
      </c>
      <c r="G266" s="471"/>
      <c r="H266" s="471"/>
      <c r="I266" s="471"/>
      <c r="J266" s="471"/>
      <c r="K266" s="467"/>
      <c r="L266" s="467"/>
      <c r="M266" s="467"/>
      <c r="N266" s="467"/>
      <c r="O266" s="467"/>
      <c r="P266" s="501"/>
      <c r="Q266" s="501"/>
      <c r="R266" s="501"/>
      <c r="S266" s="468"/>
    </row>
    <row r="267" spans="1:19">
      <c r="A267" s="473">
        <f>+A266+1</f>
        <v>23171704</v>
      </c>
      <c r="B267" s="474" t="str">
        <f>+POAI!B434</f>
        <v>Sub programa: Sistema de archivo municipal</v>
      </c>
      <c r="C267" s="475">
        <f>+POAI!C434</f>
        <v>5000000</v>
      </c>
      <c r="D267" s="431">
        <f t="shared" si="19"/>
        <v>5200000</v>
      </c>
      <c r="E267" s="431">
        <f t="shared" si="19"/>
        <v>5408000</v>
      </c>
      <c r="F267" s="431">
        <f t="shared" si="19"/>
        <v>5624320</v>
      </c>
      <c r="G267" s="471"/>
      <c r="H267" s="471"/>
      <c r="I267" s="471"/>
      <c r="J267" s="471"/>
      <c r="K267" s="467"/>
      <c r="L267" s="467"/>
      <c r="M267" s="467"/>
      <c r="N267" s="467"/>
      <c r="O267" s="467"/>
      <c r="P267" s="501"/>
      <c r="Q267" s="501"/>
      <c r="R267" s="501"/>
      <c r="S267" s="468"/>
    </row>
    <row r="268" spans="1:19">
      <c r="A268" s="473">
        <f>+A267+1</f>
        <v>23171705</v>
      </c>
      <c r="B268" s="474" t="str">
        <f>+POAI!B435</f>
        <v>Sub programa: Elaboracion Plan de Desarrollo Municipal</v>
      </c>
      <c r="C268" s="475">
        <f>+POAI!C435</f>
        <v>6000000</v>
      </c>
      <c r="D268" s="431">
        <f t="shared" si="19"/>
        <v>6240000</v>
      </c>
      <c r="E268" s="431">
        <f t="shared" si="19"/>
        <v>6489600</v>
      </c>
      <c r="F268" s="431">
        <f t="shared" si="19"/>
        <v>6749184</v>
      </c>
      <c r="G268" s="471"/>
      <c r="H268" s="471"/>
      <c r="I268" s="471"/>
      <c r="J268" s="471"/>
      <c r="K268" s="467"/>
      <c r="L268" s="467"/>
      <c r="M268" s="467"/>
      <c r="N268" s="467"/>
      <c r="O268" s="467"/>
      <c r="P268" s="501"/>
      <c r="Q268" s="501"/>
      <c r="R268" s="501"/>
      <c r="S268" s="468"/>
    </row>
    <row r="269" spans="1:19" hidden="1">
      <c r="A269" s="469"/>
      <c r="B269" s="474"/>
      <c r="C269" s="475"/>
      <c r="D269" s="431">
        <f t="shared" si="19"/>
        <v>0</v>
      </c>
      <c r="E269" s="431">
        <f t="shared" si="19"/>
        <v>0</v>
      </c>
      <c r="F269" s="431">
        <f t="shared" si="19"/>
        <v>0</v>
      </c>
      <c r="G269" s="471"/>
      <c r="H269" s="471"/>
      <c r="I269" s="471"/>
      <c r="J269" s="471"/>
      <c r="K269" s="467"/>
      <c r="L269" s="467"/>
      <c r="M269" s="467"/>
      <c r="N269" s="467"/>
      <c r="O269" s="467"/>
      <c r="P269" s="501"/>
      <c r="Q269" s="501"/>
      <c r="R269" s="501"/>
      <c r="S269" s="468"/>
    </row>
    <row r="270" spans="1:19" s="480" customFormat="1">
      <c r="A270" s="469">
        <v>231718</v>
      </c>
      <c r="B270" s="477" t="str">
        <f>+POAI!B437</f>
        <v>PROGRAMA: JUSTICIA</v>
      </c>
      <c r="C270" s="478"/>
      <c r="D270" s="431">
        <f t="shared" si="19"/>
        <v>0</v>
      </c>
      <c r="E270" s="431">
        <f t="shared" si="19"/>
        <v>0</v>
      </c>
      <c r="F270" s="431">
        <f t="shared" si="19"/>
        <v>0</v>
      </c>
      <c r="G270" s="472">
        <f>SUM(C271:C274)</f>
        <v>80122000</v>
      </c>
      <c r="H270" s="431">
        <f>SUM(G270*4/100)+G270</f>
        <v>83326880</v>
      </c>
      <c r="I270" s="431">
        <f>SUM(H270*4/100)+H270</f>
        <v>86659955.200000003</v>
      </c>
      <c r="J270" s="431">
        <f>SUM(I270*4/100)+I270</f>
        <v>90126353.408000007</v>
      </c>
      <c r="K270" s="460"/>
      <c r="L270" s="460"/>
      <c r="M270" s="460"/>
      <c r="N270" s="460"/>
      <c r="O270" s="460"/>
      <c r="P270" s="500"/>
      <c r="Q270" s="500"/>
      <c r="R270" s="500"/>
      <c r="S270" s="462"/>
    </row>
    <row r="271" spans="1:19">
      <c r="A271" s="473">
        <v>23171801</v>
      </c>
      <c r="B271" s="474" t="str">
        <f>+POAI!B438</f>
        <v>Subprograma: Operación de Inspecciones de Policia</v>
      </c>
      <c r="C271" s="475">
        <f>+POAI!C438</f>
        <v>28424000</v>
      </c>
      <c r="D271" s="431">
        <f t="shared" si="19"/>
        <v>29560960</v>
      </c>
      <c r="E271" s="431">
        <f t="shared" si="19"/>
        <v>30743398.399999999</v>
      </c>
      <c r="F271" s="431">
        <f t="shared" si="19"/>
        <v>31973134.335999999</v>
      </c>
      <c r="G271" s="471"/>
      <c r="H271" s="471"/>
      <c r="I271" s="471"/>
      <c r="J271" s="471"/>
      <c r="K271" s="467"/>
      <c r="L271" s="467"/>
      <c r="M271" s="467"/>
      <c r="N271" s="467"/>
      <c r="O271" s="467"/>
      <c r="P271" s="501"/>
      <c r="Q271" s="501"/>
      <c r="R271" s="501"/>
      <c r="S271" s="468"/>
    </row>
    <row r="272" spans="1:19">
      <c r="A272" s="473">
        <v>23171802</v>
      </c>
      <c r="B272" s="474" t="str">
        <f>+POAI!B439</f>
        <v>Subprograma: Operación Comisaría de Familia</v>
      </c>
      <c r="C272" s="475">
        <f>+POAI!C439</f>
        <v>51698000</v>
      </c>
      <c r="D272" s="431">
        <f t="shared" si="19"/>
        <v>53765920</v>
      </c>
      <c r="E272" s="431">
        <f t="shared" si="19"/>
        <v>55916556.799999997</v>
      </c>
      <c r="F272" s="431">
        <f t="shared" si="19"/>
        <v>58153219.071999997</v>
      </c>
      <c r="G272" s="471"/>
      <c r="H272" s="471"/>
      <c r="I272" s="471"/>
      <c r="J272" s="471"/>
      <c r="K272" s="467"/>
      <c r="L272" s="467"/>
      <c r="M272" s="467"/>
      <c r="N272" s="467"/>
      <c r="O272" s="467"/>
      <c r="P272" s="501"/>
      <c r="Q272" s="501"/>
      <c r="R272" s="501"/>
      <c r="S272" s="468"/>
    </row>
    <row r="273" spans="1:19" hidden="1">
      <c r="A273" s="473">
        <v>23171803</v>
      </c>
      <c r="B273" s="474" t="str">
        <f>+POAI!B440</f>
        <v>Subprograma: Fondo de protección ciudadana</v>
      </c>
      <c r="C273" s="475">
        <f>+POAI!C440</f>
        <v>0</v>
      </c>
      <c r="D273" s="431">
        <f t="shared" si="19"/>
        <v>0</v>
      </c>
      <c r="E273" s="431">
        <f t="shared" si="19"/>
        <v>0</v>
      </c>
      <c r="F273" s="431">
        <f t="shared" si="19"/>
        <v>0</v>
      </c>
      <c r="G273" s="471"/>
      <c r="H273" s="471"/>
      <c r="I273" s="471"/>
      <c r="J273" s="471"/>
      <c r="K273" s="467"/>
      <c r="L273" s="467"/>
      <c r="M273" s="467"/>
      <c r="N273" s="467"/>
      <c r="O273" s="467"/>
      <c r="P273" s="501"/>
      <c r="Q273" s="501"/>
      <c r="R273" s="501"/>
      <c r="S273" s="468"/>
    </row>
    <row r="274" spans="1:19" hidden="1">
      <c r="A274" s="469"/>
      <c r="B274" s="474"/>
      <c r="C274" s="475"/>
      <c r="D274" s="431">
        <f t="shared" si="19"/>
        <v>0</v>
      </c>
      <c r="E274" s="431">
        <f t="shared" si="19"/>
        <v>0</v>
      </c>
      <c r="F274" s="431">
        <f t="shared" si="19"/>
        <v>0</v>
      </c>
      <c r="G274" s="471"/>
      <c r="H274" s="471"/>
      <c r="I274" s="471"/>
      <c r="J274" s="471"/>
      <c r="K274" s="467"/>
      <c r="L274" s="467"/>
      <c r="M274" s="467"/>
      <c r="N274" s="467"/>
      <c r="O274" s="467"/>
      <c r="P274" s="501"/>
      <c r="Q274" s="501"/>
      <c r="R274" s="501"/>
      <c r="S274" s="468"/>
    </row>
    <row r="275" spans="1:19">
      <c r="A275" s="469">
        <v>232</v>
      </c>
      <c r="B275" s="470" t="s">
        <v>50</v>
      </c>
      <c r="C275" s="471"/>
      <c r="D275" s="431">
        <f t="shared" si="19"/>
        <v>0</v>
      </c>
      <c r="E275" s="431">
        <f t="shared" si="19"/>
        <v>0</v>
      </c>
      <c r="F275" s="431">
        <f t="shared" si="19"/>
        <v>0</v>
      </c>
      <c r="G275" s="471"/>
      <c r="H275" s="471"/>
      <c r="I275" s="471"/>
      <c r="J275" s="471"/>
      <c r="K275" s="467"/>
      <c r="L275" s="467"/>
      <c r="M275" s="467"/>
      <c r="N275" s="467"/>
      <c r="O275" s="472">
        <f>+K277+K283+K289+K296+K306</f>
        <v>124000000</v>
      </c>
      <c r="P275" s="431">
        <f>SUM(O275*4/100)+O275</f>
        <v>128960000</v>
      </c>
      <c r="Q275" s="431">
        <f>SUM(P275*4/100)+P275</f>
        <v>134118400</v>
      </c>
      <c r="R275" s="431">
        <f>SUM(Q275*4/100)+Q275</f>
        <v>139483136</v>
      </c>
      <c r="S275" s="468"/>
    </row>
    <row r="276" spans="1:19" hidden="1">
      <c r="A276" s="469"/>
      <c r="B276" s="470"/>
      <c r="C276" s="472"/>
      <c r="D276" s="431">
        <f t="shared" si="19"/>
        <v>0</v>
      </c>
      <c r="E276" s="431">
        <f t="shared" si="19"/>
        <v>0</v>
      </c>
      <c r="F276" s="431">
        <f t="shared" si="19"/>
        <v>0</v>
      </c>
      <c r="G276" s="471"/>
      <c r="H276" s="471"/>
      <c r="I276" s="471"/>
      <c r="J276" s="471"/>
      <c r="K276" s="467"/>
      <c r="L276" s="467"/>
      <c r="M276" s="467"/>
      <c r="N276" s="467"/>
      <c r="O276" s="467"/>
      <c r="P276" s="501"/>
      <c r="Q276" s="501"/>
      <c r="R276" s="501"/>
      <c r="S276" s="468"/>
    </row>
    <row r="277" spans="1:19">
      <c r="A277" s="469">
        <v>2321</v>
      </c>
      <c r="B277" s="477" t="str">
        <f>+POAI!A220</f>
        <v>SECTOR DE INVERSION</v>
      </c>
      <c r="C277" s="467"/>
      <c r="D277" s="431">
        <f t="shared" si="19"/>
        <v>0</v>
      </c>
      <c r="E277" s="431">
        <f t="shared" si="19"/>
        <v>0</v>
      </c>
      <c r="F277" s="431">
        <f t="shared" si="19"/>
        <v>0</v>
      </c>
      <c r="G277" s="471"/>
      <c r="H277" s="471"/>
      <c r="I277" s="471"/>
      <c r="J277" s="471"/>
      <c r="K277" s="472">
        <f>+G279</f>
        <v>0</v>
      </c>
      <c r="L277" s="472"/>
      <c r="M277" s="472"/>
      <c r="N277" s="472"/>
      <c r="O277" s="467"/>
      <c r="P277" s="501"/>
      <c r="Q277" s="501"/>
      <c r="R277" s="501"/>
      <c r="S277" s="468"/>
    </row>
    <row r="278" spans="1:19" hidden="1">
      <c r="A278" s="469"/>
      <c r="B278" s="470"/>
      <c r="C278" s="472"/>
      <c r="D278" s="431">
        <f t="shared" si="19"/>
        <v>0</v>
      </c>
      <c r="E278" s="431">
        <f t="shared" si="19"/>
        <v>0</v>
      </c>
      <c r="F278" s="431">
        <f t="shared" si="19"/>
        <v>0</v>
      </c>
      <c r="G278" s="471"/>
      <c r="H278" s="471"/>
      <c r="I278" s="471"/>
      <c r="J278" s="471"/>
      <c r="K278" s="467"/>
      <c r="L278" s="467"/>
      <c r="M278" s="467"/>
      <c r="N278" s="467"/>
      <c r="O278" s="467"/>
      <c r="P278" s="501"/>
      <c r="Q278" s="501"/>
      <c r="R278" s="501"/>
      <c r="S278" s="468"/>
    </row>
    <row r="279" spans="1:19" ht="25.5" hidden="1">
      <c r="A279" s="469">
        <v>232101</v>
      </c>
      <c r="B279" s="477" t="str">
        <f>+POAI!B224</f>
        <v>PROGRAMA: LA EDUCACION, RESPONSABILIDAD Y CONCIENCIA DE TODOS</v>
      </c>
      <c r="C279" s="467"/>
      <c r="D279" s="431">
        <f t="shared" si="19"/>
        <v>0</v>
      </c>
      <c r="E279" s="431">
        <f t="shared" si="19"/>
        <v>0</v>
      </c>
      <c r="F279" s="431">
        <f t="shared" si="19"/>
        <v>0</v>
      </c>
      <c r="G279" s="472">
        <f>SUM(C280:C281)</f>
        <v>0</v>
      </c>
      <c r="H279" s="472"/>
      <c r="I279" s="472"/>
      <c r="J279" s="472"/>
      <c r="K279" s="467"/>
      <c r="L279" s="467"/>
      <c r="M279" s="467"/>
      <c r="N279" s="467"/>
      <c r="O279" s="467"/>
      <c r="P279" s="501"/>
      <c r="Q279" s="501"/>
      <c r="R279" s="501"/>
      <c r="S279" s="468"/>
    </row>
    <row r="280" spans="1:19" hidden="1">
      <c r="A280" s="473">
        <v>23210101</v>
      </c>
      <c r="B280" s="474" t="str">
        <f>+POAI!B225</f>
        <v>Subprograma: matrícula gratuita en instituciones educativas</v>
      </c>
      <c r="C280" s="481">
        <f>+POAI!D225</f>
        <v>0</v>
      </c>
      <c r="D280" s="431">
        <f t="shared" si="19"/>
        <v>0</v>
      </c>
      <c r="E280" s="431">
        <f t="shared" si="19"/>
        <v>0</v>
      </c>
      <c r="F280" s="431">
        <f t="shared" si="19"/>
        <v>0</v>
      </c>
      <c r="G280" s="471"/>
      <c r="H280" s="471"/>
      <c r="I280" s="471"/>
      <c r="J280" s="471"/>
      <c r="K280" s="467"/>
      <c r="L280" s="467"/>
      <c r="M280" s="467"/>
      <c r="N280" s="467"/>
      <c r="O280" s="467"/>
      <c r="P280" s="501"/>
      <c r="Q280" s="501"/>
      <c r="R280" s="501"/>
      <c r="S280" s="468"/>
    </row>
    <row r="281" spans="1:19" ht="25.5" hidden="1">
      <c r="A281" s="473">
        <v>23210102</v>
      </c>
      <c r="B281" s="474" t="str">
        <f>+POAI!B226</f>
        <v>Subprograma: Construccion Aulas en Instituciones Educativas</v>
      </c>
      <c r="C281" s="481">
        <f>+POAI!D226</f>
        <v>0</v>
      </c>
      <c r="D281" s="431">
        <f t="shared" si="19"/>
        <v>0</v>
      </c>
      <c r="E281" s="431">
        <f t="shared" si="19"/>
        <v>0</v>
      </c>
      <c r="F281" s="431">
        <f t="shared" si="19"/>
        <v>0</v>
      </c>
      <c r="G281" s="471"/>
      <c r="H281" s="471"/>
      <c r="I281" s="471"/>
      <c r="J281" s="471"/>
      <c r="K281" s="467"/>
      <c r="L281" s="467"/>
      <c r="M281" s="467"/>
      <c r="N281" s="467"/>
      <c r="O281" s="467"/>
      <c r="P281" s="501"/>
      <c r="Q281" s="501"/>
      <c r="R281" s="501"/>
      <c r="S281" s="468"/>
    </row>
    <row r="282" spans="1:19" hidden="1">
      <c r="A282" s="469"/>
      <c r="B282" s="470"/>
      <c r="C282" s="472"/>
      <c r="D282" s="431">
        <f t="shared" si="19"/>
        <v>0</v>
      </c>
      <c r="E282" s="431">
        <f t="shared" si="19"/>
        <v>0</v>
      </c>
      <c r="F282" s="431">
        <f t="shared" si="19"/>
        <v>0</v>
      </c>
      <c r="G282" s="471"/>
      <c r="H282" s="471"/>
      <c r="I282" s="471"/>
      <c r="J282" s="471"/>
      <c r="K282" s="467"/>
      <c r="L282" s="467"/>
      <c r="M282" s="467"/>
      <c r="N282" s="467"/>
      <c r="O282" s="467"/>
      <c r="P282" s="501"/>
      <c r="Q282" s="501"/>
      <c r="R282" s="501"/>
      <c r="S282" s="468"/>
    </row>
    <row r="283" spans="1:19">
      <c r="A283" s="469">
        <v>2321</v>
      </c>
      <c r="B283" s="477" t="str">
        <f>+POAI!B243</f>
        <v>SECTOR ALIMENTACION ESCOLAR</v>
      </c>
      <c r="C283" s="467"/>
      <c r="D283" s="431">
        <f t="shared" si="19"/>
        <v>0</v>
      </c>
      <c r="E283" s="431">
        <f t="shared" si="19"/>
        <v>0</v>
      </c>
      <c r="F283" s="431">
        <f t="shared" si="19"/>
        <v>0</v>
      </c>
      <c r="G283" s="471"/>
      <c r="H283" s="471"/>
      <c r="I283" s="471"/>
      <c r="J283" s="471"/>
      <c r="K283" s="472">
        <f>+G285</f>
        <v>26000000</v>
      </c>
      <c r="L283" s="431">
        <f>SUM(K283*4/100)+K283</f>
        <v>27040000</v>
      </c>
      <c r="M283" s="431">
        <f>SUM(L283*4/100)+L283</f>
        <v>28121600</v>
      </c>
      <c r="N283" s="431">
        <f>SUM(M283*4/100)+M283</f>
        <v>29246464</v>
      </c>
      <c r="O283" s="467"/>
      <c r="P283" s="501"/>
      <c r="Q283" s="501"/>
      <c r="R283" s="501"/>
      <c r="S283" s="468"/>
    </row>
    <row r="284" spans="1:19" hidden="1">
      <c r="A284" s="469"/>
      <c r="B284" s="470"/>
      <c r="C284" s="472"/>
      <c r="D284" s="431">
        <f t="shared" si="19"/>
        <v>0</v>
      </c>
      <c r="E284" s="431">
        <f t="shared" si="19"/>
        <v>0</v>
      </c>
      <c r="F284" s="431">
        <f t="shared" si="19"/>
        <v>0</v>
      </c>
      <c r="G284" s="471"/>
      <c r="H284" s="471"/>
      <c r="I284" s="471"/>
      <c r="J284" s="471"/>
      <c r="K284" s="467"/>
      <c r="L284" s="467"/>
      <c r="M284" s="467"/>
      <c r="N284" s="467"/>
      <c r="O284" s="467"/>
      <c r="P284" s="501"/>
      <c r="Q284" s="501"/>
      <c r="R284" s="501"/>
      <c r="S284" s="468"/>
    </row>
    <row r="285" spans="1:19">
      <c r="A285" s="469">
        <v>232101</v>
      </c>
      <c r="B285" s="477" t="str">
        <f>+POAI!B247</f>
        <v>PROGRAMA: ALIMENTACION ESCOLAR</v>
      </c>
      <c r="C285" s="467"/>
      <c r="D285" s="431">
        <f t="shared" si="19"/>
        <v>0</v>
      </c>
      <c r="E285" s="431">
        <f t="shared" si="19"/>
        <v>0</v>
      </c>
      <c r="F285" s="431">
        <f t="shared" si="19"/>
        <v>0</v>
      </c>
      <c r="G285" s="472">
        <f>SUM(C286:C287)</f>
        <v>26000000</v>
      </c>
      <c r="H285" s="431">
        <f>SUM(G285*4/100)+G285</f>
        <v>27040000</v>
      </c>
      <c r="I285" s="431">
        <f>SUM(H285*4/100)+H285</f>
        <v>28121600</v>
      </c>
      <c r="J285" s="431">
        <f>SUM(I285*4/100)+I285</f>
        <v>29246464</v>
      </c>
      <c r="K285" s="467"/>
      <c r="L285" s="467"/>
      <c r="M285" s="467"/>
      <c r="N285" s="467"/>
      <c r="O285" s="467"/>
      <c r="P285" s="501"/>
      <c r="Q285" s="501"/>
      <c r="R285" s="501"/>
      <c r="S285" s="468"/>
    </row>
    <row r="286" spans="1:19" ht="25.5">
      <c r="A286" s="473">
        <v>23210101</v>
      </c>
      <c r="B286" s="474" t="str">
        <f>+POAI!B248</f>
        <v>Subprograma: Complemento nutricional para la población escolar</v>
      </c>
      <c r="C286" s="481">
        <f>+POAI!D248</f>
        <v>26000000</v>
      </c>
      <c r="D286" s="431">
        <f t="shared" si="19"/>
        <v>27040000</v>
      </c>
      <c r="E286" s="431">
        <f t="shared" si="19"/>
        <v>28121600</v>
      </c>
      <c r="F286" s="431">
        <f t="shared" si="19"/>
        <v>29246464</v>
      </c>
      <c r="G286" s="471"/>
      <c r="H286" s="471"/>
      <c r="I286" s="471"/>
      <c r="J286" s="471"/>
      <c r="K286" s="467"/>
      <c r="L286" s="467"/>
      <c r="M286" s="467"/>
      <c r="N286" s="467"/>
      <c r="O286" s="467"/>
      <c r="P286" s="501"/>
      <c r="Q286" s="501"/>
      <c r="R286" s="501"/>
      <c r="S286" s="468"/>
    </row>
    <row r="287" spans="1:19">
      <c r="A287" s="473">
        <v>23210102</v>
      </c>
      <c r="B287" s="474" t="str">
        <f>+POAI!B249</f>
        <v>Subprograma: Dotación de los restaurantes escolares</v>
      </c>
      <c r="C287" s="481">
        <f>+POAI!D249</f>
        <v>0</v>
      </c>
      <c r="D287" s="431">
        <f t="shared" si="19"/>
        <v>0</v>
      </c>
      <c r="E287" s="431">
        <f t="shared" si="19"/>
        <v>0</v>
      </c>
      <c r="F287" s="431">
        <f t="shared" si="19"/>
        <v>0</v>
      </c>
      <c r="G287" s="471"/>
      <c r="H287" s="471"/>
      <c r="I287" s="471"/>
      <c r="J287" s="471"/>
      <c r="K287" s="467"/>
      <c r="L287" s="467"/>
      <c r="M287" s="467"/>
      <c r="N287" s="467"/>
      <c r="O287" s="467"/>
      <c r="P287" s="501"/>
      <c r="Q287" s="501"/>
      <c r="R287" s="501"/>
      <c r="S287" s="468"/>
    </row>
    <row r="288" spans="1:19" hidden="1">
      <c r="A288" s="469"/>
      <c r="B288" s="470"/>
      <c r="C288" s="472"/>
      <c r="D288" s="431">
        <f t="shared" si="19"/>
        <v>0</v>
      </c>
      <c r="E288" s="431">
        <f t="shared" si="19"/>
        <v>0</v>
      </c>
      <c r="F288" s="431">
        <f t="shared" si="19"/>
        <v>0</v>
      </c>
      <c r="G288" s="471"/>
      <c r="H288" s="471"/>
      <c r="I288" s="471"/>
      <c r="J288" s="471"/>
      <c r="K288" s="467"/>
      <c r="L288" s="467"/>
      <c r="M288" s="467"/>
      <c r="N288" s="467"/>
      <c r="O288" s="467"/>
      <c r="P288" s="501"/>
      <c r="Q288" s="501"/>
      <c r="R288" s="501"/>
      <c r="S288" s="468"/>
    </row>
    <row r="289" spans="1:19" hidden="1">
      <c r="A289" s="469">
        <v>2325</v>
      </c>
      <c r="B289" s="477" t="str">
        <f>+POAI!B321</f>
        <v>SECTOR DEPORTE Y TIEMPO LIBRE</v>
      </c>
      <c r="C289" s="467"/>
      <c r="D289" s="431">
        <f t="shared" si="19"/>
        <v>0</v>
      </c>
      <c r="E289" s="431">
        <f t="shared" si="19"/>
        <v>0</v>
      </c>
      <c r="F289" s="431">
        <f t="shared" si="19"/>
        <v>0</v>
      </c>
      <c r="G289" s="471"/>
      <c r="H289" s="471"/>
      <c r="I289" s="471"/>
      <c r="J289" s="471"/>
      <c r="K289" s="472">
        <f>+G291</f>
        <v>0</v>
      </c>
      <c r="L289" s="472"/>
      <c r="M289" s="472"/>
      <c r="N289" s="472"/>
      <c r="O289" s="467"/>
      <c r="P289" s="501"/>
      <c r="Q289" s="501"/>
      <c r="R289" s="501"/>
      <c r="S289" s="468"/>
    </row>
    <row r="290" spans="1:19" hidden="1">
      <c r="A290" s="469"/>
      <c r="B290" s="470"/>
      <c r="C290" s="472"/>
      <c r="D290" s="431">
        <f t="shared" si="19"/>
        <v>0</v>
      </c>
      <c r="E290" s="431">
        <f t="shared" si="19"/>
        <v>0</v>
      </c>
      <c r="F290" s="431">
        <f t="shared" si="19"/>
        <v>0</v>
      </c>
      <c r="G290" s="471"/>
      <c r="H290" s="471"/>
      <c r="I290" s="471"/>
      <c r="J290" s="471"/>
      <c r="K290" s="467"/>
      <c r="L290" s="467"/>
      <c r="M290" s="467"/>
      <c r="N290" s="467"/>
      <c r="O290" s="467"/>
      <c r="P290" s="501"/>
      <c r="Q290" s="501"/>
      <c r="R290" s="501"/>
      <c r="S290" s="468"/>
    </row>
    <row r="291" spans="1:19" hidden="1">
      <c r="A291" s="469">
        <v>232502</v>
      </c>
      <c r="B291" s="477" t="str">
        <f>+POAI!B331</f>
        <v>PROGRAMA: MASIFICACIÓN DEPORTIVA</v>
      </c>
      <c r="C291" s="467"/>
      <c r="D291" s="431">
        <f t="shared" si="19"/>
        <v>0</v>
      </c>
      <c r="E291" s="431">
        <f t="shared" si="19"/>
        <v>0</v>
      </c>
      <c r="F291" s="431">
        <f t="shared" si="19"/>
        <v>0</v>
      </c>
      <c r="G291" s="472">
        <f>SUM(C292:C294)</f>
        <v>0</v>
      </c>
      <c r="H291" s="472"/>
      <c r="I291" s="472"/>
      <c r="J291" s="472"/>
      <c r="K291" s="467"/>
      <c r="L291" s="467"/>
      <c r="M291" s="467"/>
      <c r="N291" s="467"/>
      <c r="O291" s="467"/>
      <c r="P291" s="501"/>
      <c r="Q291" s="501"/>
      <c r="R291" s="501"/>
      <c r="S291" s="468"/>
    </row>
    <row r="292" spans="1:19" hidden="1">
      <c r="A292" s="473">
        <v>23250201</v>
      </c>
      <c r="B292" s="474" t="str">
        <f>+POAI!B332</f>
        <v xml:space="preserve">Subprograma: Dotación implementos deportivos </v>
      </c>
      <c r="C292" s="481">
        <f>+POAI!D332</f>
        <v>0</v>
      </c>
      <c r="D292" s="431">
        <f t="shared" si="19"/>
        <v>0</v>
      </c>
      <c r="E292" s="431">
        <f t="shared" si="19"/>
        <v>0</v>
      </c>
      <c r="F292" s="431">
        <f t="shared" si="19"/>
        <v>0</v>
      </c>
      <c r="G292" s="471"/>
      <c r="H292" s="471"/>
      <c r="I292" s="471"/>
      <c r="J292" s="471"/>
      <c r="K292" s="467"/>
      <c r="L292" s="467"/>
      <c r="M292" s="467"/>
      <c r="N292" s="467"/>
      <c r="O292" s="467"/>
      <c r="P292" s="501"/>
      <c r="Q292" s="501"/>
      <c r="R292" s="501"/>
      <c r="S292" s="468"/>
    </row>
    <row r="293" spans="1:19" ht="25.5" hidden="1">
      <c r="A293" s="473">
        <v>23250202</v>
      </c>
      <c r="B293" s="474" t="str">
        <f>+POAI!B333</f>
        <v>Subprograma: Promoción eventos de recreación aprovechamiento del tiempo libre</v>
      </c>
      <c r="C293" s="481">
        <f>+POAI!D333</f>
        <v>0</v>
      </c>
      <c r="D293" s="431">
        <f t="shared" si="19"/>
        <v>0</v>
      </c>
      <c r="E293" s="431">
        <f t="shared" si="19"/>
        <v>0</v>
      </c>
      <c r="F293" s="431">
        <f t="shared" si="19"/>
        <v>0</v>
      </c>
      <c r="G293" s="471"/>
      <c r="H293" s="471"/>
      <c r="I293" s="471"/>
      <c r="J293" s="471"/>
      <c r="K293" s="467"/>
      <c r="L293" s="467"/>
      <c r="M293" s="467"/>
      <c r="N293" s="467"/>
      <c r="O293" s="467"/>
      <c r="P293" s="501"/>
      <c r="Q293" s="501"/>
      <c r="R293" s="501"/>
      <c r="S293" s="468"/>
    </row>
    <row r="294" spans="1:19" hidden="1">
      <c r="A294" s="473">
        <v>23250203</v>
      </c>
      <c r="B294" s="474" t="str">
        <f>+POAI!B334</f>
        <v>Subprograma: Escuelas de formacion deportiva</v>
      </c>
      <c r="C294" s="481">
        <f>+POAI!D334</f>
        <v>0</v>
      </c>
      <c r="D294" s="431">
        <f t="shared" si="19"/>
        <v>0</v>
      </c>
      <c r="E294" s="431">
        <f t="shared" si="19"/>
        <v>0</v>
      </c>
      <c r="F294" s="431">
        <f t="shared" si="19"/>
        <v>0</v>
      </c>
      <c r="G294" s="471"/>
      <c r="H294" s="471"/>
      <c r="I294" s="471"/>
      <c r="J294" s="471"/>
      <c r="K294" s="467"/>
      <c r="L294" s="467"/>
      <c r="M294" s="467"/>
      <c r="N294" s="467"/>
      <c r="O294" s="467"/>
      <c r="P294" s="501"/>
      <c r="Q294" s="501"/>
      <c r="R294" s="501"/>
      <c r="S294" s="468"/>
    </row>
    <row r="295" spans="1:19" hidden="1">
      <c r="A295" s="469"/>
      <c r="B295" s="470"/>
      <c r="C295" s="472"/>
      <c r="D295" s="431">
        <f t="shared" si="19"/>
        <v>0</v>
      </c>
      <c r="E295" s="431">
        <f t="shared" si="19"/>
        <v>0</v>
      </c>
      <c r="F295" s="431">
        <f t="shared" si="19"/>
        <v>0</v>
      </c>
      <c r="G295" s="471"/>
      <c r="H295" s="471"/>
      <c r="I295" s="471"/>
      <c r="J295" s="471"/>
      <c r="K295" s="467"/>
      <c r="L295" s="467"/>
      <c r="M295" s="467"/>
      <c r="N295" s="467"/>
      <c r="O295" s="467"/>
      <c r="P295" s="501"/>
      <c r="Q295" s="501"/>
      <c r="R295" s="501"/>
      <c r="S295" s="468"/>
    </row>
    <row r="296" spans="1:19">
      <c r="A296" s="469">
        <v>2326</v>
      </c>
      <c r="B296" s="477" t="str">
        <f>+POAI!B341</f>
        <v>SECTOR CULTURA</v>
      </c>
      <c r="C296" s="467"/>
      <c r="D296" s="431">
        <f t="shared" si="19"/>
        <v>0</v>
      </c>
      <c r="E296" s="431">
        <f t="shared" si="19"/>
        <v>0</v>
      </c>
      <c r="F296" s="431">
        <f t="shared" si="19"/>
        <v>0</v>
      </c>
      <c r="G296" s="471"/>
      <c r="H296" s="471"/>
      <c r="I296" s="471"/>
      <c r="J296" s="471"/>
      <c r="K296" s="472">
        <f>+G298</f>
        <v>34000000</v>
      </c>
      <c r="L296" s="431">
        <f>SUM(K296*4/100)+K296</f>
        <v>35360000</v>
      </c>
      <c r="M296" s="431">
        <f>SUM(L296*4/100)+L296</f>
        <v>36774400</v>
      </c>
      <c r="N296" s="431">
        <f>SUM(M296*4/100)+M296</f>
        <v>38245376</v>
      </c>
      <c r="O296" s="467"/>
      <c r="P296" s="501"/>
      <c r="Q296" s="501"/>
      <c r="R296" s="501"/>
      <c r="S296" s="468"/>
    </row>
    <row r="297" spans="1:19" hidden="1">
      <c r="A297" s="469"/>
      <c r="B297" s="470"/>
      <c r="C297" s="472"/>
      <c r="D297" s="431">
        <f t="shared" si="19"/>
        <v>0</v>
      </c>
      <c r="E297" s="431">
        <f t="shared" si="19"/>
        <v>0</v>
      </c>
      <c r="F297" s="431">
        <f t="shared" si="19"/>
        <v>0</v>
      </c>
      <c r="G297" s="471"/>
      <c r="H297" s="471"/>
      <c r="I297" s="471"/>
      <c r="J297" s="471"/>
      <c r="K297" s="467"/>
      <c r="L297" s="467"/>
      <c r="M297" s="467"/>
      <c r="N297" s="467"/>
      <c r="O297" s="467"/>
      <c r="P297" s="501"/>
      <c r="Q297" s="501"/>
      <c r="R297" s="501"/>
      <c r="S297" s="468"/>
    </row>
    <row r="298" spans="1:19" ht="25.5">
      <c r="A298" s="469">
        <v>232602</v>
      </c>
      <c r="B298" s="477" t="str">
        <f>+POAI!B351</f>
        <v>PROGRAMA: MASIFICACIÓN DEL TIEMPO LIBRE Y RESCATE CULTURAL</v>
      </c>
      <c r="C298" s="467"/>
      <c r="D298" s="431">
        <f t="shared" si="19"/>
        <v>0</v>
      </c>
      <c r="E298" s="431">
        <f t="shared" si="19"/>
        <v>0</v>
      </c>
      <c r="F298" s="431">
        <f t="shared" si="19"/>
        <v>0</v>
      </c>
      <c r="G298" s="472">
        <f>SUM(C299:C304)</f>
        <v>34000000</v>
      </c>
      <c r="H298" s="431">
        <f>SUM(G298*4/100)+G298</f>
        <v>35360000</v>
      </c>
      <c r="I298" s="431">
        <f>SUM(H298*4/100)+H298</f>
        <v>36774400</v>
      </c>
      <c r="J298" s="431">
        <f>SUM(I298*4/100)+I298</f>
        <v>38245376</v>
      </c>
      <c r="K298" s="467"/>
      <c r="L298" s="467"/>
      <c r="M298" s="467"/>
      <c r="N298" s="467"/>
      <c r="O298" s="467"/>
      <c r="P298" s="501"/>
      <c r="Q298" s="501"/>
      <c r="R298" s="501"/>
      <c r="S298" s="468"/>
    </row>
    <row r="299" spans="1:19">
      <c r="A299" s="473">
        <v>23260201</v>
      </c>
      <c r="B299" s="474" t="str">
        <f>+POAI!B352</f>
        <v xml:space="preserve">Subprograma: Promoción de eventos culturales </v>
      </c>
      <c r="C299" s="481">
        <f>+POAI!D352</f>
        <v>30000000</v>
      </c>
      <c r="D299" s="431">
        <f t="shared" si="19"/>
        <v>31200000</v>
      </c>
      <c r="E299" s="431">
        <f t="shared" si="19"/>
        <v>32448000</v>
      </c>
      <c r="F299" s="431">
        <f t="shared" si="19"/>
        <v>33745920</v>
      </c>
      <c r="G299" s="471"/>
      <c r="H299" s="471"/>
      <c r="I299" s="471"/>
      <c r="J299" s="471"/>
      <c r="K299" s="467"/>
      <c r="L299" s="467"/>
      <c r="M299" s="467"/>
      <c r="N299" s="467"/>
      <c r="O299" s="467"/>
      <c r="P299" s="501"/>
      <c r="Q299" s="501"/>
      <c r="R299" s="501"/>
      <c r="S299" s="468"/>
    </row>
    <row r="300" spans="1:19" ht="25.5">
      <c r="A300" s="473">
        <v>23260202</v>
      </c>
      <c r="B300" s="474" t="str">
        <f>+POAI!B353</f>
        <v>Subprograma: Operación escuelas de formación artística y cultural</v>
      </c>
      <c r="C300" s="481">
        <f>+POAI!D353</f>
        <v>4000000</v>
      </c>
      <c r="D300" s="431">
        <f t="shared" si="19"/>
        <v>4160000</v>
      </c>
      <c r="E300" s="431">
        <f t="shared" si="19"/>
        <v>4326400</v>
      </c>
      <c r="F300" s="431">
        <f t="shared" si="19"/>
        <v>4499456</v>
      </c>
      <c r="G300" s="471"/>
      <c r="H300" s="471"/>
      <c r="I300" s="471"/>
      <c r="J300" s="471"/>
      <c r="K300" s="467"/>
      <c r="L300" s="467"/>
      <c r="M300" s="467"/>
      <c r="N300" s="467"/>
      <c r="O300" s="467"/>
      <c r="P300" s="501"/>
      <c r="Q300" s="501"/>
      <c r="R300" s="501"/>
      <c r="S300" s="468"/>
    </row>
    <row r="301" spans="1:19" ht="25.5">
      <c r="A301" s="473">
        <v>23260203</v>
      </c>
      <c r="B301" s="474" t="str">
        <f>+POAI!B354</f>
        <v>Subprograma: Apoyo a la investigaciòn de la historia Cucaitense</v>
      </c>
      <c r="C301" s="481">
        <f>+POAI!D354</f>
        <v>0</v>
      </c>
      <c r="D301" s="431">
        <f t="shared" si="19"/>
        <v>0</v>
      </c>
      <c r="E301" s="431">
        <f t="shared" si="19"/>
        <v>0</v>
      </c>
      <c r="F301" s="431">
        <f t="shared" si="19"/>
        <v>0</v>
      </c>
      <c r="G301" s="471"/>
      <c r="H301" s="471"/>
      <c r="I301" s="471"/>
      <c r="J301" s="471"/>
      <c r="K301" s="467"/>
      <c r="L301" s="467"/>
      <c r="M301" s="467"/>
      <c r="N301" s="467"/>
      <c r="O301" s="467"/>
      <c r="P301" s="501"/>
      <c r="Q301" s="501"/>
      <c r="R301" s="501"/>
      <c r="S301" s="468"/>
    </row>
    <row r="302" spans="1:19">
      <c r="A302" s="473">
        <v>23260204</v>
      </c>
      <c r="B302" s="474" t="str">
        <f>+POAI!B355</f>
        <v>Subprograma: 10% seguridad social gestor de cultura</v>
      </c>
      <c r="C302" s="481">
        <f>+POAI!D355</f>
        <v>0</v>
      </c>
      <c r="D302" s="431">
        <f t="shared" si="19"/>
        <v>0</v>
      </c>
      <c r="E302" s="431">
        <f t="shared" si="19"/>
        <v>0</v>
      </c>
      <c r="F302" s="431">
        <f t="shared" si="19"/>
        <v>0</v>
      </c>
      <c r="G302" s="471"/>
      <c r="H302" s="471"/>
      <c r="I302" s="471"/>
      <c r="J302" s="471"/>
      <c r="K302" s="467"/>
      <c r="L302" s="467"/>
      <c r="M302" s="467"/>
      <c r="N302" s="467"/>
      <c r="O302" s="467"/>
      <c r="P302" s="501"/>
      <c r="Q302" s="501"/>
      <c r="R302" s="501"/>
      <c r="S302" s="468"/>
    </row>
    <row r="303" spans="1:19">
      <c r="A303" s="473">
        <v>23260205</v>
      </c>
      <c r="B303" s="474" t="str">
        <f>+POAI!B356</f>
        <v>Subprograma: 20% fonpet</v>
      </c>
      <c r="C303" s="481">
        <f>+POAI!D356</f>
        <v>0</v>
      </c>
      <c r="D303" s="431">
        <f t="shared" si="19"/>
        <v>0</v>
      </c>
      <c r="E303" s="431">
        <f t="shared" si="19"/>
        <v>0</v>
      </c>
      <c r="F303" s="431">
        <f t="shared" si="19"/>
        <v>0</v>
      </c>
      <c r="G303" s="471"/>
      <c r="H303" s="471"/>
      <c r="I303" s="471"/>
      <c r="J303" s="471"/>
      <c r="K303" s="467"/>
      <c r="L303" s="467"/>
      <c r="M303" s="467"/>
      <c r="N303" s="467"/>
      <c r="O303" s="467"/>
      <c r="P303" s="501"/>
      <c r="Q303" s="501"/>
      <c r="R303" s="501"/>
      <c r="S303" s="468"/>
    </row>
    <row r="304" spans="1:19">
      <c r="A304" s="473">
        <v>23260206</v>
      </c>
      <c r="B304" s="474" t="str">
        <f>+POAI!B357</f>
        <v>Subprograma: 10% sostenimiento de bibliotecas publicas</v>
      </c>
      <c r="C304" s="481">
        <f>+POAI!D357</f>
        <v>0</v>
      </c>
      <c r="D304" s="431">
        <f t="shared" si="19"/>
        <v>0</v>
      </c>
      <c r="E304" s="431">
        <f t="shared" si="19"/>
        <v>0</v>
      </c>
      <c r="F304" s="431">
        <f t="shared" si="19"/>
        <v>0</v>
      </c>
      <c r="G304" s="471"/>
      <c r="H304" s="471"/>
      <c r="I304" s="471"/>
      <c r="J304" s="471"/>
      <c r="K304" s="467"/>
      <c r="L304" s="467"/>
      <c r="M304" s="467"/>
      <c r="N304" s="467"/>
      <c r="O304" s="467"/>
      <c r="P304" s="501"/>
      <c r="Q304" s="501"/>
      <c r="R304" s="501"/>
      <c r="S304" s="468"/>
    </row>
    <row r="305" spans="1:19" hidden="1">
      <c r="A305" s="469"/>
      <c r="B305" s="470"/>
      <c r="C305" s="472"/>
      <c r="D305" s="431">
        <f t="shared" si="19"/>
        <v>0</v>
      </c>
      <c r="E305" s="431">
        <f t="shared" si="19"/>
        <v>0</v>
      </c>
      <c r="F305" s="431">
        <f t="shared" si="19"/>
        <v>0</v>
      </c>
      <c r="G305" s="471"/>
      <c r="H305" s="471"/>
      <c r="I305" s="471"/>
      <c r="J305" s="471"/>
      <c r="K305" s="467"/>
      <c r="L305" s="467"/>
      <c r="M305" s="467"/>
      <c r="N305" s="467"/>
      <c r="O305" s="467"/>
      <c r="P305" s="501"/>
      <c r="Q305" s="501"/>
      <c r="R305" s="501"/>
      <c r="S305" s="468"/>
    </row>
    <row r="306" spans="1:19">
      <c r="A306" s="469">
        <v>2327</v>
      </c>
      <c r="B306" s="470" t="s">
        <v>118</v>
      </c>
      <c r="C306" s="467"/>
      <c r="D306" s="431">
        <f t="shared" si="19"/>
        <v>0</v>
      </c>
      <c r="E306" s="431">
        <f t="shared" si="19"/>
        <v>0</v>
      </c>
      <c r="F306" s="431">
        <f t="shared" si="19"/>
        <v>0</v>
      </c>
      <c r="G306" s="471"/>
      <c r="H306" s="471"/>
      <c r="I306" s="471"/>
      <c r="J306" s="471"/>
      <c r="K306" s="472">
        <f>SUM(G308:G382)</f>
        <v>64000000</v>
      </c>
      <c r="L306" s="431">
        <f>SUM(K306*4/100)+K306</f>
        <v>66560000</v>
      </c>
      <c r="M306" s="431">
        <f>SUM(L306*4/100)+L306</f>
        <v>69222400</v>
      </c>
      <c r="N306" s="431">
        <f>SUM(M306*4/100)+M306</f>
        <v>71991296</v>
      </c>
      <c r="O306" s="467"/>
      <c r="P306" s="501"/>
      <c r="Q306" s="501"/>
      <c r="R306" s="501"/>
      <c r="S306" s="468"/>
    </row>
    <row r="307" spans="1:19" hidden="1">
      <c r="A307" s="469"/>
      <c r="B307" s="470"/>
      <c r="C307" s="472"/>
      <c r="D307" s="431">
        <f t="shared" si="19"/>
        <v>0</v>
      </c>
      <c r="E307" s="431">
        <f t="shared" si="19"/>
        <v>0</v>
      </c>
      <c r="F307" s="431">
        <f t="shared" si="19"/>
        <v>0</v>
      </c>
      <c r="G307" s="471"/>
      <c r="H307" s="471"/>
      <c r="I307" s="471"/>
      <c r="J307" s="471"/>
      <c r="K307" s="467"/>
      <c r="L307" s="467"/>
      <c r="M307" s="467"/>
      <c r="N307" s="467"/>
      <c r="O307" s="467"/>
      <c r="P307" s="501"/>
      <c r="Q307" s="501"/>
      <c r="R307" s="501"/>
      <c r="S307" s="468"/>
    </row>
    <row r="308" spans="1:19" hidden="1">
      <c r="A308" s="469">
        <v>232707</v>
      </c>
      <c r="B308" s="477" t="str">
        <f>+POAI!B367</f>
        <v>PROGRAMA: VIVIENDA SALUDABLE</v>
      </c>
      <c r="C308" s="467"/>
      <c r="D308" s="431">
        <f t="shared" si="19"/>
        <v>0</v>
      </c>
      <c r="E308" s="431">
        <f t="shared" si="19"/>
        <v>0</v>
      </c>
      <c r="F308" s="431">
        <f t="shared" si="19"/>
        <v>0</v>
      </c>
      <c r="G308" s="472">
        <f>SUM(C309:C311)</f>
        <v>0</v>
      </c>
      <c r="H308" s="472"/>
      <c r="I308" s="472"/>
      <c r="J308" s="472"/>
      <c r="K308" s="467"/>
      <c r="L308" s="467"/>
      <c r="M308" s="467"/>
      <c r="N308" s="467"/>
      <c r="O308" s="467"/>
      <c r="P308" s="501"/>
      <c r="Q308" s="501"/>
      <c r="R308" s="501"/>
      <c r="S308" s="468"/>
    </row>
    <row r="309" spans="1:19" hidden="1">
      <c r="A309" s="473">
        <v>23270701</v>
      </c>
      <c r="B309" s="474" t="str">
        <f>+POAI!B368</f>
        <v>Subprograma: Mejoramiento Vivienda de interés social</v>
      </c>
      <c r="C309" s="481">
        <f>+POAI!D368</f>
        <v>0</v>
      </c>
      <c r="D309" s="431">
        <f t="shared" si="19"/>
        <v>0</v>
      </c>
      <c r="E309" s="431">
        <f t="shared" si="19"/>
        <v>0</v>
      </c>
      <c r="F309" s="431">
        <f t="shared" si="19"/>
        <v>0</v>
      </c>
      <c r="G309" s="471"/>
      <c r="H309" s="471"/>
      <c r="I309" s="471"/>
      <c r="J309" s="471"/>
      <c r="K309" s="467"/>
      <c r="L309" s="467"/>
      <c r="M309" s="467"/>
      <c r="N309" s="467"/>
      <c r="O309" s="467"/>
      <c r="P309" s="501"/>
      <c r="Q309" s="501"/>
      <c r="R309" s="501"/>
      <c r="S309" s="468"/>
    </row>
    <row r="310" spans="1:19" hidden="1">
      <c r="A310" s="473">
        <v>23270702</v>
      </c>
      <c r="B310" s="474" t="str">
        <f>+POAI!B369</f>
        <v>Subprograma: Construcción vivienda de interes social</v>
      </c>
      <c r="C310" s="481">
        <f>+POAI!D369</f>
        <v>0</v>
      </c>
      <c r="D310" s="431">
        <f t="shared" si="19"/>
        <v>0</v>
      </c>
      <c r="E310" s="431">
        <f t="shared" si="19"/>
        <v>0</v>
      </c>
      <c r="F310" s="431">
        <f t="shared" si="19"/>
        <v>0</v>
      </c>
      <c r="G310" s="471"/>
      <c r="H310" s="471"/>
      <c r="I310" s="471"/>
      <c r="J310" s="471"/>
      <c r="K310" s="467"/>
      <c r="L310" s="467"/>
      <c r="M310" s="467"/>
      <c r="N310" s="467"/>
      <c r="O310" s="467"/>
      <c r="P310" s="501"/>
      <c r="Q310" s="501"/>
      <c r="R310" s="501"/>
      <c r="S310" s="468"/>
    </row>
    <row r="311" spans="1:19" hidden="1">
      <c r="A311" s="469"/>
      <c r="B311" s="474"/>
      <c r="C311" s="481"/>
      <c r="D311" s="431">
        <f t="shared" si="19"/>
        <v>0</v>
      </c>
      <c r="E311" s="431">
        <f t="shared" si="19"/>
        <v>0</v>
      </c>
      <c r="F311" s="431">
        <f t="shared" si="19"/>
        <v>0</v>
      </c>
      <c r="G311" s="471"/>
      <c r="H311" s="471"/>
      <c r="I311" s="471"/>
      <c r="J311" s="471"/>
      <c r="K311" s="467"/>
      <c r="L311" s="467"/>
      <c r="M311" s="467"/>
      <c r="N311" s="467"/>
      <c r="O311" s="467"/>
      <c r="P311" s="501"/>
      <c r="Q311" s="501"/>
      <c r="R311" s="501"/>
      <c r="S311" s="468"/>
    </row>
    <row r="312" spans="1:19" s="480" customFormat="1" hidden="1">
      <c r="A312" s="469">
        <v>232708</v>
      </c>
      <c r="B312" s="477" t="str">
        <f>+POAI!B371</f>
        <v xml:space="preserve">PROGRAMA:  PRODUCTIVIDAD AGROPECUARIA </v>
      </c>
      <c r="C312" s="481"/>
      <c r="D312" s="431">
        <f t="shared" si="19"/>
        <v>0</v>
      </c>
      <c r="E312" s="431">
        <f t="shared" si="19"/>
        <v>0</v>
      </c>
      <c r="F312" s="431">
        <f t="shared" si="19"/>
        <v>0</v>
      </c>
      <c r="G312" s="472">
        <f>SUM(C313:C316)</f>
        <v>0</v>
      </c>
      <c r="H312" s="472"/>
      <c r="I312" s="472"/>
      <c r="J312" s="472"/>
      <c r="K312" s="460"/>
      <c r="L312" s="460"/>
      <c r="M312" s="460"/>
      <c r="N312" s="460"/>
      <c r="O312" s="460"/>
      <c r="P312" s="500"/>
      <c r="Q312" s="500"/>
      <c r="R312" s="500"/>
      <c r="S312" s="462"/>
    </row>
    <row r="313" spans="1:19" hidden="1">
      <c r="A313" s="473">
        <v>23270801</v>
      </c>
      <c r="B313" s="474" t="str">
        <f>+POAI!B372</f>
        <v>Subprograma: Asistencia técnica agropecuaria</v>
      </c>
      <c r="C313" s="481">
        <f>+POAI!D372</f>
        <v>0</v>
      </c>
      <c r="D313" s="431">
        <f t="shared" si="19"/>
        <v>0</v>
      </c>
      <c r="E313" s="431">
        <f t="shared" si="19"/>
        <v>0</v>
      </c>
      <c r="F313" s="431">
        <f t="shared" si="19"/>
        <v>0</v>
      </c>
      <c r="G313" s="471"/>
      <c r="H313" s="471"/>
      <c r="I313" s="471"/>
      <c r="J313" s="471"/>
      <c r="K313" s="467"/>
      <c r="L313" s="467"/>
      <c r="M313" s="467"/>
      <c r="N313" s="467"/>
      <c r="O313" s="467"/>
      <c r="P313" s="501"/>
      <c r="Q313" s="501"/>
      <c r="R313" s="501"/>
      <c r="S313" s="468"/>
    </row>
    <row r="314" spans="1:19" hidden="1">
      <c r="A314" s="473">
        <v>23270802</v>
      </c>
      <c r="B314" s="474" t="str">
        <f>+POAI!B373</f>
        <v>Subprograma: Apoyo proyectos productivos agropecuarios</v>
      </c>
      <c r="C314" s="481">
        <f>+POAI!D373</f>
        <v>0</v>
      </c>
      <c r="D314" s="431">
        <f t="shared" si="19"/>
        <v>0</v>
      </c>
      <c r="E314" s="431">
        <f t="shared" si="19"/>
        <v>0</v>
      </c>
      <c r="F314" s="431">
        <f t="shared" si="19"/>
        <v>0</v>
      </c>
      <c r="G314" s="471"/>
      <c r="H314" s="471"/>
      <c r="I314" s="471"/>
      <c r="J314" s="471"/>
      <c r="K314" s="467"/>
      <c r="L314" s="467"/>
      <c r="M314" s="467"/>
      <c r="N314" s="467"/>
      <c r="O314" s="467"/>
      <c r="P314" s="501"/>
      <c r="Q314" s="501"/>
      <c r="R314" s="501"/>
      <c r="S314" s="468"/>
    </row>
    <row r="315" spans="1:19" hidden="1">
      <c r="A315" s="473">
        <v>23270803</v>
      </c>
      <c r="B315" s="474" t="str">
        <f>+POAI!B374</f>
        <v>Subprograma: Apoyo a la feria técnica agropecuaria</v>
      </c>
      <c r="C315" s="481">
        <f>+POAI!D374</f>
        <v>0</v>
      </c>
      <c r="D315" s="431">
        <f t="shared" si="19"/>
        <v>0</v>
      </c>
      <c r="E315" s="431">
        <f t="shared" si="19"/>
        <v>0</v>
      </c>
      <c r="F315" s="431">
        <f t="shared" si="19"/>
        <v>0</v>
      </c>
      <c r="G315" s="471"/>
      <c r="H315" s="471"/>
      <c r="I315" s="471"/>
      <c r="J315" s="471"/>
      <c r="K315" s="467"/>
      <c r="L315" s="467"/>
      <c r="M315" s="467"/>
      <c r="N315" s="467"/>
      <c r="O315" s="467"/>
      <c r="P315" s="501"/>
      <c r="Q315" s="501"/>
      <c r="R315" s="501"/>
      <c r="S315" s="468"/>
    </row>
    <row r="316" spans="1:19" hidden="1">
      <c r="A316" s="473"/>
      <c r="B316" s="474"/>
      <c r="C316" s="481"/>
      <c r="D316" s="431">
        <f t="shared" si="19"/>
        <v>0</v>
      </c>
      <c r="E316" s="431">
        <f t="shared" si="19"/>
        <v>0</v>
      </c>
      <c r="F316" s="431">
        <f t="shared" si="19"/>
        <v>0</v>
      </c>
      <c r="G316" s="471"/>
      <c r="H316" s="471"/>
      <c r="I316" s="471"/>
      <c r="J316" s="471"/>
      <c r="K316" s="467"/>
      <c r="L316" s="467"/>
      <c r="M316" s="467"/>
      <c r="N316" s="467"/>
      <c r="O316" s="467"/>
      <c r="P316" s="501"/>
      <c r="Q316" s="501"/>
      <c r="R316" s="501"/>
      <c r="S316" s="468"/>
    </row>
    <row r="317" spans="1:19" s="480" customFormat="1">
      <c r="A317" s="469">
        <v>232709</v>
      </c>
      <c r="B317" s="477" t="str">
        <f>+POAI!B376</f>
        <v>PROGRAMA:  VÍAS Y MOVILIDAD MUNICIPAL</v>
      </c>
      <c r="C317" s="481"/>
      <c r="D317" s="431">
        <f t="shared" si="19"/>
        <v>0</v>
      </c>
      <c r="E317" s="431">
        <f t="shared" si="19"/>
        <v>0</v>
      </c>
      <c r="F317" s="431">
        <f t="shared" si="19"/>
        <v>0</v>
      </c>
      <c r="G317" s="479"/>
      <c r="H317" s="479"/>
      <c r="I317" s="479"/>
      <c r="J317" s="479"/>
      <c r="K317" s="460"/>
      <c r="L317" s="460"/>
      <c r="M317" s="460"/>
      <c r="N317" s="460"/>
      <c r="O317" s="460"/>
      <c r="P317" s="500"/>
      <c r="Q317" s="500"/>
      <c r="R317" s="500"/>
      <c r="S317" s="462"/>
    </row>
    <row r="318" spans="1:19">
      <c r="A318" s="469">
        <v>23270901</v>
      </c>
      <c r="B318" s="477" t="str">
        <f>+POAI!B377</f>
        <v xml:space="preserve">Subprograma: Mantenimiento de la red vial municipal </v>
      </c>
      <c r="C318" s="481">
        <f>+POAI!D377</f>
        <v>0</v>
      </c>
      <c r="D318" s="431">
        <f t="shared" si="19"/>
        <v>0</v>
      </c>
      <c r="E318" s="431">
        <f t="shared" si="19"/>
        <v>0</v>
      </c>
      <c r="F318" s="431">
        <f t="shared" si="19"/>
        <v>0</v>
      </c>
      <c r="G318" s="472">
        <f>SUM(C319:C322)</f>
        <v>50000000</v>
      </c>
      <c r="H318" s="431">
        <f>SUM(G318*4/100)+G318</f>
        <v>52000000</v>
      </c>
      <c r="I318" s="431">
        <f>SUM(H318*4/100)+H318</f>
        <v>54080000</v>
      </c>
      <c r="J318" s="431">
        <f>SUM(I318*4/100)+I318</f>
        <v>56243200</v>
      </c>
      <c r="K318" s="467"/>
      <c r="L318" s="467"/>
      <c r="M318" s="467"/>
      <c r="N318" s="467"/>
      <c r="O318" s="467"/>
      <c r="P318" s="501"/>
      <c r="Q318" s="501"/>
      <c r="R318" s="501"/>
      <c r="S318" s="468"/>
    </row>
    <row r="319" spans="1:19" hidden="1">
      <c r="A319" s="473">
        <v>23270902</v>
      </c>
      <c r="B319" s="474" t="str">
        <f>+POAI!B378</f>
        <v>Subprograma: Mejoramiento de vias urbanas</v>
      </c>
      <c r="C319" s="481">
        <f>+POAI!D378</f>
        <v>0</v>
      </c>
      <c r="D319" s="431">
        <f t="shared" si="19"/>
        <v>0</v>
      </c>
      <c r="E319" s="431">
        <f t="shared" si="19"/>
        <v>0</v>
      </c>
      <c r="F319" s="431">
        <f t="shared" si="19"/>
        <v>0</v>
      </c>
      <c r="G319" s="471"/>
      <c r="H319" s="471"/>
      <c r="I319" s="471"/>
      <c r="J319" s="471"/>
      <c r="K319" s="467"/>
      <c r="L319" s="467"/>
      <c r="M319" s="467"/>
      <c r="N319" s="467"/>
      <c r="O319" s="467"/>
      <c r="P319" s="501"/>
      <c r="Q319" s="501"/>
      <c r="R319" s="501"/>
      <c r="S319" s="468"/>
    </row>
    <row r="320" spans="1:19" ht="25.5">
      <c r="A320" s="473">
        <v>23270903</v>
      </c>
      <c r="B320" s="474" t="str">
        <f>+POAI!B379</f>
        <v xml:space="preserve"> Subprograma: Operación y Mantenimiento de Maquinaria Municipal</v>
      </c>
      <c r="C320" s="481">
        <f>+POAI!D379</f>
        <v>50000000</v>
      </c>
      <c r="D320" s="431">
        <f t="shared" si="19"/>
        <v>52000000</v>
      </c>
      <c r="E320" s="431">
        <f t="shared" si="19"/>
        <v>54080000</v>
      </c>
      <c r="F320" s="431">
        <f t="shared" si="19"/>
        <v>56243200</v>
      </c>
      <c r="G320" s="471"/>
      <c r="H320" s="471"/>
      <c r="I320" s="471"/>
      <c r="J320" s="471"/>
      <c r="K320" s="467"/>
      <c r="L320" s="467"/>
      <c r="M320" s="467"/>
      <c r="N320" s="467"/>
      <c r="O320" s="467"/>
      <c r="P320" s="501"/>
      <c r="Q320" s="501"/>
      <c r="R320" s="501"/>
      <c r="S320" s="468"/>
    </row>
    <row r="321" spans="1:19" hidden="1">
      <c r="A321" s="473">
        <v>23270904</v>
      </c>
      <c r="B321" s="474" t="str">
        <f>+POAI!B380</f>
        <v xml:space="preserve"> Subprograma: Construccion puente con juirsdiccion Sora</v>
      </c>
      <c r="C321" s="481">
        <f>+POAI!D380</f>
        <v>0</v>
      </c>
      <c r="D321" s="431">
        <f t="shared" ref="D321:F384" si="20">SUM(C321*4/100)+C321</f>
        <v>0</v>
      </c>
      <c r="E321" s="431">
        <f t="shared" si="20"/>
        <v>0</v>
      </c>
      <c r="F321" s="431">
        <f t="shared" si="20"/>
        <v>0</v>
      </c>
      <c r="G321" s="471"/>
      <c r="H321" s="471"/>
      <c r="I321" s="471"/>
      <c r="J321" s="471"/>
      <c r="K321" s="467"/>
      <c r="L321" s="467"/>
      <c r="M321" s="467"/>
      <c r="N321" s="467"/>
      <c r="O321" s="467"/>
      <c r="P321" s="501"/>
      <c r="Q321" s="501"/>
      <c r="R321" s="501"/>
      <c r="S321" s="468"/>
    </row>
    <row r="322" spans="1:19" hidden="1">
      <c r="A322" s="473"/>
      <c r="B322" s="474"/>
      <c r="C322" s="481"/>
      <c r="D322" s="431">
        <f t="shared" si="20"/>
        <v>0</v>
      </c>
      <c r="E322" s="431">
        <f t="shared" si="20"/>
        <v>0</v>
      </c>
      <c r="F322" s="431">
        <f t="shared" si="20"/>
        <v>0</v>
      </c>
      <c r="G322" s="471"/>
      <c r="H322" s="471"/>
      <c r="I322" s="471"/>
      <c r="J322" s="471"/>
      <c r="K322" s="467"/>
      <c r="L322" s="467"/>
      <c r="M322" s="467"/>
      <c r="N322" s="467"/>
      <c r="O322" s="467"/>
      <c r="P322" s="501"/>
      <c r="Q322" s="501"/>
      <c r="R322" s="501"/>
      <c r="S322" s="468"/>
    </row>
    <row r="323" spans="1:19" s="480" customFormat="1" ht="25.5" hidden="1">
      <c r="A323" s="469">
        <v>232710</v>
      </c>
      <c r="B323" s="477" t="str">
        <f>+POAI!B382</f>
        <v>PROGRAMA: PROTEGIENDO LOS RECURSOS NATURALES</v>
      </c>
      <c r="C323" s="481"/>
      <c r="D323" s="431">
        <f t="shared" si="20"/>
        <v>0</v>
      </c>
      <c r="E323" s="431">
        <f t="shared" si="20"/>
        <v>0</v>
      </c>
      <c r="F323" s="431">
        <f t="shared" si="20"/>
        <v>0</v>
      </c>
      <c r="G323" s="472">
        <f>SUM(C324:C327)</f>
        <v>0</v>
      </c>
      <c r="H323" s="472"/>
      <c r="I323" s="472"/>
      <c r="J323" s="472"/>
      <c r="K323" s="460"/>
      <c r="L323" s="460"/>
      <c r="M323" s="460"/>
      <c r="N323" s="460"/>
      <c r="O323" s="460"/>
      <c r="P323" s="500"/>
      <c r="Q323" s="500"/>
      <c r="R323" s="500"/>
      <c r="S323" s="462"/>
    </row>
    <row r="324" spans="1:19" hidden="1">
      <c r="A324" s="473">
        <v>23271001</v>
      </c>
      <c r="B324" s="474" t="str">
        <f>+POAI!B383</f>
        <v>Subprograma: Reforestación protectora y proudctiva</v>
      </c>
      <c r="C324" s="481">
        <f>+POAI!D383</f>
        <v>0</v>
      </c>
      <c r="D324" s="431">
        <f t="shared" si="20"/>
        <v>0</v>
      </c>
      <c r="E324" s="431">
        <f t="shared" si="20"/>
        <v>0</v>
      </c>
      <c r="F324" s="431">
        <f t="shared" si="20"/>
        <v>0</v>
      </c>
      <c r="G324" s="471"/>
      <c r="H324" s="471"/>
      <c r="I324" s="471"/>
      <c r="J324" s="471"/>
      <c r="K324" s="467"/>
      <c r="L324" s="467"/>
      <c r="M324" s="467"/>
      <c r="N324" s="467"/>
      <c r="O324" s="467"/>
      <c r="P324" s="501"/>
      <c r="Q324" s="501"/>
      <c r="R324" s="501"/>
      <c r="S324" s="468"/>
    </row>
    <row r="325" spans="1:19" ht="25.5" hidden="1">
      <c r="A325" s="473">
        <v>23271002</v>
      </c>
      <c r="B325" s="474" t="str">
        <f>+POAI!B384</f>
        <v>Subprograma: Adquisición y mantenimiento de predios de micro cuencas  (Art 106 ley 1151 de 2006)</v>
      </c>
      <c r="C325" s="481">
        <f>+POAI!D384</f>
        <v>0</v>
      </c>
      <c r="D325" s="431">
        <f t="shared" si="20"/>
        <v>0</v>
      </c>
      <c r="E325" s="431">
        <f t="shared" si="20"/>
        <v>0</v>
      </c>
      <c r="F325" s="431">
        <f t="shared" si="20"/>
        <v>0</v>
      </c>
      <c r="G325" s="471"/>
      <c r="H325" s="471"/>
      <c r="I325" s="471"/>
      <c r="J325" s="471"/>
      <c r="K325" s="467"/>
      <c r="L325" s="467"/>
      <c r="M325" s="467"/>
      <c r="N325" s="467"/>
      <c r="O325" s="467"/>
      <c r="P325" s="501"/>
      <c r="Q325" s="501"/>
      <c r="R325" s="501"/>
      <c r="S325" s="468"/>
    </row>
    <row r="326" spans="1:19" hidden="1">
      <c r="A326" s="473">
        <v>23271003</v>
      </c>
      <c r="B326" s="474" t="str">
        <f>+POAI!B385</f>
        <v>Sistema local areas protegidas</v>
      </c>
      <c r="C326" s="481">
        <f>+POAI!D385</f>
        <v>0</v>
      </c>
      <c r="D326" s="431">
        <f t="shared" si="20"/>
        <v>0</v>
      </c>
      <c r="E326" s="431">
        <f t="shared" si="20"/>
        <v>0</v>
      </c>
      <c r="F326" s="431">
        <f t="shared" si="20"/>
        <v>0</v>
      </c>
      <c r="G326" s="471"/>
      <c r="H326" s="471"/>
      <c r="I326" s="471"/>
      <c r="J326" s="471"/>
      <c r="K326" s="467"/>
      <c r="L326" s="467"/>
      <c r="M326" s="467"/>
      <c r="N326" s="467"/>
      <c r="O326" s="467"/>
      <c r="P326" s="501"/>
      <c r="Q326" s="501"/>
      <c r="R326" s="501"/>
      <c r="S326" s="468"/>
    </row>
    <row r="327" spans="1:19" hidden="1">
      <c r="A327" s="473"/>
      <c r="B327" s="474"/>
      <c r="C327" s="481"/>
      <c r="D327" s="431">
        <f t="shared" si="20"/>
        <v>0</v>
      </c>
      <c r="E327" s="431">
        <f t="shared" si="20"/>
        <v>0</v>
      </c>
      <c r="F327" s="431">
        <f t="shared" si="20"/>
        <v>0</v>
      </c>
      <c r="G327" s="471"/>
      <c r="H327" s="471"/>
      <c r="I327" s="471"/>
      <c r="J327" s="471"/>
      <c r="K327" s="467"/>
      <c r="L327" s="467"/>
      <c r="M327" s="467"/>
      <c r="N327" s="467"/>
      <c r="O327" s="467"/>
      <c r="P327" s="501"/>
      <c r="Q327" s="501"/>
      <c r="R327" s="501"/>
      <c r="S327" s="468"/>
    </row>
    <row r="328" spans="1:19" s="480" customFormat="1" hidden="1">
      <c r="A328" s="469">
        <v>232711</v>
      </c>
      <c r="B328" s="477" t="str">
        <f>+POAI!B387</f>
        <v>PROGRAMA: SECTOR ELECTRIFICACION</v>
      </c>
      <c r="C328" s="481"/>
      <c r="D328" s="431">
        <f t="shared" si="20"/>
        <v>0</v>
      </c>
      <c r="E328" s="431">
        <f t="shared" si="20"/>
        <v>0</v>
      </c>
      <c r="F328" s="431">
        <f t="shared" si="20"/>
        <v>0</v>
      </c>
      <c r="G328" s="472">
        <f>SUM(C329:C331)</f>
        <v>0</v>
      </c>
      <c r="H328" s="472"/>
      <c r="I328" s="472"/>
      <c r="J328" s="472"/>
      <c r="K328" s="460"/>
      <c r="L328" s="460"/>
      <c r="M328" s="460"/>
      <c r="N328" s="460"/>
      <c r="O328" s="460"/>
      <c r="P328" s="500"/>
      <c r="Q328" s="500"/>
      <c r="R328" s="500"/>
      <c r="S328" s="462"/>
    </row>
    <row r="329" spans="1:19" hidden="1">
      <c r="A329" s="473">
        <v>23271101</v>
      </c>
      <c r="B329" s="474" t="str">
        <f>+POAI!B388</f>
        <v>Subprograma: alumbrado publico</v>
      </c>
      <c r="C329" s="481">
        <f>+POAI!D388</f>
        <v>0</v>
      </c>
      <c r="D329" s="431">
        <f t="shared" si="20"/>
        <v>0</v>
      </c>
      <c r="E329" s="431">
        <f t="shared" si="20"/>
        <v>0</v>
      </c>
      <c r="F329" s="431">
        <f t="shared" si="20"/>
        <v>0</v>
      </c>
      <c r="G329" s="471"/>
      <c r="H329" s="471"/>
      <c r="I329" s="471"/>
      <c r="J329" s="471"/>
      <c r="K329" s="467"/>
      <c r="L329" s="467"/>
      <c r="M329" s="467"/>
      <c r="N329" s="467"/>
      <c r="O329" s="467"/>
      <c r="P329" s="501"/>
      <c r="Q329" s="501"/>
      <c r="R329" s="501"/>
      <c r="S329" s="468"/>
    </row>
    <row r="330" spans="1:19" hidden="1">
      <c r="A330" s="473">
        <v>23271102</v>
      </c>
      <c r="B330" s="474" t="str">
        <f>+POAI!B389</f>
        <v>Subprograma: Mantenimiento alumbrado publico municipal</v>
      </c>
      <c r="C330" s="481">
        <f>+POAI!D389</f>
        <v>0</v>
      </c>
      <c r="D330" s="431">
        <f t="shared" si="20"/>
        <v>0</v>
      </c>
      <c r="E330" s="431">
        <f t="shared" si="20"/>
        <v>0</v>
      </c>
      <c r="F330" s="431">
        <f t="shared" si="20"/>
        <v>0</v>
      </c>
      <c r="G330" s="471"/>
      <c r="H330" s="471"/>
      <c r="I330" s="471"/>
      <c r="J330" s="471"/>
      <c r="K330" s="467"/>
      <c r="L330" s="467"/>
      <c r="M330" s="467"/>
      <c r="N330" s="467"/>
      <c r="O330" s="467"/>
      <c r="P330" s="501"/>
      <c r="Q330" s="501"/>
      <c r="R330" s="501"/>
      <c r="S330" s="468"/>
    </row>
    <row r="331" spans="1:19" hidden="1">
      <c r="A331" s="473"/>
      <c r="B331" s="474"/>
      <c r="C331" s="481"/>
      <c r="D331" s="431">
        <f t="shared" si="20"/>
        <v>0</v>
      </c>
      <c r="E331" s="431">
        <f t="shared" si="20"/>
        <v>0</v>
      </c>
      <c r="F331" s="431">
        <f t="shared" si="20"/>
        <v>0</v>
      </c>
      <c r="G331" s="471"/>
      <c r="H331" s="471"/>
      <c r="I331" s="471"/>
      <c r="J331" s="471"/>
      <c r="K331" s="467"/>
      <c r="L331" s="467"/>
      <c r="M331" s="467"/>
      <c r="N331" s="467"/>
      <c r="O331" s="467"/>
      <c r="P331" s="501"/>
      <c r="Q331" s="501"/>
      <c r="R331" s="501"/>
      <c r="S331" s="468"/>
    </row>
    <row r="332" spans="1:19" s="480" customFormat="1" ht="25.5">
      <c r="A332" s="469">
        <v>232712</v>
      </c>
      <c r="B332" s="477" t="str">
        <f>+POAI!B391</f>
        <v>PROGRAMA: PREVENCIÓN Y ATENCIÓN DE DESASTRES</v>
      </c>
      <c r="C332" s="481"/>
      <c r="D332" s="431">
        <f t="shared" si="20"/>
        <v>0</v>
      </c>
      <c r="E332" s="431">
        <f t="shared" si="20"/>
        <v>0</v>
      </c>
      <c r="F332" s="431">
        <f t="shared" si="20"/>
        <v>0</v>
      </c>
      <c r="G332" s="472">
        <f>SUM(C333:C337)</f>
        <v>14000000</v>
      </c>
      <c r="H332" s="431">
        <f>SUM(G332*4/100)+G332</f>
        <v>14560000</v>
      </c>
      <c r="I332" s="431">
        <f>SUM(H332*4/100)+H332</f>
        <v>15142400</v>
      </c>
      <c r="J332" s="431">
        <f>SUM(I332*4/100)+I332</f>
        <v>15748096</v>
      </c>
      <c r="K332" s="460"/>
      <c r="L332" s="460"/>
      <c r="M332" s="460"/>
      <c r="N332" s="460"/>
      <c r="O332" s="460"/>
      <c r="P332" s="500"/>
      <c r="Q332" s="500"/>
      <c r="R332" s="500"/>
      <c r="S332" s="462"/>
    </row>
    <row r="333" spans="1:19">
      <c r="A333" s="473">
        <v>23271201</v>
      </c>
      <c r="B333" s="474" t="str">
        <f>+POAI!B392</f>
        <v>Subprograma: Prevención y atención de desastres</v>
      </c>
      <c r="C333" s="481">
        <f>+POAI!D392</f>
        <v>5000000</v>
      </c>
      <c r="D333" s="431">
        <f t="shared" si="20"/>
        <v>5200000</v>
      </c>
      <c r="E333" s="431">
        <f t="shared" si="20"/>
        <v>5408000</v>
      </c>
      <c r="F333" s="431">
        <f t="shared" si="20"/>
        <v>5624320</v>
      </c>
      <c r="G333" s="471"/>
      <c r="H333" s="471"/>
      <c r="I333" s="471"/>
      <c r="J333" s="471"/>
      <c r="K333" s="467"/>
      <c r="L333" s="467"/>
      <c r="M333" s="467"/>
      <c r="N333" s="467"/>
      <c r="O333" s="467"/>
      <c r="P333" s="501"/>
      <c r="Q333" s="501"/>
      <c r="R333" s="501"/>
      <c r="S333" s="468"/>
    </row>
    <row r="334" spans="1:19" hidden="1">
      <c r="A334" s="473">
        <v>23271202</v>
      </c>
      <c r="B334" s="474" t="str">
        <f>+POAI!B393</f>
        <v>Subprograma: Atención a calamidades y emergencias</v>
      </c>
      <c r="C334" s="481">
        <f>+POAI!D393</f>
        <v>0</v>
      </c>
      <c r="D334" s="431">
        <f t="shared" si="20"/>
        <v>0</v>
      </c>
      <c r="E334" s="431">
        <f t="shared" si="20"/>
        <v>0</v>
      </c>
      <c r="F334" s="431">
        <f t="shared" si="20"/>
        <v>0</v>
      </c>
      <c r="G334" s="471"/>
      <c r="H334" s="471"/>
      <c r="I334" s="471"/>
      <c r="J334" s="471"/>
      <c r="K334" s="467"/>
      <c r="L334" s="467"/>
      <c r="M334" s="467"/>
      <c r="N334" s="467"/>
      <c r="O334" s="467"/>
      <c r="P334" s="501"/>
      <c r="Q334" s="501"/>
      <c r="R334" s="501"/>
      <c r="S334" s="468"/>
    </row>
    <row r="335" spans="1:19" hidden="1">
      <c r="A335" s="473">
        <v>23271203</v>
      </c>
      <c r="B335" s="474" t="str">
        <f>+POAI!B394</f>
        <v xml:space="preserve">Subprograma: Servicio de cuerpo de bomberos </v>
      </c>
      <c r="C335" s="481">
        <f>+POAI!D394</f>
        <v>0</v>
      </c>
      <c r="D335" s="431">
        <f t="shared" si="20"/>
        <v>0</v>
      </c>
      <c r="E335" s="431">
        <f t="shared" si="20"/>
        <v>0</v>
      </c>
      <c r="F335" s="431">
        <f t="shared" si="20"/>
        <v>0</v>
      </c>
      <c r="G335" s="471"/>
      <c r="H335" s="471"/>
      <c r="I335" s="471"/>
      <c r="J335" s="471"/>
      <c r="K335" s="467"/>
      <c r="L335" s="467"/>
      <c r="M335" s="467"/>
      <c r="N335" s="467"/>
      <c r="O335" s="467"/>
      <c r="P335" s="501"/>
      <c r="Q335" s="501"/>
      <c r="R335" s="501"/>
      <c r="S335" s="468"/>
    </row>
    <row r="336" spans="1:19">
      <c r="A336" s="473">
        <v>23271204</v>
      </c>
      <c r="B336" s="474" t="str">
        <f>+POAI!B395</f>
        <v xml:space="preserve">Subprograma: Limpeza de lechos de quebradas </v>
      </c>
      <c r="C336" s="481">
        <f>+POAI!D395</f>
        <v>9000000</v>
      </c>
      <c r="D336" s="431">
        <f t="shared" si="20"/>
        <v>9360000</v>
      </c>
      <c r="E336" s="431">
        <f t="shared" si="20"/>
        <v>9734400</v>
      </c>
      <c r="F336" s="431">
        <f t="shared" si="20"/>
        <v>10123776</v>
      </c>
      <c r="G336" s="471"/>
      <c r="H336" s="471"/>
      <c r="I336" s="471"/>
      <c r="J336" s="471"/>
      <c r="K336" s="467"/>
      <c r="L336" s="467"/>
      <c r="M336" s="467"/>
      <c r="N336" s="467"/>
      <c r="O336" s="467"/>
      <c r="P336" s="501"/>
      <c r="Q336" s="501"/>
      <c r="R336" s="501"/>
      <c r="S336" s="468"/>
    </row>
    <row r="337" spans="1:19" hidden="1">
      <c r="A337" s="473"/>
      <c r="B337" s="474"/>
      <c r="C337" s="481"/>
      <c r="D337" s="431">
        <f t="shared" si="20"/>
        <v>0</v>
      </c>
      <c r="E337" s="431">
        <f t="shared" si="20"/>
        <v>0</v>
      </c>
      <c r="F337" s="431">
        <f t="shared" si="20"/>
        <v>0</v>
      </c>
      <c r="G337" s="471"/>
      <c r="H337" s="471"/>
      <c r="I337" s="471"/>
      <c r="J337" s="471"/>
      <c r="K337" s="467"/>
      <c r="L337" s="467"/>
      <c r="M337" s="467"/>
      <c r="N337" s="467"/>
      <c r="O337" s="467"/>
      <c r="P337" s="501"/>
      <c r="Q337" s="501"/>
      <c r="R337" s="501"/>
      <c r="S337" s="468"/>
    </row>
    <row r="338" spans="1:19" s="480" customFormat="1" hidden="1">
      <c r="A338" s="469">
        <v>232713</v>
      </c>
      <c r="B338" s="477" t="str">
        <f>+POAI!B397</f>
        <v>PROGRAMA: PROMOCIÓN DEL DESARROLLO</v>
      </c>
      <c r="C338" s="481"/>
      <c r="D338" s="431">
        <f t="shared" si="20"/>
        <v>0</v>
      </c>
      <c r="E338" s="431">
        <f t="shared" si="20"/>
        <v>0</v>
      </c>
      <c r="F338" s="431">
        <f t="shared" si="20"/>
        <v>0</v>
      </c>
      <c r="G338" s="472">
        <f>SUM(C339:C340)</f>
        <v>0</v>
      </c>
      <c r="H338" s="472"/>
      <c r="I338" s="472"/>
      <c r="J338" s="472"/>
      <c r="K338" s="460"/>
      <c r="L338" s="460"/>
      <c r="M338" s="460"/>
      <c r="N338" s="460"/>
      <c r="O338" s="460"/>
      <c r="P338" s="500"/>
      <c r="Q338" s="500"/>
      <c r="R338" s="500"/>
      <c r="S338" s="462"/>
    </row>
    <row r="339" spans="1:19" hidden="1">
      <c r="A339" s="473">
        <v>23271301</v>
      </c>
      <c r="B339" s="474" t="str">
        <f>+POAI!B398</f>
        <v>Subprograma: Fomento a la participación comunitaria</v>
      </c>
      <c r="C339" s="481">
        <f>+POAI!D398</f>
        <v>0</v>
      </c>
      <c r="D339" s="431">
        <f t="shared" si="20"/>
        <v>0</v>
      </c>
      <c r="E339" s="431">
        <f t="shared" si="20"/>
        <v>0</v>
      </c>
      <c r="F339" s="431">
        <f t="shared" si="20"/>
        <v>0</v>
      </c>
      <c r="G339" s="471"/>
      <c r="H339" s="471"/>
      <c r="I339" s="471"/>
      <c r="J339" s="471"/>
      <c r="K339" s="467"/>
      <c r="L339" s="467"/>
      <c r="M339" s="467"/>
      <c r="N339" s="467"/>
      <c r="O339" s="467"/>
      <c r="P339" s="501"/>
      <c r="Q339" s="501"/>
      <c r="R339" s="501"/>
      <c r="S339" s="468"/>
    </row>
    <row r="340" spans="1:19" hidden="1">
      <c r="A340" s="473"/>
      <c r="B340" s="474"/>
      <c r="C340" s="481"/>
      <c r="D340" s="431">
        <f t="shared" si="20"/>
        <v>0</v>
      </c>
      <c r="E340" s="431">
        <f t="shared" si="20"/>
        <v>0</v>
      </c>
      <c r="F340" s="431">
        <f t="shared" si="20"/>
        <v>0</v>
      </c>
      <c r="G340" s="471"/>
      <c r="H340" s="471"/>
      <c r="I340" s="471"/>
      <c r="J340" s="471"/>
      <c r="K340" s="467"/>
      <c r="L340" s="467"/>
      <c r="M340" s="467"/>
      <c r="N340" s="467"/>
      <c r="O340" s="467"/>
      <c r="P340" s="501"/>
      <c r="Q340" s="501"/>
      <c r="R340" s="501"/>
      <c r="S340" s="468"/>
    </row>
    <row r="341" spans="1:19" s="480" customFormat="1" hidden="1">
      <c r="A341" s="469">
        <v>232714</v>
      </c>
      <c r="B341" s="477" t="str">
        <f>+POAI!B400</f>
        <v>PROGRAMA: POBLACIÓN VULNERABLE</v>
      </c>
      <c r="C341" s="481"/>
      <c r="D341" s="431">
        <f t="shared" si="20"/>
        <v>0</v>
      </c>
      <c r="E341" s="431">
        <f t="shared" si="20"/>
        <v>0</v>
      </c>
      <c r="F341" s="431">
        <f t="shared" si="20"/>
        <v>0</v>
      </c>
      <c r="G341" s="472">
        <f>SUM(C342:C358)</f>
        <v>0</v>
      </c>
      <c r="H341" s="472"/>
      <c r="I341" s="472"/>
      <c r="J341" s="472"/>
      <c r="K341" s="460"/>
      <c r="L341" s="460"/>
      <c r="M341" s="460"/>
      <c r="N341" s="460"/>
      <c r="O341" s="460"/>
      <c r="P341" s="500"/>
      <c r="Q341" s="500"/>
      <c r="R341" s="500"/>
      <c r="S341" s="462"/>
    </row>
    <row r="342" spans="1:19" ht="25.5" hidden="1">
      <c r="A342" s="473">
        <v>23271401</v>
      </c>
      <c r="B342" s="474" t="str">
        <f>+POAI!B401</f>
        <v>Subprograma:  Inhumación de cadáveres pobres de solemnidad</v>
      </c>
      <c r="C342" s="481">
        <f>+POAI!D401</f>
        <v>0</v>
      </c>
      <c r="D342" s="431">
        <f t="shared" si="20"/>
        <v>0</v>
      </c>
      <c r="E342" s="431">
        <f t="shared" si="20"/>
        <v>0</v>
      </c>
      <c r="F342" s="431">
        <f t="shared" si="20"/>
        <v>0</v>
      </c>
      <c r="G342" s="471"/>
      <c r="H342" s="471"/>
      <c r="I342" s="471"/>
      <c r="J342" s="471"/>
      <c r="K342" s="467"/>
      <c r="L342" s="467"/>
      <c r="M342" s="467"/>
      <c r="N342" s="467"/>
      <c r="O342" s="467"/>
      <c r="P342" s="501"/>
      <c r="Q342" s="501"/>
      <c r="R342" s="501"/>
      <c r="S342" s="468"/>
    </row>
    <row r="343" spans="1:19" ht="25.5" hidden="1">
      <c r="A343" s="473">
        <v>23271402</v>
      </c>
      <c r="B343" s="474" t="str">
        <f>+POAI!B402</f>
        <v xml:space="preserve">Subprograma: Prevención, atención, protección de desplazados </v>
      </c>
      <c r="C343" s="481">
        <f>+POAI!D402</f>
        <v>0</v>
      </c>
      <c r="D343" s="431">
        <f t="shared" si="20"/>
        <v>0</v>
      </c>
      <c r="E343" s="431">
        <f t="shared" si="20"/>
        <v>0</v>
      </c>
      <c r="F343" s="431">
        <f t="shared" si="20"/>
        <v>0</v>
      </c>
      <c r="G343" s="471"/>
      <c r="H343" s="471"/>
      <c r="I343" s="471"/>
      <c r="J343" s="471"/>
      <c r="K343" s="467"/>
      <c r="L343" s="467"/>
      <c r="M343" s="467"/>
      <c r="N343" s="467"/>
      <c r="O343" s="467"/>
      <c r="P343" s="501"/>
      <c r="Q343" s="501"/>
      <c r="R343" s="501"/>
      <c r="S343" s="468"/>
    </row>
    <row r="344" spans="1:19" hidden="1">
      <c r="A344" s="473">
        <v>23271403</v>
      </c>
      <c r="B344" s="474" t="str">
        <f>+POAI!B403</f>
        <v>Subprograma: Familias en Acción</v>
      </c>
      <c r="C344" s="481">
        <f>+POAI!D403</f>
        <v>0</v>
      </c>
      <c r="D344" s="431">
        <f t="shared" si="20"/>
        <v>0</v>
      </c>
      <c r="E344" s="431">
        <f t="shared" si="20"/>
        <v>0</v>
      </c>
      <c r="F344" s="431">
        <f t="shared" si="20"/>
        <v>0</v>
      </c>
      <c r="G344" s="471"/>
      <c r="H344" s="471"/>
      <c r="I344" s="471"/>
      <c r="J344" s="471"/>
      <c r="K344" s="467"/>
      <c r="L344" s="467"/>
      <c r="M344" s="467"/>
      <c r="N344" s="467"/>
      <c r="O344" s="467"/>
      <c r="P344" s="501"/>
      <c r="Q344" s="501"/>
      <c r="R344" s="501"/>
      <c r="S344" s="468"/>
    </row>
    <row r="345" spans="1:19" hidden="1">
      <c r="A345" s="473">
        <v>23271404</v>
      </c>
      <c r="B345" s="474" t="str">
        <f>+POAI!B404</f>
        <v>Subprograma: Red Unidos</v>
      </c>
      <c r="C345" s="481">
        <f>+POAI!D404</f>
        <v>0</v>
      </c>
      <c r="D345" s="431">
        <f t="shared" si="20"/>
        <v>0</v>
      </c>
      <c r="E345" s="431">
        <f t="shared" si="20"/>
        <v>0</v>
      </c>
      <c r="F345" s="431">
        <f t="shared" si="20"/>
        <v>0</v>
      </c>
      <c r="G345" s="471"/>
      <c r="H345" s="471"/>
      <c r="I345" s="471"/>
      <c r="J345" s="471"/>
      <c r="K345" s="467"/>
      <c r="L345" s="467"/>
      <c r="M345" s="467"/>
      <c r="N345" s="467"/>
      <c r="O345" s="467"/>
      <c r="P345" s="501"/>
      <c r="Q345" s="501"/>
      <c r="R345" s="501"/>
      <c r="S345" s="468"/>
    </row>
    <row r="346" spans="1:19" ht="25.5" hidden="1">
      <c r="A346" s="473">
        <v>23271405</v>
      </c>
      <c r="B346" s="474" t="str">
        <f>+POAI!B405</f>
        <v>Subprograma: Centro Especializado de Servicios para el adolescente Infractor</v>
      </c>
      <c r="C346" s="481">
        <f>+POAI!D405</f>
        <v>0</v>
      </c>
      <c r="D346" s="431">
        <f t="shared" si="20"/>
        <v>0</v>
      </c>
      <c r="E346" s="431">
        <f t="shared" si="20"/>
        <v>0</v>
      </c>
      <c r="F346" s="431">
        <f t="shared" si="20"/>
        <v>0</v>
      </c>
      <c r="G346" s="471"/>
      <c r="H346" s="471"/>
      <c r="I346" s="471"/>
      <c r="J346" s="471"/>
      <c r="K346" s="467"/>
      <c r="L346" s="467"/>
      <c r="M346" s="467"/>
      <c r="N346" s="467"/>
      <c r="O346" s="467"/>
      <c r="P346" s="501"/>
      <c r="Q346" s="501"/>
      <c r="R346" s="501"/>
      <c r="S346" s="468"/>
    </row>
    <row r="347" spans="1:19" hidden="1">
      <c r="A347" s="473">
        <v>23271406</v>
      </c>
      <c r="B347" s="474" t="str">
        <f>+POAI!B406</f>
        <v>Subprograma: Apoyo Casa del Menor</v>
      </c>
      <c r="C347" s="481">
        <f>+POAI!D406</f>
        <v>0</v>
      </c>
      <c r="D347" s="431">
        <f t="shared" si="20"/>
        <v>0</v>
      </c>
      <c r="E347" s="431">
        <f t="shared" si="20"/>
        <v>0</v>
      </c>
      <c r="F347" s="431">
        <f t="shared" si="20"/>
        <v>0</v>
      </c>
      <c r="G347" s="471"/>
      <c r="H347" s="471"/>
      <c r="I347" s="471"/>
      <c r="J347" s="471"/>
      <c r="K347" s="467"/>
      <c r="L347" s="467"/>
      <c r="M347" s="467"/>
      <c r="N347" s="467"/>
      <c r="O347" s="467"/>
      <c r="P347" s="501"/>
      <c r="Q347" s="501"/>
      <c r="R347" s="501"/>
      <c r="S347" s="468"/>
    </row>
    <row r="348" spans="1:19" hidden="1">
      <c r="A348" s="473">
        <v>23271407</v>
      </c>
      <c r="B348" s="474" t="str">
        <f>+POAI!B407</f>
        <v>Subprograma: Familias en Acción</v>
      </c>
      <c r="C348" s="481">
        <f>+POAI!D407</f>
        <v>0</v>
      </c>
      <c r="D348" s="431">
        <f t="shared" si="20"/>
        <v>0</v>
      </c>
      <c r="E348" s="431">
        <f t="shared" si="20"/>
        <v>0</v>
      </c>
      <c r="F348" s="431">
        <f t="shared" si="20"/>
        <v>0</v>
      </c>
      <c r="G348" s="471"/>
      <c r="H348" s="471"/>
      <c r="I348" s="471"/>
      <c r="J348" s="471"/>
      <c r="K348" s="467"/>
      <c r="L348" s="467"/>
      <c r="M348" s="467"/>
      <c r="N348" s="467"/>
      <c r="O348" s="467"/>
      <c r="P348" s="501"/>
      <c r="Q348" s="501"/>
      <c r="R348" s="501"/>
      <c r="S348" s="468"/>
    </row>
    <row r="349" spans="1:19" hidden="1">
      <c r="A349" s="473">
        <v>23271408</v>
      </c>
      <c r="B349" s="474" t="str">
        <f>+POAI!B408</f>
        <v>Subprograma: Clubes juveniles</v>
      </c>
      <c r="C349" s="481">
        <f>+POAI!D408</f>
        <v>0</v>
      </c>
      <c r="D349" s="431">
        <f t="shared" si="20"/>
        <v>0</v>
      </c>
      <c r="E349" s="431">
        <f t="shared" si="20"/>
        <v>0</v>
      </c>
      <c r="F349" s="431">
        <f t="shared" si="20"/>
        <v>0</v>
      </c>
      <c r="G349" s="471"/>
      <c r="H349" s="471"/>
      <c r="I349" s="471"/>
      <c r="J349" s="471"/>
      <c r="K349" s="467"/>
      <c r="L349" s="467"/>
      <c r="M349" s="467"/>
      <c r="N349" s="467"/>
      <c r="O349" s="467"/>
      <c r="P349" s="501"/>
      <c r="Q349" s="501"/>
      <c r="R349" s="501"/>
      <c r="S349" s="468"/>
    </row>
    <row r="350" spans="1:19" hidden="1">
      <c r="A350" s="473">
        <v>23271409</v>
      </c>
      <c r="B350" s="474" t="str">
        <f>+POAI!B409</f>
        <v>Subprograma: Clubes pre juveniles</v>
      </c>
      <c r="C350" s="481">
        <f>+POAI!D409</f>
        <v>0</v>
      </c>
      <c r="D350" s="431">
        <f t="shared" si="20"/>
        <v>0</v>
      </c>
      <c r="E350" s="431">
        <f t="shared" si="20"/>
        <v>0</v>
      </c>
      <c r="F350" s="431">
        <f t="shared" si="20"/>
        <v>0</v>
      </c>
      <c r="G350" s="471"/>
      <c r="H350" s="471"/>
      <c r="I350" s="471"/>
      <c r="J350" s="471"/>
      <c r="K350" s="467"/>
      <c r="L350" s="467"/>
      <c r="M350" s="467"/>
      <c r="N350" s="467"/>
      <c r="O350" s="467"/>
      <c r="P350" s="501"/>
      <c r="Q350" s="501"/>
      <c r="R350" s="501"/>
      <c r="S350" s="468"/>
    </row>
    <row r="351" spans="1:19" hidden="1">
      <c r="A351" s="473">
        <v>23271410</v>
      </c>
      <c r="B351" s="474" t="str">
        <f>+POAI!B410</f>
        <v>Subprograma: nutrición y seguridad alimentaria</v>
      </c>
      <c r="C351" s="481">
        <f>+POAI!D410</f>
        <v>0</v>
      </c>
      <c r="D351" s="431">
        <f t="shared" si="20"/>
        <v>0</v>
      </c>
      <c r="E351" s="431">
        <f t="shared" si="20"/>
        <v>0</v>
      </c>
      <c r="F351" s="431">
        <f t="shared" si="20"/>
        <v>0</v>
      </c>
      <c r="G351" s="471"/>
      <c r="H351" s="471"/>
      <c r="I351" s="471"/>
      <c r="J351" s="471"/>
      <c r="K351" s="467"/>
      <c r="L351" s="467"/>
      <c r="M351" s="467"/>
      <c r="N351" s="467"/>
      <c r="O351" s="467"/>
      <c r="P351" s="501"/>
      <c r="Q351" s="501"/>
      <c r="R351" s="501"/>
      <c r="S351" s="468"/>
    </row>
    <row r="352" spans="1:19" hidden="1">
      <c r="A352" s="473">
        <v>23271411</v>
      </c>
      <c r="B352" s="474" t="str">
        <f>+POAI!B411</f>
        <v>Subprograma: Atenciòn al adulto mayor</v>
      </c>
      <c r="C352" s="481">
        <f>+POAI!D411</f>
        <v>0</v>
      </c>
      <c r="D352" s="431">
        <f t="shared" si="20"/>
        <v>0</v>
      </c>
      <c r="E352" s="431">
        <f t="shared" si="20"/>
        <v>0</v>
      </c>
      <c r="F352" s="431">
        <f t="shared" si="20"/>
        <v>0</v>
      </c>
      <c r="G352" s="471"/>
      <c r="H352" s="471"/>
      <c r="I352" s="471"/>
      <c r="J352" s="471"/>
      <c r="K352" s="467"/>
      <c r="L352" s="467"/>
      <c r="M352" s="467"/>
      <c r="N352" s="467"/>
      <c r="O352" s="467"/>
      <c r="P352" s="501"/>
      <c r="Q352" s="501"/>
      <c r="R352" s="501"/>
      <c r="S352" s="468"/>
    </row>
    <row r="353" spans="1:19" hidden="1">
      <c r="A353" s="473">
        <v>23271412</v>
      </c>
      <c r="B353" s="474" t="str">
        <f>+POAI!B412</f>
        <v xml:space="preserve">Subprograma: Atencion a la niñez, infancia y adolescencia </v>
      </c>
      <c r="C353" s="481">
        <f>+POAI!D412</f>
        <v>0</v>
      </c>
      <c r="D353" s="431">
        <f t="shared" si="20"/>
        <v>0</v>
      </c>
      <c r="E353" s="431">
        <f t="shared" si="20"/>
        <v>0</v>
      </c>
      <c r="F353" s="431">
        <f t="shared" si="20"/>
        <v>0</v>
      </c>
      <c r="G353" s="471"/>
      <c r="H353" s="471"/>
      <c r="I353" s="471"/>
      <c r="J353" s="471"/>
      <c r="K353" s="467"/>
      <c r="L353" s="467"/>
      <c r="M353" s="467"/>
      <c r="N353" s="467"/>
      <c r="O353" s="467"/>
      <c r="P353" s="501"/>
      <c r="Q353" s="501"/>
      <c r="R353" s="501"/>
      <c r="S353" s="468"/>
    </row>
    <row r="354" spans="1:19" ht="25.5" hidden="1">
      <c r="A354" s="473">
        <v>23271413</v>
      </c>
      <c r="B354" s="474" t="str">
        <f>+POAI!B413</f>
        <v>Subprograma: Atencion a madres gestantes y primera infancia</v>
      </c>
      <c r="C354" s="481">
        <f>+POAI!D413</f>
        <v>0</v>
      </c>
      <c r="D354" s="431">
        <f t="shared" si="20"/>
        <v>0</v>
      </c>
      <c r="E354" s="431">
        <f t="shared" si="20"/>
        <v>0</v>
      </c>
      <c r="F354" s="431">
        <f t="shared" si="20"/>
        <v>0</v>
      </c>
      <c r="G354" s="471"/>
      <c r="H354" s="471"/>
      <c r="I354" s="471"/>
      <c r="J354" s="471"/>
      <c r="K354" s="467"/>
      <c r="L354" s="467"/>
      <c r="M354" s="467"/>
      <c r="N354" s="467"/>
      <c r="O354" s="467"/>
      <c r="P354" s="501"/>
      <c r="Q354" s="501"/>
      <c r="R354" s="501"/>
      <c r="S354" s="468"/>
    </row>
    <row r="355" spans="1:19" hidden="1">
      <c r="A355" s="473">
        <v>23271414</v>
      </c>
      <c r="B355" s="474" t="str">
        <f>+POAI!B414</f>
        <v>Subprograma: Atencion a discapacitados</v>
      </c>
      <c r="C355" s="481">
        <f>+POAI!D414</f>
        <v>0</v>
      </c>
      <c r="D355" s="431">
        <f t="shared" si="20"/>
        <v>0</v>
      </c>
      <c r="E355" s="431">
        <f t="shared" si="20"/>
        <v>0</v>
      </c>
      <c r="F355" s="431">
        <f t="shared" si="20"/>
        <v>0</v>
      </c>
      <c r="G355" s="471"/>
      <c r="H355" s="471"/>
      <c r="I355" s="471"/>
      <c r="J355" s="471"/>
      <c r="K355" s="467"/>
      <c r="L355" s="467"/>
      <c r="M355" s="467"/>
      <c r="N355" s="467"/>
      <c r="O355" s="467"/>
      <c r="P355" s="501"/>
      <c r="Q355" s="501"/>
      <c r="R355" s="501"/>
      <c r="S355" s="468"/>
    </row>
    <row r="356" spans="1:19" hidden="1">
      <c r="A356" s="473">
        <v>23271415</v>
      </c>
      <c r="B356" s="474" t="str">
        <f>+POAI!B415</f>
        <v>Subprograma: Apoyo a hogares infantiles</v>
      </c>
      <c r="C356" s="481">
        <f>+POAI!D415</f>
        <v>0</v>
      </c>
      <c r="D356" s="431">
        <f t="shared" si="20"/>
        <v>0</v>
      </c>
      <c r="E356" s="431">
        <f t="shared" si="20"/>
        <v>0</v>
      </c>
      <c r="F356" s="431">
        <f t="shared" si="20"/>
        <v>0</v>
      </c>
      <c r="G356" s="471"/>
      <c r="H356" s="471"/>
      <c r="I356" s="471"/>
      <c r="J356" s="471"/>
      <c r="K356" s="467"/>
      <c r="L356" s="467"/>
      <c r="M356" s="467"/>
      <c r="N356" s="467"/>
      <c r="O356" s="467"/>
      <c r="P356" s="501"/>
      <c r="Q356" s="501"/>
      <c r="R356" s="501"/>
      <c r="S356" s="468"/>
    </row>
    <row r="357" spans="1:19" hidden="1">
      <c r="A357" s="473">
        <v>23271416</v>
      </c>
      <c r="B357" s="474" t="str">
        <f>+POAI!B416</f>
        <v>Subprograma: Operación hogares de paso</v>
      </c>
      <c r="C357" s="481">
        <f>+POAI!D416</f>
        <v>0</v>
      </c>
      <c r="D357" s="431">
        <f t="shared" si="20"/>
        <v>0</v>
      </c>
      <c r="E357" s="431">
        <f t="shared" si="20"/>
        <v>0</v>
      </c>
      <c r="F357" s="431">
        <f t="shared" si="20"/>
        <v>0</v>
      </c>
      <c r="G357" s="471"/>
      <c r="H357" s="471"/>
      <c r="I357" s="471"/>
      <c r="J357" s="471"/>
      <c r="K357" s="467"/>
      <c r="L357" s="467"/>
      <c r="M357" s="467"/>
      <c r="N357" s="467"/>
      <c r="O357" s="467"/>
      <c r="P357" s="501"/>
      <c r="Q357" s="501"/>
      <c r="R357" s="501"/>
      <c r="S357" s="468"/>
    </row>
    <row r="358" spans="1:19" hidden="1">
      <c r="A358" s="473"/>
      <c r="B358" s="474"/>
      <c r="C358" s="481"/>
      <c r="D358" s="431">
        <f t="shared" si="20"/>
        <v>0</v>
      </c>
      <c r="E358" s="431">
        <f t="shared" si="20"/>
        <v>0</v>
      </c>
      <c r="F358" s="431">
        <f t="shared" si="20"/>
        <v>0</v>
      </c>
      <c r="G358" s="471"/>
      <c r="H358" s="471"/>
      <c r="I358" s="471"/>
      <c r="J358" s="471"/>
      <c r="K358" s="467"/>
      <c r="L358" s="467"/>
      <c r="M358" s="467"/>
      <c r="N358" s="467"/>
      <c r="O358" s="467"/>
      <c r="P358" s="501"/>
      <c r="Q358" s="501"/>
      <c r="R358" s="501"/>
      <c r="S358" s="468"/>
    </row>
    <row r="359" spans="1:19" s="480" customFormat="1" ht="25.5" hidden="1">
      <c r="A359" s="469">
        <v>232715</v>
      </c>
      <c r="B359" s="477" t="str">
        <f>+POAI!B418</f>
        <v>PROGRAMA: EQUIPAMIENTO MUNICIPAL Y BIENES PÚBLICOS</v>
      </c>
      <c r="C359" s="481"/>
      <c r="D359" s="431">
        <f t="shared" si="20"/>
        <v>0</v>
      </c>
      <c r="E359" s="431">
        <f t="shared" si="20"/>
        <v>0</v>
      </c>
      <c r="F359" s="431">
        <f t="shared" si="20"/>
        <v>0</v>
      </c>
      <c r="G359" s="472">
        <f>SUM(C360:C370)</f>
        <v>0</v>
      </c>
      <c r="H359" s="472"/>
      <c r="I359" s="472"/>
      <c r="J359" s="472"/>
      <c r="K359" s="460"/>
      <c r="L359" s="460"/>
      <c r="M359" s="460"/>
      <c r="N359" s="460"/>
      <c r="O359" s="460"/>
      <c r="P359" s="500"/>
      <c r="Q359" s="500"/>
      <c r="R359" s="500"/>
      <c r="S359" s="462"/>
    </row>
    <row r="360" spans="1:19" hidden="1">
      <c r="A360" s="473">
        <v>23271501</v>
      </c>
      <c r="B360" s="474" t="str">
        <f>+POAI!B419</f>
        <v>Subprograma: Mantenimiento bienes publicos municipales</v>
      </c>
      <c r="C360" s="481">
        <f>+POAI!D419</f>
        <v>0</v>
      </c>
      <c r="D360" s="431">
        <f t="shared" si="20"/>
        <v>0</v>
      </c>
      <c r="E360" s="431">
        <f t="shared" si="20"/>
        <v>0</v>
      </c>
      <c r="F360" s="431">
        <f t="shared" si="20"/>
        <v>0</v>
      </c>
      <c r="G360" s="471"/>
      <c r="H360" s="471"/>
      <c r="I360" s="471"/>
      <c r="J360" s="471"/>
      <c r="K360" s="467"/>
      <c r="L360" s="467"/>
      <c r="M360" s="467"/>
      <c r="N360" s="467"/>
      <c r="O360" s="467"/>
      <c r="P360" s="501"/>
      <c r="Q360" s="501"/>
      <c r="R360" s="501"/>
      <c r="S360" s="468"/>
    </row>
    <row r="361" spans="1:19" hidden="1">
      <c r="A361" s="473">
        <v>23271502</v>
      </c>
      <c r="B361" s="474" t="str">
        <f>+POAI!B420</f>
        <v>Sub programa: Mantenimiento parques municipales</v>
      </c>
      <c r="C361" s="481">
        <f>+POAI!D420</f>
        <v>0</v>
      </c>
      <c r="D361" s="431">
        <f t="shared" si="20"/>
        <v>0</v>
      </c>
      <c r="E361" s="431">
        <f t="shared" si="20"/>
        <v>0</v>
      </c>
      <c r="F361" s="431">
        <f t="shared" si="20"/>
        <v>0</v>
      </c>
      <c r="G361" s="471"/>
      <c r="H361" s="471"/>
      <c r="I361" s="471"/>
      <c r="J361" s="471"/>
      <c r="K361" s="467"/>
      <c r="L361" s="467"/>
      <c r="M361" s="467"/>
      <c r="N361" s="467"/>
      <c r="O361" s="467"/>
      <c r="P361" s="501"/>
      <c r="Q361" s="501"/>
      <c r="R361" s="501"/>
      <c r="S361" s="468"/>
    </row>
    <row r="362" spans="1:19" ht="25.5" hidden="1">
      <c r="A362" s="473">
        <v>23271503</v>
      </c>
      <c r="B362" s="474" t="str">
        <f>+POAI!B421</f>
        <v>Sub programa: Construcciòn y mantenimiento de la morque municipal</v>
      </c>
      <c r="C362" s="481">
        <f>+POAI!D421</f>
        <v>0</v>
      </c>
      <c r="D362" s="431">
        <f t="shared" si="20"/>
        <v>0</v>
      </c>
      <c r="E362" s="431">
        <f t="shared" si="20"/>
        <v>0</v>
      </c>
      <c r="F362" s="431">
        <f t="shared" si="20"/>
        <v>0</v>
      </c>
      <c r="G362" s="471"/>
      <c r="H362" s="471"/>
      <c r="I362" s="471"/>
      <c r="J362" s="471"/>
      <c r="K362" s="467"/>
      <c r="L362" s="467"/>
      <c r="M362" s="467"/>
      <c r="N362" s="467"/>
      <c r="O362" s="467"/>
      <c r="P362" s="501"/>
      <c r="Q362" s="501"/>
      <c r="R362" s="501"/>
      <c r="S362" s="468"/>
    </row>
    <row r="363" spans="1:19" ht="25.5" hidden="1">
      <c r="A363" s="473">
        <v>23271504</v>
      </c>
      <c r="B363" s="474" t="str">
        <f>+POAI!B422</f>
        <v>Sub programa: Construccion salon sector mata redonda vereda pijaos</v>
      </c>
      <c r="C363" s="481">
        <f>+POAI!D422</f>
        <v>0</v>
      </c>
      <c r="D363" s="431">
        <f t="shared" si="20"/>
        <v>0</v>
      </c>
      <c r="E363" s="431">
        <f t="shared" si="20"/>
        <v>0</v>
      </c>
      <c r="F363" s="431">
        <f t="shared" si="20"/>
        <v>0</v>
      </c>
      <c r="G363" s="471"/>
      <c r="H363" s="471"/>
      <c r="I363" s="471"/>
      <c r="J363" s="471"/>
      <c r="K363" s="467"/>
      <c r="L363" s="467"/>
      <c r="M363" s="467"/>
      <c r="N363" s="467"/>
      <c r="O363" s="467"/>
      <c r="P363" s="501"/>
      <c r="Q363" s="501"/>
      <c r="R363" s="501"/>
      <c r="S363" s="468"/>
    </row>
    <row r="364" spans="1:19" hidden="1">
      <c r="A364" s="473">
        <v>23271505</v>
      </c>
      <c r="B364" s="474" t="str">
        <f>+POAI!B423</f>
        <v>Sub programa: Ornato Municipal</v>
      </c>
      <c r="C364" s="481">
        <f>+POAI!D423</f>
        <v>0</v>
      </c>
      <c r="D364" s="431">
        <f t="shared" si="20"/>
        <v>0</v>
      </c>
      <c r="E364" s="431">
        <f t="shared" si="20"/>
        <v>0</v>
      </c>
      <c r="F364" s="431">
        <f t="shared" si="20"/>
        <v>0</v>
      </c>
      <c r="G364" s="471"/>
      <c r="H364" s="471"/>
      <c r="I364" s="471"/>
      <c r="J364" s="471"/>
      <c r="K364" s="467"/>
      <c r="L364" s="467"/>
      <c r="M364" s="467"/>
      <c r="N364" s="467"/>
      <c r="O364" s="467"/>
      <c r="P364" s="501"/>
      <c r="Q364" s="501"/>
      <c r="R364" s="501"/>
      <c r="S364" s="468"/>
    </row>
    <row r="365" spans="1:19" hidden="1">
      <c r="A365" s="473">
        <v>23271506</v>
      </c>
      <c r="B365" s="474" t="str">
        <f>+POAI!B424</f>
        <v>Sub programa: Adquisicion vehiculo Alcaldia</v>
      </c>
      <c r="C365" s="481">
        <f>+POAI!D424</f>
        <v>0</v>
      </c>
      <c r="D365" s="431">
        <f t="shared" si="20"/>
        <v>0</v>
      </c>
      <c r="E365" s="431">
        <f t="shared" si="20"/>
        <v>0</v>
      </c>
      <c r="F365" s="431">
        <f t="shared" si="20"/>
        <v>0</v>
      </c>
      <c r="G365" s="471"/>
      <c r="H365" s="471"/>
      <c r="I365" s="471"/>
      <c r="J365" s="471"/>
      <c r="K365" s="467"/>
      <c r="L365" s="467"/>
      <c r="M365" s="467"/>
      <c r="N365" s="467"/>
      <c r="O365" s="467"/>
      <c r="P365" s="501"/>
      <c r="Q365" s="501"/>
      <c r="R365" s="501"/>
      <c r="S365" s="468"/>
    </row>
    <row r="366" spans="1:19" ht="25.5" hidden="1">
      <c r="A366" s="473">
        <v>23271507</v>
      </c>
      <c r="B366" s="474" t="str">
        <f>+POAI!B425</f>
        <v>Sub programa: Terminacion de salon comunal vereda lluviosos</v>
      </c>
      <c r="C366" s="481">
        <f>+POAI!D425</f>
        <v>0</v>
      </c>
      <c r="D366" s="431">
        <f t="shared" si="20"/>
        <v>0</v>
      </c>
      <c r="E366" s="431">
        <f t="shared" si="20"/>
        <v>0</v>
      </c>
      <c r="F366" s="431">
        <f t="shared" si="20"/>
        <v>0</v>
      </c>
      <c r="G366" s="471"/>
      <c r="H366" s="471"/>
      <c r="I366" s="471"/>
      <c r="J366" s="471"/>
      <c r="K366" s="467"/>
      <c r="L366" s="467"/>
      <c r="M366" s="467"/>
      <c r="N366" s="467"/>
      <c r="O366" s="467"/>
      <c r="P366" s="501"/>
      <c r="Q366" s="501"/>
      <c r="R366" s="501"/>
      <c r="S366" s="468"/>
    </row>
    <row r="367" spans="1:19" hidden="1">
      <c r="A367" s="473"/>
      <c r="B367" s="474"/>
      <c r="C367" s="481"/>
      <c r="D367" s="431">
        <f t="shared" si="20"/>
        <v>0</v>
      </c>
      <c r="E367" s="431">
        <f t="shared" si="20"/>
        <v>0</v>
      </c>
      <c r="F367" s="431">
        <f t="shared" si="20"/>
        <v>0</v>
      </c>
      <c r="G367" s="471"/>
      <c r="H367" s="471"/>
      <c r="I367" s="471"/>
      <c r="J367" s="471"/>
      <c r="K367" s="467"/>
      <c r="L367" s="467"/>
      <c r="M367" s="467"/>
      <c r="N367" s="467"/>
      <c r="O367" s="467"/>
      <c r="P367" s="501"/>
      <c r="Q367" s="501"/>
      <c r="R367" s="501"/>
      <c r="S367" s="468"/>
    </row>
    <row r="368" spans="1:19" s="480" customFormat="1" hidden="1">
      <c r="A368" s="469">
        <v>232716</v>
      </c>
      <c r="B368" s="477" t="str">
        <f>+POAI!B427</f>
        <v>PROGRAMA: CENTROS DE RECLUSIÓN</v>
      </c>
      <c r="C368" s="481"/>
      <c r="D368" s="431">
        <f t="shared" si="20"/>
        <v>0</v>
      </c>
      <c r="E368" s="431">
        <f t="shared" si="20"/>
        <v>0</v>
      </c>
      <c r="F368" s="431">
        <f t="shared" si="20"/>
        <v>0</v>
      </c>
      <c r="G368" s="472">
        <f>SUM(C369:C377)</f>
        <v>0</v>
      </c>
      <c r="H368" s="472"/>
      <c r="I368" s="472"/>
      <c r="J368" s="472"/>
      <c r="K368" s="460"/>
      <c r="L368" s="460"/>
      <c r="M368" s="460"/>
      <c r="N368" s="460"/>
      <c r="O368" s="460"/>
      <c r="P368" s="500"/>
      <c r="Q368" s="500"/>
      <c r="R368" s="500"/>
      <c r="S368" s="462"/>
    </row>
    <row r="369" spans="1:19" ht="25.5" hidden="1">
      <c r="A369" s="473">
        <v>23271601</v>
      </c>
      <c r="B369" s="474" t="str">
        <f>+POAI!B428</f>
        <v>Subprograma: Operación y funcionamiento de cárceles municipales (Ley 65/93)</v>
      </c>
      <c r="C369" s="481">
        <f>+POAI!D428</f>
        <v>0</v>
      </c>
      <c r="D369" s="431">
        <f t="shared" si="20"/>
        <v>0</v>
      </c>
      <c r="E369" s="431">
        <f t="shared" si="20"/>
        <v>0</v>
      </c>
      <c r="F369" s="431">
        <f t="shared" si="20"/>
        <v>0</v>
      </c>
      <c r="G369" s="471"/>
      <c r="H369" s="471"/>
      <c r="I369" s="471"/>
      <c r="J369" s="471"/>
      <c r="K369" s="467"/>
      <c r="L369" s="467"/>
      <c r="M369" s="467"/>
      <c r="N369" s="467"/>
      <c r="O369" s="467"/>
      <c r="P369" s="501"/>
      <c r="Q369" s="501"/>
      <c r="R369" s="501"/>
      <c r="S369" s="468"/>
    </row>
    <row r="370" spans="1:19" hidden="1">
      <c r="A370" s="473"/>
      <c r="B370" s="474"/>
      <c r="C370" s="481"/>
      <c r="D370" s="431">
        <f t="shared" si="20"/>
        <v>0</v>
      </c>
      <c r="E370" s="431">
        <f t="shared" si="20"/>
        <v>0</v>
      </c>
      <c r="F370" s="431">
        <f t="shared" si="20"/>
        <v>0</v>
      </c>
      <c r="G370" s="471"/>
      <c r="H370" s="471"/>
      <c r="I370" s="471"/>
      <c r="J370" s="471"/>
      <c r="K370" s="467"/>
      <c r="L370" s="467"/>
      <c r="M370" s="467"/>
      <c r="N370" s="467"/>
      <c r="O370" s="467"/>
      <c r="P370" s="501"/>
      <c r="Q370" s="501"/>
      <c r="R370" s="501"/>
      <c r="S370" s="468"/>
    </row>
    <row r="371" spans="1:19" s="480" customFormat="1" ht="25.5" hidden="1">
      <c r="A371" s="469">
        <v>232717</v>
      </c>
      <c r="B371" s="477" t="str">
        <f>+POAI!B430</f>
        <v>PROGRAMA: GOBIERNO, PLANEACIÓN Y DESARROLLO INSTITUCIONAL</v>
      </c>
      <c r="C371" s="481"/>
      <c r="D371" s="431">
        <f t="shared" si="20"/>
        <v>0</v>
      </c>
      <c r="E371" s="431">
        <f t="shared" si="20"/>
        <v>0</v>
      </c>
      <c r="F371" s="431">
        <f t="shared" si="20"/>
        <v>0</v>
      </c>
      <c r="G371" s="479"/>
      <c r="H371" s="479"/>
      <c r="I371" s="479"/>
      <c r="J371" s="479"/>
      <c r="K371" s="460"/>
      <c r="L371" s="460"/>
      <c r="M371" s="460"/>
      <c r="N371" s="460"/>
      <c r="O371" s="460"/>
      <c r="P371" s="500"/>
      <c r="Q371" s="500"/>
      <c r="R371" s="500"/>
      <c r="S371" s="462"/>
    </row>
    <row r="372" spans="1:19" hidden="1">
      <c r="A372" s="473">
        <v>23271701</v>
      </c>
      <c r="B372" s="474" t="str">
        <f>+POAI!B431</f>
        <v>Sub programa: Capacitación de funcionarios municipales</v>
      </c>
      <c r="C372" s="481">
        <f>+POAI!D431</f>
        <v>0</v>
      </c>
      <c r="D372" s="431">
        <f t="shared" si="20"/>
        <v>0</v>
      </c>
      <c r="E372" s="431">
        <f t="shared" si="20"/>
        <v>0</v>
      </c>
      <c r="F372" s="431">
        <f t="shared" si="20"/>
        <v>0</v>
      </c>
      <c r="G372" s="471"/>
      <c r="H372" s="471"/>
      <c r="I372" s="471"/>
      <c r="J372" s="471"/>
      <c r="K372" s="467"/>
      <c r="L372" s="467"/>
      <c r="M372" s="467"/>
      <c r="N372" s="467"/>
      <c r="O372" s="467"/>
      <c r="P372" s="501"/>
      <c r="Q372" s="501"/>
      <c r="R372" s="501"/>
      <c r="S372" s="468"/>
    </row>
    <row r="373" spans="1:19" ht="25.5" hidden="1">
      <c r="A373" s="473">
        <v>23271702</v>
      </c>
      <c r="B373" s="474" t="str">
        <f>+POAI!B432</f>
        <v>Sub programa: Evaluación institucional y esquemas organizacionales para el mejoramiento de gestión</v>
      </c>
      <c r="C373" s="481">
        <f>+POAI!D432</f>
        <v>0</v>
      </c>
      <c r="D373" s="431">
        <f t="shared" si="20"/>
        <v>0</v>
      </c>
      <c r="E373" s="431">
        <f t="shared" si="20"/>
        <v>0</v>
      </c>
      <c r="F373" s="431">
        <f t="shared" si="20"/>
        <v>0</v>
      </c>
      <c r="G373" s="471"/>
      <c r="H373" s="471"/>
      <c r="I373" s="471"/>
      <c r="J373" s="471"/>
      <c r="K373" s="467"/>
      <c r="L373" s="467"/>
      <c r="M373" s="467"/>
      <c r="N373" s="467"/>
      <c r="O373" s="467"/>
      <c r="P373" s="501"/>
      <c r="Q373" s="501"/>
      <c r="R373" s="501"/>
      <c r="S373" s="468"/>
    </row>
    <row r="374" spans="1:19" hidden="1">
      <c r="A374" s="473">
        <v>23271703</v>
      </c>
      <c r="B374" s="474" t="str">
        <f>+POAI!B433</f>
        <v>Apoyo consejo territorial de planeacion</v>
      </c>
      <c r="C374" s="481">
        <f>+POAI!D433</f>
        <v>0</v>
      </c>
      <c r="D374" s="431">
        <f t="shared" si="20"/>
        <v>0</v>
      </c>
      <c r="E374" s="431">
        <f t="shared" si="20"/>
        <v>0</v>
      </c>
      <c r="F374" s="431">
        <f t="shared" si="20"/>
        <v>0</v>
      </c>
      <c r="G374" s="471"/>
      <c r="H374" s="471"/>
      <c r="I374" s="471"/>
      <c r="J374" s="471"/>
      <c r="K374" s="467"/>
      <c r="L374" s="467"/>
      <c r="M374" s="467"/>
      <c r="N374" s="467"/>
      <c r="O374" s="467"/>
      <c r="P374" s="501"/>
      <c r="Q374" s="501"/>
      <c r="R374" s="501"/>
      <c r="S374" s="468"/>
    </row>
    <row r="375" spans="1:19" hidden="1">
      <c r="A375" s="473">
        <v>23271704</v>
      </c>
      <c r="B375" s="474" t="str">
        <f>+POAI!B434</f>
        <v>Sub programa: Sistema de archivo municipal</v>
      </c>
      <c r="C375" s="481">
        <f>+POAI!D434</f>
        <v>0</v>
      </c>
      <c r="D375" s="431">
        <f t="shared" si="20"/>
        <v>0</v>
      </c>
      <c r="E375" s="431">
        <f t="shared" si="20"/>
        <v>0</v>
      </c>
      <c r="F375" s="431">
        <f t="shared" si="20"/>
        <v>0</v>
      </c>
      <c r="G375" s="471"/>
      <c r="H375" s="471"/>
      <c r="I375" s="471"/>
      <c r="J375" s="471"/>
      <c r="K375" s="467"/>
      <c r="L375" s="467"/>
      <c r="M375" s="467"/>
      <c r="N375" s="467"/>
      <c r="O375" s="467"/>
      <c r="P375" s="501"/>
      <c r="Q375" s="501"/>
      <c r="R375" s="501"/>
      <c r="S375" s="468"/>
    </row>
    <row r="376" spans="1:19" hidden="1">
      <c r="A376" s="473">
        <v>23271705</v>
      </c>
      <c r="B376" s="474" t="str">
        <f>+POAI!B435</f>
        <v>Sub programa: Elaboracion Plan de Desarrollo Municipal</v>
      </c>
      <c r="C376" s="481">
        <f>+POAI!D435</f>
        <v>0</v>
      </c>
      <c r="D376" s="431">
        <f t="shared" si="20"/>
        <v>0</v>
      </c>
      <c r="E376" s="431">
        <f t="shared" si="20"/>
        <v>0</v>
      </c>
      <c r="F376" s="431">
        <f t="shared" si="20"/>
        <v>0</v>
      </c>
      <c r="G376" s="471"/>
      <c r="H376" s="471"/>
      <c r="I376" s="471"/>
      <c r="J376" s="471"/>
      <c r="K376" s="467"/>
      <c r="L376" s="467"/>
      <c r="M376" s="467"/>
      <c r="N376" s="467"/>
      <c r="O376" s="467"/>
      <c r="P376" s="501"/>
      <c r="Q376" s="501"/>
      <c r="R376" s="501"/>
      <c r="S376" s="468"/>
    </row>
    <row r="377" spans="1:19" hidden="1">
      <c r="A377" s="473"/>
      <c r="B377" s="474"/>
      <c r="C377" s="481"/>
      <c r="D377" s="431">
        <f t="shared" si="20"/>
        <v>0</v>
      </c>
      <c r="E377" s="431">
        <f t="shared" si="20"/>
        <v>0</v>
      </c>
      <c r="F377" s="431">
        <f t="shared" si="20"/>
        <v>0</v>
      </c>
      <c r="G377" s="471"/>
      <c r="H377" s="471"/>
      <c r="I377" s="471"/>
      <c r="J377" s="471"/>
      <c r="K377" s="467"/>
      <c r="L377" s="467"/>
      <c r="M377" s="467"/>
      <c r="N377" s="467"/>
      <c r="O377" s="467"/>
      <c r="P377" s="501"/>
      <c r="Q377" s="501"/>
      <c r="R377" s="501"/>
      <c r="S377" s="468"/>
    </row>
    <row r="378" spans="1:19" s="480" customFormat="1" hidden="1">
      <c r="A378" s="469">
        <v>232718</v>
      </c>
      <c r="B378" s="477" t="str">
        <f>+POAI!B437</f>
        <v>PROGRAMA: JUSTICIA</v>
      </c>
      <c r="C378" s="481"/>
      <c r="D378" s="431">
        <f t="shared" si="20"/>
        <v>0</v>
      </c>
      <c r="E378" s="431">
        <f t="shared" si="20"/>
        <v>0</v>
      </c>
      <c r="F378" s="431">
        <f t="shared" si="20"/>
        <v>0</v>
      </c>
      <c r="G378" s="472">
        <f>SUM(C379:C382)</f>
        <v>0</v>
      </c>
      <c r="H378" s="472"/>
      <c r="I378" s="472"/>
      <c r="J378" s="472"/>
      <c r="K378" s="460"/>
      <c r="L378" s="460"/>
      <c r="M378" s="460"/>
      <c r="N378" s="460"/>
      <c r="O378" s="460"/>
      <c r="P378" s="500"/>
      <c r="Q378" s="500"/>
      <c r="R378" s="500"/>
      <c r="S378" s="462"/>
    </row>
    <row r="379" spans="1:19" hidden="1">
      <c r="A379" s="473">
        <v>23271801</v>
      </c>
      <c r="B379" s="474" t="str">
        <f>+POAI!B438</f>
        <v>Subprograma: Operación de Inspecciones de Policia</v>
      </c>
      <c r="C379" s="481">
        <f>+POAI!D438</f>
        <v>0</v>
      </c>
      <c r="D379" s="431">
        <f t="shared" si="20"/>
        <v>0</v>
      </c>
      <c r="E379" s="431">
        <f t="shared" si="20"/>
        <v>0</v>
      </c>
      <c r="F379" s="431">
        <f t="shared" si="20"/>
        <v>0</v>
      </c>
      <c r="G379" s="471"/>
      <c r="H379" s="471"/>
      <c r="I379" s="471"/>
      <c r="J379" s="471"/>
      <c r="K379" s="467"/>
      <c r="L379" s="467"/>
      <c r="M379" s="467"/>
      <c r="N379" s="467"/>
      <c r="O379" s="467"/>
      <c r="P379" s="501"/>
      <c r="Q379" s="501"/>
      <c r="R379" s="501"/>
      <c r="S379" s="468"/>
    </row>
    <row r="380" spans="1:19" hidden="1">
      <c r="A380" s="473">
        <v>23271802</v>
      </c>
      <c r="B380" s="474" t="str">
        <f>+POAI!B439</f>
        <v>Subprograma: Operación Comisaría de Familia</v>
      </c>
      <c r="C380" s="481">
        <f>+POAI!D439</f>
        <v>0</v>
      </c>
      <c r="D380" s="431">
        <f t="shared" si="20"/>
        <v>0</v>
      </c>
      <c r="E380" s="431">
        <f t="shared" si="20"/>
        <v>0</v>
      </c>
      <c r="F380" s="431">
        <f t="shared" si="20"/>
        <v>0</v>
      </c>
      <c r="G380" s="471"/>
      <c r="H380" s="471"/>
      <c r="I380" s="471"/>
      <c r="J380" s="471"/>
      <c r="K380" s="467"/>
      <c r="L380" s="467"/>
      <c r="M380" s="467"/>
      <c r="N380" s="467"/>
      <c r="O380" s="467"/>
      <c r="P380" s="501"/>
      <c r="Q380" s="501"/>
      <c r="R380" s="501"/>
      <c r="S380" s="468"/>
    </row>
    <row r="381" spans="1:19" hidden="1">
      <c r="A381" s="473">
        <v>23271803</v>
      </c>
      <c r="B381" s="474" t="str">
        <f>+POAI!B440</f>
        <v>Subprograma: Fondo de protección ciudadana</v>
      </c>
      <c r="C381" s="481">
        <f>+POAI!D440</f>
        <v>0</v>
      </c>
      <c r="D381" s="431">
        <f t="shared" si="20"/>
        <v>0</v>
      </c>
      <c r="E381" s="431">
        <f t="shared" si="20"/>
        <v>0</v>
      </c>
      <c r="F381" s="431">
        <f t="shared" si="20"/>
        <v>0</v>
      </c>
      <c r="G381" s="471"/>
      <c r="H381" s="471"/>
      <c r="I381" s="471"/>
      <c r="J381" s="471"/>
      <c r="K381" s="467"/>
      <c r="L381" s="467"/>
      <c r="M381" s="467"/>
      <c r="N381" s="467"/>
      <c r="O381" s="467"/>
      <c r="P381" s="501"/>
      <c r="Q381" s="501"/>
      <c r="R381" s="501"/>
      <c r="S381" s="468"/>
    </row>
    <row r="382" spans="1:19" hidden="1">
      <c r="A382" s="473"/>
      <c r="B382" s="474"/>
      <c r="C382" s="481"/>
      <c r="D382" s="431">
        <f t="shared" si="20"/>
        <v>0</v>
      </c>
      <c r="E382" s="431">
        <f t="shared" si="20"/>
        <v>0</v>
      </c>
      <c r="F382" s="431">
        <f t="shared" si="20"/>
        <v>0</v>
      </c>
      <c r="G382" s="471"/>
      <c r="H382" s="471"/>
      <c r="I382" s="471"/>
      <c r="J382" s="471"/>
      <c r="K382" s="467"/>
      <c r="L382" s="467"/>
      <c r="M382" s="467"/>
      <c r="N382" s="467"/>
      <c r="O382" s="467"/>
      <c r="P382" s="501"/>
      <c r="Q382" s="501"/>
      <c r="R382" s="501"/>
      <c r="S382" s="468"/>
    </row>
    <row r="383" spans="1:19" ht="25.5">
      <c r="A383" s="469">
        <v>233</v>
      </c>
      <c r="B383" s="470" t="s">
        <v>8</v>
      </c>
      <c r="C383" s="471"/>
      <c r="D383" s="431">
        <f t="shared" si="20"/>
        <v>0</v>
      </c>
      <c r="E383" s="431">
        <f t="shared" si="20"/>
        <v>0</v>
      </c>
      <c r="F383" s="431">
        <f t="shared" si="20"/>
        <v>0</v>
      </c>
      <c r="G383" s="471"/>
      <c r="H383" s="471"/>
      <c r="I383" s="471"/>
      <c r="J383" s="471"/>
      <c r="K383" s="467"/>
      <c r="L383" s="467"/>
      <c r="M383" s="467"/>
      <c r="N383" s="467"/>
      <c r="O383" s="472">
        <f>SUM(K385:K399)</f>
        <v>16501000</v>
      </c>
      <c r="P383" s="431">
        <f>SUM(O383*4/100)+O383</f>
        <v>17161040</v>
      </c>
      <c r="Q383" s="431">
        <f>SUM(P383*4/100)+P383</f>
        <v>17847481.600000001</v>
      </c>
      <c r="R383" s="431">
        <f>SUM(Q383*4/100)+Q383</f>
        <v>18561380.864</v>
      </c>
      <c r="S383" s="468"/>
    </row>
    <row r="384" spans="1:19" hidden="1">
      <c r="A384" s="469"/>
      <c r="B384" s="470"/>
      <c r="C384" s="471"/>
      <c r="D384" s="431">
        <f t="shared" si="20"/>
        <v>0</v>
      </c>
      <c r="E384" s="431">
        <f t="shared" si="20"/>
        <v>0</v>
      </c>
      <c r="F384" s="431">
        <f t="shared" si="20"/>
        <v>0</v>
      </c>
      <c r="G384" s="471"/>
      <c r="H384" s="471"/>
      <c r="I384" s="471"/>
      <c r="J384" s="471"/>
      <c r="K384" s="467"/>
      <c r="L384" s="467"/>
      <c r="M384" s="467"/>
      <c r="N384" s="467"/>
      <c r="O384" s="472"/>
      <c r="P384" s="502"/>
      <c r="Q384" s="502"/>
      <c r="R384" s="502"/>
      <c r="S384" s="468"/>
    </row>
    <row r="385" spans="1:19" ht="25.5">
      <c r="A385" s="469">
        <v>2332</v>
      </c>
      <c r="B385" s="470" t="s">
        <v>9</v>
      </c>
      <c r="C385" s="471"/>
      <c r="D385" s="431">
        <f t="shared" ref="D385:F448" si="21">SUM(C385*4/100)+C385</f>
        <v>0</v>
      </c>
      <c r="E385" s="431">
        <f t="shared" si="21"/>
        <v>0</v>
      </c>
      <c r="F385" s="431">
        <f t="shared" si="21"/>
        <v>0</v>
      </c>
      <c r="G385" s="471"/>
      <c r="H385" s="471"/>
      <c r="I385" s="471"/>
      <c r="J385" s="471"/>
      <c r="K385" s="472">
        <f>+G387</f>
        <v>3000000</v>
      </c>
      <c r="L385" s="431">
        <f>SUM(K385*4/100)+K385</f>
        <v>3120000</v>
      </c>
      <c r="M385" s="431">
        <f>SUM(L385*4/100)+L385</f>
        <v>3244800</v>
      </c>
      <c r="N385" s="431">
        <f>SUM(M385*4/100)+M385</f>
        <v>3374592</v>
      </c>
      <c r="O385" s="467"/>
      <c r="P385" s="501"/>
      <c r="Q385" s="501"/>
      <c r="R385" s="501"/>
      <c r="S385" s="468"/>
    </row>
    <row r="386" spans="1:19" hidden="1">
      <c r="A386" s="469"/>
      <c r="B386" s="470"/>
      <c r="C386" s="472"/>
      <c r="D386" s="431">
        <f t="shared" si="21"/>
        <v>0</v>
      </c>
      <c r="E386" s="431">
        <f t="shared" si="21"/>
        <v>0</v>
      </c>
      <c r="F386" s="431">
        <f t="shared" si="21"/>
        <v>0</v>
      </c>
      <c r="G386" s="471"/>
      <c r="H386" s="471"/>
      <c r="I386" s="471"/>
      <c r="J386" s="471"/>
      <c r="K386" s="467"/>
      <c r="L386" s="467"/>
      <c r="M386" s="467"/>
      <c r="N386" s="467"/>
      <c r="O386" s="467"/>
      <c r="P386" s="501"/>
      <c r="Q386" s="501"/>
      <c r="R386" s="501"/>
      <c r="S386" s="468"/>
    </row>
    <row r="387" spans="1:19">
      <c r="A387" s="469">
        <v>233204</v>
      </c>
      <c r="B387" s="477" t="str">
        <f>+POAI!B247</f>
        <v>PROGRAMA: ALIMENTACION ESCOLAR</v>
      </c>
      <c r="C387" s="471"/>
      <c r="D387" s="431">
        <f t="shared" si="21"/>
        <v>0</v>
      </c>
      <c r="E387" s="431">
        <f t="shared" si="21"/>
        <v>0</v>
      </c>
      <c r="F387" s="431">
        <f t="shared" si="21"/>
        <v>0</v>
      </c>
      <c r="G387" s="472">
        <f>SUM(C388:C388)</f>
        <v>3000000</v>
      </c>
      <c r="H387" s="431">
        <f>SUM(G387*4/100)+G387</f>
        <v>3120000</v>
      </c>
      <c r="I387" s="431">
        <f>SUM(H387*4/100)+H387</f>
        <v>3244800</v>
      </c>
      <c r="J387" s="431">
        <f>SUM(I387*4/100)+I387</f>
        <v>3374592</v>
      </c>
      <c r="K387" s="467"/>
      <c r="L387" s="467"/>
      <c r="M387" s="467"/>
      <c r="N387" s="467"/>
      <c r="O387" s="467"/>
      <c r="P387" s="501"/>
      <c r="Q387" s="501"/>
      <c r="R387" s="501"/>
      <c r="S387" s="468"/>
    </row>
    <row r="388" spans="1:19" ht="25.5">
      <c r="A388" s="473">
        <v>23320401</v>
      </c>
      <c r="B388" s="474" t="str">
        <f>+POAI!B248</f>
        <v>Subprograma: Complemento nutricional para la población escolar</v>
      </c>
      <c r="C388" s="475">
        <f>+POAI!E248</f>
        <v>3000000</v>
      </c>
      <c r="D388" s="431">
        <f t="shared" si="21"/>
        <v>3120000</v>
      </c>
      <c r="E388" s="431">
        <f t="shared" si="21"/>
        <v>3244800</v>
      </c>
      <c r="F388" s="431">
        <f t="shared" si="21"/>
        <v>3374592</v>
      </c>
      <c r="G388" s="471"/>
      <c r="H388" s="471"/>
      <c r="I388" s="471"/>
      <c r="J388" s="471"/>
      <c r="K388" s="467"/>
      <c r="L388" s="467"/>
      <c r="M388" s="467"/>
      <c r="N388" s="467"/>
      <c r="O388" s="467"/>
      <c r="P388" s="501"/>
      <c r="Q388" s="501"/>
      <c r="R388" s="501"/>
      <c r="S388" s="468"/>
    </row>
    <row r="389" spans="1:19" hidden="1">
      <c r="A389" s="469"/>
      <c r="B389" s="470"/>
      <c r="C389" s="472"/>
      <c r="D389" s="431">
        <f t="shared" si="21"/>
        <v>0</v>
      </c>
      <c r="E389" s="431">
        <f t="shared" si="21"/>
        <v>0</v>
      </c>
      <c r="F389" s="431">
        <f t="shared" si="21"/>
        <v>0</v>
      </c>
      <c r="G389" s="471"/>
      <c r="H389" s="471"/>
      <c r="I389" s="471"/>
      <c r="J389" s="471"/>
      <c r="K389" s="467"/>
      <c r="L389" s="467"/>
      <c r="M389" s="467"/>
      <c r="N389" s="467"/>
      <c r="O389" s="467"/>
      <c r="P389" s="501"/>
      <c r="Q389" s="501"/>
      <c r="R389" s="501"/>
      <c r="S389" s="468"/>
    </row>
    <row r="390" spans="1:19">
      <c r="A390" s="469">
        <v>2335</v>
      </c>
      <c r="B390" s="470" t="s">
        <v>47</v>
      </c>
      <c r="C390" s="471"/>
      <c r="D390" s="431"/>
      <c r="E390" s="431"/>
      <c r="F390" s="431"/>
      <c r="G390" s="471"/>
      <c r="H390" s="471"/>
      <c r="I390" s="471"/>
      <c r="J390" s="471"/>
      <c r="K390" s="472">
        <f>+G392</f>
        <v>1000</v>
      </c>
      <c r="L390" s="431">
        <f>SUM(K390*4/100)+K390</f>
        <v>1040</v>
      </c>
      <c r="M390" s="431">
        <f>SUM(L390*4/100)+L390</f>
        <v>1081.5999999999999</v>
      </c>
      <c r="N390" s="431">
        <f>SUM(M390*4/100)+M390</f>
        <v>1124.8639999999998</v>
      </c>
      <c r="O390" s="467"/>
      <c r="P390" s="501"/>
      <c r="Q390" s="501"/>
      <c r="R390" s="501"/>
      <c r="S390" s="468"/>
    </row>
    <row r="391" spans="1:19" hidden="1">
      <c r="A391" s="469"/>
      <c r="B391" s="470"/>
      <c r="C391" s="472"/>
      <c r="D391" s="431">
        <f t="shared" si="21"/>
        <v>0</v>
      </c>
      <c r="E391" s="431">
        <f t="shared" si="21"/>
        <v>0</v>
      </c>
      <c r="F391" s="431">
        <f t="shared" si="21"/>
        <v>0</v>
      </c>
      <c r="G391" s="471"/>
      <c r="H391" s="471"/>
      <c r="I391" s="471"/>
      <c r="J391" s="471"/>
      <c r="K391" s="467"/>
      <c r="L391" s="467"/>
      <c r="M391" s="467"/>
      <c r="N391" s="467"/>
      <c r="O391" s="467"/>
      <c r="P391" s="501"/>
      <c r="Q391" s="501"/>
      <c r="R391" s="501"/>
      <c r="S391" s="468"/>
    </row>
    <row r="392" spans="1:19">
      <c r="A392" s="469">
        <v>233502</v>
      </c>
      <c r="B392" s="477" t="str">
        <f>+POAI!B331</f>
        <v>PROGRAMA: MASIFICACIÓN DEPORTIVA</v>
      </c>
      <c r="C392" s="471"/>
      <c r="D392" s="431"/>
      <c r="E392" s="431"/>
      <c r="F392" s="431"/>
      <c r="G392" s="472">
        <f>SUM(C393:C393)</f>
        <v>1000</v>
      </c>
      <c r="H392" s="431">
        <f>SUM(G392*4/100)+G392</f>
        <v>1040</v>
      </c>
      <c r="I392" s="431">
        <f>SUM(H392*4/100)+H392</f>
        <v>1081.5999999999999</v>
      </c>
      <c r="J392" s="431">
        <f>SUM(I392*4/100)+I392</f>
        <v>1124.8639999999998</v>
      </c>
      <c r="K392" s="467"/>
      <c r="L392" s="467"/>
      <c r="M392" s="467"/>
      <c r="N392" s="467"/>
      <c r="O392" s="467"/>
      <c r="P392" s="501"/>
      <c r="Q392" s="501"/>
      <c r="R392" s="501"/>
      <c r="S392" s="468"/>
    </row>
    <row r="393" spans="1:19" ht="25.5">
      <c r="A393" s="473">
        <v>23350202</v>
      </c>
      <c r="B393" s="474" t="str">
        <f>+POAI!B333</f>
        <v>Subprograma: Promoción eventos de recreación aprovechamiento del tiempo libre</v>
      </c>
      <c r="C393" s="481">
        <f>+POAI!E333</f>
        <v>1000</v>
      </c>
      <c r="D393" s="431">
        <f t="shared" si="21"/>
        <v>1040</v>
      </c>
      <c r="E393" s="431">
        <f t="shared" si="21"/>
        <v>1081.5999999999999</v>
      </c>
      <c r="F393" s="431">
        <f t="shared" si="21"/>
        <v>1124.8639999999998</v>
      </c>
      <c r="G393" s="471"/>
      <c r="H393" s="471"/>
      <c r="I393" s="471"/>
      <c r="J393" s="471"/>
      <c r="K393" s="467"/>
      <c r="L393" s="467"/>
      <c r="M393" s="467"/>
      <c r="N393" s="467"/>
      <c r="O393" s="467"/>
      <c r="P393" s="501"/>
      <c r="Q393" s="501"/>
      <c r="R393" s="501"/>
      <c r="S393" s="468"/>
    </row>
    <row r="394" spans="1:19" hidden="1">
      <c r="A394" s="469"/>
      <c r="B394" s="470"/>
      <c r="C394" s="472"/>
      <c r="D394" s="431">
        <f t="shared" si="21"/>
        <v>0</v>
      </c>
      <c r="E394" s="431">
        <f t="shared" si="21"/>
        <v>0</v>
      </c>
      <c r="F394" s="431">
        <f t="shared" si="21"/>
        <v>0</v>
      </c>
      <c r="G394" s="471"/>
      <c r="H394" s="471"/>
      <c r="I394" s="471"/>
      <c r="J394" s="471"/>
      <c r="K394" s="467"/>
      <c r="L394" s="467"/>
      <c r="M394" s="467"/>
      <c r="N394" s="467"/>
      <c r="O394" s="467"/>
      <c r="P394" s="501"/>
      <c r="Q394" s="501"/>
      <c r="R394" s="501"/>
      <c r="S394" s="468"/>
    </row>
    <row r="395" spans="1:19" ht="25.5">
      <c r="A395" s="469">
        <v>2337</v>
      </c>
      <c r="B395" s="470" t="s">
        <v>37</v>
      </c>
      <c r="C395" s="471"/>
      <c r="D395" s="431">
        <f t="shared" si="21"/>
        <v>0</v>
      </c>
      <c r="E395" s="431">
        <f t="shared" si="21"/>
        <v>0</v>
      </c>
      <c r="F395" s="431">
        <f t="shared" si="21"/>
        <v>0</v>
      </c>
      <c r="G395" s="471"/>
      <c r="H395" s="471"/>
      <c r="I395" s="471"/>
      <c r="J395" s="471"/>
      <c r="K395" s="472">
        <f>+G397</f>
        <v>13500000</v>
      </c>
      <c r="L395" s="431">
        <f>SUM(K395*4/100)+K395</f>
        <v>14040000</v>
      </c>
      <c r="M395" s="431">
        <f>SUM(L395*4/100)+L395</f>
        <v>14601600</v>
      </c>
      <c r="N395" s="431">
        <f>SUM(M395*4/100)+M395</f>
        <v>15185664</v>
      </c>
      <c r="O395" s="467"/>
      <c r="P395" s="501"/>
      <c r="Q395" s="501"/>
      <c r="R395" s="501"/>
      <c r="S395" s="468"/>
    </row>
    <row r="396" spans="1:19" hidden="1">
      <c r="A396" s="469"/>
      <c r="B396" s="470"/>
      <c r="C396" s="472"/>
      <c r="D396" s="431">
        <f t="shared" si="21"/>
        <v>0</v>
      </c>
      <c r="E396" s="431">
        <f t="shared" si="21"/>
        <v>0</v>
      </c>
      <c r="F396" s="431">
        <f t="shared" si="21"/>
        <v>0</v>
      </c>
      <c r="G396" s="471"/>
      <c r="H396" s="471"/>
      <c r="I396" s="471"/>
      <c r="J396" s="471"/>
      <c r="K396" s="467"/>
      <c r="L396" s="467"/>
      <c r="M396" s="467"/>
      <c r="N396" s="467"/>
      <c r="O396" s="467"/>
      <c r="P396" s="501"/>
      <c r="Q396" s="501"/>
      <c r="R396" s="501"/>
      <c r="S396" s="468"/>
    </row>
    <row r="397" spans="1:19" ht="25.5">
      <c r="A397" s="469">
        <v>233710</v>
      </c>
      <c r="B397" s="477" t="str">
        <f>+POAI!B382</f>
        <v>PROGRAMA: PROTEGIENDO LOS RECURSOS NATURALES</v>
      </c>
      <c r="C397" s="471"/>
      <c r="D397" s="431">
        <f t="shared" si="21"/>
        <v>0</v>
      </c>
      <c r="E397" s="431">
        <f t="shared" si="21"/>
        <v>0</v>
      </c>
      <c r="F397" s="431">
        <f t="shared" si="21"/>
        <v>0</v>
      </c>
      <c r="G397" s="472">
        <f>SUM(C398:C399)</f>
        <v>13500000</v>
      </c>
      <c r="H397" s="431">
        <f>SUM(G397*4/100)+G397</f>
        <v>14040000</v>
      </c>
      <c r="I397" s="431">
        <f>SUM(H397*4/100)+H397</f>
        <v>14601600</v>
      </c>
      <c r="J397" s="431">
        <f>SUM(I397*4/100)+I397</f>
        <v>15185664</v>
      </c>
      <c r="K397" s="467"/>
      <c r="L397" s="467"/>
      <c r="M397" s="467"/>
      <c r="N397" s="467"/>
      <c r="O397" s="467"/>
      <c r="P397" s="501"/>
      <c r="Q397" s="501"/>
      <c r="R397" s="501"/>
      <c r="S397" s="468"/>
    </row>
    <row r="398" spans="1:19" ht="25.5">
      <c r="A398" s="473">
        <v>23371002</v>
      </c>
      <c r="B398" s="474" t="str">
        <f>+POAI!B384</f>
        <v>Subprograma: Adquisición y mantenimiento de predios de micro cuencas  (Art 106 ley 1151 de 2006)</v>
      </c>
      <c r="C398" s="481">
        <f>+POAI!E384</f>
        <v>6500000</v>
      </c>
      <c r="D398" s="431">
        <f t="shared" si="21"/>
        <v>6760000</v>
      </c>
      <c r="E398" s="431">
        <f t="shared" si="21"/>
        <v>7030400</v>
      </c>
      <c r="F398" s="431">
        <f t="shared" si="21"/>
        <v>7311616</v>
      </c>
      <c r="G398" s="471"/>
      <c r="H398" s="471"/>
      <c r="I398" s="471"/>
      <c r="J398" s="471"/>
      <c r="K398" s="467"/>
      <c r="L398" s="467"/>
      <c r="M398" s="467"/>
      <c r="N398" s="467"/>
      <c r="O398" s="467"/>
      <c r="P398" s="501"/>
      <c r="Q398" s="501"/>
      <c r="R398" s="501"/>
      <c r="S398" s="468"/>
    </row>
    <row r="399" spans="1:19">
      <c r="A399" s="473">
        <v>23371003</v>
      </c>
      <c r="B399" s="474" t="str">
        <f>+POAI!B385</f>
        <v>Sistema local areas protegidas</v>
      </c>
      <c r="C399" s="481">
        <f>+POAI!E385</f>
        <v>7000000</v>
      </c>
      <c r="D399" s="431">
        <f t="shared" si="21"/>
        <v>7280000</v>
      </c>
      <c r="E399" s="431">
        <f t="shared" si="21"/>
        <v>7571200</v>
      </c>
      <c r="F399" s="431">
        <f t="shared" si="21"/>
        <v>7874048</v>
      </c>
      <c r="G399" s="471"/>
      <c r="H399" s="471"/>
      <c r="I399" s="471"/>
      <c r="J399" s="471"/>
      <c r="K399" s="467"/>
      <c r="L399" s="467"/>
      <c r="M399" s="467"/>
      <c r="N399" s="467"/>
      <c r="O399" s="467"/>
      <c r="P399" s="501"/>
      <c r="Q399" s="501"/>
      <c r="R399" s="501"/>
      <c r="S399" s="468"/>
    </row>
    <row r="400" spans="1:19" hidden="1">
      <c r="A400" s="482"/>
      <c r="B400" s="467"/>
      <c r="C400" s="467"/>
      <c r="D400" s="431">
        <f t="shared" si="21"/>
        <v>0</v>
      </c>
      <c r="E400" s="431">
        <f t="shared" si="21"/>
        <v>0</v>
      </c>
      <c r="F400" s="431">
        <f t="shared" si="21"/>
        <v>0</v>
      </c>
      <c r="G400" s="467"/>
      <c r="H400" s="467"/>
      <c r="I400" s="467"/>
      <c r="J400" s="467"/>
      <c r="K400" s="467"/>
      <c r="L400" s="467"/>
      <c r="M400" s="467"/>
      <c r="N400" s="467"/>
      <c r="O400" s="467"/>
      <c r="P400" s="501"/>
      <c r="Q400" s="501"/>
      <c r="R400" s="501"/>
      <c r="S400" s="468"/>
    </row>
    <row r="401" spans="1:19" ht="25.5">
      <c r="A401" s="469">
        <v>234</v>
      </c>
      <c r="B401" s="470" t="s">
        <v>10</v>
      </c>
      <c r="C401" s="471"/>
      <c r="D401" s="431">
        <f t="shared" si="21"/>
        <v>0</v>
      </c>
      <c r="E401" s="431">
        <f t="shared" si="21"/>
        <v>0</v>
      </c>
      <c r="F401" s="431">
        <f t="shared" si="21"/>
        <v>0</v>
      </c>
      <c r="G401" s="471"/>
      <c r="H401" s="471"/>
      <c r="I401" s="471"/>
      <c r="J401" s="471"/>
      <c r="K401" s="467"/>
      <c r="L401" s="467"/>
      <c r="M401" s="467"/>
      <c r="N401" s="467"/>
      <c r="O401" s="472">
        <f>+K403+K431+K439+K444+K449</f>
        <v>780774185</v>
      </c>
      <c r="P401" s="431">
        <f>SUM(O401*4/100)+O401</f>
        <v>812005152.39999998</v>
      </c>
      <c r="Q401" s="431">
        <f>SUM(P401*4/100)+P401</f>
        <v>844485358.49599993</v>
      </c>
      <c r="R401" s="431">
        <f>SUM(Q401*4/100)+Q401</f>
        <v>878264772.83583999</v>
      </c>
      <c r="S401" s="468"/>
    </row>
    <row r="402" spans="1:19" hidden="1">
      <c r="A402" s="482"/>
      <c r="B402" s="467"/>
      <c r="C402" s="467"/>
      <c r="D402" s="431">
        <f t="shared" si="21"/>
        <v>0</v>
      </c>
      <c r="E402" s="431">
        <f t="shared" si="21"/>
        <v>0</v>
      </c>
      <c r="F402" s="431">
        <f t="shared" si="21"/>
        <v>0</v>
      </c>
      <c r="G402" s="467"/>
      <c r="H402" s="467"/>
      <c r="I402" s="467"/>
      <c r="J402" s="467"/>
      <c r="K402" s="467"/>
      <c r="L402" s="467"/>
      <c r="M402" s="467"/>
      <c r="N402" s="467"/>
      <c r="O402" s="467"/>
      <c r="P402" s="501"/>
      <c r="Q402" s="501"/>
      <c r="R402" s="501"/>
      <c r="S402" s="468"/>
    </row>
    <row r="403" spans="1:19">
      <c r="A403" s="469">
        <v>2342</v>
      </c>
      <c r="B403" s="470" t="s">
        <v>35</v>
      </c>
      <c r="C403" s="467"/>
      <c r="D403" s="431">
        <f t="shared" si="21"/>
        <v>0</v>
      </c>
      <c r="E403" s="431">
        <f t="shared" si="21"/>
        <v>0</v>
      </c>
      <c r="F403" s="431">
        <f t="shared" si="21"/>
        <v>0</v>
      </c>
      <c r="G403" s="471"/>
      <c r="H403" s="471"/>
      <c r="I403" s="471"/>
      <c r="J403" s="471"/>
      <c r="K403" s="472">
        <f>+G405+G426</f>
        <v>746774185</v>
      </c>
      <c r="L403" s="431">
        <f>SUM(K403*4/100)+K403</f>
        <v>776645152.39999998</v>
      </c>
      <c r="M403" s="431">
        <f>SUM(L403*4/100)+L403</f>
        <v>807710958.49599993</v>
      </c>
      <c r="N403" s="431">
        <f>SUM(M403*4/100)+M403</f>
        <v>840019396.83583999</v>
      </c>
      <c r="O403" s="467"/>
      <c r="P403" s="501"/>
      <c r="Q403" s="501"/>
      <c r="R403" s="501"/>
      <c r="S403" s="468"/>
    </row>
    <row r="404" spans="1:19" hidden="1">
      <c r="A404" s="469"/>
      <c r="B404" s="470"/>
      <c r="C404" s="472"/>
      <c r="D404" s="431">
        <f t="shared" si="21"/>
        <v>0</v>
      </c>
      <c r="E404" s="431">
        <f t="shared" si="21"/>
        <v>0</v>
      </c>
      <c r="F404" s="431">
        <f t="shared" si="21"/>
        <v>0</v>
      </c>
      <c r="G404" s="471"/>
      <c r="H404" s="471"/>
      <c r="I404" s="471"/>
      <c r="J404" s="471"/>
      <c r="K404" s="467"/>
      <c r="L404" s="467"/>
      <c r="M404" s="467"/>
      <c r="N404" s="467"/>
      <c r="O404" s="467"/>
      <c r="P404" s="501"/>
      <c r="Q404" s="501"/>
      <c r="R404" s="501"/>
      <c r="S404" s="468"/>
    </row>
    <row r="405" spans="1:19">
      <c r="A405" s="469">
        <v>23421</v>
      </c>
      <c r="B405" s="470" t="s">
        <v>34</v>
      </c>
      <c r="C405" s="467"/>
      <c r="D405" s="431">
        <f t="shared" si="21"/>
        <v>0</v>
      </c>
      <c r="E405" s="431">
        <f t="shared" si="21"/>
        <v>0</v>
      </c>
      <c r="F405" s="431">
        <f t="shared" si="21"/>
        <v>0</v>
      </c>
      <c r="G405" s="472">
        <f>+G407+G410+G416+G420+G423</f>
        <v>746774185</v>
      </c>
      <c r="H405" s="431">
        <f>SUM(G405*4/100)+G405</f>
        <v>776645152.39999998</v>
      </c>
      <c r="I405" s="431">
        <f>SUM(H405*4/100)+H405</f>
        <v>807710958.49599993</v>
      </c>
      <c r="J405" s="431">
        <f>SUM(I405*4/100)+I405</f>
        <v>840019396.83583999</v>
      </c>
      <c r="K405" s="467"/>
      <c r="L405" s="467"/>
      <c r="M405" s="467"/>
      <c r="N405" s="467"/>
      <c r="O405" s="467"/>
      <c r="P405" s="501"/>
      <c r="Q405" s="501"/>
      <c r="R405" s="501"/>
      <c r="S405" s="468"/>
    </row>
    <row r="406" spans="1:19" hidden="1">
      <c r="A406" s="469"/>
      <c r="B406" s="470"/>
      <c r="C406" s="472"/>
      <c r="D406" s="431">
        <f t="shared" si="21"/>
        <v>0</v>
      </c>
      <c r="E406" s="431">
        <f t="shared" si="21"/>
        <v>0</v>
      </c>
      <c r="F406" s="431">
        <f t="shared" si="21"/>
        <v>0</v>
      </c>
      <c r="G406" s="471"/>
      <c r="H406" s="471"/>
      <c r="I406" s="471"/>
      <c r="J406" s="471"/>
      <c r="K406" s="467"/>
      <c r="L406" s="467"/>
      <c r="M406" s="467"/>
      <c r="N406" s="467"/>
      <c r="O406" s="467"/>
      <c r="P406" s="501"/>
      <c r="Q406" s="501"/>
      <c r="R406" s="501"/>
      <c r="S406" s="468"/>
    </row>
    <row r="407" spans="1:19">
      <c r="A407" s="469">
        <v>234211</v>
      </c>
      <c r="B407" s="477" t="s">
        <v>11</v>
      </c>
      <c r="C407" s="467"/>
      <c r="D407" s="431">
        <f t="shared" si="21"/>
        <v>0</v>
      </c>
      <c r="E407" s="431">
        <f t="shared" si="21"/>
        <v>0</v>
      </c>
      <c r="F407" s="431">
        <f t="shared" si="21"/>
        <v>0</v>
      </c>
      <c r="G407" s="472">
        <f>SUM(C408:C409)</f>
        <v>547054416</v>
      </c>
      <c r="H407" s="431">
        <f>SUM(G407*4/100)+G407</f>
        <v>568936592.63999999</v>
      </c>
      <c r="I407" s="431">
        <f>SUM(H407*4/100)+H407</f>
        <v>591694056.34560001</v>
      </c>
      <c r="J407" s="431">
        <f>SUM(I407*4/100)+I407</f>
        <v>615361818.599424</v>
      </c>
      <c r="K407" s="467"/>
      <c r="L407" s="467"/>
      <c r="M407" s="467"/>
      <c r="N407" s="467"/>
      <c r="O407" s="467"/>
      <c r="P407" s="501"/>
      <c r="Q407" s="501"/>
      <c r="R407" s="501"/>
      <c r="S407" s="468"/>
    </row>
    <row r="408" spans="1:19">
      <c r="A408" s="473">
        <v>23421101</v>
      </c>
      <c r="B408" s="474" t="str">
        <f>+POAI!B274</f>
        <v>Subprograma: Continuación Régimen Subsidiado</v>
      </c>
      <c r="C408" s="481">
        <f>+POAI!C274</f>
        <v>547054416</v>
      </c>
      <c r="D408" s="431">
        <f t="shared" si="21"/>
        <v>568936592.63999999</v>
      </c>
      <c r="E408" s="431">
        <f t="shared" si="21"/>
        <v>591694056.34560001</v>
      </c>
      <c r="F408" s="431">
        <f t="shared" si="21"/>
        <v>615361818.599424</v>
      </c>
      <c r="G408" s="471"/>
      <c r="H408" s="471"/>
      <c r="I408" s="471"/>
      <c r="J408" s="471"/>
      <c r="K408" s="467"/>
      <c r="L408" s="467"/>
      <c r="M408" s="467"/>
      <c r="N408" s="467"/>
      <c r="O408" s="467"/>
      <c r="P408" s="501"/>
      <c r="Q408" s="501"/>
      <c r="R408" s="501"/>
      <c r="S408" s="468"/>
    </row>
    <row r="409" spans="1:19" hidden="1">
      <c r="A409" s="469"/>
      <c r="B409" s="474"/>
      <c r="C409" s="472"/>
      <c r="D409" s="431">
        <f t="shared" si="21"/>
        <v>0</v>
      </c>
      <c r="E409" s="431">
        <f t="shared" si="21"/>
        <v>0</v>
      </c>
      <c r="F409" s="431">
        <f t="shared" si="21"/>
        <v>0</v>
      </c>
      <c r="G409" s="471"/>
      <c r="H409" s="471"/>
      <c r="I409" s="471"/>
      <c r="J409" s="471"/>
      <c r="K409" s="467"/>
      <c r="L409" s="467"/>
      <c r="M409" s="467"/>
      <c r="N409" s="467"/>
      <c r="O409" s="467"/>
      <c r="P409" s="501"/>
      <c r="Q409" s="501"/>
      <c r="R409" s="501"/>
      <c r="S409" s="468"/>
    </row>
    <row r="410" spans="1:19">
      <c r="A410" s="469">
        <v>2342112</v>
      </c>
      <c r="B410" s="470" t="s">
        <v>12</v>
      </c>
      <c r="C410" s="467"/>
      <c r="D410" s="431">
        <f t="shared" si="21"/>
        <v>0</v>
      </c>
      <c r="E410" s="431">
        <f t="shared" si="21"/>
        <v>0</v>
      </c>
      <c r="F410" s="431">
        <f t="shared" si="21"/>
        <v>0</v>
      </c>
      <c r="G410" s="472">
        <f>SUM(C411:C414)</f>
        <v>62819769</v>
      </c>
      <c r="H410" s="431">
        <f>SUM(G410*4/100)+G410</f>
        <v>65332559.759999998</v>
      </c>
      <c r="I410" s="431">
        <f>SUM(H410*4/100)+H410</f>
        <v>67945862.150399998</v>
      </c>
      <c r="J410" s="431">
        <f>SUM(I410*4/100)+I410</f>
        <v>70663696.636416003</v>
      </c>
      <c r="K410" s="467"/>
      <c r="L410" s="467"/>
      <c r="M410" s="467"/>
      <c r="N410" s="467"/>
      <c r="O410" s="467"/>
      <c r="P410" s="501"/>
      <c r="Q410" s="501"/>
      <c r="R410" s="501"/>
      <c r="S410" s="468"/>
    </row>
    <row r="411" spans="1:19">
      <c r="A411" s="473">
        <v>234211201</v>
      </c>
      <c r="B411" s="474" t="str">
        <f>+POAI!B274</f>
        <v>Subprograma: Continuación Régimen Subsidiado</v>
      </c>
      <c r="C411" s="481">
        <f>+POAI!D274</f>
        <v>40819769</v>
      </c>
      <c r="D411" s="431">
        <f t="shared" si="21"/>
        <v>42452559.759999998</v>
      </c>
      <c r="E411" s="431">
        <f t="shared" si="21"/>
        <v>44150662.150399998</v>
      </c>
      <c r="F411" s="431">
        <f t="shared" si="21"/>
        <v>45916688.636415996</v>
      </c>
      <c r="G411" s="471"/>
      <c r="H411" s="471"/>
      <c r="I411" s="471"/>
      <c r="J411" s="471"/>
      <c r="K411" s="467"/>
      <c r="L411" s="467"/>
      <c r="M411" s="467"/>
      <c r="N411" s="467"/>
      <c r="O411" s="467"/>
      <c r="P411" s="501"/>
      <c r="Q411" s="501"/>
      <c r="R411" s="501"/>
      <c r="S411" s="468"/>
    </row>
    <row r="412" spans="1:19" ht="25.5">
      <c r="A412" s="473">
        <v>234211203</v>
      </c>
      <c r="B412" s="474" t="str">
        <f>+POAI!B279</f>
        <v>Subprograma: Cuota Inpección, vigilancia y control Supersalud</v>
      </c>
      <c r="C412" s="481">
        <f>+POAI!D279</f>
        <v>2000000</v>
      </c>
      <c r="D412" s="431">
        <f t="shared" si="21"/>
        <v>2080000</v>
      </c>
      <c r="E412" s="431">
        <f t="shared" si="21"/>
        <v>2163200</v>
      </c>
      <c r="F412" s="431">
        <f t="shared" si="21"/>
        <v>2249728</v>
      </c>
      <c r="G412" s="471"/>
      <c r="H412" s="471"/>
      <c r="I412" s="471"/>
      <c r="J412" s="471"/>
      <c r="K412" s="467"/>
      <c r="L412" s="467"/>
      <c r="M412" s="467"/>
      <c r="N412" s="467"/>
      <c r="O412" s="467"/>
      <c r="P412" s="501"/>
      <c r="Q412" s="501"/>
      <c r="R412" s="501"/>
      <c r="S412" s="468"/>
    </row>
    <row r="413" spans="1:19">
      <c r="A413" s="473">
        <v>234211204</v>
      </c>
      <c r="B413" s="474" t="str">
        <f>+POAI!B280</f>
        <v>Subprograma: Interventoría regimen subsidiado</v>
      </c>
      <c r="C413" s="481">
        <f>+POAI!D280</f>
        <v>15000000</v>
      </c>
      <c r="D413" s="431">
        <f t="shared" si="21"/>
        <v>15600000</v>
      </c>
      <c r="E413" s="431">
        <f t="shared" si="21"/>
        <v>16224000</v>
      </c>
      <c r="F413" s="431">
        <f t="shared" si="21"/>
        <v>16872960</v>
      </c>
      <c r="G413" s="471"/>
      <c r="H413" s="471"/>
      <c r="I413" s="471"/>
      <c r="J413" s="471"/>
      <c r="K413" s="467"/>
      <c r="L413" s="467"/>
      <c r="M413" s="467"/>
      <c r="N413" s="467"/>
      <c r="O413" s="467"/>
      <c r="P413" s="501"/>
      <c r="Q413" s="501"/>
      <c r="R413" s="501"/>
      <c r="S413" s="468"/>
    </row>
    <row r="414" spans="1:19" ht="25.5">
      <c r="A414" s="473">
        <v>234211207</v>
      </c>
      <c r="B414" s="474" t="str">
        <f>+POAI!B281</f>
        <v>Subprograma: Liquidacion contratos Régimen subsidiado en salud</v>
      </c>
      <c r="C414" s="481">
        <f>+POAI!D281</f>
        <v>5000000</v>
      </c>
      <c r="D414" s="431">
        <f t="shared" si="21"/>
        <v>5200000</v>
      </c>
      <c r="E414" s="431">
        <f t="shared" si="21"/>
        <v>5408000</v>
      </c>
      <c r="F414" s="431">
        <f t="shared" si="21"/>
        <v>5624320</v>
      </c>
      <c r="G414" s="471"/>
      <c r="H414" s="471"/>
      <c r="I414" s="471"/>
      <c r="J414" s="471"/>
      <c r="K414" s="467"/>
      <c r="L414" s="467"/>
      <c r="M414" s="467"/>
      <c r="N414" s="467"/>
      <c r="O414" s="467"/>
      <c r="P414" s="501"/>
      <c r="Q414" s="501"/>
      <c r="R414" s="501"/>
      <c r="S414" s="468"/>
    </row>
    <row r="415" spans="1:19" hidden="1">
      <c r="A415" s="469"/>
      <c r="B415" s="470"/>
      <c r="C415" s="472"/>
      <c r="D415" s="431">
        <f t="shared" si="21"/>
        <v>0</v>
      </c>
      <c r="E415" s="431">
        <f t="shared" si="21"/>
        <v>0</v>
      </c>
      <c r="F415" s="431">
        <f t="shared" si="21"/>
        <v>0</v>
      </c>
      <c r="G415" s="471"/>
      <c r="H415" s="471"/>
      <c r="I415" s="471"/>
      <c r="J415" s="471"/>
      <c r="K415" s="467"/>
      <c r="L415" s="467"/>
      <c r="M415" s="467"/>
      <c r="N415" s="467"/>
      <c r="O415" s="467"/>
      <c r="P415" s="501"/>
      <c r="Q415" s="501"/>
      <c r="R415" s="501"/>
      <c r="S415" s="468"/>
    </row>
    <row r="416" spans="1:19">
      <c r="A416" s="469">
        <v>2342113</v>
      </c>
      <c r="B416" s="470" t="s">
        <v>33</v>
      </c>
      <c r="C416" s="467"/>
      <c r="D416" s="431">
        <f t="shared" si="21"/>
        <v>0</v>
      </c>
      <c r="E416" s="431">
        <f t="shared" si="21"/>
        <v>0</v>
      </c>
      <c r="F416" s="431">
        <f t="shared" si="21"/>
        <v>0</v>
      </c>
      <c r="G416" s="472">
        <f>SUM(C417:C418)</f>
        <v>61500000</v>
      </c>
      <c r="H416" s="431">
        <f>SUM(G416*4/100)+G416</f>
        <v>63960000</v>
      </c>
      <c r="I416" s="431">
        <f>SUM(H416*4/100)+H416</f>
        <v>66518400</v>
      </c>
      <c r="J416" s="431">
        <f>SUM(I416*4/100)+I416</f>
        <v>69179136</v>
      </c>
      <c r="K416" s="467"/>
      <c r="L416" s="467"/>
      <c r="M416" s="467"/>
      <c r="N416" s="467"/>
      <c r="O416" s="467"/>
      <c r="P416" s="501"/>
      <c r="Q416" s="501"/>
      <c r="R416" s="501"/>
      <c r="S416" s="468"/>
    </row>
    <row r="417" spans="1:19">
      <c r="A417" s="473">
        <v>234211301</v>
      </c>
      <c r="B417" s="474" t="str">
        <f>+POAI!B275</f>
        <v>Subprograma: Continuación Régimen Subsidiado - Etesa</v>
      </c>
      <c r="C417" s="481">
        <v>6500000</v>
      </c>
      <c r="D417" s="431">
        <f t="shared" si="21"/>
        <v>6760000</v>
      </c>
      <c r="E417" s="431">
        <f t="shared" si="21"/>
        <v>7030400</v>
      </c>
      <c r="F417" s="431">
        <f t="shared" si="21"/>
        <v>7311616</v>
      </c>
      <c r="G417" s="471"/>
      <c r="H417" s="471"/>
      <c r="I417" s="471"/>
      <c r="J417" s="471"/>
      <c r="K417" s="467"/>
      <c r="L417" s="467"/>
      <c r="M417" s="467"/>
      <c r="N417" s="467"/>
      <c r="O417" s="467"/>
      <c r="P417" s="501"/>
      <c r="Q417" s="501"/>
      <c r="R417" s="501"/>
      <c r="S417" s="468"/>
    </row>
    <row r="418" spans="1:19">
      <c r="A418" s="473">
        <v>234211302</v>
      </c>
      <c r="B418" s="474" t="str">
        <f>+POAI!B276</f>
        <v>Subprograma: Continuación Régimen Subsidiado - FOSYGA</v>
      </c>
      <c r="C418" s="481">
        <f>+POAI!E276</f>
        <v>55000000</v>
      </c>
      <c r="D418" s="431">
        <f t="shared" si="21"/>
        <v>57200000</v>
      </c>
      <c r="E418" s="431">
        <f t="shared" si="21"/>
        <v>59488000</v>
      </c>
      <c r="F418" s="431">
        <f t="shared" si="21"/>
        <v>61867520</v>
      </c>
      <c r="G418" s="471"/>
      <c r="H418" s="471"/>
      <c r="I418" s="471"/>
      <c r="J418" s="471"/>
      <c r="K418" s="467"/>
      <c r="L418" s="467"/>
      <c r="M418" s="467"/>
      <c r="N418" s="467"/>
      <c r="O418" s="467"/>
      <c r="P418" s="501"/>
      <c r="Q418" s="501"/>
      <c r="R418" s="501"/>
      <c r="S418" s="468"/>
    </row>
    <row r="419" spans="1:19" hidden="1">
      <c r="A419" s="469"/>
      <c r="B419" s="470"/>
      <c r="C419" s="472"/>
      <c r="D419" s="431">
        <f t="shared" si="21"/>
        <v>0</v>
      </c>
      <c r="E419" s="431">
        <f t="shared" si="21"/>
        <v>0</v>
      </c>
      <c r="F419" s="431">
        <f t="shared" si="21"/>
        <v>0</v>
      </c>
      <c r="G419" s="471"/>
      <c r="H419" s="471"/>
      <c r="I419" s="471"/>
      <c r="J419" s="471"/>
      <c r="K419" s="467"/>
      <c r="L419" s="467"/>
      <c r="M419" s="467"/>
      <c r="N419" s="467"/>
      <c r="O419" s="467"/>
      <c r="P419" s="501"/>
      <c r="Q419" s="501"/>
      <c r="R419" s="501"/>
      <c r="S419" s="468"/>
    </row>
    <row r="420" spans="1:19">
      <c r="A420" s="469">
        <v>2342114</v>
      </c>
      <c r="B420" s="470" t="s">
        <v>624</v>
      </c>
      <c r="C420" s="467"/>
      <c r="D420" s="431"/>
      <c r="E420" s="431"/>
      <c r="F420" s="431"/>
      <c r="G420" s="472">
        <f>SUM(C421:C421)</f>
        <v>75400000</v>
      </c>
      <c r="H420" s="431">
        <f>SUM(G420*4/100)+G420</f>
        <v>78416000</v>
      </c>
      <c r="I420" s="431">
        <f>SUM(H420*4/100)+H420</f>
        <v>81552640</v>
      </c>
      <c r="J420" s="431">
        <f>SUM(I420*4/100)+I420</f>
        <v>84814745.599999994</v>
      </c>
      <c r="K420" s="467"/>
      <c r="L420" s="467"/>
      <c r="M420" s="467"/>
      <c r="N420" s="467"/>
      <c r="O420" s="467"/>
      <c r="P420" s="501"/>
      <c r="Q420" s="501"/>
      <c r="R420" s="501"/>
      <c r="S420" s="468"/>
    </row>
    <row r="421" spans="1:19" ht="25.5">
      <c r="A421" s="473">
        <v>234211401</v>
      </c>
      <c r="B421" s="474" t="str">
        <f>+POAI!B277</f>
        <v>Subprograma: Continuación Régimen Subsidiado - Aportes Depto</v>
      </c>
      <c r="C421" s="481">
        <f>+POAI!E277</f>
        <v>75400000</v>
      </c>
      <c r="D421" s="431">
        <f t="shared" si="21"/>
        <v>78416000</v>
      </c>
      <c r="E421" s="431">
        <f t="shared" si="21"/>
        <v>81552640</v>
      </c>
      <c r="F421" s="431">
        <f t="shared" si="21"/>
        <v>84814745.599999994</v>
      </c>
      <c r="G421" s="471"/>
      <c r="H421" s="471"/>
      <c r="I421" s="471"/>
      <c r="J421" s="471"/>
      <c r="K421" s="467"/>
      <c r="L421" s="467"/>
      <c r="M421" s="467"/>
      <c r="N421" s="467"/>
      <c r="O421" s="467"/>
      <c r="P421" s="501"/>
      <c r="Q421" s="501"/>
      <c r="R421" s="501"/>
      <c r="S421" s="468"/>
    </row>
    <row r="422" spans="1:19" hidden="1">
      <c r="A422" s="469"/>
      <c r="B422" s="470"/>
      <c r="C422" s="472"/>
      <c r="D422" s="431">
        <f t="shared" si="21"/>
        <v>0</v>
      </c>
      <c r="E422" s="431">
        <f t="shared" si="21"/>
        <v>0</v>
      </c>
      <c r="F422" s="431">
        <f t="shared" si="21"/>
        <v>0</v>
      </c>
      <c r="G422" s="471"/>
      <c r="H422" s="471"/>
      <c r="I422" s="471"/>
      <c r="J422" s="471"/>
      <c r="K422" s="467"/>
      <c r="L422" s="467"/>
      <c r="M422" s="467"/>
      <c r="N422" s="467"/>
      <c r="O422" s="467"/>
      <c r="P422" s="501"/>
      <c r="Q422" s="501"/>
      <c r="R422" s="501"/>
      <c r="S422" s="468"/>
    </row>
    <row r="423" spans="1:19" hidden="1">
      <c r="A423" s="469">
        <v>2342115</v>
      </c>
      <c r="B423" s="470" t="s">
        <v>113</v>
      </c>
      <c r="C423" s="467"/>
      <c r="D423" s="431">
        <f t="shared" si="21"/>
        <v>0</v>
      </c>
      <c r="E423" s="431">
        <f t="shared" si="21"/>
        <v>0</v>
      </c>
      <c r="F423" s="431">
        <f t="shared" si="21"/>
        <v>0</v>
      </c>
      <c r="G423" s="472">
        <f>+C424</f>
        <v>0</v>
      </c>
      <c r="H423" s="472"/>
      <c r="I423" s="472"/>
      <c r="J423" s="472"/>
      <c r="K423" s="467"/>
      <c r="L423" s="467"/>
      <c r="M423" s="467"/>
      <c r="N423" s="467"/>
      <c r="O423" s="467"/>
      <c r="P423" s="501"/>
      <c r="Q423" s="501"/>
      <c r="R423" s="501"/>
      <c r="S423" s="468"/>
    </row>
    <row r="424" spans="1:19" ht="25.5" hidden="1">
      <c r="A424" s="473">
        <v>234211501</v>
      </c>
      <c r="B424" s="474" t="str">
        <f>+POAI!B278</f>
        <v>Subprograma: Continuación Régimen Subsidiado - Recursos de Capital</v>
      </c>
      <c r="C424" s="481">
        <v>0</v>
      </c>
      <c r="D424" s="431">
        <f t="shared" si="21"/>
        <v>0</v>
      </c>
      <c r="E424" s="431">
        <f t="shared" si="21"/>
        <v>0</v>
      </c>
      <c r="F424" s="431">
        <f t="shared" si="21"/>
        <v>0</v>
      </c>
      <c r="G424" s="471"/>
      <c r="H424" s="471"/>
      <c r="I424" s="471"/>
      <c r="J424" s="471"/>
      <c r="K424" s="467"/>
      <c r="L424" s="467"/>
      <c r="M424" s="467"/>
      <c r="N424" s="467"/>
      <c r="O424" s="467"/>
      <c r="P424" s="501"/>
      <c r="Q424" s="501"/>
      <c r="R424" s="501"/>
      <c r="S424" s="468"/>
    </row>
    <row r="425" spans="1:19" hidden="1">
      <c r="A425" s="469"/>
      <c r="B425" s="470"/>
      <c r="C425" s="472"/>
      <c r="D425" s="431">
        <f t="shared" si="21"/>
        <v>0</v>
      </c>
      <c r="E425" s="431">
        <f t="shared" si="21"/>
        <v>0</v>
      </c>
      <c r="F425" s="431">
        <f t="shared" si="21"/>
        <v>0</v>
      </c>
      <c r="G425" s="471"/>
      <c r="H425" s="471"/>
      <c r="I425" s="471"/>
      <c r="J425" s="471"/>
      <c r="K425" s="467"/>
      <c r="L425" s="467"/>
      <c r="M425" s="467"/>
      <c r="N425" s="467"/>
      <c r="O425" s="467"/>
      <c r="P425" s="501"/>
      <c r="Q425" s="501"/>
      <c r="R425" s="501"/>
      <c r="S425" s="468"/>
    </row>
    <row r="426" spans="1:19">
      <c r="A426" s="469">
        <v>23422</v>
      </c>
      <c r="B426" s="477" t="str">
        <f>+POAI!B283</f>
        <v xml:space="preserve">PROGRAMA: ACCIONES DE SALUD PÚBLICA </v>
      </c>
      <c r="C426" s="467"/>
      <c r="D426" s="431"/>
      <c r="E426" s="431"/>
      <c r="F426" s="431"/>
      <c r="G426" s="472"/>
      <c r="H426" s="431"/>
      <c r="I426" s="431"/>
      <c r="J426" s="431"/>
      <c r="K426" s="467"/>
      <c r="L426" s="467"/>
      <c r="M426" s="467"/>
      <c r="N426" s="467"/>
      <c r="O426" s="467"/>
      <c r="P426" s="501"/>
      <c r="Q426" s="501"/>
      <c r="R426" s="501"/>
      <c r="S426" s="468"/>
    </row>
    <row r="427" spans="1:19" hidden="1">
      <c r="A427" s="469"/>
      <c r="B427" s="470"/>
      <c r="C427" s="472"/>
      <c r="D427" s="431">
        <f t="shared" si="21"/>
        <v>0</v>
      </c>
      <c r="E427" s="431">
        <f t="shared" si="21"/>
        <v>0</v>
      </c>
      <c r="F427" s="431">
        <f t="shared" si="21"/>
        <v>0</v>
      </c>
      <c r="G427" s="467"/>
      <c r="H427" s="467"/>
      <c r="I427" s="467"/>
      <c r="J427" s="467"/>
      <c r="K427" s="467"/>
      <c r="L427" s="467"/>
      <c r="M427" s="467"/>
      <c r="N427" s="467"/>
      <c r="O427" s="467"/>
      <c r="P427" s="501"/>
      <c r="Q427" s="501"/>
      <c r="R427" s="501"/>
      <c r="S427" s="468"/>
    </row>
    <row r="428" spans="1:19">
      <c r="A428" s="469">
        <v>234221</v>
      </c>
      <c r="B428" s="477" t="str">
        <f>+POAI!B283</f>
        <v xml:space="preserve">PROGRAMA: ACCIONES DE SALUD PÚBLICA </v>
      </c>
      <c r="C428" s="467"/>
      <c r="D428" s="431"/>
      <c r="E428" s="431"/>
      <c r="F428" s="431"/>
      <c r="G428" s="472">
        <f>SUM(C429:C429)</f>
        <v>21961605</v>
      </c>
      <c r="H428" s="431">
        <f>SUM(G428*4/100)+G428</f>
        <v>22840069.199999999</v>
      </c>
      <c r="I428" s="431">
        <f>SUM(H428*4/100)+H428</f>
        <v>23753671.967999998</v>
      </c>
      <c r="J428" s="431">
        <f>SUM(I428*4/100)+I428</f>
        <v>24703818.846719999</v>
      </c>
      <c r="K428" s="467"/>
      <c r="L428" s="467"/>
      <c r="M428" s="467"/>
      <c r="N428" s="467"/>
      <c r="O428" s="467"/>
      <c r="P428" s="501"/>
      <c r="Q428" s="501"/>
      <c r="R428" s="501"/>
      <c r="S428" s="468"/>
    </row>
    <row r="429" spans="1:19">
      <c r="A429" s="473">
        <v>23422101</v>
      </c>
      <c r="B429" s="474" t="str">
        <f>+POAI!B284</f>
        <v>Subprograma: Plan territorial de salud</v>
      </c>
      <c r="C429" s="475">
        <f>+POAI!C284</f>
        <v>21961605</v>
      </c>
      <c r="D429" s="431">
        <f t="shared" si="21"/>
        <v>22840069.199999999</v>
      </c>
      <c r="E429" s="431">
        <f t="shared" si="21"/>
        <v>23753671.967999998</v>
      </c>
      <c r="F429" s="431">
        <f t="shared" si="21"/>
        <v>24703818.846719999</v>
      </c>
      <c r="G429" s="467"/>
      <c r="H429" s="467"/>
      <c r="I429" s="467"/>
      <c r="J429" s="467"/>
      <c r="K429" s="467"/>
      <c r="L429" s="467"/>
      <c r="M429" s="467"/>
      <c r="N429" s="467"/>
      <c r="O429" s="467"/>
      <c r="P429" s="501"/>
      <c r="Q429" s="501"/>
      <c r="R429" s="501"/>
      <c r="S429" s="468"/>
    </row>
    <row r="430" spans="1:19" hidden="1">
      <c r="A430" s="469"/>
      <c r="B430" s="470"/>
      <c r="C430" s="472"/>
      <c r="D430" s="431">
        <f t="shared" si="21"/>
        <v>0</v>
      </c>
      <c r="E430" s="431">
        <f t="shared" si="21"/>
        <v>0</v>
      </c>
      <c r="F430" s="431">
        <f t="shared" si="21"/>
        <v>0</v>
      </c>
      <c r="G430" s="471"/>
      <c r="H430" s="471"/>
      <c r="I430" s="471"/>
      <c r="J430" s="471"/>
      <c r="K430" s="467"/>
      <c r="L430" s="467"/>
      <c r="M430" s="467"/>
      <c r="N430" s="467"/>
      <c r="O430" s="467"/>
      <c r="P430" s="501"/>
      <c r="Q430" s="501"/>
      <c r="R430" s="501"/>
      <c r="S430" s="468"/>
    </row>
    <row r="431" spans="1:19">
      <c r="A431" s="469">
        <v>2346</v>
      </c>
      <c r="B431" s="470" t="s">
        <v>46</v>
      </c>
      <c r="C431" s="471"/>
      <c r="D431" s="431"/>
      <c r="E431" s="431"/>
      <c r="F431" s="431"/>
      <c r="G431" s="472"/>
      <c r="H431" s="472"/>
      <c r="I431" s="472"/>
      <c r="J431" s="472"/>
      <c r="K431" s="460">
        <f>SUM(G433:G437)</f>
        <v>10000000</v>
      </c>
      <c r="L431" s="431">
        <f>SUM(K431*4/100)+K431</f>
        <v>10400000</v>
      </c>
      <c r="M431" s="431">
        <f>SUM(L431*4/100)+L431</f>
        <v>10816000</v>
      </c>
      <c r="N431" s="431">
        <f>SUM(M431*4/100)+M431</f>
        <v>11248640</v>
      </c>
      <c r="O431" s="467"/>
      <c r="P431" s="501"/>
      <c r="Q431" s="501"/>
      <c r="R431" s="501"/>
      <c r="S431" s="468"/>
    </row>
    <row r="432" spans="1:19" hidden="1">
      <c r="A432" s="469"/>
      <c r="B432" s="470"/>
      <c r="C432" s="472"/>
      <c r="D432" s="431">
        <f t="shared" si="21"/>
        <v>0</v>
      </c>
      <c r="E432" s="431">
        <f t="shared" si="21"/>
        <v>0</v>
      </c>
      <c r="F432" s="431">
        <f t="shared" si="21"/>
        <v>0</v>
      </c>
      <c r="G432" s="471"/>
      <c r="H432" s="471"/>
      <c r="I432" s="471"/>
      <c r="J432" s="471"/>
      <c r="K432" s="467"/>
      <c r="L432" s="467"/>
      <c r="M432" s="467"/>
      <c r="N432" s="467"/>
      <c r="O432" s="467"/>
      <c r="P432" s="501"/>
      <c r="Q432" s="501"/>
      <c r="R432" s="501"/>
      <c r="S432" s="468"/>
    </row>
    <row r="433" spans="1:19" ht="25.5">
      <c r="A433" s="469">
        <v>234602</v>
      </c>
      <c r="B433" s="477" t="str">
        <f>+POAI!B351</f>
        <v>PROGRAMA: MASIFICACIÓN DEL TIEMPO LIBRE Y RESCATE CULTURAL</v>
      </c>
      <c r="C433" s="471"/>
      <c r="D433" s="431"/>
      <c r="E433" s="431"/>
      <c r="F433" s="431"/>
      <c r="G433" s="472">
        <f>SUM(C434:C438)</f>
        <v>10000000</v>
      </c>
      <c r="H433" s="431">
        <f>SUM(G433*4/100)+G433</f>
        <v>10400000</v>
      </c>
      <c r="I433" s="431">
        <f>SUM(H433*4/100)+H433</f>
        <v>10816000</v>
      </c>
      <c r="J433" s="431">
        <f>SUM(I433*4/100)+I433</f>
        <v>11248640</v>
      </c>
      <c r="K433" s="467"/>
      <c r="L433" s="467"/>
      <c r="M433" s="467"/>
      <c r="N433" s="467"/>
      <c r="O433" s="467"/>
      <c r="P433" s="501"/>
      <c r="Q433" s="501"/>
      <c r="R433" s="501"/>
      <c r="S433" s="468"/>
    </row>
    <row r="434" spans="1:19">
      <c r="A434" s="473">
        <v>23460201</v>
      </c>
      <c r="B434" s="474" t="str">
        <f>+POAI!B352</f>
        <v xml:space="preserve">Subprograma: Promoción de eventos culturales </v>
      </c>
      <c r="C434" s="481">
        <f>+POAI!F352</f>
        <v>6000000</v>
      </c>
      <c r="D434" s="431">
        <f t="shared" si="21"/>
        <v>6240000</v>
      </c>
      <c r="E434" s="431">
        <f t="shared" si="21"/>
        <v>6489600</v>
      </c>
      <c r="F434" s="431">
        <f t="shared" si="21"/>
        <v>6749184</v>
      </c>
      <c r="G434" s="471"/>
      <c r="H434" s="471"/>
      <c r="I434" s="471"/>
      <c r="J434" s="471"/>
      <c r="K434" s="467"/>
      <c r="L434" s="467"/>
      <c r="M434" s="467"/>
      <c r="N434" s="467"/>
      <c r="O434" s="467"/>
      <c r="P434" s="501"/>
      <c r="Q434" s="501"/>
      <c r="R434" s="501"/>
      <c r="S434" s="468"/>
    </row>
    <row r="435" spans="1:19">
      <c r="A435" s="473">
        <v>23460204</v>
      </c>
      <c r="B435" s="474" t="str">
        <f>+POAI!B355</f>
        <v>Subprograma: 10% seguridad social gestor de cultura</v>
      </c>
      <c r="C435" s="481">
        <f>+POAI!F355</f>
        <v>1000000</v>
      </c>
      <c r="D435" s="431">
        <f t="shared" si="21"/>
        <v>1040000</v>
      </c>
      <c r="E435" s="431">
        <f t="shared" si="21"/>
        <v>1081600</v>
      </c>
      <c r="F435" s="431">
        <f t="shared" si="21"/>
        <v>1124864</v>
      </c>
      <c r="G435" s="471"/>
      <c r="H435" s="471"/>
      <c r="I435" s="471"/>
      <c r="J435" s="471"/>
      <c r="K435" s="467"/>
      <c r="L435" s="467"/>
      <c r="M435" s="467"/>
      <c r="N435" s="467"/>
      <c r="O435" s="467"/>
      <c r="P435" s="501"/>
      <c r="Q435" s="501"/>
      <c r="R435" s="501"/>
      <c r="S435" s="468"/>
    </row>
    <row r="436" spans="1:19">
      <c r="A436" s="473">
        <v>23460205</v>
      </c>
      <c r="B436" s="474" t="str">
        <f>+POAI!B356</f>
        <v>Subprograma: 20% fonpet</v>
      </c>
      <c r="C436" s="481">
        <f>+POAI!F356</f>
        <v>2000000</v>
      </c>
      <c r="D436" s="431">
        <f t="shared" si="21"/>
        <v>2080000</v>
      </c>
      <c r="E436" s="431">
        <f t="shared" si="21"/>
        <v>2163200</v>
      </c>
      <c r="F436" s="431">
        <f t="shared" si="21"/>
        <v>2249728</v>
      </c>
      <c r="G436" s="471"/>
      <c r="H436" s="471"/>
      <c r="I436" s="471"/>
      <c r="J436" s="471"/>
      <c r="K436" s="467"/>
      <c r="L436" s="467"/>
      <c r="M436" s="467"/>
      <c r="N436" s="467"/>
      <c r="O436" s="467"/>
      <c r="P436" s="501"/>
      <c r="Q436" s="501"/>
      <c r="R436" s="501"/>
      <c r="S436" s="468"/>
    </row>
    <row r="437" spans="1:19">
      <c r="A437" s="473">
        <v>23460206</v>
      </c>
      <c r="B437" s="474" t="str">
        <f>+POAI!B357</f>
        <v>Subprograma: 10% sostenimiento de bibliotecas publicas</v>
      </c>
      <c r="C437" s="481">
        <f>+POAI!F357</f>
        <v>1000000</v>
      </c>
      <c r="D437" s="431">
        <f t="shared" si="21"/>
        <v>1040000</v>
      </c>
      <c r="E437" s="431">
        <f t="shared" si="21"/>
        <v>1081600</v>
      </c>
      <c r="F437" s="431">
        <f t="shared" si="21"/>
        <v>1124864</v>
      </c>
      <c r="G437" s="471"/>
      <c r="H437" s="471"/>
      <c r="I437" s="471"/>
      <c r="J437" s="471"/>
      <c r="K437" s="467"/>
      <c r="L437" s="467"/>
      <c r="M437" s="467"/>
      <c r="N437" s="467"/>
      <c r="O437" s="467"/>
      <c r="P437" s="501"/>
      <c r="Q437" s="501"/>
      <c r="R437" s="501"/>
      <c r="S437" s="468"/>
    </row>
    <row r="438" spans="1:19" hidden="1">
      <c r="A438" s="469"/>
      <c r="B438" s="470"/>
      <c r="C438" s="472"/>
      <c r="D438" s="431">
        <f t="shared" si="21"/>
        <v>0</v>
      </c>
      <c r="E438" s="431">
        <f t="shared" si="21"/>
        <v>0</v>
      </c>
      <c r="F438" s="431">
        <f t="shared" si="21"/>
        <v>0</v>
      </c>
      <c r="G438" s="471"/>
      <c r="H438" s="471"/>
      <c r="I438" s="471"/>
      <c r="J438" s="471"/>
      <c r="K438" s="467"/>
      <c r="L438" s="467"/>
      <c r="M438" s="467"/>
      <c r="N438" s="467"/>
      <c r="O438" s="467"/>
      <c r="P438" s="501"/>
      <c r="Q438" s="501"/>
      <c r="R438" s="501"/>
      <c r="S438" s="468"/>
    </row>
    <row r="439" spans="1:19">
      <c r="A439" s="469">
        <v>2347</v>
      </c>
      <c r="B439" s="470" t="s">
        <v>43</v>
      </c>
      <c r="C439" s="471"/>
      <c r="D439" s="431">
        <f t="shared" si="21"/>
        <v>0</v>
      </c>
      <c r="E439" s="431">
        <f t="shared" si="21"/>
        <v>0</v>
      </c>
      <c r="F439" s="431">
        <f t="shared" si="21"/>
        <v>0</v>
      </c>
      <c r="G439" s="471"/>
      <c r="H439" s="471"/>
      <c r="I439" s="471"/>
      <c r="J439" s="471"/>
      <c r="K439" s="472">
        <f>+G441</f>
        <v>7000000</v>
      </c>
      <c r="L439" s="431">
        <f>SUM(K439*4/100)+K439</f>
        <v>7280000</v>
      </c>
      <c r="M439" s="431">
        <f>SUM(L439*4/100)+L439</f>
        <v>7571200</v>
      </c>
      <c r="N439" s="431">
        <f>SUM(M439*4/100)+M439</f>
        <v>7874048</v>
      </c>
      <c r="O439" s="467"/>
      <c r="P439" s="501"/>
      <c r="Q439" s="501"/>
      <c r="R439" s="501"/>
      <c r="S439" s="468"/>
    </row>
    <row r="440" spans="1:19" hidden="1">
      <c r="A440" s="469"/>
      <c r="B440" s="470"/>
      <c r="C440" s="472"/>
      <c r="D440" s="431">
        <f t="shared" si="21"/>
        <v>0</v>
      </c>
      <c r="E440" s="431">
        <f t="shared" si="21"/>
        <v>0</v>
      </c>
      <c r="F440" s="431">
        <f t="shared" si="21"/>
        <v>0</v>
      </c>
      <c r="G440" s="471"/>
      <c r="H440" s="471"/>
      <c r="I440" s="471"/>
      <c r="J440" s="471"/>
      <c r="K440" s="467"/>
      <c r="L440" s="467"/>
      <c r="M440" s="467"/>
      <c r="N440" s="467"/>
      <c r="O440" s="467"/>
      <c r="P440" s="501"/>
      <c r="Q440" s="501"/>
      <c r="R440" s="501"/>
      <c r="S440" s="468"/>
    </row>
    <row r="441" spans="1:19" ht="25.5">
      <c r="A441" s="469">
        <v>234712</v>
      </c>
      <c r="B441" s="477" t="str">
        <f>+POAI!B391</f>
        <v>PROGRAMA: PREVENCIÓN Y ATENCIÓN DE DESASTRES</v>
      </c>
      <c r="C441" s="471"/>
      <c r="D441" s="431">
        <f t="shared" si="21"/>
        <v>0</v>
      </c>
      <c r="E441" s="431">
        <f t="shared" si="21"/>
        <v>0</v>
      </c>
      <c r="F441" s="431">
        <f t="shared" si="21"/>
        <v>0</v>
      </c>
      <c r="G441" s="472">
        <f>SUM(C442:C442)</f>
        <v>7000000</v>
      </c>
      <c r="H441" s="431">
        <f>SUM(G441*4/100)+G441</f>
        <v>7280000</v>
      </c>
      <c r="I441" s="431">
        <f>SUM(H441*4/100)+H441</f>
        <v>7571200</v>
      </c>
      <c r="J441" s="431">
        <f>SUM(I441*4/100)+I441</f>
        <v>7874048</v>
      </c>
      <c r="K441" s="467"/>
      <c r="L441" s="467"/>
      <c r="M441" s="467"/>
      <c r="N441" s="467"/>
      <c r="O441" s="467"/>
      <c r="P441" s="501"/>
      <c r="Q441" s="501"/>
      <c r="R441" s="501"/>
      <c r="S441" s="468"/>
    </row>
    <row r="442" spans="1:19">
      <c r="A442" s="473">
        <v>23471203</v>
      </c>
      <c r="B442" s="474" t="str">
        <f>+POAI!B394</f>
        <v xml:space="preserve">Subprograma: Servicio de cuerpo de bomberos </v>
      </c>
      <c r="C442" s="481">
        <v>7000000</v>
      </c>
      <c r="D442" s="431">
        <f t="shared" si="21"/>
        <v>7280000</v>
      </c>
      <c r="E442" s="431">
        <f t="shared" si="21"/>
        <v>7571200</v>
      </c>
      <c r="F442" s="431">
        <f t="shared" si="21"/>
        <v>7874048</v>
      </c>
      <c r="G442" s="471"/>
      <c r="H442" s="471"/>
      <c r="I442" s="471"/>
      <c r="J442" s="471"/>
      <c r="K442" s="467"/>
      <c r="L442" s="467"/>
      <c r="M442" s="467"/>
      <c r="N442" s="467"/>
      <c r="O442" s="467"/>
      <c r="P442" s="501"/>
      <c r="Q442" s="501"/>
      <c r="R442" s="501"/>
      <c r="S442" s="468"/>
    </row>
    <row r="443" spans="1:19" hidden="1">
      <c r="A443" s="469"/>
      <c r="B443" s="470"/>
      <c r="C443" s="472"/>
      <c r="D443" s="431">
        <f t="shared" si="21"/>
        <v>0</v>
      </c>
      <c r="E443" s="431">
        <f t="shared" si="21"/>
        <v>0</v>
      </c>
      <c r="F443" s="431">
        <f t="shared" si="21"/>
        <v>0</v>
      </c>
      <c r="G443" s="471"/>
      <c r="H443" s="471"/>
      <c r="I443" s="471"/>
      <c r="J443" s="471"/>
      <c r="K443" s="467"/>
      <c r="L443" s="467"/>
      <c r="M443" s="467"/>
      <c r="N443" s="467"/>
      <c r="O443" s="467"/>
      <c r="P443" s="501"/>
      <c r="Q443" s="501"/>
      <c r="R443" s="501"/>
      <c r="S443" s="468"/>
    </row>
    <row r="444" spans="1:19" ht="25.5">
      <c r="A444" s="469">
        <v>2348</v>
      </c>
      <c r="B444" s="470" t="s">
        <v>39</v>
      </c>
      <c r="C444" s="471"/>
      <c r="D444" s="431">
        <f t="shared" si="21"/>
        <v>0</v>
      </c>
      <c r="E444" s="431">
        <f t="shared" si="21"/>
        <v>0</v>
      </c>
      <c r="F444" s="431">
        <f t="shared" si="21"/>
        <v>0</v>
      </c>
      <c r="G444" s="471"/>
      <c r="H444" s="471"/>
      <c r="I444" s="471"/>
      <c r="J444" s="471"/>
      <c r="K444" s="472">
        <f>+G446</f>
        <v>5000000</v>
      </c>
      <c r="L444" s="431">
        <f>SUM(K444*4/100)+K444</f>
        <v>5200000</v>
      </c>
      <c r="M444" s="431">
        <f>SUM(L444*4/100)+L444</f>
        <v>5408000</v>
      </c>
      <c r="N444" s="431">
        <f>SUM(M444*4/100)+M444</f>
        <v>5624320</v>
      </c>
      <c r="O444" s="467"/>
      <c r="P444" s="501"/>
      <c r="Q444" s="501"/>
      <c r="R444" s="501"/>
      <c r="S444" s="468"/>
    </row>
    <row r="445" spans="1:19" hidden="1">
      <c r="A445" s="469"/>
      <c r="B445" s="470"/>
      <c r="C445" s="472"/>
      <c r="D445" s="431">
        <f t="shared" si="21"/>
        <v>0</v>
      </c>
      <c r="E445" s="431">
        <f t="shared" si="21"/>
        <v>0</v>
      </c>
      <c r="F445" s="431">
        <f t="shared" si="21"/>
        <v>0</v>
      </c>
      <c r="G445" s="471"/>
      <c r="H445" s="471"/>
      <c r="I445" s="471"/>
      <c r="J445" s="471"/>
      <c r="K445" s="467"/>
      <c r="L445" s="467"/>
      <c r="M445" s="467"/>
      <c r="N445" s="467"/>
      <c r="O445" s="467"/>
      <c r="P445" s="501"/>
      <c r="Q445" s="501"/>
      <c r="R445" s="501"/>
      <c r="S445" s="468"/>
    </row>
    <row r="446" spans="1:19">
      <c r="A446" s="469">
        <v>234814</v>
      </c>
      <c r="B446" s="477" t="str">
        <f>+POAI!B400</f>
        <v>PROGRAMA: POBLACIÓN VULNERABLE</v>
      </c>
      <c r="C446" s="471"/>
      <c r="D446" s="431">
        <f t="shared" si="21"/>
        <v>0</v>
      </c>
      <c r="E446" s="431">
        <f t="shared" si="21"/>
        <v>0</v>
      </c>
      <c r="F446" s="431">
        <f t="shared" si="21"/>
        <v>0</v>
      </c>
      <c r="G446" s="472">
        <f>+C447</f>
        <v>5000000</v>
      </c>
      <c r="H446" s="431">
        <f>SUM(G446*4/100)+G446</f>
        <v>5200000</v>
      </c>
      <c r="I446" s="431">
        <f>SUM(H446*4/100)+H446</f>
        <v>5408000</v>
      </c>
      <c r="J446" s="431">
        <f>SUM(I446*4/100)+I446</f>
        <v>5624320</v>
      </c>
      <c r="K446" s="467"/>
      <c r="L446" s="467"/>
      <c r="M446" s="467"/>
      <c r="N446" s="467"/>
      <c r="O446" s="467"/>
      <c r="P446" s="501"/>
      <c r="Q446" s="501"/>
      <c r="R446" s="501"/>
      <c r="S446" s="468"/>
    </row>
    <row r="447" spans="1:19">
      <c r="A447" s="473">
        <v>23481411</v>
      </c>
      <c r="B447" s="474" t="str">
        <f>+POAI!B411</f>
        <v>Subprograma: Atenciòn al adulto mayor</v>
      </c>
      <c r="C447" s="481">
        <f>+POAI!F411</f>
        <v>5000000</v>
      </c>
      <c r="D447" s="431">
        <f t="shared" si="21"/>
        <v>5200000</v>
      </c>
      <c r="E447" s="431">
        <f t="shared" si="21"/>
        <v>5408000</v>
      </c>
      <c r="F447" s="431">
        <f t="shared" si="21"/>
        <v>5624320</v>
      </c>
      <c r="G447" s="471"/>
      <c r="H447" s="471"/>
      <c r="I447" s="471"/>
      <c r="J447" s="471"/>
      <c r="K447" s="467"/>
      <c r="L447" s="467"/>
      <c r="M447" s="467"/>
      <c r="N447" s="467"/>
      <c r="O447" s="467"/>
      <c r="P447" s="501"/>
      <c r="Q447" s="501"/>
      <c r="R447" s="501"/>
      <c r="S447" s="468"/>
    </row>
    <row r="448" spans="1:19" hidden="1">
      <c r="A448" s="469"/>
      <c r="B448" s="470"/>
      <c r="C448" s="472"/>
      <c r="D448" s="431">
        <f t="shared" si="21"/>
        <v>0</v>
      </c>
      <c r="E448" s="431">
        <f t="shared" si="21"/>
        <v>0</v>
      </c>
      <c r="F448" s="431">
        <f t="shared" si="21"/>
        <v>0</v>
      </c>
      <c r="G448" s="471"/>
      <c r="H448" s="471"/>
      <c r="I448" s="471"/>
      <c r="J448" s="471"/>
      <c r="K448" s="467"/>
      <c r="L448" s="467"/>
      <c r="M448" s="467"/>
      <c r="N448" s="467"/>
      <c r="O448" s="467"/>
      <c r="P448" s="501"/>
      <c r="Q448" s="501"/>
      <c r="R448" s="501"/>
      <c r="S448" s="468"/>
    </row>
    <row r="449" spans="1:19">
      <c r="A449" s="469">
        <v>2349</v>
      </c>
      <c r="B449" s="470" t="s">
        <v>41</v>
      </c>
      <c r="C449" s="471"/>
      <c r="D449" s="431">
        <f t="shared" ref="D449:F459" si="22">SUM(C449*4/100)+C449</f>
        <v>0</v>
      </c>
      <c r="E449" s="431">
        <f t="shared" si="22"/>
        <v>0</v>
      </c>
      <c r="F449" s="431">
        <f t="shared" si="22"/>
        <v>0</v>
      </c>
      <c r="G449" s="471"/>
      <c r="H449" s="471"/>
      <c r="I449" s="471"/>
      <c r="J449" s="471"/>
      <c r="K449" s="472">
        <f>+G451</f>
        <v>12000000</v>
      </c>
      <c r="L449" s="431">
        <f>SUM(K449*4/100)+K449</f>
        <v>12480000</v>
      </c>
      <c r="M449" s="431">
        <f>SUM(L449*4/100)+L449</f>
        <v>12979200</v>
      </c>
      <c r="N449" s="431">
        <f>SUM(M449*4/100)+M449</f>
        <v>13498368</v>
      </c>
      <c r="O449" s="467"/>
      <c r="P449" s="501"/>
      <c r="Q449" s="501"/>
      <c r="R449" s="501"/>
      <c r="S449" s="468"/>
    </row>
    <row r="450" spans="1:19" hidden="1">
      <c r="A450" s="469"/>
      <c r="B450" s="470"/>
      <c r="C450" s="472"/>
      <c r="D450" s="431">
        <f t="shared" si="22"/>
        <v>0</v>
      </c>
      <c r="E450" s="431">
        <f t="shared" si="22"/>
        <v>0</v>
      </c>
      <c r="F450" s="431">
        <f t="shared" si="22"/>
        <v>0</v>
      </c>
      <c r="G450" s="471"/>
      <c r="H450" s="471"/>
      <c r="I450" s="471"/>
      <c r="J450" s="471"/>
      <c r="K450" s="467"/>
      <c r="L450" s="467"/>
      <c r="M450" s="467"/>
      <c r="N450" s="467"/>
      <c r="O450" s="467"/>
      <c r="P450" s="501"/>
      <c r="Q450" s="501"/>
      <c r="R450" s="501"/>
      <c r="S450" s="468"/>
    </row>
    <row r="451" spans="1:19">
      <c r="A451" s="469">
        <v>234918</v>
      </c>
      <c r="B451" s="477" t="str">
        <f>+POAI!B437</f>
        <v>PROGRAMA: JUSTICIA</v>
      </c>
      <c r="C451" s="471"/>
      <c r="D451" s="431">
        <f t="shared" si="22"/>
        <v>0</v>
      </c>
      <c r="E451" s="431">
        <f t="shared" si="22"/>
        <v>0</v>
      </c>
      <c r="F451" s="431">
        <f t="shared" si="22"/>
        <v>0</v>
      </c>
      <c r="G451" s="472">
        <f>+C452</f>
        <v>12000000</v>
      </c>
      <c r="H451" s="431">
        <f>SUM(G451*4/100)+G451</f>
        <v>12480000</v>
      </c>
      <c r="I451" s="431">
        <f>SUM(H451*4/100)+H451</f>
        <v>12979200</v>
      </c>
      <c r="J451" s="431">
        <f>SUM(I451*4/100)+I451</f>
        <v>13498368</v>
      </c>
      <c r="K451" s="467"/>
      <c r="L451" s="467"/>
      <c r="M451" s="467"/>
      <c r="N451" s="467"/>
      <c r="O451" s="467"/>
      <c r="P451" s="501"/>
      <c r="Q451" s="501"/>
      <c r="R451" s="501"/>
      <c r="S451" s="468"/>
    </row>
    <row r="452" spans="1:19">
      <c r="A452" s="473">
        <v>23451803</v>
      </c>
      <c r="B452" s="474" t="str">
        <f>+POAI!B440</f>
        <v>Subprograma: Fondo de protección ciudadana</v>
      </c>
      <c r="C452" s="481">
        <f>+POAI!F440</f>
        <v>12000000</v>
      </c>
      <c r="D452" s="431">
        <f t="shared" si="22"/>
        <v>12480000</v>
      </c>
      <c r="E452" s="431">
        <f t="shared" si="22"/>
        <v>12979200</v>
      </c>
      <c r="F452" s="431">
        <f t="shared" si="22"/>
        <v>13498368</v>
      </c>
      <c r="G452" s="471"/>
      <c r="H452" s="471"/>
      <c r="I452" s="471"/>
      <c r="J452" s="471"/>
      <c r="K452" s="467"/>
      <c r="L452" s="467"/>
      <c r="M452" s="467"/>
      <c r="N452" s="467"/>
      <c r="O452" s="467"/>
      <c r="P452" s="501"/>
      <c r="Q452" s="501"/>
      <c r="R452" s="501"/>
      <c r="S452" s="468"/>
    </row>
    <row r="453" spans="1:19" hidden="1">
      <c r="A453" s="469"/>
      <c r="B453" s="470"/>
      <c r="C453" s="472"/>
      <c r="D453" s="431">
        <f t="shared" si="22"/>
        <v>0</v>
      </c>
      <c r="E453" s="431">
        <f t="shared" si="22"/>
        <v>0</v>
      </c>
      <c r="F453" s="431">
        <f t="shared" si="22"/>
        <v>0</v>
      </c>
      <c r="G453" s="471"/>
      <c r="H453" s="471"/>
      <c r="I453" s="471"/>
      <c r="J453" s="471"/>
      <c r="K453" s="467"/>
      <c r="L453" s="467"/>
      <c r="M453" s="467"/>
      <c r="N453" s="467"/>
      <c r="O453" s="467"/>
      <c r="P453" s="501"/>
      <c r="Q453" s="501"/>
      <c r="R453" s="501"/>
      <c r="S453" s="468"/>
    </row>
    <row r="454" spans="1:19" hidden="1">
      <c r="A454" s="469">
        <v>235</v>
      </c>
      <c r="B454" s="470" t="s">
        <v>112</v>
      </c>
      <c r="C454" s="471"/>
      <c r="D454" s="431">
        <f t="shared" si="22"/>
        <v>0</v>
      </c>
      <c r="E454" s="431">
        <f t="shared" si="22"/>
        <v>0</v>
      </c>
      <c r="F454" s="431">
        <f t="shared" si="22"/>
        <v>0</v>
      </c>
      <c r="G454" s="471"/>
      <c r="H454" s="471"/>
      <c r="I454" s="471"/>
      <c r="J454" s="471"/>
      <c r="K454" s="467"/>
      <c r="L454" s="467"/>
      <c r="M454" s="467"/>
      <c r="N454" s="467"/>
      <c r="O454" s="472">
        <f>+K456</f>
        <v>0</v>
      </c>
      <c r="P454" s="502"/>
      <c r="Q454" s="502"/>
      <c r="R454" s="502"/>
      <c r="S454" s="468"/>
    </row>
    <row r="455" spans="1:19" hidden="1">
      <c r="A455" s="482"/>
      <c r="B455" s="467"/>
      <c r="C455" s="467"/>
      <c r="D455" s="431">
        <f t="shared" si="22"/>
        <v>0</v>
      </c>
      <c r="E455" s="431">
        <f t="shared" si="22"/>
        <v>0</v>
      </c>
      <c r="F455" s="431">
        <f t="shared" si="22"/>
        <v>0</v>
      </c>
      <c r="G455" s="467"/>
      <c r="H455" s="467"/>
      <c r="I455" s="467"/>
      <c r="J455" s="467"/>
      <c r="K455" s="467"/>
      <c r="L455" s="467"/>
      <c r="M455" s="467"/>
      <c r="N455" s="467"/>
      <c r="O455" s="467"/>
      <c r="P455" s="501"/>
      <c r="Q455" s="501"/>
      <c r="R455" s="501"/>
      <c r="S455" s="468"/>
    </row>
    <row r="456" spans="1:19" ht="25.5" hidden="1">
      <c r="A456" s="469">
        <v>2351</v>
      </c>
      <c r="B456" s="470" t="s">
        <v>21</v>
      </c>
      <c r="C456" s="467"/>
      <c r="D456" s="431">
        <f t="shared" si="22"/>
        <v>0</v>
      </c>
      <c r="E456" s="431">
        <f t="shared" si="22"/>
        <v>0</v>
      </c>
      <c r="F456" s="431">
        <f t="shared" si="22"/>
        <v>0</v>
      </c>
      <c r="G456" s="471"/>
      <c r="H456" s="471"/>
      <c r="I456" s="471"/>
      <c r="J456" s="471"/>
      <c r="K456" s="472">
        <f>+G457+G458</f>
        <v>0</v>
      </c>
      <c r="L456" s="472"/>
      <c r="M456" s="472"/>
      <c r="N456" s="472"/>
      <c r="O456" s="467"/>
      <c r="P456" s="501"/>
      <c r="Q456" s="501"/>
      <c r="R456" s="501"/>
      <c r="S456" s="468"/>
    </row>
    <row r="457" spans="1:19" ht="25.5" hidden="1">
      <c r="A457" s="469">
        <v>235101</v>
      </c>
      <c r="B457" s="470" t="s">
        <v>22</v>
      </c>
      <c r="C457" s="467"/>
      <c r="D457" s="431">
        <f t="shared" si="22"/>
        <v>0</v>
      </c>
      <c r="E457" s="431">
        <f t="shared" si="22"/>
        <v>0</v>
      </c>
      <c r="F457" s="431">
        <f t="shared" si="22"/>
        <v>0</v>
      </c>
      <c r="G457" s="472">
        <v>0</v>
      </c>
      <c r="H457" s="472"/>
      <c r="I457" s="472"/>
      <c r="J457" s="472"/>
      <c r="K457" s="467"/>
      <c r="L457" s="467"/>
      <c r="M457" s="467"/>
      <c r="N457" s="467"/>
      <c r="O457" s="467"/>
      <c r="P457" s="501"/>
      <c r="Q457" s="501"/>
      <c r="R457" s="501"/>
      <c r="S457" s="468"/>
    </row>
    <row r="458" spans="1:19" hidden="1">
      <c r="A458" s="469">
        <v>235102</v>
      </c>
      <c r="B458" s="470" t="s">
        <v>23</v>
      </c>
      <c r="C458" s="467"/>
      <c r="D458" s="431">
        <f t="shared" si="22"/>
        <v>0</v>
      </c>
      <c r="E458" s="431">
        <f t="shared" si="22"/>
        <v>0</v>
      </c>
      <c r="F458" s="431">
        <f t="shared" si="22"/>
        <v>0</v>
      </c>
      <c r="G458" s="472">
        <v>0</v>
      </c>
      <c r="H458" s="472"/>
      <c r="I458" s="472"/>
      <c r="J458" s="472"/>
      <c r="K458" s="467"/>
      <c r="L458" s="467"/>
      <c r="M458" s="467"/>
      <c r="N458" s="467"/>
      <c r="O458" s="467"/>
      <c r="P458" s="501"/>
      <c r="Q458" s="501"/>
      <c r="R458" s="501"/>
      <c r="S458" s="468"/>
    </row>
    <row r="459" spans="1:19" ht="13.5" hidden="1" thickBot="1">
      <c r="A459" s="483"/>
      <c r="B459" s="484"/>
      <c r="C459" s="484"/>
      <c r="D459" s="431">
        <f t="shared" si="22"/>
        <v>0</v>
      </c>
      <c r="E459" s="431">
        <f t="shared" si="22"/>
        <v>0</v>
      </c>
      <c r="F459" s="431">
        <f t="shared" si="22"/>
        <v>0</v>
      </c>
      <c r="G459" s="484"/>
      <c r="H459" s="484"/>
      <c r="I459" s="484"/>
      <c r="J459" s="484"/>
      <c r="K459" s="484"/>
      <c r="L459" s="484"/>
      <c r="M459" s="484"/>
      <c r="N459" s="484"/>
      <c r="O459" s="484"/>
      <c r="P459" s="503"/>
      <c r="Q459" s="503"/>
      <c r="R459" s="503"/>
      <c r="S459" s="485"/>
    </row>
    <row r="460" spans="1:19">
      <c r="A460" s="450"/>
      <c r="B460" s="441"/>
      <c r="C460" s="441"/>
      <c r="D460" s="441"/>
      <c r="E460" s="441"/>
      <c r="F460" s="441"/>
      <c r="G460" s="441"/>
      <c r="H460" s="441"/>
      <c r="I460" s="441"/>
      <c r="J460" s="441"/>
      <c r="K460" s="441"/>
      <c r="L460" s="441"/>
      <c r="M460" s="441"/>
      <c r="N460" s="441"/>
      <c r="O460" s="441"/>
      <c r="P460" s="441"/>
      <c r="Q460" s="441"/>
      <c r="R460" s="441"/>
      <c r="S460" s="441"/>
    </row>
    <row r="461" spans="1:19">
      <c r="A461" s="450"/>
      <c r="B461" s="441"/>
      <c r="C461" s="441"/>
      <c r="D461" s="441"/>
      <c r="E461" s="441"/>
      <c r="F461" s="441"/>
      <c r="G461" s="441"/>
      <c r="H461" s="441"/>
      <c r="I461" s="441"/>
      <c r="J461" s="441"/>
      <c r="K461" s="441"/>
      <c r="L461" s="441"/>
      <c r="M461" s="441"/>
      <c r="N461" s="441"/>
      <c r="O461" s="441"/>
      <c r="P461" s="441"/>
      <c r="Q461" s="441"/>
      <c r="R461" s="441"/>
      <c r="S461" s="441"/>
    </row>
    <row r="462" spans="1:19" s="425" customFormat="1" ht="27.75" customHeight="1">
      <c r="A462" s="517"/>
      <c r="B462" s="517"/>
      <c r="C462" s="517"/>
      <c r="D462" s="517"/>
      <c r="E462" s="517"/>
      <c r="F462" s="517"/>
      <c r="G462" s="517"/>
      <c r="H462" s="517"/>
      <c r="I462" s="517"/>
      <c r="J462" s="517"/>
      <c r="K462" s="517"/>
      <c r="L462" s="517"/>
      <c r="M462" s="517"/>
      <c r="N462" s="517"/>
      <c r="O462" s="517"/>
      <c r="P462" s="517"/>
      <c r="Q462" s="517"/>
      <c r="R462" s="517"/>
      <c r="S462" s="517"/>
    </row>
    <row r="463" spans="1:19">
      <c r="A463" s="486"/>
      <c r="B463" s="486"/>
      <c r="C463" s="441"/>
      <c r="D463" s="441"/>
      <c r="E463" s="441"/>
      <c r="F463" s="441"/>
      <c r="G463" s="441"/>
      <c r="H463" s="441"/>
      <c r="I463" s="441"/>
      <c r="J463" s="441"/>
      <c r="K463" s="441"/>
      <c r="L463" s="441"/>
      <c r="M463" s="441"/>
      <c r="N463" s="441"/>
      <c r="S463" s="276"/>
    </row>
    <row r="464" spans="1:19">
      <c r="A464" s="441"/>
      <c r="B464" s="441"/>
      <c r="C464" s="441"/>
      <c r="D464" s="441"/>
      <c r="E464" s="441"/>
      <c r="F464" s="441"/>
      <c r="G464" s="441"/>
      <c r="H464" s="441"/>
      <c r="I464" s="441"/>
      <c r="J464" s="441"/>
      <c r="K464" s="441"/>
      <c r="L464" s="441"/>
      <c r="M464" s="441"/>
      <c r="N464" s="441"/>
      <c r="S464" s="276"/>
    </row>
    <row r="465" spans="1:19">
      <c r="A465" s="441"/>
      <c r="B465" s="441"/>
      <c r="C465" s="441"/>
      <c r="D465" s="441"/>
      <c r="E465" s="441"/>
      <c r="F465" s="441"/>
      <c r="G465" s="441"/>
      <c r="H465" s="441"/>
      <c r="I465" s="441"/>
      <c r="J465" s="441"/>
      <c r="K465" s="441"/>
      <c r="L465" s="441"/>
      <c r="M465" s="441"/>
      <c r="N465" s="441"/>
      <c r="O465" s="441"/>
      <c r="P465" s="441"/>
      <c r="Q465" s="441"/>
      <c r="R465" s="441"/>
      <c r="S465" s="276"/>
    </row>
    <row r="466" spans="1:19">
      <c r="A466" s="420" t="s">
        <v>631</v>
      </c>
      <c r="B466" s="441"/>
      <c r="C466" s="441"/>
      <c r="D466" s="441"/>
      <c r="E466" s="441"/>
      <c r="F466" s="441"/>
      <c r="G466" s="420" t="s">
        <v>630</v>
      </c>
      <c r="H466" s="420"/>
      <c r="I466" s="420"/>
      <c r="J466" s="420"/>
      <c r="K466" s="441"/>
      <c r="L466" s="441"/>
      <c r="M466" s="441"/>
      <c r="N466" s="441"/>
      <c r="O466" s="276"/>
      <c r="P466" s="276"/>
      <c r="Q466" s="276"/>
      <c r="R466" s="276"/>
      <c r="S466" s="276"/>
    </row>
    <row r="467" spans="1:19">
      <c r="A467" s="130" t="s">
        <v>202</v>
      </c>
      <c r="B467" s="441"/>
      <c r="C467" s="441"/>
      <c r="D467" s="441"/>
      <c r="E467" s="441"/>
      <c r="F467" s="441"/>
      <c r="G467" s="130" t="s">
        <v>502</v>
      </c>
      <c r="H467" s="130"/>
      <c r="I467" s="130"/>
      <c r="J467" s="130"/>
      <c r="K467" s="441"/>
      <c r="L467" s="441"/>
      <c r="M467" s="441"/>
      <c r="N467" s="441"/>
      <c r="O467" s="276"/>
      <c r="P467" s="276"/>
      <c r="Q467" s="276"/>
      <c r="R467" s="276"/>
      <c r="S467" s="276"/>
    </row>
    <row r="468" spans="1:19">
      <c r="A468" s="130"/>
      <c r="B468" s="441"/>
      <c r="C468" s="441"/>
      <c r="D468" s="441"/>
      <c r="E468" s="441"/>
      <c r="F468" s="441"/>
      <c r="G468" s="130"/>
      <c r="H468" s="130"/>
      <c r="I468" s="130"/>
      <c r="J468" s="130"/>
      <c r="K468" s="441"/>
      <c r="L468" s="441"/>
      <c r="M468" s="441"/>
      <c r="N468" s="441"/>
      <c r="O468" s="276"/>
      <c r="P468" s="276"/>
      <c r="Q468" s="276"/>
      <c r="R468" s="276"/>
      <c r="S468" s="276"/>
    </row>
    <row r="469" spans="1:19">
      <c r="A469" s="130"/>
      <c r="B469" s="441"/>
      <c r="C469" s="441"/>
      <c r="D469" s="441"/>
      <c r="E469" s="441"/>
      <c r="F469" s="441"/>
      <c r="G469" s="130"/>
      <c r="H469" s="130"/>
      <c r="I469" s="130"/>
      <c r="J469" s="130"/>
      <c r="K469" s="441"/>
      <c r="L469" s="441"/>
      <c r="M469" s="441"/>
      <c r="N469" s="441"/>
      <c r="O469" s="276"/>
      <c r="P469" s="276"/>
      <c r="Q469" s="276"/>
      <c r="R469" s="276"/>
      <c r="S469" s="276"/>
    </row>
    <row r="470" spans="1:19">
      <c r="A470" s="130"/>
      <c r="B470" s="441"/>
      <c r="C470" s="441"/>
      <c r="D470" s="441"/>
      <c r="E470" s="441"/>
      <c r="F470" s="441"/>
      <c r="G470" s="130"/>
      <c r="H470" s="130"/>
      <c r="I470" s="130"/>
      <c r="J470" s="130"/>
      <c r="K470" s="441"/>
      <c r="L470" s="441"/>
      <c r="M470" s="441"/>
      <c r="N470" s="441"/>
      <c r="O470" s="276"/>
      <c r="P470" s="276"/>
      <c r="Q470" s="276"/>
      <c r="R470" s="276"/>
      <c r="S470" s="276"/>
    </row>
    <row r="471" spans="1:19">
      <c r="A471" s="420" t="s">
        <v>365</v>
      </c>
      <c r="B471" s="441"/>
      <c r="C471" s="441"/>
      <c r="D471" s="441"/>
      <c r="E471" s="441"/>
      <c r="F471" s="441"/>
      <c r="G471" s="420" t="s">
        <v>501</v>
      </c>
      <c r="H471" s="420"/>
      <c r="I471" s="420"/>
      <c r="J471" s="420"/>
      <c r="K471" s="441"/>
      <c r="L471" s="441"/>
      <c r="M471" s="441"/>
      <c r="N471" s="441"/>
      <c r="O471" s="276"/>
      <c r="P471" s="276"/>
      <c r="Q471" s="276"/>
      <c r="R471" s="276"/>
      <c r="S471" s="276"/>
    </row>
    <row r="472" spans="1:19">
      <c r="A472" s="130" t="s">
        <v>366</v>
      </c>
      <c r="B472" s="441"/>
      <c r="C472" s="441"/>
      <c r="D472" s="441"/>
      <c r="E472" s="441"/>
      <c r="F472" s="441"/>
      <c r="G472" s="130" t="s">
        <v>201</v>
      </c>
      <c r="H472" s="130"/>
      <c r="I472" s="130"/>
      <c r="J472" s="130"/>
      <c r="K472" s="441"/>
      <c r="L472" s="441"/>
      <c r="M472" s="441"/>
      <c r="N472" s="441"/>
      <c r="O472" s="276"/>
      <c r="P472" s="276"/>
      <c r="Q472" s="276"/>
      <c r="R472" s="276"/>
      <c r="S472" s="276"/>
    </row>
    <row r="473" spans="1:19">
      <c r="A473" s="487"/>
      <c r="S473" s="276"/>
    </row>
    <row r="474" spans="1:19">
      <c r="A474" s="450"/>
      <c r="B474" s="441"/>
      <c r="C474" s="441"/>
      <c r="D474" s="441"/>
      <c r="E474" s="441"/>
      <c r="F474" s="441"/>
      <c r="G474" s="441"/>
      <c r="H474" s="441"/>
      <c r="I474" s="441"/>
      <c r="J474" s="441"/>
      <c r="K474" s="441"/>
      <c r="L474" s="441"/>
      <c r="M474" s="441"/>
      <c r="N474" s="441"/>
      <c r="O474" s="441"/>
      <c r="P474" s="441"/>
      <c r="Q474" s="441"/>
      <c r="R474" s="441"/>
      <c r="S474" s="441"/>
    </row>
    <row r="475" spans="1:19">
      <c r="A475" s="450"/>
      <c r="B475" s="441"/>
      <c r="C475" s="441"/>
      <c r="D475" s="441"/>
      <c r="E475" s="441"/>
      <c r="F475" s="441"/>
      <c r="G475" s="441"/>
      <c r="H475" s="441"/>
      <c r="I475" s="441"/>
      <c r="J475" s="441"/>
      <c r="K475" s="441"/>
      <c r="L475" s="441"/>
      <c r="M475" s="441"/>
      <c r="N475" s="441"/>
      <c r="O475" s="441"/>
      <c r="P475" s="441"/>
      <c r="Q475" s="441"/>
      <c r="R475" s="441"/>
      <c r="S475" s="441"/>
    </row>
    <row r="476" spans="1:19">
      <c r="A476" s="450"/>
      <c r="B476" s="441"/>
      <c r="C476" s="441"/>
      <c r="D476" s="441"/>
      <c r="E476" s="441"/>
      <c r="F476" s="441"/>
      <c r="G476" s="441"/>
      <c r="H476" s="441"/>
      <c r="I476" s="441"/>
      <c r="J476" s="441"/>
      <c r="K476" s="441"/>
      <c r="L476" s="441"/>
      <c r="M476" s="441"/>
      <c r="N476" s="441"/>
      <c r="O476" s="441"/>
      <c r="P476" s="441"/>
      <c r="Q476" s="441"/>
      <c r="R476" s="441"/>
      <c r="S476" s="441"/>
    </row>
    <row r="477" spans="1:19">
      <c r="A477" s="450"/>
      <c r="B477" s="441"/>
      <c r="C477" s="441"/>
      <c r="D477" s="441"/>
      <c r="E477" s="441"/>
      <c r="F477" s="441"/>
      <c r="G477" s="441"/>
      <c r="H477" s="441"/>
      <c r="I477" s="441"/>
      <c r="J477" s="441"/>
      <c r="K477" s="441"/>
      <c r="L477" s="441"/>
      <c r="M477" s="441"/>
      <c r="N477" s="441"/>
      <c r="O477" s="441"/>
      <c r="P477" s="441"/>
      <c r="Q477" s="441"/>
      <c r="R477" s="441"/>
      <c r="S477" s="441"/>
    </row>
    <row r="478" spans="1:19">
      <c r="A478" s="450"/>
      <c r="B478" s="441"/>
      <c r="C478" s="441"/>
      <c r="D478" s="441"/>
      <c r="E478" s="441"/>
      <c r="F478" s="441"/>
      <c r="G478" s="441"/>
      <c r="H478" s="441"/>
      <c r="I478" s="441"/>
      <c r="J478" s="441"/>
      <c r="K478" s="441"/>
      <c r="L478" s="441"/>
      <c r="M478" s="441"/>
      <c r="N478" s="441"/>
      <c r="O478" s="441"/>
      <c r="P478" s="441"/>
      <c r="Q478" s="441"/>
      <c r="R478" s="441"/>
      <c r="S478" s="441"/>
    </row>
    <row r="479" spans="1:19">
      <c r="A479" s="450"/>
      <c r="B479" s="441"/>
      <c r="C479" s="441"/>
      <c r="D479" s="441"/>
      <c r="E479" s="441"/>
      <c r="F479" s="441"/>
      <c r="G479" s="441"/>
      <c r="H479" s="441"/>
      <c r="I479" s="441"/>
      <c r="J479" s="441"/>
      <c r="K479" s="441"/>
      <c r="L479" s="441"/>
      <c r="M479" s="441"/>
      <c r="N479" s="441"/>
      <c r="O479" s="441"/>
      <c r="P479" s="441"/>
      <c r="Q479" s="441"/>
      <c r="R479" s="441"/>
      <c r="S479" s="441"/>
    </row>
    <row r="480" spans="1:19">
      <c r="A480" s="450"/>
      <c r="B480" s="441"/>
      <c r="C480" s="441"/>
      <c r="D480" s="441"/>
      <c r="E480" s="441"/>
      <c r="F480" s="441"/>
      <c r="G480" s="441"/>
      <c r="H480" s="441"/>
      <c r="I480" s="441"/>
      <c r="J480" s="441"/>
      <c r="K480" s="441"/>
      <c r="L480" s="441"/>
      <c r="M480" s="441"/>
      <c r="N480" s="441"/>
      <c r="O480" s="441"/>
      <c r="P480" s="441"/>
      <c r="Q480" s="441"/>
      <c r="R480" s="441"/>
      <c r="S480" s="441"/>
    </row>
    <row r="481" spans="1:19">
      <c r="A481" s="450"/>
      <c r="B481" s="441"/>
      <c r="C481" s="441"/>
      <c r="D481" s="441"/>
      <c r="E481" s="441"/>
      <c r="F481" s="441"/>
      <c r="G481" s="441"/>
      <c r="H481" s="441"/>
      <c r="I481" s="441"/>
      <c r="J481" s="441"/>
      <c r="K481" s="441"/>
      <c r="L481" s="441"/>
      <c r="M481" s="441"/>
      <c r="N481" s="441"/>
      <c r="O481" s="441"/>
      <c r="P481" s="441"/>
      <c r="Q481" s="441"/>
      <c r="R481" s="441"/>
      <c r="S481" s="441"/>
    </row>
    <row r="482" spans="1:19">
      <c r="A482" s="450"/>
      <c r="B482" s="441"/>
      <c r="C482" s="441"/>
      <c r="D482" s="441"/>
      <c r="E482" s="441"/>
      <c r="F482" s="441"/>
      <c r="G482" s="441"/>
      <c r="H482" s="441"/>
      <c r="I482" s="441"/>
      <c r="J482" s="441"/>
      <c r="K482" s="441"/>
      <c r="L482" s="441"/>
      <c r="M482" s="441"/>
      <c r="N482" s="441"/>
      <c r="O482" s="441"/>
      <c r="P482" s="441"/>
      <c r="Q482" s="441"/>
      <c r="R482" s="441"/>
      <c r="S482" s="441"/>
    </row>
    <row r="483" spans="1:19">
      <c r="A483" s="450"/>
      <c r="B483" s="441"/>
      <c r="C483" s="441"/>
      <c r="D483" s="441"/>
      <c r="E483" s="441"/>
      <c r="F483" s="441"/>
      <c r="G483" s="441"/>
      <c r="H483" s="441"/>
      <c r="I483" s="441"/>
      <c r="J483" s="441"/>
      <c r="K483" s="441"/>
      <c r="L483" s="441"/>
      <c r="M483" s="441"/>
      <c r="N483" s="441"/>
      <c r="O483" s="441"/>
      <c r="P483" s="441"/>
      <c r="Q483" s="441"/>
      <c r="R483" s="441"/>
      <c r="S483" s="441"/>
    </row>
    <row r="484" spans="1:19">
      <c r="A484" s="450"/>
      <c r="B484" s="441"/>
      <c r="C484" s="441"/>
      <c r="D484" s="441"/>
      <c r="E484" s="441"/>
      <c r="F484" s="441"/>
      <c r="G484" s="441"/>
      <c r="H484" s="441"/>
      <c r="I484" s="441"/>
      <c r="J484" s="441"/>
      <c r="K484" s="441"/>
      <c r="L484" s="441"/>
      <c r="M484" s="441"/>
      <c r="N484" s="441"/>
      <c r="O484" s="441"/>
      <c r="P484" s="441"/>
      <c r="Q484" s="441"/>
      <c r="R484" s="441"/>
      <c r="S484" s="441"/>
    </row>
    <row r="485" spans="1:19">
      <c r="A485" s="450"/>
      <c r="B485" s="441"/>
      <c r="C485" s="441"/>
      <c r="D485" s="441"/>
      <c r="E485" s="441"/>
      <c r="F485" s="441"/>
      <c r="G485" s="441"/>
      <c r="H485" s="441"/>
      <c r="I485" s="441"/>
      <c r="J485" s="441"/>
      <c r="K485" s="441"/>
      <c r="L485" s="441"/>
      <c r="M485" s="441"/>
      <c r="N485" s="441"/>
      <c r="O485" s="441"/>
      <c r="P485" s="441"/>
      <c r="Q485" s="441"/>
      <c r="R485" s="441"/>
      <c r="S485" s="441"/>
    </row>
    <row r="486" spans="1:19">
      <c r="A486" s="450"/>
      <c r="B486" s="441"/>
      <c r="C486" s="441"/>
      <c r="D486" s="441"/>
      <c r="E486" s="441"/>
      <c r="F486" s="441"/>
      <c r="G486" s="441"/>
      <c r="H486" s="441"/>
      <c r="I486" s="441"/>
      <c r="J486" s="441"/>
      <c r="K486" s="441"/>
      <c r="L486" s="441"/>
      <c r="M486" s="441"/>
      <c r="N486" s="441"/>
      <c r="O486" s="441"/>
      <c r="P486" s="441"/>
      <c r="Q486" s="441"/>
      <c r="R486" s="441"/>
      <c r="S486" s="441"/>
    </row>
    <row r="487" spans="1:19">
      <c r="A487" s="450"/>
      <c r="B487" s="441"/>
      <c r="C487" s="441"/>
      <c r="D487" s="441"/>
      <c r="E487" s="441"/>
      <c r="F487" s="441"/>
      <c r="G487" s="441"/>
      <c r="H487" s="441"/>
      <c r="I487" s="441"/>
      <c r="J487" s="441"/>
      <c r="K487" s="441"/>
      <c r="L487" s="441"/>
      <c r="M487" s="441"/>
      <c r="N487" s="441"/>
      <c r="O487" s="441"/>
      <c r="P487" s="441"/>
      <c r="Q487" s="441"/>
      <c r="R487" s="441"/>
      <c r="S487" s="441"/>
    </row>
    <row r="488" spans="1:19">
      <c r="A488" s="450"/>
      <c r="B488" s="441"/>
      <c r="C488" s="441"/>
      <c r="D488" s="441"/>
      <c r="E488" s="441"/>
      <c r="F488" s="441"/>
      <c r="G488" s="441"/>
      <c r="H488" s="441"/>
      <c r="I488" s="441"/>
      <c r="J488" s="441"/>
      <c r="K488" s="441"/>
      <c r="L488" s="441"/>
      <c r="M488" s="441"/>
      <c r="N488" s="441"/>
      <c r="O488" s="441"/>
      <c r="P488" s="441"/>
      <c r="Q488" s="441"/>
      <c r="R488" s="441"/>
      <c r="S488" s="441"/>
    </row>
    <row r="489" spans="1:19">
      <c r="A489" s="450"/>
      <c r="B489" s="441"/>
      <c r="C489" s="441"/>
      <c r="D489" s="441"/>
      <c r="E489" s="441"/>
      <c r="F489" s="441"/>
      <c r="G489" s="441"/>
      <c r="H489" s="441"/>
      <c r="I489" s="441"/>
      <c r="J489" s="441"/>
      <c r="K489" s="441"/>
      <c r="L489" s="441"/>
      <c r="M489" s="441"/>
      <c r="N489" s="441"/>
      <c r="O489" s="441"/>
      <c r="P489" s="441"/>
      <c r="Q489" s="441"/>
      <c r="R489" s="441"/>
      <c r="S489" s="441"/>
    </row>
    <row r="490" spans="1:19" s="480" customFormat="1">
      <c r="A490" s="488"/>
      <c r="B490" s="489"/>
      <c r="C490" s="489"/>
      <c r="D490" s="489"/>
      <c r="E490" s="489"/>
      <c r="F490" s="489"/>
      <c r="G490" s="489"/>
      <c r="H490" s="489"/>
      <c r="I490" s="489"/>
      <c r="J490" s="489"/>
      <c r="K490" s="489"/>
      <c r="L490" s="489"/>
      <c r="M490" s="489"/>
      <c r="N490" s="489"/>
      <c r="O490" s="489"/>
      <c r="P490" s="489"/>
      <c r="Q490" s="489"/>
      <c r="R490" s="489"/>
      <c r="S490" s="489"/>
    </row>
    <row r="493" spans="1:19">
      <c r="B493" s="419" t="s">
        <v>616</v>
      </c>
      <c r="C493" s="490"/>
      <c r="D493" s="490"/>
      <c r="E493" s="490"/>
      <c r="F493" s="490"/>
      <c r="G493" s="491"/>
      <c r="H493" s="491"/>
      <c r="I493" s="491"/>
      <c r="J493" s="491"/>
      <c r="K493" s="491"/>
      <c r="L493" s="491"/>
      <c r="M493" s="491"/>
      <c r="N493" s="491"/>
      <c r="O493" s="491"/>
      <c r="P493" s="491"/>
      <c r="Q493" s="491"/>
      <c r="R493" s="491"/>
      <c r="S493" s="414"/>
    </row>
    <row r="494" spans="1:19">
      <c r="B494" s="486"/>
      <c r="C494" s="486"/>
      <c r="D494" s="486"/>
      <c r="E494" s="486"/>
      <c r="F494" s="486"/>
      <c r="G494" s="441"/>
      <c r="H494" s="441"/>
      <c r="I494" s="441"/>
      <c r="J494" s="441"/>
      <c r="K494" s="441"/>
      <c r="L494" s="441"/>
      <c r="M494" s="441"/>
      <c r="N494" s="441"/>
      <c r="O494" s="441"/>
      <c r="P494" s="441"/>
      <c r="Q494" s="441"/>
      <c r="R494" s="441"/>
    </row>
    <row r="495" spans="1:19">
      <c r="B495" s="441"/>
      <c r="C495" s="441"/>
      <c r="D495" s="441"/>
      <c r="E495" s="441"/>
      <c r="F495" s="441"/>
      <c r="G495" s="441"/>
      <c r="H495" s="441"/>
      <c r="I495" s="441"/>
      <c r="J495" s="441"/>
      <c r="K495" s="441"/>
      <c r="L495" s="441"/>
      <c r="M495" s="441"/>
      <c r="N495" s="441"/>
      <c r="O495" s="441"/>
      <c r="P495" s="441"/>
      <c r="Q495" s="441"/>
      <c r="R495" s="441"/>
    </row>
    <row r="496" spans="1:19">
      <c r="B496" s="441"/>
      <c r="C496" s="441"/>
      <c r="D496" s="441"/>
      <c r="E496" s="441"/>
      <c r="F496" s="441"/>
      <c r="G496" s="441"/>
      <c r="H496" s="441"/>
      <c r="I496" s="441"/>
      <c r="J496" s="441"/>
      <c r="K496" s="441"/>
      <c r="L496" s="441"/>
      <c r="M496" s="441"/>
      <c r="N496" s="441"/>
      <c r="O496" s="441"/>
      <c r="P496" s="441"/>
      <c r="Q496" s="441"/>
      <c r="R496" s="441"/>
      <c r="S496" s="441"/>
    </row>
    <row r="497" spans="2:19">
      <c r="B497" s="420" t="s">
        <v>364</v>
      </c>
      <c r="C497" s="441"/>
      <c r="D497" s="441"/>
      <c r="E497" s="441"/>
      <c r="F497" s="441"/>
      <c r="G497" s="441"/>
      <c r="H497" s="441"/>
      <c r="I497" s="441"/>
      <c r="J497" s="441"/>
      <c r="K497" s="441"/>
      <c r="L497" s="441"/>
      <c r="M497" s="441"/>
      <c r="N497" s="441"/>
      <c r="O497" s="441"/>
      <c r="P497" s="441"/>
      <c r="Q497" s="441"/>
      <c r="R497" s="441"/>
      <c r="S497" s="420" t="s">
        <v>413</v>
      </c>
    </row>
    <row r="498" spans="2:19">
      <c r="B498" s="130" t="s">
        <v>202</v>
      </c>
      <c r="C498" s="441"/>
      <c r="D498" s="441"/>
      <c r="E498" s="441"/>
      <c r="F498" s="441"/>
      <c r="G498" s="441"/>
      <c r="H498" s="441"/>
      <c r="I498" s="441"/>
      <c r="J498" s="441"/>
      <c r="K498" s="441"/>
      <c r="L498" s="441"/>
      <c r="M498" s="441"/>
      <c r="N498" s="441"/>
      <c r="O498" s="441"/>
      <c r="P498" s="441"/>
      <c r="Q498" s="441"/>
      <c r="R498" s="441"/>
      <c r="S498" s="130" t="s">
        <v>502</v>
      </c>
    </row>
    <row r="499" spans="2:19">
      <c r="B499" s="130"/>
      <c r="C499" s="441"/>
      <c r="D499" s="441"/>
      <c r="E499" s="441"/>
      <c r="F499" s="441"/>
      <c r="G499" s="441"/>
      <c r="H499" s="441"/>
      <c r="I499" s="441"/>
      <c r="J499" s="441"/>
      <c r="K499" s="441"/>
      <c r="L499" s="441"/>
      <c r="M499" s="441"/>
      <c r="N499" s="441"/>
      <c r="O499" s="441"/>
      <c r="P499" s="441"/>
      <c r="Q499" s="441"/>
      <c r="R499" s="441"/>
      <c r="S499" s="130"/>
    </row>
    <row r="500" spans="2:19">
      <c r="B500" s="130"/>
      <c r="C500" s="441"/>
      <c r="D500" s="441"/>
      <c r="E500" s="441"/>
      <c r="F500" s="441"/>
      <c r="G500" s="441"/>
      <c r="H500" s="441"/>
      <c r="I500" s="441"/>
      <c r="J500" s="441"/>
      <c r="K500" s="441"/>
      <c r="L500" s="441"/>
      <c r="M500" s="441"/>
      <c r="N500" s="441"/>
      <c r="O500" s="441"/>
      <c r="P500" s="441"/>
      <c r="Q500" s="441"/>
      <c r="R500" s="441"/>
      <c r="S500" s="130"/>
    </row>
    <row r="501" spans="2:19">
      <c r="B501" s="130"/>
      <c r="C501" s="441"/>
      <c r="D501" s="441"/>
      <c r="E501" s="441"/>
      <c r="F501" s="441"/>
      <c r="G501" s="441"/>
      <c r="H501" s="441"/>
      <c r="I501" s="441"/>
      <c r="J501" s="441"/>
      <c r="K501" s="441"/>
      <c r="L501" s="441"/>
      <c r="M501" s="441"/>
      <c r="N501" s="441"/>
      <c r="O501" s="441"/>
      <c r="P501" s="441"/>
      <c r="Q501" s="441"/>
      <c r="R501" s="441"/>
      <c r="S501" s="130"/>
    </row>
    <row r="502" spans="2:19">
      <c r="B502" s="420" t="s">
        <v>365</v>
      </c>
      <c r="C502" s="441"/>
      <c r="D502" s="441"/>
      <c r="E502" s="441"/>
      <c r="F502" s="441"/>
      <c r="G502" s="441"/>
      <c r="H502" s="441"/>
      <c r="I502" s="441"/>
      <c r="J502" s="441"/>
      <c r="K502" s="441"/>
      <c r="L502" s="441"/>
      <c r="M502" s="441"/>
      <c r="N502" s="441"/>
      <c r="O502" s="441"/>
      <c r="P502" s="441"/>
      <c r="Q502" s="441"/>
      <c r="R502" s="441"/>
      <c r="S502" s="420" t="s">
        <v>501</v>
      </c>
    </row>
    <row r="503" spans="2:19">
      <c r="B503" s="130" t="s">
        <v>366</v>
      </c>
      <c r="C503" s="441"/>
      <c r="D503" s="441"/>
      <c r="E503" s="441"/>
      <c r="F503" s="441"/>
      <c r="G503" s="441"/>
      <c r="H503" s="441"/>
      <c r="I503" s="441"/>
      <c r="J503" s="441"/>
      <c r="K503" s="441"/>
      <c r="L503" s="441"/>
      <c r="M503" s="441"/>
      <c r="N503" s="441"/>
      <c r="O503" s="441"/>
      <c r="P503" s="441"/>
      <c r="Q503" s="441"/>
      <c r="R503" s="441"/>
      <c r="S503" s="130" t="s">
        <v>201</v>
      </c>
    </row>
  </sheetData>
  <mergeCells count="18">
    <mergeCell ref="A13:S13"/>
    <mergeCell ref="A14:S14"/>
    <mergeCell ref="A15:S15"/>
    <mergeCell ref="A16:S16"/>
    <mergeCell ref="A118:O118"/>
    <mergeCell ref="A462:S462"/>
    <mergeCell ref="A7:S7"/>
    <mergeCell ref="A8:S8"/>
    <mergeCell ref="A9:S9"/>
    <mergeCell ref="A10:S10"/>
    <mergeCell ref="A11:S11"/>
    <mergeCell ref="A12:S12"/>
    <mergeCell ref="A1:S1"/>
    <mergeCell ref="A2:S2"/>
    <mergeCell ref="A3:S3"/>
    <mergeCell ref="A4:S4"/>
    <mergeCell ref="A5:S5"/>
    <mergeCell ref="A6:S6"/>
  </mergeCells>
  <pageMargins left="0.78740157480314965" right="0.15748031496062992" top="1.2204724409448819" bottom="0.9055118110236221" header="0.31496062992125984" footer="0.31496062992125984"/>
  <pageSetup scale="70" orientation="portrait" verticalDpi="300" r:id="rId1"/>
  <headerFooter>
    <oddHeader>&amp;L                            &amp;G&amp;C
PRESUPUESTO DE RENTAS Y GASTOS</oddHeader>
    <oddFooter xml:space="preserve">&amp;C&amp;7
&amp;10Casa  de  Gobierno  Calle 8   6-48  - Telefax: (8) 734 01 27 -  NIT.  891. 802.089-1
www.cucaita-boyaca.gov.co   E mail.  alcucaita@yahoo.es
&amp;"Agency FB,Negrita"&amp;12&amp;P&amp;"Arial,Normal"&amp;10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65"/>
  <sheetViews>
    <sheetView topLeftCell="A34" zoomScale="77" zoomScaleNormal="77" workbookViewId="0">
      <selection activeCell="F310" sqref="F310"/>
    </sheetView>
  </sheetViews>
  <sheetFormatPr baseColWidth="10" defaultRowHeight="11.25"/>
  <cols>
    <col min="1" max="1" width="11.42578125" style="206"/>
    <col min="2" max="2" width="37.85546875" style="122" customWidth="1"/>
    <col min="3" max="3" width="14" style="122" customWidth="1"/>
    <col min="4" max="4" width="13.85546875" style="122" customWidth="1"/>
    <col min="5" max="5" width="16.28515625" style="122" customWidth="1"/>
    <col min="6" max="6" width="15.5703125" style="122" customWidth="1"/>
    <col min="7" max="7" width="17" style="122" customWidth="1"/>
    <col min="8" max="8" width="12.85546875" style="122" customWidth="1"/>
    <col min="9" max="9" width="17.7109375" style="82" customWidth="1"/>
    <col min="10" max="10" width="19.7109375" style="82" customWidth="1"/>
    <col min="11" max="11" width="16.28515625" style="82" customWidth="1"/>
    <col min="12" max="12" width="13.85546875" style="82" customWidth="1"/>
    <col min="13" max="13" width="15.28515625" style="82" customWidth="1"/>
    <col min="14" max="15" width="15" style="82" customWidth="1"/>
    <col min="16" max="16" width="17" style="82" customWidth="1"/>
    <col min="17" max="17" width="18.7109375" style="82" customWidth="1"/>
    <col min="18" max="18" width="13.28515625" style="82" customWidth="1"/>
    <col min="19" max="19" width="13.85546875" style="82" customWidth="1"/>
    <col min="20" max="20" width="15.85546875" style="82" customWidth="1"/>
    <col min="21" max="21" width="14.42578125" style="82" customWidth="1"/>
    <col min="22" max="22" width="11.42578125" style="82"/>
    <col min="23" max="23" width="14" style="82" customWidth="1"/>
    <col min="24" max="16384" width="11.42578125" style="82"/>
  </cols>
  <sheetData>
    <row r="1" spans="1:8" ht="15.75">
      <c r="A1" s="537" t="s">
        <v>629</v>
      </c>
      <c r="B1" s="537"/>
      <c r="C1" s="537"/>
      <c r="D1" s="537"/>
      <c r="E1" s="537"/>
      <c r="F1" s="537"/>
      <c r="G1" s="537"/>
      <c r="H1" s="537"/>
    </row>
    <row r="2" spans="1:8" ht="12.75">
      <c r="A2" s="538" t="s">
        <v>599</v>
      </c>
      <c r="B2" s="538"/>
      <c r="C2" s="538"/>
      <c r="D2" s="538"/>
      <c r="E2" s="538"/>
      <c r="F2" s="538"/>
      <c r="G2" s="538"/>
      <c r="H2" s="538"/>
    </row>
    <row r="3" spans="1:8">
      <c r="A3" s="539"/>
      <c r="B3" s="539"/>
      <c r="C3" s="539"/>
      <c r="D3" s="539"/>
      <c r="E3" s="539"/>
      <c r="F3" s="539"/>
      <c r="G3" s="539"/>
      <c r="H3" s="539"/>
    </row>
    <row r="4" spans="1:8" ht="39" customHeight="1">
      <c r="A4" s="540" t="s">
        <v>600</v>
      </c>
      <c r="B4" s="540"/>
      <c r="C4" s="540"/>
      <c r="D4" s="540"/>
      <c r="E4" s="540"/>
      <c r="F4" s="540"/>
      <c r="G4" s="540"/>
      <c r="H4" s="540"/>
    </row>
    <row r="5" spans="1:8" ht="27.75" customHeight="1">
      <c r="A5" s="541" t="s">
        <v>468</v>
      </c>
      <c r="B5" s="541"/>
      <c r="C5" s="541"/>
      <c r="D5" s="541"/>
      <c r="E5" s="541"/>
      <c r="F5" s="541"/>
      <c r="G5" s="541"/>
      <c r="H5" s="541"/>
    </row>
    <row r="6" spans="1:8">
      <c r="A6" s="539"/>
      <c r="B6" s="539"/>
      <c r="C6" s="539"/>
      <c r="D6" s="539"/>
      <c r="E6" s="539"/>
      <c r="F6" s="539"/>
      <c r="G6" s="539"/>
      <c r="H6" s="539"/>
    </row>
    <row r="7" spans="1:8" ht="12.75">
      <c r="A7" s="542" t="s">
        <v>144</v>
      </c>
      <c r="B7" s="542"/>
      <c r="C7" s="542"/>
      <c r="D7" s="542"/>
      <c r="E7" s="542"/>
      <c r="F7" s="542"/>
      <c r="G7" s="542"/>
      <c r="H7" s="542"/>
    </row>
    <row r="8" spans="1:8">
      <c r="A8" s="539"/>
      <c r="B8" s="539"/>
      <c r="C8" s="539"/>
      <c r="D8" s="539"/>
      <c r="E8" s="539"/>
      <c r="F8" s="539"/>
      <c r="G8" s="539"/>
      <c r="H8" s="539"/>
    </row>
    <row r="9" spans="1:8" s="273" customFormat="1" ht="27.75" customHeight="1">
      <c r="A9" s="535" t="s">
        <v>178</v>
      </c>
      <c r="B9" s="535"/>
      <c r="C9" s="535"/>
      <c r="D9" s="535"/>
      <c r="E9" s="535"/>
      <c r="F9" s="535"/>
      <c r="G9" s="535"/>
      <c r="H9" s="535"/>
    </row>
    <row r="10" spans="1:8" s="273" customFormat="1" ht="25.5" customHeight="1">
      <c r="A10" s="535" t="s">
        <v>214</v>
      </c>
      <c r="B10" s="536"/>
      <c r="C10" s="536"/>
      <c r="D10" s="536"/>
      <c r="E10" s="536"/>
      <c r="F10" s="536"/>
      <c r="G10" s="536"/>
      <c r="H10" s="536"/>
    </row>
    <row r="11" spans="1:8" s="273" customFormat="1" ht="27.75" customHeight="1">
      <c r="A11" s="535" t="s">
        <v>30</v>
      </c>
      <c r="B11" s="536"/>
      <c r="C11" s="536"/>
      <c r="D11" s="536"/>
      <c r="E11" s="536"/>
      <c r="F11" s="536"/>
      <c r="G11" s="536"/>
      <c r="H11" s="536"/>
    </row>
    <row r="12" spans="1:8" s="273" customFormat="1" ht="25.5" customHeight="1">
      <c r="A12" s="535" t="s">
        <v>193</v>
      </c>
      <c r="B12" s="535"/>
      <c r="C12" s="535"/>
      <c r="D12" s="535"/>
      <c r="E12" s="535"/>
      <c r="F12" s="535"/>
      <c r="G12" s="535"/>
      <c r="H12" s="535"/>
    </row>
    <row r="13" spans="1:8" s="273" customFormat="1" ht="26.25" customHeight="1">
      <c r="A13" s="535" t="s">
        <v>204</v>
      </c>
      <c r="B13" s="536"/>
      <c r="C13" s="536"/>
      <c r="D13" s="536"/>
      <c r="E13" s="536"/>
      <c r="F13" s="536"/>
      <c r="G13" s="536"/>
      <c r="H13" s="536"/>
    </row>
    <row r="14" spans="1:8" s="273" customFormat="1" ht="29.25" customHeight="1">
      <c r="A14" s="535" t="s">
        <v>203</v>
      </c>
      <c r="B14" s="535"/>
      <c r="C14" s="535"/>
      <c r="D14" s="535"/>
      <c r="E14" s="535"/>
      <c r="F14" s="535"/>
      <c r="G14" s="535"/>
      <c r="H14" s="535"/>
    </row>
    <row r="15" spans="1:8" s="273" customFormat="1" ht="18" customHeight="1">
      <c r="A15" s="558" t="s">
        <v>194</v>
      </c>
      <c r="B15" s="558"/>
      <c r="C15" s="558"/>
      <c r="D15" s="558"/>
      <c r="E15" s="558"/>
      <c r="F15" s="558"/>
      <c r="G15" s="558"/>
      <c r="H15" s="558"/>
    </row>
    <row r="16" spans="1:8" s="274" customFormat="1" ht="15.75">
      <c r="A16" s="564" t="s">
        <v>154</v>
      </c>
      <c r="B16" s="564"/>
      <c r="C16" s="564"/>
      <c r="D16" s="564"/>
      <c r="E16" s="564"/>
      <c r="F16" s="564"/>
      <c r="G16" s="564"/>
      <c r="H16" s="564"/>
    </row>
    <row r="17" spans="1:7" s="276" customFormat="1" ht="13.5" customHeight="1" thickBot="1">
      <c r="A17" s="526" t="s">
        <v>617</v>
      </c>
      <c r="B17" s="526"/>
      <c r="C17" s="526"/>
      <c r="D17" s="526"/>
      <c r="E17" s="526"/>
      <c r="F17" s="526"/>
      <c r="G17" s="275">
        <f>+G18</f>
        <v>2990779389</v>
      </c>
    </row>
    <row r="18" spans="1:7">
      <c r="A18" s="205" t="s">
        <v>172</v>
      </c>
      <c r="B18" s="182" t="s">
        <v>620</v>
      </c>
      <c r="C18" s="182"/>
      <c r="D18" s="182"/>
      <c r="E18" s="182"/>
      <c r="F18" s="182"/>
      <c r="G18" s="184">
        <f>SUM(F20:F115)</f>
        <v>2990779389</v>
      </c>
    </row>
    <row r="19" spans="1:7">
      <c r="A19" s="191"/>
      <c r="B19" s="88"/>
      <c r="C19" s="88"/>
      <c r="D19" s="88"/>
      <c r="E19" s="88"/>
      <c r="F19" s="88"/>
      <c r="G19" s="99"/>
    </row>
    <row r="20" spans="1:7">
      <c r="A20" s="191">
        <v>11</v>
      </c>
      <c r="B20" s="87" t="s">
        <v>164</v>
      </c>
      <c r="C20" s="88"/>
      <c r="D20" s="88"/>
      <c r="E20" s="88"/>
      <c r="F20" s="88">
        <f>SUM(E22:E59)</f>
        <v>812343520</v>
      </c>
      <c r="G20" s="101"/>
    </row>
    <row r="21" spans="1:7">
      <c r="A21" s="191"/>
      <c r="B21" s="88"/>
      <c r="C21" s="88"/>
      <c r="D21" s="88"/>
      <c r="E21" s="88"/>
      <c r="F21" s="88"/>
      <c r="G21" s="99"/>
    </row>
    <row r="22" spans="1:7">
      <c r="A22" s="191">
        <v>111</v>
      </c>
      <c r="B22" s="88" t="s">
        <v>119</v>
      </c>
      <c r="C22" s="88"/>
      <c r="D22" s="88"/>
      <c r="E22" s="88">
        <f>SUM(D24:D35)</f>
        <v>226850000</v>
      </c>
      <c r="F22" s="88"/>
      <c r="G22" s="99"/>
    </row>
    <row r="23" spans="1:7">
      <c r="A23" s="192"/>
      <c r="B23" s="90"/>
      <c r="C23" s="90"/>
      <c r="D23" s="90"/>
      <c r="E23" s="90"/>
      <c r="F23" s="90"/>
      <c r="G23" s="99"/>
    </row>
    <row r="24" spans="1:7">
      <c r="A24" s="193">
        <v>1111</v>
      </c>
      <c r="B24" s="88" t="s">
        <v>120</v>
      </c>
      <c r="C24" s="88"/>
      <c r="D24" s="88">
        <f>SUM(C25:C27)</f>
        <v>60000000</v>
      </c>
      <c r="E24" s="90"/>
      <c r="F24" s="90"/>
      <c r="G24" s="99"/>
    </row>
    <row r="25" spans="1:7">
      <c r="A25" s="194">
        <v>111101</v>
      </c>
      <c r="B25" s="90" t="s">
        <v>437</v>
      </c>
      <c r="C25" s="90">
        <v>45000000</v>
      </c>
      <c r="D25" s="90"/>
      <c r="E25" s="90"/>
      <c r="F25" s="90"/>
      <c r="G25" s="99"/>
    </row>
    <row r="26" spans="1:7">
      <c r="A26" s="194">
        <v>111102</v>
      </c>
      <c r="B26" s="90" t="s">
        <v>438</v>
      </c>
      <c r="C26" s="90">
        <v>5000000</v>
      </c>
      <c r="D26" s="90"/>
      <c r="E26" s="90"/>
      <c r="F26" s="90"/>
      <c r="G26" s="99"/>
    </row>
    <row r="27" spans="1:7">
      <c r="A27" s="194">
        <v>112103</v>
      </c>
      <c r="B27" s="90" t="s">
        <v>268</v>
      </c>
      <c r="C27" s="90">
        <v>10000000</v>
      </c>
      <c r="D27" s="90"/>
      <c r="E27" s="90"/>
      <c r="F27" s="90"/>
      <c r="G27" s="99"/>
    </row>
    <row r="28" spans="1:7">
      <c r="A28" s="192"/>
      <c r="B28" s="90"/>
      <c r="C28" s="90"/>
      <c r="D28" s="90"/>
      <c r="E28" s="90"/>
      <c r="F28" s="90"/>
      <c r="G28" s="99"/>
    </row>
    <row r="29" spans="1:7">
      <c r="A29" s="193">
        <v>1112</v>
      </c>
      <c r="B29" s="88" t="s">
        <v>121</v>
      </c>
      <c r="C29" s="88"/>
      <c r="D29" s="88">
        <f>SUM(C30:C36)</f>
        <v>166850000</v>
      </c>
      <c r="E29" s="90"/>
      <c r="F29" s="90"/>
      <c r="G29" s="99"/>
    </row>
    <row r="30" spans="1:7">
      <c r="A30" s="194">
        <v>111201</v>
      </c>
      <c r="B30" s="89" t="s">
        <v>122</v>
      </c>
      <c r="C30" s="90">
        <v>30000000</v>
      </c>
      <c r="D30" s="90"/>
      <c r="E30" s="90"/>
      <c r="F30" s="90"/>
      <c r="G30" s="99"/>
    </row>
    <row r="31" spans="1:7">
      <c r="A31" s="194">
        <f>+A30+1</f>
        <v>111202</v>
      </c>
      <c r="B31" s="89" t="s">
        <v>123</v>
      </c>
      <c r="C31" s="90">
        <v>800000</v>
      </c>
      <c r="D31" s="90"/>
      <c r="E31" s="90"/>
      <c r="F31" s="90"/>
      <c r="G31" s="99"/>
    </row>
    <row r="32" spans="1:7">
      <c r="A32" s="194">
        <f>+A31+1</f>
        <v>111203</v>
      </c>
      <c r="B32" s="91" t="s">
        <v>246</v>
      </c>
      <c r="C32" s="90">
        <v>1000000</v>
      </c>
      <c r="D32" s="90"/>
      <c r="E32" s="90"/>
      <c r="F32" s="90"/>
      <c r="G32" s="99"/>
    </row>
    <row r="33" spans="1:7">
      <c r="A33" s="194">
        <f>+A32+1</f>
        <v>111204</v>
      </c>
      <c r="B33" s="89" t="s">
        <v>163</v>
      </c>
      <c r="C33" s="90">
        <v>50000</v>
      </c>
      <c r="D33" s="90"/>
      <c r="E33" s="90"/>
      <c r="F33" s="90"/>
      <c r="G33" s="99"/>
    </row>
    <row r="34" spans="1:7">
      <c r="A34" s="194">
        <f>+A33+1</f>
        <v>111205</v>
      </c>
      <c r="B34" s="89" t="s">
        <v>440</v>
      </c>
      <c r="C34" s="90">
        <v>5000000</v>
      </c>
      <c r="D34" s="90"/>
      <c r="E34" s="90"/>
      <c r="F34" s="90"/>
      <c r="G34" s="99"/>
    </row>
    <row r="35" spans="1:7">
      <c r="A35" s="194">
        <f>+A34+1</f>
        <v>111206</v>
      </c>
      <c r="B35" s="89" t="s">
        <v>152</v>
      </c>
      <c r="C35" s="90">
        <v>130000000</v>
      </c>
      <c r="D35" s="90"/>
      <c r="E35" s="90"/>
      <c r="F35" s="90"/>
      <c r="G35" s="99"/>
    </row>
    <row r="36" spans="1:7">
      <c r="A36" s="194"/>
      <c r="B36" s="89"/>
      <c r="C36" s="90"/>
      <c r="D36" s="90"/>
      <c r="E36" s="90"/>
      <c r="F36" s="90"/>
      <c r="G36" s="99"/>
    </row>
    <row r="37" spans="1:7">
      <c r="A37" s="191">
        <v>112</v>
      </c>
      <c r="B37" s="88" t="s">
        <v>124</v>
      </c>
      <c r="C37" s="88"/>
      <c r="D37" s="88"/>
      <c r="E37" s="88">
        <f>SUM(D39:D55)</f>
        <v>584493520</v>
      </c>
      <c r="F37" s="88"/>
      <c r="G37" s="99"/>
    </row>
    <row r="38" spans="1:7">
      <c r="A38" s="192"/>
      <c r="B38" s="88"/>
      <c r="C38" s="88"/>
      <c r="D38" s="88"/>
      <c r="E38" s="88"/>
      <c r="F38" s="88"/>
      <c r="G38" s="99"/>
    </row>
    <row r="39" spans="1:7">
      <c r="A39" s="191">
        <v>1121</v>
      </c>
      <c r="B39" s="88" t="s">
        <v>100</v>
      </c>
      <c r="C39" s="88"/>
      <c r="D39" s="88">
        <f>SUM(C40:C41)</f>
        <v>547493518</v>
      </c>
      <c r="E39" s="88"/>
      <c r="F39" s="88"/>
      <c r="G39" s="99"/>
    </row>
    <row r="40" spans="1:7">
      <c r="A40" s="194">
        <v>112101</v>
      </c>
      <c r="B40" s="91" t="s">
        <v>101</v>
      </c>
      <c r="C40" s="90">
        <v>545993518</v>
      </c>
      <c r="D40" s="90"/>
      <c r="E40" s="90"/>
      <c r="F40" s="90"/>
      <c r="G40" s="99"/>
    </row>
    <row r="41" spans="1:7">
      <c r="A41" s="194">
        <v>112102</v>
      </c>
      <c r="B41" s="90" t="s">
        <v>82</v>
      </c>
      <c r="C41" s="90">
        <v>1500000</v>
      </c>
      <c r="D41" s="90"/>
      <c r="E41" s="90"/>
      <c r="F41" s="90"/>
      <c r="G41" s="99"/>
    </row>
    <row r="42" spans="1:7">
      <c r="A42" s="192"/>
      <c r="B42" s="90"/>
      <c r="C42" s="90"/>
      <c r="D42" s="90"/>
      <c r="E42" s="90"/>
      <c r="F42" s="90"/>
      <c r="G42" s="99"/>
    </row>
    <row r="43" spans="1:7">
      <c r="A43" s="191">
        <v>1122</v>
      </c>
      <c r="B43" s="88" t="s">
        <v>102</v>
      </c>
      <c r="C43" s="88"/>
      <c r="D43" s="88">
        <f>SUM(C44:C44)</f>
        <v>5000000</v>
      </c>
      <c r="E43" s="88"/>
      <c r="F43" s="88"/>
      <c r="G43" s="99"/>
    </row>
    <row r="44" spans="1:7">
      <c r="A44" s="194">
        <v>112201</v>
      </c>
      <c r="B44" s="89" t="s">
        <v>157</v>
      </c>
      <c r="C44" s="90">
        <v>5000000</v>
      </c>
      <c r="D44" s="90"/>
      <c r="E44" s="90"/>
      <c r="F44" s="90"/>
      <c r="G44" s="99"/>
    </row>
    <row r="45" spans="1:7">
      <c r="A45" s="194"/>
      <c r="B45" s="91"/>
      <c r="C45" s="90"/>
      <c r="D45" s="90"/>
      <c r="E45" s="90"/>
      <c r="F45" s="90"/>
      <c r="G45" s="99"/>
    </row>
    <row r="46" spans="1:7">
      <c r="A46" s="193">
        <v>1123</v>
      </c>
      <c r="B46" s="87" t="s">
        <v>206</v>
      </c>
      <c r="C46" s="88"/>
      <c r="D46" s="88">
        <f>SUM(C47:C48)</f>
        <v>1000000</v>
      </c>
      <c r="E46" s="90"/>
      <c r="F46" s="90"/>
      <c r="G46" s="99"/>
    </row>
    <row r="47" spans="1:7">
      <c r="A47" s="194">
        <v>112301</v>
      </c>
      <c r="B47" s="89" t="s">
        <v>97</v>
      </c>
      <c r="C47" s="90">
        <v>500000</v>
      </c>
      <c r="D47" s="88"/>
      <c r="E47" s="90"/>
      <c r="F47" s="90"/>
      <c r="G47" s="99"/>
    </row>
    <row r="48" spans="1:7">
      <c r="A48" s="194">
        <v>112302</v>
      </c>
      <c r="B48" s="89" t="s">
        <v>621</v>
      </c>
      <c r="C48" s="90">
        <v>500000</v>
      </c>
      <c r="D48" s="88"/>
      <c r="E48" s="90"/>
      <c r="F48" s="90"/>
      <c r="G48" s="99"/>
    </row>
    <row r="49" spans="1:16">
      <c r="A49" s="194"/>
      <c r="B49" s="89"/>
      <c r="C49" s="90"/>
      <c r="D49" s="90"/>
      <c r="E49" s="90"/>
      <c r="F49" s="90"/>
      <c r="G49" s="99"/>
    </row>
    <row r="50" spans="1:16">
      <c r="A50" s="193">
        <v>1124</v>
      </c>
      <c r="B50" s="88" t="s">
        <v>207</v>
      </c>
      <c r="C50" s="88"/>
      <c r="D50" s="88">
        <f>SUM(C51:C54)</f>
        <v>31000000</v>
      </c>
      <c r="E50" s="90"/>
      <c r="F50" s="90"/>
      <c r="G50" s="99"/>
    </row>
    <row r="51" spans="1:16">
      <c r="A51" s="194">
        <v>112401</v>
      </c>
      <c r="B51" s="89" t="s">
        <v>185</v>
      </c>
      <c r="C51" s="90">
        <v>25000000</v>
      </c>
      <c r="D51" s="90"/>
      <c r="E51" s="90"/>
      <c r="F51" s="90"/>
      <c r="G51" s="99"/>
    </row>
    <row r="52" spans="1:16">
      <c r="A52" s="194">
        <v>112402</v>
      </c>
      <c r="B52" s="89" t="s">
        <v>247</v>
      </c>
      <c r="C52" s="90">
        <v>5000000</v>
      </c>
      <c r="D52" s="90"/>
      <c r="E52" s="90"/>
      <c r="F52" s="90"/>
      <c r="G52" s="99"/>
    </row>
    <row r="53" spans="1:16">
      <c r="A53" s="194">
        <v>112403</v>
      </c>
      <c r="B53" s="89" t="s">
        <v>414</v>
      </c>
      <c r="C53" s="90">
        <v>1000000</v>
      </c>
      <c r="D53" s="90"/>
      <c r="E53" s="90"/>
      <c r="F53" s="90"/>
      <c r="G53" s="99"/>
    </row>
    <row r="54" spans="1:16">
      <c r="A54" s="194"/>
      <c r="B54" s="89"/>
      <c r="C54" s="90"/>
      <c r="D54" s="90"/>
      <c r="E54" s="90"/>
      <c r="F54" s="90"/>
      <c r="G54" s="99"/>
    </row>
    <row r="55" spans="1:16" s="86" customFormat="1">
      <c r="A55" s="193">
        <v>1126</v>
      </c>
      <c r="B55" s="87" t="s">
        <v>622</v>
      </c>
      <c r="C55" s="88"/>
      <c r="D55" s="88">
        <f>SUM(C56:C57)</f>
        <v>2</v>
      </c>
      <c r="E55" s="88"/>
      <c r="F55" s="88"/>
      <c r="G55" s="101"/>
    </row>
    <row r="56" spans="1:16">
      <c r="A56" s="194">
        <v>112601</v>
      </c>
      <c r="B56" s="90" t="s">
        <v>103</v>
      </c>
      <c r="C56" s="90">
        <v>1</v>
      </c>
      <c r="D56" s="90"/>
      <c r="E56" s="90"/>
      <c r="F56" s="90"/>
      <c r="G56" s="99"/>
    </row>
    <row r="57" spans="1:16">
      <c r="A57" s="194">
        <v>112602</v>
      </c>
      <c r="B57" s="90" t="s">
        <v>439</v>
      </c>
      <c r="C57" s="90">
        <v>1</v>
      </c>
      <c r="D57" s="90"/>
      <c r="E57" s="90"/>
      <c r="F57" s="90"/>
      <c r="G57" s="99"/>
    </row>
    <row r="58" spans="1:16">
      <c r="A58" s="194"/>
      <c r="B58" s="90"/>
      <c r="C58" s="90"/>
      <c r="D58" s="90"/>
      <c r="E58" s="90"/>
      <c r="F58" s="90"/>
      <c r="G58" s="99"/>
    </row>
    <row r="59" spans="1:16" s="86" customFormat="1">
      <c r="A59" s="191">
        <v>113</v>
      </c>
      <c r="B59" s="87" t="s">
        <v>623</v>
      </c>
      <c r="C59" s="88"/>
      <c r="D59" s="88"/>
      <c r="E59" s="88">
        <f>+D60</f>
        <v>1000000</v>
      </c>
      <c r="F59" s="88"/>
      <c r="G59" s="101"/>
    </row>
    <row r="60" spans="1:16">
      <c r="A60" s="191">
        <v>1131</v>
      </c>
      <c r="B60" s="93" t="s">
        <v>192</v>
      </c>
      <c r="C60" s="90"/>
      <c r="D60" s="88">
        <f>SUM(C61)</f>
        <v>1000000</v>
      </c>
      <c r="E60" s="90"/>
      <c r="F60" s="90"/>
      <c r="G60" s="99"/>
    </row>
    <row r="61" spans="1:16">
      <c r="A61" s="192">
        <v>113101</v>
      </c>
      <c r="B61" s="98" t="s">
        <v>416</v>
      </c>
      <c r="C61" s="90">
        <v>1000000</v>
      </c>
      <c r="D61" s="90"/>
      <c r="E61" s="90"/>
      <c r="F61" s="90"/>
      <c r="G61" s="99"/>
    </row>
    <row r="62" spans="1:16">
      <c r="A62" s="194"/>
      <c r="B62" s="90"/>
      <c r="C62" s="90"/>
      <c r="D62" s="90"/>
      <c r="E62" s="90"/>
      <c r="F62" s="90"/>
      <c r="G62" s="99"/>
    </row>
    <row r="63" spans="1:16">
      <c r="A63" s="193">
        <v>12</v>
      </c>
      <c r="B63" s="88" t="s">
        <v>143</v>
      </c>
      <c r="C63" s="88"/>
      <c r="D63" s="7"/>
      <c r="E63" s="7"/>
      <c r="F63" s="88">
        <f>SUM(E64:E71)</f>
        <v>1359199079</v>
      </c>
      <c r="G63" s="186"/>
      <c r="I63" s="85"/>
      <c r="J63" s="85"/>
      <c r="K63" s="85"/>
      <c r="L63" s="85"/>
      <c r="M63" s="85"/>
      <c r="N63" s="85"/>
      <c r="O63" s="85"/>
      <c r="P63" s="85"/>
    </row>
    <row r="64" spans="1:16" s="86" customFormat="1">
      <c r="A64" s="191">
        <v>1201</v>
      </c>
      <c r="B64" s="88" t="s">
        <v>618</v>
      </c>
      <c r="C64" s="88"/>
      <c r="D64" s="202"/>
      <c r="E64" s="88">
        <f>SUM(C65:C66)</f>
        <v>114914354</v>
      </c>
      <c r="F64" s="88"/>
      <c r="G64" s="187"/>
      <c r="I64" s="181"/>
      <c r="J64" s="181"/>
      <c r="K64" s="181"/>
      <c r="L64" s="181"/>
      <c r="M64" s="181"/>
      <c r="N64" s="181"/>
      <c r="O64" s="181"/>
      <c r="P64" s="181"/>
    </row>
    <row r="65" spans="1:16">
      <c r="A65" s="192">
        <v>120101</v>
      </c>
      <c r="B65" s="104" t="s">
        <v>104</v>
      </c>
      <c r="C65" s="90">
        <v>82267354</v>
      </c>
      <c r="D65" s="90"/>
      <c r="E65" s="90"/>
      <c r="F65" s="90"/>
      <c r="G65" s="186"/>
      <c r="I65" s="85"/>
      <c r="J65" s="85"/>
      <c r="K65" s="85"/>
      <c r="L65" s="85"/>
      <c r="M65" s="85"/>
      <c r="N65" s="85"/>
      <c r="O65" s="85"/>
      <c r="P65" s="85"/>
    </row>
    <row r="66" spans="1:16">
      <c r="A66" s="192">
        <v>120102</v>
      </c>
      <c r="B66" s="104" t="s">
        <v>105</v>
      </c>
      <c r="C66" s="90">
        <v>32647000</v>
      </c>
      <c r="D66" s="90"/>
      <c r="E66" s="90"/>
      <c r="F66" s="90"/>
      <c r="G66" s="186"/>
      <c r="I66" s="85"/>
      <c r="J66" s="85"/>
      <c r="K66" s="85"/>
      <c r="L66" s="85"/>
      <c r="M66" s="85"/>
      <c r="N66" s="85"/>
      <c r="O66" s="85"/>
      <c r="P66" s="85"/>
    </row>
    <row r="67" spans="1:16" s="86" customFormat="1">
      <c r="A67" s="191">
        <v>1202</v>
      </c>
      <c r="B67" s="88" t="s">
        <v>145</v>
      </c>
      <c r="C67" s="88"/>
      <c r="D67" s="202"/>
      <c r="E67" s="88">
        <f>+C68</f>
        <v>16780115</v>
      </c>
      <c r="F67" s="88"/>
      <c r="G67" s="187"/>
      <c r="I67" s="181"/>
      <c r="J67" s="181"/>
      <c r="K67" s="181"/>
      <c r="L67" s="181"/>
      <c r="M67" s="181"/>
      <c r="N67" s="181"/>
      <c r="O67" s="181"/>
      <c r="P67" s="181"/>
    </row>
    <row r="68" spans="1:16">
      <c r="A68" s="192">
        <v>120201</v>
      </c>
      <c r="B68" s="104" t="s">
        <v>106</v>
      </c>
      <c r="C68" s="90">
        <v>16780115</v>
      </c>
      <c r="D68" s="90"/>
      <c r="E68" s="90"/>
      <c r="F68" s="90"/>
      <c r="G68" s="186"/>
      <c r="I68" s="85"/>
      <c r="J68" s="85"/>
      <c r="K68" s="85"/>
      <c r="L68" s="85"/>
      <c r="M68" s="85"/>
      <c r="N68" s="85"/>
      <c r="O68" s="85"/>
      <c r="P68" s="85"/>
    </row>
    <row r="69" spans="1:16" s="86" customFormat="1">
      <c r="A69" s="191">
        <v>1204</v>
      </c>
      <c r="B69" s="93" t="s">
        <v>107</v>
      </c>
      <c r="C69" s="88"/>
      <c r="D69" s="202"/>
      <c r="E69" s="88">
        <f>+C70</f>
        <v>276310740</v>
      </c>
      <c r="F69" s="88"/>
      <c r="G69" s="187"/>
      <c r="I69" s="181"/>
      <c r="J69" s="181"/>
      <c r="K69" s="181"/>
      <c r="L69" s="181"/>
      <c r="M69" s="181"/>
      <c r="N69" s="181"/>
      <c r="O69" s="181"/>
      <c r="P69" s="181"/>
    </row>
    <row r="70" spans="1:16">
      <c r="A70" s="192">
        <v>120401</v>
      </c>
      <c r="B70" s="199" t="s">
        <v>108</v>
      </c>
      <c r="C70" s="90">
        <v>276310740</v>
      </c>
      <c r="D70" s="90"/>
      <c r="E70" s="90"/>
      <c r="F70" s="90"/>
      <c r="G70" s="186"/>
      <c r="I70" s="81"/>
      <c r="J70" s="81"/>
      <c r="K70" s="81"/>
      <c r="L70" s="81"/>
      <c r="M70" s="81"/>
      <c r="N70" s="81"/>
      <c r="O70" s="81"/>
      <c r="P70" s="81"/>
    </row>
    <row r="71" spans="1:16">
      <c r="A71" s="191">
        <v>1205</v>
      </c>
      <c r="B71" s="93" t="s">
        <v>601</v>
      </c>
      <c r="C71" s="88"/>
      <c r="D71" s="91"/>
      <c r="E71" s="88">
        <f>SUM(C72:C74)</f>
        <v>951193870</v>
      </c>
      <c r="F71" s="90"/>
      <c r="G71" s="186"/>
      <c r="I71" s="83"/>
      <c r="J71" s="83"/>
      <c r="K71" s="83"/>
      <c r="L71" s="83"/>
      <c r="M71" s="83"/>
      <c r="N71" s="83"/>
      <c r="O71" s="83"/>
      <c r="P71" s="83"/>
    </row>
    <row r="72" spans="1:16">
      <c r="A72" s="192">
        <v>120501</v>
      </c>
      <c r="B72" s="91" t="s">
        <v>79</v>
      </c>
      <c r="C72" s="90">
        <v>66295935</v>
      </c>
      <c r="D72" s="90"/>
      <c r="E72" s="90"/>
      <c r="F72" s="90"/>
      <c r="G72" s="186"/>
      <c r="I72" s="94"/>
      <c r="J72" s="94"/>
      <c r="K72" s="94"/>
      <c r="L72" s="94"/>
      <c r="M72" s="94"/>
      <c r="N72" s="95"/>
      <c r="O72" s="95"/>
      <c r="P72" s="94"/>
    </row>
    <row r="73" spans="1:16">
      <c r="A73" s="192">
        <v>120502</v>
      </c>
      <c r="B73" s="91" t="s">
        <v>80</v>
      </c>
      <c r="C73" s="90">
        <v>49720950</v>
      </c>
      <c r="D73" s="90"/>
      <c r="E73" s="90"/>
      <c r="F73" s="90"/>
      <c r="G73" s="99"/>
      <c r="I73" s="94"/>
      <c r="J73" s="94"/>
      <c r="K73" s="94"/>
      <c r="L73" s="94"/>
      <c r="M73" s="94"/>
      <c r="N73" s="94"/>
      <c r="O73" s="95"/>
      <c r="P73" s="94"/>
    </row>
    <row r="74" spans="1:16">
      <c r="A74" s="192">
        <v>120503</v>
      </c>
      <c r="B74" s="91" t="s">
        <v>81</v>
      </c>
      <c r="C74" s="90">
        <v>835176985</v>
      </c>
      <c r="D74" s="90"/>
      <c r="E74" s="90"/>
      <c r="F74" s="90"/>
      <c r="G74" s="188"/>
      <c r="I74" s="95"/>
      <c r="J74" s="95"/>
      <c r="K74" s="95"/>
      <c r="L74" s="95"/>
      <c r="M74" s="95"/>
      <c r="N74" s="95"/>
      <c r="O74" s="95"/>
      <c r="P74" s="94"/>
    </row>
    <row r="75" spans="1:16">
      <c r="A75" s="194"/>
      <c r="B75" s="90"/>
      <c r="C75" s="90"/>
      <c r="D75" s="90"/>
      <c r="E75" s="90"/>
      <c r="F75" s="90"/>
      <c r="G75" s="99"/>
    </row>
    <row r="76" spans="1:16">
      <c r="A76" s="191">
        <v>13</v>
      </c>
      <c r="B76" s="88" t="s">
        <v>69</v>
      </c>
      <c r="C76" s="90"/>
      <c r="D76" s="7"/>
      <c r="E76" s="7"/>
      <c r="F76" s="88">
        <f>SUM(E77:E83)</f>
        <v>16501000</v>
      </c>
      <c r="G76" s="99"/>
      <c r="I76" s="81"/>
      <c r="J76" s="81"/>
      <c r="K76" s="81"/>
      <c r="L76" s="81"/>
      <c r="M76" s="81"/>
      <c r="N76" s="81"/>
      <c r="O76" s="92"/>
      <c r="P76" s="92"/>
    </row>
    <row r="77" spans="1:16">
      <c r="A77" s="191">
        <v>1301</v>
      </c>
      <c r="B77" s="88" t="s">
        <v>92</v>
      </c>
      <c r="C77" s="90"/>
      <c r="D77" s="91"/>
      <c r="E77" s="88">
        <f>SUM(C78:C79)</f>
        <v>13500000</v>
      </c>
      <c r="F77" s="90"/>
      <c r="G77" s="99"/>
      <c r="I77" s="81"/>
      <c r="J77" s="81"/>
      <c r="K77" s="81"/>
      <c r="L77" s="81"/>
      <c r="M77" s="81"/>
      <c r="N77" s="81"/>
      <c r="O77" s="92"/>
      <c r="P77" s="92"/>
    </row>
    <row r="78" spans="1:16">
      <c r="A78" s="192">
        <v>130101</v>
      </c>
      <c r="B78" s="90" t="s">
        <v>82</v>
      </c>
      <c r="C78" s="90">
        <f>15000000*0.9</f>
        <v>13500000</v>
      </c>
      <c r="D78" s="91"/>
      <c r="E78" s="90"/>
      <c r="F78" s="90"/>
      <c r="G78" s="99"/>
      <c r="I78" s="83"/>
      <c r="J78" s="83"/>
      <c r="K78" s="83"/>
      <c r="L78" s="83"/>
      <c r="M78" s="83"/>
      <c r="N78" s="83"/>
      <c r="O78" s="84"/>
      <c r="P78" s="84"/>
    </row>
    <row r="79" spans="1:16">
      <c r="A79" s="192"/>
      <c r="B79" s="90"/>
      <c r="C79" s="90"/>
      <c r="D79" s="91"/>
      <c r="E79" s="90"/>
      <c r="F79" s="90"/>
      <c r="G79" s="99"/>
      <c r="I79" s="83"/>
      <c r="J79" s="83"/>
      <c r="K79" s="83"/>
      <c r="L79" s="83"/>
      <c r="M79" s="83"/>
      <c r="N79" s="83"/>
      <c r="O79" s="83"/>
      <c r="P79" s="83"/>
    </row>
    <row r="80" spans="1:16">
      <c r="A80" s="191">
        <v>1302</v>
      </c>
      <c r="B80" s="88" t="s">
        <v>93</v>
      </c>
      <c r="C80" s="90"/>
      <c r="D80" s="91"/>
      <c r="E80" s="88">
        <f>+C81+C82</f>
        <v>1000</v>
      </c>
      <c r="F80" s="90"/>
      <c r="G80" s="186"/>
      <c r="I80" s="83"/>
      <c r="J80" s="83"/>
      <c r="K80" s="83"/>
      <c r="L80" s="83"/>
      <c r="M80" s="83"/>
      <c r="N80" s="83"/>
      <c r="O80" s="83"/>
      <c r="P80" s="83"/>
    </row>
    <row r="81" spans="1:16">
      <c r="A81" s="192">
        <v>130201</v>
      </c>
      <c r="B81" s="90" t="s">
        <v>336</v>
      </c>
      <c r="C81" s="90">
        <v>1000</v>
      </c>
      <c r="D81" s="91"/>
      <c r="E81" s="90"/>
      <c r="F81" s="90"/>
      <c r="G81" s="186"/>
      <c r="I81" s="83"/>
      <c r="J81" s="83"/>
      <c r="K81" s="83"/>
      <c r="L81" s="83"/>
      <c r="M81" s="83"/>
      <c r="N81" s="83"/>
      <c r="O81" s="83"/>
      <c r="P81" s="83"/>
    </row>
    <row r="82" spans="1:16">
      <c r="A82" s="192"/>
      <c r="B82" s="90"/>
      <c r="C82" s="90"/>
      <c r="D82" s="91"/>
      <c r="E82" s="90"/>
      <c r="F82" s="90"/>
      <c r="G82" s="186"/>
      <c r="I82" s="83"/>
      <c r="J82" s="83"/>
      <c r="K82" s="83"/>
      <c r="L82" s="83"/>
      <c r="M82" s="83"/>
      <c r="N82" s="83"/>
      <c r="O82" s="83"/>
      <c r="P82" s="83"/>
    </row>
    <row r="83" spans="1:16">
      <c r="A83" s="191">
        <v>1303</v>
      </c>
      <c r="B83" s="88" t="s">
        <v>70</v>
      </c>
      <c r="C83" s="88"/>
      <c r="D83" s="91"/>
      <c r="E83" s="88">
        <f>SUM(C84:C84)</f>
        <v>3000000</v>
      </c>
      <c r="F83" s="90"/>
      <c r="G83" s="189"/>
      <c r="I83" s="95"/>
      <c r="J83" s="95"/>
      <c r="K83" s="95"/>
      <c r="L83" s="95"/>
      <c r="M83" s="95"/>
      <c r="N83" s="95"/>
      <c r="O83" s="95"/>
      <c r="P83" s="94"/>
    </row>
    <row r="84" spans="1:16">
      <c r="A84" s="191">
        <v>130301</v>
      </c>
      <c r="B84" s="90" t="s">
        <v>264</v>
      </c>
      <c r="C84" s="90">
        <v>3000000</v>
      </c>
      <c r="D84" s="90"/>
      <c r="E84" s="90"/>
      <c r="F84" s="90"/>
      <c r="G84" s="189"/>
      <c r="I84" s="95"/>
      <c r="J84" s="95"/>
      <c r="K84" s="95"/>
      <c r="L84" s="95"/>
      <c r="M84" s="95"/>
      <c r="N84" s="95"/>
      <c r="O84" s="95"/>
      <c r="P84" s="94"/>
    </row>
    <row r="85" spans="1:16">
      <c r="A85" s="192"/>
      <c r="B85" s="90"/>
      <c r="C85" s="88"/>
      <c r="D85" s="90"/>
      <c r="E85" s="90"/>
      <c r="F85" s="90"/>
      <c r="G85" s="189"/>
      <c r="I85" s="95"/>
      <c r="J85" s="95"/>
      <c r="K85" s="95"/>
      <c r="L85" s="95"/>
      <c r="M85" s="95"/>
      <c r="N85" s="95"/>
      <c r="O85" s="95"/>
      <c r="P85" s="94"/>
    </row>
    <row r="86" spans="1:16" s="86" customFormat="1">
      <c r="A86" s="191">
        <v>14</v>
      </c>
      <c r="B86" s="87" t="s">
        <v>95</v>
      </c>
      <c r="C86" s="88"/>
      <c r="D86" s="88"/>
      <c r="E86" s="88"/>
      <c r="F86" s="88">
        <f>SUM(E87:E99)</f>
        <v>802735790</v>
      </c>
      <c r="G86" s="101"/>
    </row>
    <row r="87" spans="1:16" s="86" customFormat="1">
      <c r="A87" s="191">
        <v>1401</v>
      </c>
      <c r="B87" s="88" t="s">
        <v>66</v>
      </c>
      <c r="C87" s="88"/>
      <c r="D87" s="88"/>
      <c r="E87" s="88">
        <f>+C88</f>
        <v>7000000</v>
      </c>
      <c r="F87" s="88"/>
      <c r="G87" s="101"/>
    </row>
    <row r="88" spans="1:16">
      <c r="A88" s="192">
        <v>140101</v>
      </c>
      <c r="B88" s="90" t="s">
        <v>415</v>
      </c>
      <c r="C88" s="90">
        <v>7000000</v>
      </c>
      <c r="D88" s="90"/>
      <c r="E88" s="90"/>
      <c r="F88" s="90"/>
      <c r="G88" s="185"/>
      <c r="I88" s="84"/>
      <c r="J88" s="84"/>
      <c r="K88" s="84"/>
      <c r="L88" s="84"/>
      <c r="M88" s="84"/>
      <c r="N88" s="84"/>
      <c r="O88" s="84"/>
      <c r="P88" s="84"/>
    </row>
    <row r="89" spans="1:16">
      <c r="A89" s="192"/>
      <c r="B89" s="90"/>
      <c r="C89" s="90"/>
      <c r="D89" s="90"/>
      <c r="E89" s="90"/>
      <c r="F89" s="90"/>
      <c r="G89" s="99"/>
      <c r="I89" s="84"/>
      <c r="J89" s="84"/>
      <c r="K89" s="84"/>
      <c r="L89" s="84"/>
      <c r="M89" s="84"/>
      <c r="N89" s="84"/>
      <c r="O89" s="84"/>
      <c r="P89" s="84"/>
    </row>
    <row r="90" spans="1:16" s="86" customFormat="1">
      <c r="A90" s="191">
        <v>1402</v>
      </c>
      <c r="B90" s="88" t="s">
        <v>109</v>
      </c>
      <c r="C90" s="88"/>
      <c r="D90" s="88"/>
      <c r="E90" s="88">
        <f>+C91</f>
        <v>10000000</v>
      </c>
      <c r="F90" s="88"/>
      <c r="G90" s="101"/>
      <c r="I90" s="92"/>
      <c r="J90" s="92"/>
      <c r="K90" s="92"/>
      <c r="L90" s="92"/>
      <c r="M90" s="92"/>
      <c r="N90" s="92"/>
      <c r="O90" s="92"/>
      <c r="P90" s="92"/>
    </row>
    <row r="91" spans="1:16">
      <c r="A91" s="192">
        <v>140201</v>
      </c>
      <c r="B91" s="90" t="s">
        <v>162</v>
      </c>
      <c r="C91" s="90">
        <v>10000000</v>
      </c>
      <c r="D91" s="90"/>
      <c r="E91" s="90"/>
      <c r="F91" s="90"/>
      <c r="G91" s="99"/>
      <c r="I91" s="84"/>
      <c r="J91" s="84"/>
      <c r="K91" s="84"/>
      <c r="L91" s="84"/>
      <c r="M91" s="84"/>
      <c r="N91" s="84"/>
      <c r="O91" s="84"/>
      <c r="P91" s="84"/>
    </row>
    <row r="92" spans="1:16">
      <c r="A92" s="192"/>
      <c r="B92" s="90"/>
      <c r="C92" s="90"/>
      <c r="D92" s="90"/>
      <c r="E92" s="90"/>
      <c r="F92" s="90"/>
      <c r="G92" s="99"/>
      <c r="I92" s="84"/>
      <c r="J92" s="84"/>
      <c r="K92" s="84"/>
      <c r="L92" s="84"/>
      <c r="M92" s="84"/>
      <c r="N92" s="84"/>
      <c r="O92" s="84"/>
      <c r="P92" s="84"/>
    </row>
    <row r="93" spans="1:16" s="86" customFormat="1">
      <c r="A93" s="191">
        <v>1403</v>
      </c>
      <c r="B93" s="88" t="s">
        <v>67</v>
      </c>
      <c r="C93" s="88"/>
      <c r="D93" s="88"/>
      <c r="E93" s="88">
        <f>+C94</f>
        <v>5000000</v>
      </c>
      <c r="F93" s="88"/>
      <c r="G93" s="101"/>
      <c r="I93" s="92"/>
      <c r="J93" s="92"/>
      <c r="K93" s="92"/>
      <c r="L93" s="92"/>
      <c r="M93" s="92"/>
      <c r="N93" s="92"/>
      <c r="O93" s="92"/>
      <c r="P93" s="92"/>
    </row>
    <row r="94" spans="1:16">
      <c r="A94" s="192">
        <v>140301</v>
      </c>
      <c r="B94" s="90" t="s">
        <v>222</v>
      </c>
      <c r="C94" s="90">
        <v>5000000</v>
      </c>
      <c r="D94" s="90"/>
      <c r="E94" s="90"/>
      <c r="F94" s="90"/>
      <c r="G94" s="99"/>
      <c r="I94" s="84"/>
      <c r="J94" s="84"/>
      <c r="K94" s="84"/>
      <c r="L94" s="84"/>
      <c r="M94" s="84"/>
      <c r="N94" s="84"/>
      <c r="O94" s="84"/>
      <c r="P94" s="84"/>
    </row>
    <row r="95" spans="1:16">
      <c r="A95" s="192"/>
      <c r="B95" s="90"/>
      <c r="C95" s="90"/>
      <c r="D95" s="90"/>
      <c r="E95" s="90"/>
      <c r="F95" s="90"/>
      <c r="G95" s="99"/>
      <c r="I95" s="84"/>
      <c r="J95" s="84"/>
      <c r="K95" s="84"/>
      <c r="L95" s="84"/>
      <c r="M95" s="84"/>
      <c r="N95" s="84"/>
      <c r="O95" s="84"/>
      <c r="P95" s="84"/>
    </row>
    <row r="96" spans="1:16" s="86" customFormat="1">
      <c r="A96" s="191">
        <v>1404</v>
      </c>
      <c r="B96" s="88" t="s">
        <v>68</v>
      </c>
      <c r="C96" s="88"/>
      <c r="D96" s="88"/>
      <c r="E96" s="103">
        <f>+C97</f>
        <v>12000000</v>
      </c>
      <c r="F96" s="88"/>
      <c r="G96" s="189"/>
      <c r="I96" s="95"/>
      <c r="J96" s="95"/>
      <c r="K96" s="95"/>
      <c r="L96" s="95"/>
      <c r="M96" s="95"/>
      <c r="N96" s="95"/>
      <c r="O96" s="95"/>
      <c r="P96" s="95"/>
    </row>
    <row r="97" spans="1:16">
      <c r="A97" s="192">
        <v>140401</v>
      </c>
      <c r="B97" s="90" t="s">
        <v>156</v>
      </c>
      <c r="C97" s="90">
        <v>12000000</v>
      </c>
      <c r="D97" s="90"/>
      <c r="E97" s="90"/>
      <c r="F97" s="90"/>
      <c r="G97" s="189"/>
      <c r="I97" s="95"/>
      <c r="J97" s="95"/>
      <c r="K97" s="95"/>
      <c r="L97" s="95"/>
      <c r="M97" s="95"/>
      <c r="N97" s="95"/>
      <c r="O97" s="95"/>
      <c r="P97" s="94"/>
    </row>
    <row r="98" spans="1:16">
      <c r="A98" s="192"/>
      <c r="B98" s="90"/>
      <c r="C98" s="88"/>
      <c r="D98" s="90"/>
      <c r="E98" s="90"/>
      <c r="F98" s="90"/>
      <c r="G98" s="189"/>
      <c r="I98" s="95"/>
      <c r="J98" s="95"/>
      <c r="K98" s="95"/>
      <c r="L98" s="95"/>
      <c r="M98" s="95"/>
      <c r="N98" s="95"/>
      <c r="O98" s="95"/>
      <c r="P98" s="94"/>
    </row>
    <row r="99" spans="1:16" s="86" customFormat="1">
      <c r="A99" s="191">
        <v>1405</v>
      </c>
      <c r="B99" s="88" t="s">
        <v>213</v>
      </c>
      <c r="C99" s="88"/>
      <c r="D99" s="88"/>
      <c r="E99" s="88">
        <f>SUM(D100:D109)</f>
        <v>768735790</v>
      </c>
      <c r="F99" s="88"/>
      <c r="G99" s="189"/>
      <c r="I99" s="95"/>
      <c r="J99" s="95"/>
      <c r="K99" s="95"/>
      <c r="L99" s="95"/>
      <c r="M99" s="95"/>
      <c r="N99" s="95"/>
      <c r="O99" s="95"/>
      <c r="P99" s="95"/>
    </row>
    <row r="100" spans="1:16" s="86" customFormat="1">
      <c r="A100" s="191">
        <v>14051</v>
      </c>
      <c r="B100" s="201" t="s">
        <v>34</v>
      </c>
      <c r="C100" s="88"/>
      <c r="D100" s="88">
        <f>SUM(C101:C107)</f>
        <v>746774185</v>
      </c>
      <c r="E100" s="88"/>
      <c r="F100" s="88"/>
      <c r="G100" s="101"/>
    </row>
    <row r="101" spans="1:16" s="86" customFormat="1">
      <c r="A101" s="191">
        <v>1405101</v>
      </c>
      <c r="B101" s="93" t="s">
        <v>19</v>
      </c>
      <c r="C101" s="90">
        <v>547054416</v>
      </c>
      <c r="D101" s="88"/>
      <c r="E101" s="88"/>
      <c r="F101" s="88"/>
      <c r="G101" s="187"/>
      <c r="I101" s="181"/>
      <c r="J101" s="181"/>
      <c r="K101" s="181"/>
      <c r="L101" s="181"/>
      <c r="M101" s="181"/>
      <c r="N101" s="181"/>
      <c r="O101" s="181"/>
      <c r="P101" s="181"/>
    </row>
    <row r="102" spans="1:16" s="86" customFormat="1">
      <c r="A102" s="191">
        <v>1405102</v>
      </c>
      <c r="B102" s="201" t="s">
        <v>72</v>
      </c>
      <c r="C102" s="90">
        <v>62819769</v>
      </c>
      <c r="D102" s="88"/>
      <c r="E102" s="88"/>
      <c r="F102" s="88"/>
      <c r="G102" s="101"/>
    </row>
    <row r="103" spans="1:16">
      <c r="A103" s="192">
        <v>1405103</v>
      </c>
      <c r="B103" s="90" t="s">
        <v>74</v>
      </c>
      <c r="C103" s="90">
        <v>6000000</v>
      </c>
      <c r="D103" s="90"/>
      <c r="E103" s="90"/>
      <c r="F103" s="90"/>
      <c r="G103" s="99"/>
      <c r="H103" s="82"/>
      <c r="I103" s="83"/>
      <c r="J103" s="83"/>
      <c r="K103" s="83"/>
      <c r="L103" s="83"/>
      <c r="M103" s="83"/>
      <c r="N103" s="83"/>
      <c r="O103" s="84"/>
      <c r="P103" s="84"/>
    </row>
    <row r="104" spans="1:16">
      <c r="A104" s="192">
        <v>1405104</v>
      </c>
      <c r="B104" s="90" t="s">
        <v>73</v>
      </c>
      <c r="C104" s="90">
        <v>55000000</v>
      </c>
      <c r="D104" s="90"/>
      <c r="E104" s="90"/>
      <c r="F104" s="90"/>
      <c r="G104" s="99"/>
      <c r="H104" s="82"/>
      <c r="I104" s="83"/>
      <c r="J104" s="83"/>
      <c r="K104" s="83"/>
      <c r="L104" s="83"/>
      <c r="M104" s="83"/>
      <c r="N104" s="83"/>
      <c r="O104" s="83"/>
      <c r="P104" s="83"/>
    </row>
    <row r="105" spans="1:16">
      <c r="A105" s="192">
        <v>1405105</v>
      </c>
      <c r="B105" s="90" t="s">
        <v>75</v>
      </c>
      <c r="C105" s="90">
        <v>75400000</v>
      </c>
      <c r="D105" s="90"/>
      <c r="E105" s="90"/>
      <c r="F105" s="90"/>
      <c r="G105" s="186"/>
      <c r="H105" s="82"/>
      <c r="I105" s="83"/>
      <c r="J105" s="83"/>
      <c r="K105" s="83"/>
      <c r="L105" s="83"/>
      <c r="M105" s="83"/>
      <c r="N105" s="83"/>
      <c r="O105" s="83"/>
      <c r="P105" s="83"/>
    </row>
    <row r="106" spans="1:16" s="86" customFormat="1">
      <c r="A106" s="192">
        <v>1405108</v>
      </c>
      <c r="B106" s="201" t="s">
        <v>125</v>
      </c>
      <c r="C106" s="88"/>
      <c r="D106" s="88"/>
      <c r="E106" s="88"/>
      <c r="F106" s="88"/>
      <c r="G106" s="101"/>
    </row>
    <row r="107" spans="1:16">
      <c r="A107" s="192">
        <v>140510801</v>
      </c>
      <c r="B107" s="200" t="s">
        <v>111</v>
      </c>
      <c r="C107" s="90">
        <v>500000</v>
      </c>
      <c r="D107" s="90"/>
      <c r="E107" s="90"/>
      <c r="F107" s="90"/>
      <c r="G107" s="99"/>
      <c r="H107" s="82"/>
    </row>
    <row r="108" spans="1:16">
      <c r="A108" s="192"/>
      <c r="B108" s="90"/>
      <c r="C108" s="90"/>
      <c r="D108" s="90"/>
      <c r="E108" s="90"/>
      <c r="F108" s="90"/>
      <c r="G108" s="99"/>
      <c r="H108" s="82"/>
    </row>
    <row r="109" spans="1:16" s="86" customFormat="1">
      <c r="A109" s="191">
        <v>14052</v>
      </c>
      <c r="B109" s="203" t="s">
        <v>71</v>
      </c>
      <c r="C109" s="88"/>
      <c r="D109" s="202">
        <f>SUM(C110:C113)</f>
        <v>21961605</v>
      </c>
      <c r="E109" s="88"/>
      <c r="F109" s="88"/>
      <c r="G109" s="101"/>
    </row>
    <row r="110" spans="1:16">
      <c r="A110" s="192">
        <v>1405201</v>
      </c>
      <c r="B110" s="200" t="s">
        <v>76</v>
      </c>
      <c r="C110" s="90">
        <v>21961605</v>
      </c>
      <c r="D110" s="90"/>
      <c r="E110" s="90"/>
      <c r="F110" s="90"/>
      <c r="G110" s="186"/>
      <c r="H110" s="82"/>
      <c r="I110" s="85"/>
      <c r="J110" s="85"/>
      <c r="K110" s="85"/>
      <c r="L110" s="85"/>
      <c r="M110" s="85"/>
      <c r="N110" s="85"/>
      <c r="O110" s="85"/>
      <c r="P110" s="85"/>
    </row>
    <row r="111" spans="1:16">
      <c r="A111" s="192"/>
      <c r="B111" s="90"/>
      <c r="C111" s="90"/>
      <c r="D111" s="90"/>
      <c r="E111" s="90"/>
      <c r="F111" s="90"/>
      <c r="G111" s="99"/>
      <c r="H111" s="82"/>
    </row>
    <row r="112" spans="1:16" s="86" customFormat="1">
      <c r="A112" s="192">
        <v>1405208</v>
      </c>
      <c r="B112" s="201" t="s">
        <v>125</v>
      </c>
      <c r="C112" s="88"/>
      <c r="D112" s="88"/>
      <c r="E112" s="88"/>
      <c r="F112" s="88"/>
      <c r="G112" s="101"/>
    </row>
    <row r="113" spans="1:16">
      <c r="A113" s="192">
        <v>140520801</v>
      </c>
      <c r="B113" s="200" t="s">
        <v>77</v>
      </c>
      <c r="C113" s="90">
        <v>0</v>
      </c>
      <c r="D113" s="90"/>
      <c r="E113" s="90"/>
      <c r="F113" s="90"/>
      <c r="G113" s="99"/>
      <c r="H113" s="82"/>
    </row>
    <row r="114" spans="1:16">
      <c r="A114" s="192"/>
      <c r="B114" s="90"/>
      <c r="C114" s="88"/>
      <c r="D114" s="90"/>
      <c r="E114" s="90"/>
      <c r="F114" s="90"/>
      <c r="G114" s="189"/>
      <c r="H114" s="82"/>
      <c r="I114" s="95"/>
      <c r="J114" s="95"/>
      <c r="K114" s="95"/>
      <c r="L114" s="95"/>
      <c r="M114" s="95"/>
      <c r="N114" s="95"/>
      <c r="O114" s="95"/>
      <c r="P114" s="94"/>
    </row>
    <row r="115" spans="1:16">
      <c r="A115" s="191">
        <v>15</v>
      </c>
      <c r="B115" s="88" t="s">
        <v>125</v>
      </c>
      <c r="C115" s="90"/>
      <c r="D115" s="7"/>
      <c r="E115" s="88"/>
      <c r="F115" s="88">
        <f>SUM(D117)</f>
        <v>0</v>
      </c>
      <c r="G115" s="101"/>
      <c r="H115" s="82"/>
      <c r="I115" s="95"/>
      <c r="J115" s="95"/>
      <c r="K115" s="95"/>
      <c r="L115" s="95"/>
      <c r="M115" s="95"/>
      <c r="N115" s="95"/>
      <c r="O115" s="94"/>
      <c r="P115" s="94"/>
    </row>
    <row r="116" spans="1:16">
      <c r="A116" s="192"/>
      <c r="B116" s="90"/>
      <c r="C116" s="90"/>
      <c r="D116" s="90"/>
      <c r="E116" s="90"/>
      <c r="F116" s="90"/>
      <c r="G116" s="99"/>
      <c r="H116" s="82"/>
      <c r="I116" s="95"/>
      <c r="J116" s="95"/>
      <c r="K116" s="95"/>
      <c r="L116" s="95"/>
      <c r="M116" s="95"/>
      <c r="N116" s="95"/>
      <c r="O116" s="94"/>
      <c r="P116" s="94"/>
    </row>
    <row r="117" spans="1:16">
      <c r="A117" s="191">
        <v>151</v>
      </c>
      <c r="B117" s="93" t="s">
        <v>192</v>
      </c>
      <c r="C117" s="90"/>
      <c r="D117" s="88">
        <f>SUM(C118:C119)</f>
        <v>0</v>
      </c>
      <c r="E117" s="90"/>
      <c r="F117" s="90"/>
      <c r="G117" s="99"/>
      <c r="H117" s="82"/>
      <c r="I117" s="94"/>
      <c r="J117" s="94"/>
      <c r="K117" s="94"/>
      <c r="L117" s="94"/>
      <c r="M117" s="94"/>
      <c r="N117" s="94"/>
      <c r="O117" s="94"/>
      <c r="P117" s="94"/>
    </row>
    <row r="118" spans="1:16" ht="22.5">
      <c r="A118" s="192">
        <v>15101</v>
      </c>
      <c r="B118" s="98" t="s">
        <v>78</v>
      </c>
      <c r="C118" s="90">
        <v>0</v>
      </c>
      <c r="D118" s="90"/>
      <c r="E118" s="90"/>
      <c r="F118" s="90"/>
      <c r="G118" s="99"/>
      <c r="H118" s="82"/>
      <c r="I118" s="94"/>
      <c r="J118" s="94"/>
      <c r="K118" s="94"/>
      <c r="L118" s="94"/>
      <c r="M118" s="94"/>
      <c r="N118" s="94"/>
      <c r="O118" s="94"/>
      <c r="P118" s="94"/>
    </row>
    <row r="119" spans="1:16" ht="12" thickBot="1">
      <c r="A119" s="195">
        <v>15102</v>
      </c>
      <c r="B119" s="183" t="s">
        <v>362</v>
      </c>
      <c r="C119" s="106">
        <v>0</v>
      </c>
      <c r="D119" s="106"/>
      <c r="E119" s="106"/>
      <c r="F119" s="106"/>
      <c r="G119" s="102"/>
      <c r="H119" s="82"/>
      <c r="I119" s="94"/>
      <c r="J119" s="94"/>
      <c r="K119" s="94"/>
      <c r="L119" s="94"/>
      <c r="M119" s="94"/>
      <c r="N119" s="94"/>
      <c r="O119" s="94"/>
      <c r="P119" s="94"/>
    </row>
    <row r="120" spans="1:16">
      <c r="A120" s="197"/>
      <c r="B120" s="198"/>
      <c r="C120" s="97"/>
      <c r="D120" s="97"/>
      <c r="E120" s="97"/>
      <c r="F120" s="97"/>
      <c r="G120" s="97"/>
      <c r="H120" s="97"/>
      <c r="I120" s="94"/>
      <c r="J120" s="94"/>
      <c r="K120" s="94"/>
      <c r="L120" s="94"/>
      <c r="M120" s="94"/>
      <c r="N120" s="94"/>
      <c r="O120" s="94"/>
      <c r="P120" s="94"/>
    </row>
    <row r="121" spans="1:16" ht="12" thickBot="1">
      <c r="A121" s="190"/>
      <c r="B121" s="96"/>
      <c r="C121" s="96"/>
      <c r="D121" s="96"/>
      <c r="E121" s="96"/>
      <c r="F121" s="96"/>
      <c r="G121" s="96"/>
      <c r="H121" s="97"/>
      <c r="I121" s="94"/>
      <c r="J121" s="94"/>
      <c r="K121" s="94"/>
      <c r="L121" s="94"/>
      <c r="M121" s="94"/>
      <c r="N121" s="94"/>
      <c r="O121" s="94"/>
      <c r="P121" s="94"/>
    </row>
    <row r="122" spans="1:16">
      <c r="B122" s="207" t="s">
        <v>183</v>
      </c>
      <c r="C122" s="208">
        <f>+F20+C102</f>
        <v>875163289</v>
      </c>
      <c r="D122" s="209">
        <f>+C122*0.2</f>
        <v>175032657.80000001</v>
      </c>
      <c r="E122" s="210"/>
      <c r="F122" s="210"/>
      <c r="G122" s="210"/>
      <c r="H122" s="210"/>
      <c r="I122" s="94"/>
      <c r="J122" s="94"/>
      <c r="K122" s="94"/>
      <c r="L122" s="94"/>
      <c r="M122" s="94"/>
      <c r="N122" s="94"/>
      <c r="O122" s="94"/>
      <c r="P122" s="94"/>
    </row>
    <row r="123" spans="1:16">
      <c r="B123" s="211" t="s">
        <v>211</v>
      </c>
      <c r="C123" s="212">
        <f>+C122*80%</f>
        <v>700130631.20000005</v>
      </c>
      <c r="D123" s="209"/>
      <c r="E123" s="210"/>
      <c r="F123" s="210"/>
      <c r="G123" s="210"/>
      <c r="H123" s="210"/>
      <c r="I123" s="94"/>
      <c r="J123" s="94"/>
      <c r="K123" s="94"/>
      <c r="L123" s="94"/>
      <c r="M123" s="94"/>
      <c r="N123" s="94"/>
      <c r="O123" s="94"/>
      <c r="P123" s="94"/>
    </row>
    <row r="124" spans="1:16">
      <c r="B124" s="211" t="s">
        <v>180</v>
      </c>
      <c r="C124" s="212">
        <f>+O139</f>
        <v>499837400</v>
      </c>
      <c r="D124" s="209"/>
      <c r="E124" s="210"/>
      <c r="F124" s="210"/>
      <c r="G124" s="210"/>
      <c r="H124" s="210"/>
      <c r="I124" s="94"/>
      <c r="J124" s="94"/>
      <c r="K124" s="94"/>
      <c r="L124" s="94"/>
      <c r="M124" s="94"/>
      <c r="N124" s="94"/>
      <c r="O124" s="94"/>
      <c r="P124" s="94"/>
    </row>
    <row r="125" spans="1:16">
      <c r="B125" s="211" t="s">
        <v>605</v>
      </c>
      <c r="C125" s="212">
        <f>+S203</f>
        <v>0</v>
      </c>
      <c r="D125" s="209"/>
      <c r="E125" s="210"/>
      <c r="F125" s="210"/>
      <c r="G125" s="210"/>
      <c r="H125" s="210"/>
      <c r="I125" s="94"/>
      <c r="J125" s="94"/>
      <c r="K125" s="94"/>
      <c r="L125" s="94"/>
      <c r="M125" s="94"/>
      <c r="N125" s="94"/>
      <c r="O125" s="94"/>
      <c r="P125" s="94"/>
    </row>
    <row r="126" spans="1:16">
      <c r="B126" s="211" t="s">
        <v>606</v>
      </c>
      <c r="C126" s="212">
        <f>+S205</f>
        <v>0</v>
      </c>
      <c r="D126" s="209"/>
      <c r="E126" s="210"/>
      <c r="F126" s="210"/>
      <c r="G126" s="210"/>
      <c r="H126" s="210"/>
      <c r="I126" s="94"/>
      <c r="J126" s="94"/>
      <c r="K126" s="94"/>
      <c r="L126" s="94"/>
      <c r="M126" s="94"/>
      <c r="N126" s="94"/>
      <c r="O126" s="94"/>
      <c r="P126" s="94"/>
    </row>
    <row r="127" spans="1:16">
      <c r="B127" s="213" t="s">
        <v>181</v>
      </c>
      <c r="C127" s="214">
        <f>SUM(C124:C126)</f>
        <v>499837400</v>
      </c>
      <c r="D127" s="209">
        <f>+C123-C127</f>
        <v>200293231.20000005</v>
      </c>
      <c r="E127" s="210"/>
      <c r="F127" s="210"/>
      <c r="G127" s="210"/>
      <c r="H127" s="210"/>
      <c r="I127" s="94"/>
      <c r="J127" s="94"/>
      <c r="K127" s="94"/>
      <c r="L127" s="94"/>
      <c r="M127" s="94"/>
      <c r="N127" s="94"/>
      <c r="O127" s="94"/>
      <c r="P127" s="94"/>
    </row>
    <row r="128" spans="1:16">
      <c r="B128" s="100" t="s">
        <v>182</v>
      </c>
      <c r="C128" s="215">
        <f>+C122-C127</f>
        <v>375325889</v>
      </c>
      <c r="D128" s="209"/>
      <c r="E128" s="210"/>
      <c r="F128" s="210"/>
      <c r="G128" s="210"/>
      <c r="H128" s="210"/>
      <c r="I128" s="94"/>
      <c r="J128" s="94"/>
      <c r="K128" s="94"/>
      <c r="L128" s="94"/>
      <c r="M128" s="94"/>
      <c r="N128" s="94"/>
      <c r="O128" s="94"/>
      <c r="P128" s="94"/>
    </row>
    <row r="129" spans="1:31">
      <c r="B129" s="100" t="s">
        <v>469</v>
      </c>
      <c r="C129" s="215">
        <f>+C218+F218+E218+G218</f>
        <v>2115616100</v>
      </c>
      <c r="D129" s="209"/>
      <c r="E129" s="210"/>
      <c r="F129" s="210"/>
      <c r="G129" s="210"/>
      <c r="H129" s="210"/>
      <c r="I129" s="94"/>
      <c r="J129" s="94"/>
      <c r="K129" s="94"/>
      <c r="L129" s="94"/>
      <c r="M129" s="94"/>
      <c r="N129" s="94"/>
      <c r="O129" s="94"/>
      <c r="P129" s="94"/>
    </row>
    <row r="130" spans="1:31">
      <c r="B130" s="216" t="s">
        <v>85</v>
      </c>
      <c r="C130" s="217">
        <f>SUM(C128:C129)</f>
        <v>2490941989</v>
      </c>
      <c r="D130" s="209"/>
      <c r="E130" s="210"/>
      <c r="F130" s="210"/>
      <c r="G130" s="210"/>
      <c r="H130" s="210"/>
      <c r="I130" s="94"/>
      <c r="J130" s="94"/>
      <c r="K130" s="94"/>
      <c r="L130" s="94"/>
      <c r="M130" s="94"/>
      <c r="N130" s="94"/>
      <c r="O130" s="94"/>
      <c r="P130" s="94"/>
    </row>
    <row r="131" spans="1:31">
      <c r="B131" s="100" t="s">
        <v>184</v>
      </c>
      <c r="C131" s="215">
        <f>+C130+C127</f>
        <v>2990779389</v>
      </c>
      <c r="D131" s="209"/>
      <c r="E131" s="210"/>
      <c r="F131" s="210"/>
      <c r="G131" s="210"/>
      <c r="H131" s="210"/>
      <c r="I131" s="94"/>
      <c r="J131" s="94"/>
      <c r="K131" s="94"/>
      <c r="L131" s="94"/>
      <c r="M131" s="94"/>
      <c r="N131" s="94"/>
      <c r="O131" s="94"/>
      <c r="P131" s="94"/>
    </row>
    <row r="132" spans="1:31" ht="12.75" thickBot="1">
      <c r="B132" s="218" t="s">
        <v>150</v>
      </c>
      <c r="C132" s="219">
        <f>+G18-W136</f>
        <v>22000000</v>
      </c>
      <c r="D132" s="220"/>
      <c r="E132" s="210"/>
      <c r="F132" s="210"/>
      <c r="G132" s="210"/>
      <c r="H132" s="82"/>
      <c r="I132" s="94"/>
      <c r="J132" s="94"/>
      <c r="K132" s="94"/>
      <c r="L132" s="94"/>
      <c r="M132" s="94"/>
      <c r="N132" s="94"/>
      <c r="O132" s="94"/>
      <c r="P132" s="94"/>
    </row>
    <row r="133" spans="1:31" s="94" customFormat="1" ht="12">
      <c r="A133" s="264"/>
      <c r="B133" s="210"/>
      <c r="C133" s="210"/>
      <c r="D133" s="316"/>
      <c r="E133" s="210"/>
      <c r="F133" s="210"/>
      <c r="G133" s="210"/>
    </row>
    <row r="134" spans="1:31" s="94" customFormat="1" ht="12">
      <c r="A134" s="264"/>
      <c r="B134" s="210"/>
      <c r="C134" s="210"/>
      <c r="D134" s="316"/>
      <c r="E134" s="210"/>
      <c r="F134" s="210"/>
      <c r="G134" s="210"/>
    </row>
    <row r="135" spans="1:31" s="280" customFormat="1" ht="13.5" customHeight="1" thickBot="1">
      <c r="A135" s="525" t="s">
        <v>31</v>
      </c>
      <c r="B135" s="525"/>
      <c r="C135" s="525"/>
      <c r="D135" s="525"/>
      <c r="E135" s="525"/>
      <c r="F135" s="525"/>
      <c r="G135" s="277">
        <f>+W136</f>
        <v>2968779389</v>
      </c>
      <c r="I135" s="278">
        <f>+G17-G135</f>
        <v>22000000</v>
      </c>
      <c r="J135" s="278"/>
      <c r="K135" s="278" t="s">
        <v>90</v>
      </c>
      <c r="L135" s="278"/>
      <c r="M135" s="278"/>
      <c r="N135" s="279"/>
      <c r="O135" s="279"/>
      <c r="P135" s="279"/>
    </row>
    <row r="136" spans="1:31" ht="12" thickBot="1">
      <c r="A136" s="221" t="s">
        <v>173</v>
      </c>
      <c r="B136" s="222" t="s">
        <v>126</v>
      </c>
      <c r="C136" s="222">
        <v>2012</v>
      </c>
      <c r="D136" s="222">
        <v>2013</v>
      </c>
      <c r="E136" s="222">
        <v>2014</v>
      </c>
      <c r="F136" s="222">
        <v>2015</v>
      </c>
      <c r="G136" s="222">
        <v>2012</v>
      </c>
      <c r="H136" s="222">
        <v>2013</v>
      </c>
      <c r="I136" s="222">
        <v>2014</v>
      </c>
      <c r="J136" s="222">
        <v>2015</v>
      </c>
      <c r="K136" s="222">
        <v>2012</v>
      </c>
      <c r="L136" s="222">
        <v>2013</v>
      </c>
      <c r="M136" s="222">
        <v>2014</v>
      </c>
      <c r="N136" s="222">
        <v>2015</v>
      </c>
      <c r="O136" s="222">
        <v>2012</v>
      </c>
      <c r="P136" s="222">
        <v>2013</v>
      </c>
      <c r="Q136" s="222">
        <v>2014</v>
      </c>
      <c r="R136" s="222">
        <v>2015</v>
      </c>
      <c r="S136" s="222">
        <v>2012</v>
      </c>
      <c r="T136" s="222">
        <v>2013</v>
      </c>
      <c r="U136" s="222">
        <v>2014</v>
      </c>
      <c r="V136" s="222">
        <v>2015</v>
      </c>
      <c r="W136" s="224">
        <f>+S138+H218</f>
        <v>2968779389</v>
      </c>
      <c r="X136" s="210"/>
      <c r="Y136" s="95"/>
      <c r="Z136" s="95"/>
      <c r="AA136" s="95"/>
      <c r="AB136" s="95"/>
      <c r="AC136" s="94"/>
      <c r="AD136" s="94"/>
      <c r="AE136" s="94"/>
    </row>
    <row r="137" spans="1:31">
      <c r="A137" s="225"/>
      <c r="B137" s="226"/>
      <c r="C137" s="227"/>
      <c r="D137" s="227"/>
      <c r="E137" s="227"/>
      <c r="F137" s="227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91"/>
      <c r="U137" s="91"/>
      <c r="V137" s="7"/>
      <c r="W137" s="7"/>
      <c r="X137" s="94"/>
      <c r="Y137" s="94"/>
      <c r="Z137" s="94"/>
      <c r="AA137" s="94"/>
      <c r="AB137" s="94"/>
    </row>
    <row r="138" spans="1:31">
      <c r="A138" s="228" t="s">
        <v>188</v>
      </c>
      <c r="B138" s="93" t="s">
        <v>161</v>
      </c>
      <c r="C138" s="229"/>
      <c r="D138" s="229"/>
      <c r="E138" s="229"/>
      <c r="F138" s="229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>
        <v>653432050</v>
      </c>
      <c r="T138" s="7"/>
      <c r="U138" s="91"/>
      <c r="V138" s="7"/>
      <c r="W138" s="7"/>
      <c r="X138" s="94"/>
      <c r="Y138" s="94"/>
      <c r="Z138" s="94"/>
      <c r="AA138" s="94"/>
      <c r="AB138" s="94"/>
    </row>
    <row r="139" spans="1:31" ht="12.75">
      <c r="A139" s="228" t="str">
        <f>+'ANEXO1. GASTOS FUNCIONAMIENTO'!A3</f>
        <v>213</v>
      </c>
      <c r="B139" s="230" t="str">
        <f>+'ANEXO1. GASTOS FUNCIONAMIENTO'!B3</f>
        <v>ALCALDIA  Y SUS DEPENDENCIAS</v>
      </c>
      <c r="C139" s="229"/>
      <c r="D139" s="229"/>
      <c r="E139" s="229"/>
      <c r="F139" s="229"/>
      <c r="G139" s="111"/>
      <c r="H139" s="111"/>
      <c r="I139" s="111"/>
      <c r="J139" s="111"/>
      <c r="K139" s="230"/>
      <c r="L139" s="230"/>
      <c r="M139" s="230"/>
      <c r="N139" s="230"/>
      <c r="O139" s="93">
        <f>SUM(K140:K197)</f>
        <v>499837400</v>
      </c>
      <c r="P139" s="431">
        <f>SUM(O139*4/100)+O139</f>
        <v>519830896</v>
      </c>
      <c r="Q139" s="431">
        <f>SUM(P139*4/100)+P139</f>
        <v>540624131.84000003</v>
      </c>
      <c r="R139" s="431">
        <f>SUM(Q139*4/100)+Q139</f>
        <v>562249097.11360002</v>
      </c>
      <c r="S139" s="230"/>
      <c r="T139" s="91"/>
      <c r="U139" s="513"/>
      <c r="V139" s="7"/>
      <c r="W139" s="7"/>
      <c r="X139" s="94"/>
      <c r="Y139" s="94"/>
      <c r="Z139" s="94"/>
      <c r="AA139" s="94"/>
    </row>
    <row r="140" spans="1:31" ht="12.75">
      <c r="A140" s="228" t="str">
        <f>+'ANEXO1. GASTOS FUNCIONAMIENTO'!A4</f>
        <v>2131</v>
      </c>
      <c r="B140" s="230" t="str">
        <f>+'ANEXO1. GASTOS FUNCIONAMIENTO'!B4</f>
        <v>SERVICIOS PERSONALES</v>
      </c>
      <c r="C140" s="229"/>
      <c r="D140" s="229"/>
      <c r="E140" s="229"/>
      <c r="F140" s="229"/>
      <c r="G140" s="230"/>
      <c r="H140" s="230"/>
      <c r="I140" s="230"/>
      <c r="J140" s="230"/>
      <c r="K140" s="230">
        <f>+G141+G152+G157+G164</f>
        <v>350637400</v>
      </c>
      <c r="L140" s="431">
        <f>SUM(K140*4/100)+K140</f>
        <v>364662896</v>
      </c>
      <c r="M140" s="431">
        <f>SUM(L140*4/100)+L140</f>
        <v>379249411.83999997</v>
      </c>
      <c r="N140" s="431">
        <f>SUM(M140*4/100)+M140</f>
        <v>394419388.31359994</v>
      </c>
      <c r="O140" s="230"/>
      <c r="P140" s="230"/>
      <c r="Q140" s="230"/>
      <c r="R140" s="230"/>
      <c r="S140" s="111"/>
      <c r="T140" s="111"/>
      <c r="U140" s="91"/>
      <c r="V140" s="7"/>
      <c r="W140" s="7"/>
      <c r="X140" s="94"/>
      <c r="Y140" s="94"/>
      <c r="Z140" s="94"/>
      <c r="AA140" s="94"/>
      <c r="AB140" s="94"/>
    </row>
    <row r="141" spans="1:31" ht="12.75">
      <c r="A141" s="228" t="str">
        <f>+'ANEXO1. GASTOS FUNCIONAMIENTO'!A5</f>
        <v>21311</v>
      </c>
      <c r="B141" s="230" t="str">
        <f>+'ANEXO1. GASTOS FUNCIONAMIENTO'!B5</f>
        <v>Servicios personales asociados a la nomina</v>
      </c>
      <c r="C141" s="229"/>
      <c r="D141" s="229"/>
      <c r="E141" s="229"/>
      <c r="F141" s="229"/>
      <c r="G141" s="230">
        <f>SUM(C142:C150)</f>
        <v>242703400</v>
      </c>
      <c r="H141" s="431">
        <f>SUM(G141*4/100)+G141</f>
        <v>252411536</v>
      </c>
      <c r="I141" s="431">
        <f>SUM(H141*4/100)+H141</f>
        <v>262507997.44</v>
      </c>
      <c r="J141" s="431">
        <f>SUM(I141*4/100)+I141</f>
        <v>273008317.33759999</v>
      </c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91"/>
      <c r="V141" s="7"/>
      <c r="W141" s="7"/>
      <c r="X141" s="94"/>
      <c r="Y141" s="94"/>
      <c r="Z141" s="94"/>
      <c r="AA141" s="94"/>
      <c r="AB141" s="94"/>
    </row>
    <row r="142" spans="1:31" ht="12.75">
      <c r="A142" s="231" t="str">
        <f>+'ANEXO1. GASTOS FUNCIONAMIENTO'!A6</f>
        <v>2131101</v>
      </c>
      <c r="B142" s="111" t="str">
        <f>+'ANEXO1. GASTOS FUNCIONAMIENTO'!B6</f>
        <v>Sueldo personal de nomina</v>
      </c>
      <c r="C142" s="232">
        <f>+'ANEXO1. GASTOS FUNCIONAMIENTO'!C6</f>
        <v>144703000</v>
      </c>
      <c r="D142" s="431">
        <f t="shared" ref="D142:F150" si="0">SUM(C142*4/100)+C142</f>
        <v>150491120</v>
      </c>
      <c r="E142" s="431">
        <f t="shared" si="0"/>
        <v>156510764.80000001</v>
      </c>
      <c r="F142" s="431">
        <f t="shared" si="0"/>
        <v>162771195.39200002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91"/>
      <c r="V142" s="7"/>
      <c r="W142" s="7"/>
      <c r="X142" s="94"/>
      <c r="Y142" s="94"/>
      <c r="Z142" s="94"/>
      <c r="AA142" s="94"/>
      <c r="AB142" s="94"/>
    </row>
    <row r="143" spans="1:31" ht="12.75">
      <c r="A143" s="231" t="str">
        <f>+'ANEXO1. GASTOS FUNCIONAMIENTO'!A7</f>
        <v>2131102</v>
      </c>
      <c r="B143" s="111" t="str">
        <f>+'ANEXO1. GASTOS FUNCIONAMIENTO'!B7</f>
        <v>Prima de vacaciones</v>
      </c>
      <c r="C143" s="232">
        <f>+'ANEXO1. GASTOS FUNCIONAMIENTO'!C7</f>
        <v>6532000</v>
      </c>
      <c r="D143" s="431">
        <f t="shared" si="0"/>
        <v>6793280</v>
      </c>
      <c r="E143" s="431">
        <f t="shared" si="0"/>
        <v>7065011.2000000002</v>
      </c>
      <c r="F143" s="431">
        <f t="shared" si="0"/>
        <v>7347611.648</v>
      </c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91"/>
      <c r="V143" s="7"/>
      <c r="W143" s="7"/>
      <c r="X143" s="94"/>
      <c r="Y143" s="94"/>
      <c r="Z143" s="94"/>
      <c r="AA143" s="94"/>
      <c r="AB143" s="94"/>
    </row>
    <row r="144" spans="1:31" ht="12.75">
      <c r="A144" s="231" t="str">
        <f>+'ANEXO1. GASTOS FUNCIONAMIENTO'!A8</f>
        <v>2131103</v>
      </c>
      <c r="B144" s="111" t="str">
        <f>+'ANEXO1. GASTOS FUNCIONAMIENTO'!B8</f>
        <v>Prima de Navidad</v>
      </c>
      <c r="C144" s="232">
        <f>+'ANEXO1. GASTOS FUNCIONAMIENTO'!C8</f>
        <v>13608000</v>
      </c>
      <c r="D144" s="431">
        <f t="shared" si="0"/>
        <v>14152320</v>
      </c>
      <c r="E144" s="431">
        <f t="shared" si="0"/>
        <v>14718412.800000001</v>
      </c>
      <c r="F144" s="431">
        <f t="shared" si="0"/>
        <v>15307149.312000001</v>
      </c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91"/>
      <c r="V144" s="7"/>
      <c r="W144" s="7"/>
      <c r="X144" s="94"/>
      <c r="Y144" s="94"/>
      <c r="Z144" s="94"/>
      <c r="AA144" s="94"/>
      <c r="AB144" s="94"/>
    </row>
    <row r="145" spans="1:28" ht="12.75">
      <c r="A145" s="231" t="str">
        <f>+'ANEXO1. GASTOS FUNCIONAMIENTO'!A9</f>
        <v>2131104</v>
      </c>
      <c r="B145" s="111" t="str">
        <f>+'ANEXO1. GASTOS FUNCIONAMIENTO'!B9</f>
        <v>Indeminización de vacaciones</v>
      </c>
      <c r="C145" s="232">
        <f>+'ANEXO1. GASTOS FUNCIONAMIENTO'!C9</f>
        <v>9245000</v>
      </c>
      <c r="D145" s="431">
        <f t="shared" si="0"/>
        <v>9614800</v>
      </c>
      <c r="E145" s="431">
        <f t="shared" si="0"/>
        <v>9999392</v>
      </c>
      <c r="F145" s="431">
        <f t="shared" si="0"/>
        <v>10399367.68</v>
      </c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91"/>
      <c r="V145" s="7"/>
      <c r="W145" s="7"/>
      <c r="X145" s="94"/>
      <c r="Y145" s="94"/>
      <c r="Z145" s="94"/>
      <c r="AA145" s="94"/>
      <c r="AB145" s="94"/>
    </row>
    <row r="146" spans="1:28" ht="12.75">
      <c r="A146" s="231" t="str">
        <f>+'ANEXO1. GASTOS FUNCIONAMIENTO'!A10</f>
        <v>2131105</v>
      </c>
      <c r="B146" s="111" t="str">
        <f>+'ANEXO1. GASTOS FUNCIONAMIENTO'!B10</f>
        <v>Bonificacion  por dirección</v>
      </c>
      <c r="C146" s="232">
        <f>+'ANEXO1. GASTOS FUNCIONAMIENTO'!C10</f>
        <v>22815400</v>
      </c>
      <c r="D146" s="431">
        <f t="shared" si="0"/>
        <v>23728016</v>
      </c>
      <c r="E146" s="431">
        <f t="shared" si="0"/>
        <v>24677136.640000001</v>
      </c>
      <c r="F146" s="431">
        <f t="shared" si="0"/>
        <v>25664222.105599999</v>
      </c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91"/>
      <c r="V146" s="7"/>
      <c r="W146" s="7"/>
      <c r="X146" s="94"/>
      <c r="Y146" s="94"/>
      <c r="Z146" s="94"/>
      <c r="AA146" s="94"/>
      <c r="AB146" s="94"/>
    </row>
    <row r="147" spans="1:28" ht="12.75">
      <c r="A147" s="231" t="str">
        <f>+'ANEXO1. GASTOS FUNCIONAMIENTO'!A11</f>
        <v>2131106</v>
      </c>
      <c r="B147" s="111" t="str">
        <f>+'ANEXO1. GASTOS FUNCIONAMIENTO'!B11</f>
        <v>Bonificacion  por recreación</v>
      </c>
      <c r="C147" s="232">
        <f>+'ANEXO1. GASTOS FUNCIONAMIENTO'!C11</f>
        <v>804000</v>
      </c>
      <c r="D147" s="431">
        <f t="shared" si="0"/>
        <v>836160</v>
      </c>
      <c r="E147" s="431">
        <f t="shared" si="0"/>
        <v>869606.40000000002</v>
      </c>
      <c r="F147" s="431">
        <f t="shared" si="0"/>
        <v>904390.65600000008</v>
      </c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91"/>
      <c r="V147" s="7"/>
      <c r="W147" s="7"/>
      <c r="X147" s="94"/>
      <c r="Y147" s="94"/>
      <c r="Z147" s="94"/>
      <c r="AA147" s="94"/>
      <c r="AB147" s="94"/>
    </row>
    <row r="148" spans="1:28" ht="12.75">
      <c r="A148" s="231" t="str">
        <f>+'ANEXO1. GASTOS FUNCIONAMIENTO'!A12</f>
        <v>2131107</v>
      </c>
      <c r="B148" s="111" t="str">
        <f>+'ANEXO1. GASTOS FUNCIONAMIENTO'!B12</f>
        <v>Prima de servicios</v>
      </c>
      <c r="C148" s="232">
        <f>+'ANEXO1. GASTOS FUNCIONAMIENTO'!C12</f>
        <v>12059000</v>
      </c>
      <c r="D148" s="431">
        <f t="shared" si="0"/>
        <v>12541360</v>
      </c>
      <c r="E148" s="431">
        <f t="shared" si="0"/>
        <v>13043014.4</v>
      </c>
      <c r="F148" s="431">
        <f t="shared" si="0"/>
        <v>13564734.976</v>
      </c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91"/>
      <c r="V148" s="7"/>
      <c r="W148" s="7"/>
      <c r="X148" s="94"/>
      <c r="Y148" s="94"/>
      <c r="Z148" s="94"/>
      <c r="AA148" s="94"/>
      <c r="AB148" s="94"/>
    </row>
    <row r="149" spans="1:28" ht="12.75">
      <c r="A149" s="231" t="str">
        <f>+'ANEXO1. GASTOS FUNCIONAMIENTO'!A13</f>
        <v>2131108</v>
      </c>
      <c r="B149" s="111" t="str">
        <f>+'ANEXO1. GASTOS FUNCIONAMIENTO'!B13</f>
        <v>Mesadas pensionales</v>
      </c>
      <c r="C149" s="232">
        <f>+'ANEXO1. GASTOS FUNCIONAMIENTO'!C13</f>
        <v>24537000</v>
      </c>
      <c r="D149" s="431">
        <f t="shared" si="0"/>
        <v>25518480</v>
      </c>
      <c r="E149" s="431">
        <f t="shared" si="0"/>
        <v>26539219.199999999</v>
      </c>
      <c r="F149" s="431">
        <f t="shared" si="0"/>
        <v>27600787.967999998</v>
      </c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91"/>
      <c r="V149" s="7"/>
      <c r="W149" s="7"/>
      <c r="X149" s="94"/>
      <c r="Y149" s="94"/>
      <c r="Z149" s="94"/>
      <c r="AA149" s="94"/>
      <c r="AB149" s="94"/>
    </row>
    <row r="150" spans="1:28" ht="12.75">
      <c r="A150" s="231" t="str">
        <f>+'ANEXO1. GASTOS FUNCIONAMIENTO'!A14</f>
        <v>2131109</v>
      </c>
      <c r="B150" s="111" t="str">
        <f>+'ANEXO1. GASTOS FUNCIONAMIENTO'!B14</f>
        <v>Dotacion a empleados</v>
      </c>
      <c r="C150" s="232">
        <f>+'ANEXO1. GASTOS FUNCIONAMIENTO'!C14</f>
        <v>8400000</v>
      </c>
      <c r="D150" s="431">
        <f t="shared" si="0"/>
        <v>8736000</v>
      </c>
      <c r="E150" s="431">
        <f t="shared" si="0"/>
        <v>9085440</v>
      </c>
      <c r="F150" s="431">
        <f t="shared" si="0"/>
        <v>9448857.5999999996</v>
      </c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91"/>
      <c r="V150" s="7"/>
      <c r="W150" s="7"/>
      <c r="X150" s="94"/>
      <c r="Y150" s="94"/>
      <c r="Z150" s="94"/>
      <c r="AA150" s="94"/>
      <c r="AB150" s="94"/>
    </row>
    <row r="151" spans="1:28">
      <c r="A151" s="231"/>
      <c r="B151" s="111"/>
      <c r="C151" s="232"/>
      <c r="D151" s="232"/>
      <c r="E151" s="232"/>
      <c r="F151" s="232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91"/>
      <c r="V151" s="7"/>
      <c r="W151" s="7"/>
      <c r="X151" s="94"/>
      <c r="Y151" s="94"/>
      <c r="Z151" s="94"/>
      <c r="AA151" s="94"/>
      <c r="AB151" s="94"/>
    </row>
    <row r="152" spans="1:28" ht="12.75">
      <c r="A152" s="228" t="str">
        <f>+'ANEXO1. GASTOS FUNCIONAMIENTO'!A16</f>
        <v>21313</v>
      </c>
      <c r="B152" s="230" t="str">
        <f>+'ANEXO1. GASTOS FUNCIONAMIENTO'!B16</f>
        <v>Servicios personales indirectos</v>
      </c>
      <c r="C152" s="229"/>
      <c r="D152" s="229"/>
      <c r="E152" s="229"/>
      <c r="F152" s="229"/>
      <c r="G152" s="230">
        <f>SUM(C153:C155)</f>
        <v>41000000</v>
      </c>
      <c r="H152" s="431">
        <f>SUM(G152*4/100)+G152</f>
        <v>42640000</v>
      </c>
      <c r="I152" s="431">
        <f>SUM(H152*4/100)+H152</f>
        <v>44345600</v>
      </c>
      <c r="J152" s="431">
        <f>SUM(I152*4/100)+I152</f>
        <v>46119424</v>
      </c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91"/>
      <c r="V152" s="7"/>
      <c r="W152" s="7"/>
      <c r="X152" s="94"/>
      <c r="Y152" s="94"/>
      <c r="Z152" s="94"/>
      <c r="AA152" s="94"/>
      <c r="AB152" s="94"/>
    </row>
    <row r="153" spans="1:28" ht="12.75">
      <c r="A153" s="231" t="str">
        <f>+'ANEXO1. GASTOS FUNCIONAMIENTO'!A17</f>
        <v>2131301</v>
      </c>
      <c r="B153" s="111" t="str">
        <f>+'ANEXO1. GASTOS FUNCIONAMIENTO'!B17</f>
        <v>Remuneración servicios técnicos</v>
      </c>
      <c r="C153" s="232">
        <f>+'ANEXO1. GASTOS FUNCIONAMIENTO'!C17</f>
        <v>25000000</v>
      </c>
      <c r="D153" s="431">
        <f t="shared" ref="D153:F155" si="1">SUM(C153*4/100)+C153</f>
        <v>26000000</v>
      </c>
      <c r="E153" s="431">
        <f t="shared" si="1"/>
        <v>27040000</v>
      </c>
      <c r="F153" s="431">
        <f t="shared" si="1"/>
        <v>28121600</v>
      </c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91"/>
      <c r="V153" s="202"/>
      <c r="W153" s="202"/>
      <c r="X153" s="95"/>
      <c r="Y153" s="95"/>
      <c r="Z153" s="95"/>
      <c r="AA153" s="94"/>
      <c r="AB153" s="94"/>
    </row>
    <row r="154" spans="1:28" ht="12.75">
      <c r="A154" s="231" t="str">
        <f>+'ANEXO1. GASTOS FUNCIONAMIENTO'!A18</f>
        <v>2131302</v>
      </c>
      <c r="B154" s="111" t="str">
        <f>+'ANEXO1. GASTOS FUNCIONAMIENTO'!B18</f>
        <v>Honorarios</v>
      </c>
      <c r="C154" s="232">
        <f>+'ANEXO1. GASTOS FUNCIONAMIENTO'!C18</f>
        <v>14000000</v>
      </c>
      <c r="D154" s="431">
        <f t="shared" si="1"/>
        <v>14560000</v>
      </c>
      <c r="E154" s="431">
        <f t="shared" si="1"/>
        <v>15142400</v>
      </c>
      <c r="F154" s="431">
        <f t="shared" si="1"/>
        <v>15748096</v>
      </c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91"/>
      <c r="V154" s="202"/>
      <c r="W154" s="202"/>
      <c r="X154" s="95"/>
      <c r="Y154" s="95"/>
      <c r="Z154" s="95"/>
      <c r="AA154" s="94"/>
      <c r="AB154" s="94"/>
    </row>
    <row r="155" spans="1:28" ht="12.75">
      <c r="A155" s="231" t="str">
        <f>+'ANEXO1. GASTOS FUNCIONAMIENTO'!A19</f>
        <v>2121303</v>
      </c>
      <c r="B155" s="111" t="str">
        <f>+'ANEXO1. GASTOS FUNCIONAMIENTO'!B19</f>
        <v>Supernumerarios y aprendices Sena</v>
      </c>
      <c r="C155" s="232">
        <f>+'ANEXO1. GASTOS FUNCIONAMIENTO'!C19</f>
        <v>2000000</v>
      </c>
      <c r="D155" s="431">
        <f t="shared" si="1"/>
        <v>2080000</v>
      </c>
      <c r="E155" s="431">
        <f t="shared" si="1"/>
        <v>2163200</v>
      </c>
      <c r="F155" s="431">
        <f t="shared" si="1"/>
        <v>2249728</v>
      </c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91"/>
      <c r="V155" s="202"/>
      <c r="W155" s="202"/>
      <c r="X155" s="95"/>
      <c r="Y155" s="95"/>
      <c r="Z155" s="95"/>
      <c r="AA155" s="94"/>
      <c r="AB155" s="94"/>
    </row>
    <row r="156" spans="1:28">
      <c r="A156" s="231"/>
      <c r="B156" s="111"/>
      <c r="C156" s="232"/>
      <c r="D156" s="232"/>
      <c r="E156" s="232"/>
      <c r="F156" s="232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91"/>
      <c r="V156" s="202"/>
      <c r="W156" s="202"/>
      <c r="X156" s="95"/>
      <c r="Y156" s="95"/>
      <c r="Z156" s="95"/>
      <c r="AA156" s="94"/>
      <c r="AB156" s="94"/>
    </row>
    <row r="157" spans="1:28" ht="22.5">
      <c r="A157" s="228" t="str">
        <f>+'ANEXO1. GASTOS FUNCIONAMIENTO'!A21</f>
        <v>2131402</v>
      </c>
      <c r="B157" s="230" t="str">
        <f>+'ANEXO1. GASTOS FUNCIONAMIENTO'!B21</f>
        <v>Contribuciones inherentes a la nomina del sector privado</v>
      </c>
      <c r="C157" s="229"/>
      <c r="D157" s="229"/>
      <c r="E157" s="229"/>
      <c r="F157" s="229"/>
      <c r="G157" s="230">
        <f>SUM(C158:C163)</f>
        <v>54078000</v>
      </c>
      <c r="H157" s="431">
        <f>SUM(G157*4/100)+G157</f>
        <v>56241120</v>
      </c>
      <c r="I157" s="431">
        <f>SUM(H157*4/100)+H157</f>
        <v>58490764.799999997</v>
      </c>
      <c r="J157" s="431">
        <f>SUM(I157*4/100)+I157</f>
        <v>60830395.391999997</v>
      </c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91"/>
      <c r="V157" s="202"/>
      <c r="W157" s="202"/>
      <c r="X157" s="95"/>
      <c r="Y157" s="95"/>
      <c r="Z157" s="95"/>
      <c r="AA157" s="94"/>
      <c r="AB157" s="94"/>
    </row>
    <row r="158" spans="1:28" ht="12.75">
      <c r="A158" s="231" t="str">
        <f>+'ANEXO1. GASTOS FUNCIONAMIENTO'!A22</f>
        <v>213140201</v>
      </c>
      <c r="B158" s="111" t="str">
        <f>+'ANEXO1. GASTOS FUNCIONAMIENTO'!B22</f>
        <v>Caja de compensación familiar COMFABOY</v>
      </c>
      <c r="C158" s="232">
        <f>+'ANEXO1. GASTOS FUNCIONAMIENTO'!C22</f>
        <v>5788000</v>
      </c>
      <c r="D158" s="431">
        <f t="shared" ref="D158:F163" si="2">SUM(C158*4/100)+C158</f>
        <v>6019520</v>
      </c>
      <c r="E158" s="431">
        <f t="shared" si="2"/>
        <v>6260300.7999999998</v>
      </c>
      <c r="F158" s="431">
        <f t="shared" si="2"/>
        <v>6510712.8319999995</v>
      </c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91"/>
      <c r="V158" s="202"/>
      <c r="W158" s="202"/>
      <c r="X158" s="95"/>
      <c r="Y158" s="95"/>
      <c r="Z158" s="95"/>
      <c r="AA158" s="94"/>
      <c r="AB158" s="94"/>
    </row>
    <row r="159" spans="1:28" ht="12.75">
      <c r="A159" s="231" t="str">
        <f>+'ANEXO1. GASTOS FUNCIONAMIENTO'!A23</f>
        <v>213140202</v>
      </c>
      <c r="B159" s="111" t="str">
        <f>+'ANEXO1. GASTOS FUNCIONAMIENTO'!B23</f>
        <v>EPS Salud</v>
      </c>
      <c r="C159" s="232">
        <f>+'ANEXO1. GASTOS FUNCIONAMIENTO'!C23</f>
        <v>12300000</v>
      </c>
      <c r="D159" s="431">
        <f t="shared" si="2"/>
        <v>12792000</v>
      </c>
      <c r="E159" s="431">
        <f t="shared" si="2"/>
        <v>13303680</v>
      </c>
      <c r="F159" s="431">
        <f t="shared" si="2"/>
        <v>13835827.199999999</v>
      </c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91"/>
      <c r="V159" s="202"/>
      <c r="W159" s="202"/>
      <c r="X159" s="95"/>
      <c r="Y159" s="95"/>
      <c r="Z159" s="95"/>
      <c r="AA159" s="94"/>
      <c r="AB159" s="94"/>
    </row>
    <row r="160" spans="1:28" ht="12.75">
      <c r="A160" s="231" t="str">
        <f>+'ANEXO1. GASTOS FUNCIONAMIENTO'!A24</f>
        <v>213140203</v>
      </c>
      <c r="B160" s="111" t="str">
        <f>+'ANEXO1. GASTOS FUNCIONAMIENTO'!B24</f>
        <v>Administración riesgos profesionales</v>
      </c>
      <c r="C160" s="232">
        <f>+'ANEXO1. GASTOS FUNCIONAMIENTO'!C24</f>
        <v>2115000</v>
      </c>
      <c r="D160" s="431">
        <f t="shared" si="2"/>
        <v>2199600</v>
      </c>
      <c r="E160" s="431">
        <f t="shared" si="2"/>
        <v>2287584</v>
      </c>
      <c r="F160" s="431">
        <f t="shared" si="2"/>
        <v>2379087.36</v>
      </c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91"/>
      <c r="V160" s="202"/>
      <c r="W160" s="202"/>
      <c r="X160" s="95"/>
      <c r="Y160" s="95"/>
      <c r="Z160" s="95"/>
      <c r="AA160" s="94"/>
      <c r="AB160" s="94"/>
    </row>
    <row r="161" spans="1:28" ht="12.75">
      <c r="A161" s="231" t="str">
        <f>+'ANEXO1. GASTOS FUNCIONAMIENTO'!A25</f>
        <v>213140204</v>
      </c>
      <c r="B161" s="111" t="str">
        <f>+'ANEXO1. GASTOS FUNCIONAMIENTO'!B25</f>
        <v>Fondo de cesantias</v>
      </c>
      <c r="C161" s="232">
        <f>+'ANEXO1. GASTOS FUNCIONAMIENTO'!C25</f>
        <v>14742000</v>
      </c>
      <c r="D161" s="431">
        <f t="shared" si="2"/>
        <v>15331680</v>
      </c>
      <c r="E161" s="431">
        <f t="shared" si="2"/>
        <v>15944947.199999999</v>
      </c>
      <c r="F161" s="431">
        <f t="shared" si="2"/>
        <v>16582745.088</v>
      </c>
      <c r="G161" s="230"/>
      <c r="H161" s="230"/>
      <c r="I161" s="230"/>
      <c r="J161" s="230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91"/>
      <c r="V161" s="202"/>
      <c r="W161" s="202"/>
      <c r="X161" s="95"/>
      <c r="Y161" s="95"/>
      <c r="Z161" s="95"/>
      <c r="AA161" s="94"/>
      <c r="AB161" s="94"/>
    </row>
    <row r="162" spans="1:28" ht="12.75">
      <c r="A162" s="231" t="str">
        <f>+'ANEXO1. GASTOS FUNCIONAMIENTO'!A26</f>
        <v>213140205</v>
      </c>
      <c r="B162" s="111" t="str">
        <f>+'ANEXO1. GASTOS FUNCIONAMIENTO'!B26</f>
        <v>Intereses a las cesantìas</v>
      </c>
      <c r="C162" s="232">
        <f>+'ANEXO1. GASTOS FUNCIONAMIENTO'!C26</f>
        <v>1769000</v>
      </c>
      <c r="D162" s="431">
        <f t="shared" si="2"/>
        <v>1839760</v>
      </c>
      <c r="E162" s="431">
        <f t="shared" si="2"/>
        <v>1913350.4</v>
      </c>
      <c r="F162" s="431">
        <f t="shared" si="2"/>
        <v>1989884.416</v>
      </c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91"/>
      <c r="V162" s="7"/>
      <c r="W162" s="7"/>
      <c r="X162" s="94"/>
      <c r="Y162" s="94"/>
      <c r="Z162" s="94"/>
      <c r="AA162" s="94"/>
      <c r="AB162" s="94"/>
    </row>
    <row r="163" spans="1:28" ht="12.75">
      <c r="A163" s="231" t="str">
        <f>+'ANEXO1. GASTOS FUNCIONAMIENTO'!A27</f>
        <v>213140206</v>
      </c>
      <c r="B163" s="111" t="str">
        <f>+'ANEXO1. GASTOS FUNCIONAMIENTO'!B27</f>
        <v>Aportes  a  Pensiones</v>
      </c>
      <c r="C163" s="232">
        <f>+'ANEXO1. GASTOS FUNCIONAMIENTO'!C27</f>
        <v>17364000</v>
      </c>
      <c r="D163" s="431">
        <f t="shared" si="2"/>
        <v>18058560</v>
      </c>
      <c r="E163" s="431">
        <f t="shared" si="2"/>
        <v>18780902.399999999</v>
      </c>
      <c r="F163" s="431">
        <f t="shared" si="2"/>
        <v>19532138.495999999</v>
      </c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91"/>
      <c r="V163" s="7"/>
      <c r="W163" s="7"/>
      <c r="X163" s="94"/>
      <c r="Y163" s="94"/>
      <c r="Z163" s="94"/>
      <c r="AA163" s="94"/>
      <c r="AB163" s="94"/>
    </row>
    <row r="164" spans="1:28" ht="22.5">
      <c r="A164" s="228" t="str">
        <f>+'ANEXO1. GASTOS FUNCIONAMIENTO'!A28</f>
        <v>2131401</v>
      </c>
      <c r="B164" s="230" t="str">
        <f>+'ANEXO1. GASTOS FUNCIONAMIENTO'!B28</f>
        <v>Contribuciones inherentes a la nomina del sector publico</v>
      </c>
      <c r="C164" s="229"/>
      <c r="D164" s="229"/>
      <c r="E164" s="229"/>
      <c r="F164" s="229"/>
      <c r="G164" s="230">
        <f>SUM(C165:C169)</f>
        <v>12856000</v>
      </c>
      <c r="H164" s="431">
        <f>SUM(G164*4/100)+G164</f>
        <v>13370240</v>
      </c>
      <c r="I164" s="431">
        <f>SUM(H164*4/100)+H164</f>
        <v>13905049.6</v>
      </c>
      <c r="J164" s="431">
        <f>SUM(I164*4/100)+I164</f>
        <v>14461251.583999999</v>
      </c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91"/>
      <c r="V164" s="7"/>
      <c r="W164" s="7"/>
      <c r="X164" s="94"/>
      <c r="Y164" s="94"/>
      <c r="Z164" s="94"/>
      <c r="AA164" s="94"/>
      <c r="AB164" s="94"/>
    </row>
    <row r="165" spans="1:28" ht="12.75">
      <c r="A165" s="231" t="str">
        <f>+'ANEXO1. GASTOS FUNCIONAMIENTO'!A29</f>
        <v>213140101</v>
      </c>
      <c r="B165" s="111" t="str">
        <f>+'ANEXO1. GASTOS FUNCIONAMIENTO'!B29</f>
        <v>Sena</v>
      </c>
      <c r="C165" s="232">
        <f>+'ANEXO1. GASTOS FUNCIONAMIENTO'!C29</f>
        <v>724000</v>
      </c>
      <c r="D165" s="431">
        <f t="shared" ref="D165:F169" si="3">SUM(C165*4/100)+C165</f>
        <v>752960</v>
      </c>
      <c r="E165" s="431">
        <f t="shared" si="3"/>
        <v>783078.40000000002</v>
      </c>
      <c r="F165" s="431">
        <f t="shared" si="3"/>
        <v>814401.53600000008</v>
      </c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91"/>
      <c r="V165" s="7"/>
      <c r="W165" s="202"/>
      <c r="X165" s="94"/>
      <c r="Y165" s="94"/>
      <c r="Z165" s="94"/>
      <c r="AA165" s="94"/>
      <c r="AB165" s="94"/>
    </row>
    <row r="166" spans="1:28" ht="12.75">
      <c r="A166" s="231" t="str">
        <f>+'ANEXO1. GASTOS FUNCIONAMIENTO'!A30</f>
        <v>213140102</v>
      </c>
      <c r="B166" s="111" t="str">
        <f>+'ANEXO1. GASTOS FUNCIONAMIENTO'!B30</f>
        <v xml:space="preserve"> ICBF</v>
      </c>
      <c r="C166" s="232">
        <f>+'ANEXO1. GASTOS FUNCIONAMIENTO'!C30</f>
        <v>4341000</v>
      </c>
      <c r="D166" s="431">
        <f t="shared" si="3"/>
        <v>4514640</v>
      </c>
      <c r="E166" s="431">
        <f t="shared" si="3"/>
        <v>4695225.5999999996</v>
      </c>
      <c r="F166" s="431">
        <f t="shared" si="3"/>
        <v>4883034.6239999998</v>
      </c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91"/>
      <c r="V166" s="7"/>
      <c r="W166" s="7"/>
      <c r="X166" s="94"/>
      <c r="Y166" s="94"/>
      <c r="Z166" s="94"/>
      <c r="AA166" s="94"/>
      <c r="AB166" s="94"/>
    </row>
    <row r="167" spans="1:28" ht="12.75">
      <c r="A167" s="231" t="str">
        <f>+'ANEXO1. GASTOS FUNCIONAMIENTO'!A31</f>
        <v>213140103</v>
      </c>
      <c r="B167" s="111" t="str">
        <f>+'ANEXO1. GASTOS FUNCIONAMIENTO'!B31</f>
        <v>Esap</v>
      </c>
      <c r="C167" s="232">
        <f>+'ANEXO1. GASTOS FUNCIONAMIENTO'!C31</f>
        <v>724000</v>
      </c>
      <c r="D167" s="431">
        <f t="shared" si="3"/>
        <v>752960</v>
      </c>
      <c r="E167" s="431">
        <f t="shared" si="3"/>
        <v>783078.40000000002</v>
      </c>
      <c r="F167" s="431">
        <f t="shared" si="3"/>
        <v>814401.53600000008</v>
      </c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91"/>
      <c r="V167" s="7"/>
      <c r="W167" s="202"/>
      <c r="X167" s="94"/>
      <c r="Y167" s="94"/>
      <c r="Z167" s="94"/>
      <c r="AA167" s="94"/>
      <c r="AB167" s="94"/>
    </row>
    <row r="168" spans="1:28" ht="12.75">
      <c r="A168" s="231" t="str">
        <f>+'ANEXO1. GASTOS FUNCIONAMIENTO'!A32</f>
        <v>213140104</v>
      </c>
      <c r="B168" s="111" t="str">
        <f>+'ANEXO1. GASTOS FUNCIONAMIENTO'!B32</f>
        <v>Ministerio de educacion</v>
      </c>
      <c r="C168" s="232">
        <f>+'ANEXO1. GASTOS FUNCIONAMIENTO'!C32</f>
        <v>1447000</v>
      </c>
      <c r="D168" s="431">
        <f t="shared" si="3"/>
        <v>1504880</v>
      </c>
      <c r="E168" s="431">
        <f t="shared" si="3"/>
        <v>1565075.2</v>
      </c>
      <c r="F168" s="431">
        <f t="shared" si="3"/>
        <v>1627678.2079999999</v>
      </c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91"/>
      <c r="V168" s="7"/>
      <c r="W168" s="202"/>
      <c r="X168" s="94"/>
      <c r="Y168" s="94"/>
      <c r="Z168" s="94"/>
      <c r="AA168" s="94"/>
      <c r="AB168" s="94"/>
    </row>
    <row r="169" spans="1:28" ht="12.75">
      <c r="A169" s="231" t="str">
        <f>+'ANEXO1. GASTOS FUNCIONAMIENTO'!A33</f>
        <v>213140105</v>
      </c>
      <c r="B169" s="111" t="str">
        <f>+'ANEXO1. GASTOS FUNCIONAMIENTO'!B33</f>
        <v>Aportes salud concejales</v>
      </c>
      <c r="C169" s="232">
        <f>+'ANEXO1. GASTOS FUNCIONAMIENTO'!C33</f>
        <v>5620000</v>
      </c>
      <c r="D169" s="431">
        <f t="shared" si="3"/>
        <v>5844800</v>
      </c>
      <c r="E169" s="431">
        <f t="shared" si="3"/>
        <v>6078592</v>
      </c>
      <c r="F169" s="431">
        <f t="shared" si="3"/>
        <v>6321735.6799999997</v>
      </c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91"/>
      <c r="V169" s="7"/>
      <c r="W169" s="7"/>
      <c r="X169" s="94"/>
      <c r="Y169" s="94"/>
      <c r="Z169" s="94"/>
      <c r="AA169" s="94"/>
      <c r="AB169" s="94"/>
    </row>
    <row r="170" spans="1:28" ht="12.75">
      <c r="A170" s="231"/>
      <c r="B170" s="111"/>
      <c r="C170" s="232"/>
      <c r="D170" s="431"/>
      <c r="E170" s="431"/>
      <c r="F170" s="43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91"/>
      <c r="V170" s="7"/>
      <c r="W170" s="7"/>
      <c r="X170" s="94"/>
      <c r="Y170" s="94"/>
      <c r="Z170" s="94"/>
      <c r="AA170" s="94"/>
      <c r="AB170" s="94"/>
    </row>
    <row r="171" spans="1:28" ht="12.75">
      <c r="A171" s="228" t="str">
        <f>+'ANEXO1. GASTOS FUNCIONAMIENTO'!A35</f>
        <v>2132</v>
      </c>
      <c r="B171" s="230" t="str">
        <f>+'ANEXO1. GASTOS FUNCIONAMIENTO'!B35</f>
        <v>GASTOS GENERALES</v>
      </c>
      <c r="C171" s="229"/>
      <c r="D171" s="229"/>
      <c r="E171" s="229"/>
      <c r="F171" s="229"/>
      <c r="G171" s="230"/>
      <c r="H171" s="230"/>
      <c r="I171" s="230"/>
      <c r="J171" s="230"/>
      <c r="K171" s="230">
        <f>SUM(G172:G195)</f>
        <v>121100000</v>
      </c>
      <c r="L171" s="431">
        <f>SUM(K171*4/100)+K171</f>
        <v>125944000</v>
      </c>
      <c r="M171" s="431">
        <f>SUM(L171*4/100)+L171</f>
        <v>130981760</v>
      </c>
      <c r="N171" s="431">
        <f>SUM(M171*4/100)+M171</f>
        <v>136221030.40000001</v>
      </c>
      <c r="O171" s="230"/>
      <c r="P171" s="230"/>
      <c r="Q171" s="230"/>
      <c r="R171" s="230"/>
      <c r="S171" s="111"/>
      <c r="T171" s="111"/>
      <c r="U171" s="91"/>
      <c r="V171" s="7"/>
      <c r="W171" s="7"/>
      <c r="X171" s="94"/>
      <c r="Y171" s="94"/>
      <c r="Z171" s="94"/>
      <c r="AA171" s="94"/>
      <c r="AB171" s="94"/>
    </row>
    <row r="172" spans="1:28" ht="12.75">
      <c r="A172" s="228" t="str">
        <f>+'ANEXO1. GASTOS FUNCIONAMIENTO'!A36</f>
        <v>21321</v>
      </c>
      <c r="B172" s="230" t="str">
        <f>+'ANEXO1. GASTOS FUNCIONAMIENTO'!B36</f>
        <v>Adquisición de bienes</v>
      </c>
      <c r="C172" s="229"/>
      <c r="D172" s="229"/>
      <c r="E172" s="229"/>
      <c r="F172" s="229"/>
      <c r="G172" s="230">
        <f>SUM(C173:C174)</f>
        <v>21000000</v>
      </c>
      <c r="H172" s="431">
        <f>SUM(G172*4/100)+G172</f>
        <v>21840000</v>
      </c>
      <c r="I172" s="431">
        <f>SUM(H172*4/100)+H172</f>
        <v>22713600</v>
      </c>
      <c r="J172" s="431">
        <f>SUM(I172*4/100)+I172</f>
        <v>23622144</v>
      </c>
      <c r="K172" s="230"/>
      <c r="L172" s="230"/>
      <c r="M172" s="230"/>
      <c r="N172" s="230"/>
      <c r="O172" s="230"/>
      <c r="P172" s="230"/>
      <c r="Q172" s="230"/>
      <c r="R172" s="230"/>
      <c r="S172" s="111"/>
      <c r="T172" s="111"/>
      <c r="U172" s="91"/>
      <c r="V172" s="7"/>
      <c r="W172" s="7"/>
      <c r="X172" s="94"/>
      <c r="Y172" s="94"/>
      <c r="Z172" s="94"/>
      <c r="AA172" s="94"/>
      <c r="AB172" s="94"/>
    </row>
    <row r="173" spans="1:28" ht="12.75">
      <c r="A173" s="231" t="str">
        <f>+'ANEXO1. GASTOS FUNCIONAMIENTO'!A37</f>
        <v>2132101</v>
      </c>
      <c r="B173" s="111" t="str">
        <f>+'ANEXO1. GASTOS FUNCIONAMIENTO'!B37</f>
        <v>Compra de equipo</v>
      </c>
      <c r="C173" s="232">
        <f>+'ANEXO1. GASTOS FUNCIONAMIENTO'!C37</f>
        <v>1000000</v>
      </c>
      <c r="D173" s="431">
        <f>SUM(C173*4/100)+C173</f>
        <v>1040000</v>
      </c>
      <c r="E173" s="431">
        <f>SUM(D173*4/100)+D173</f>
        <v>1081600</v>
      </c>
      <c r="F173" s="431">
        <f>SUM(E173*4/100)+E173</f>
        <v>1124864</v>
      </c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91"/>
      <c r="V173" s="7"/>
      <c r="W173" s="7"/>
      <c r="X173" s="94"/>
      <c r="Y173" s="94"/>
      <c r="Z173" s="94"/>
      <c r="AA173" s="94"/>
      <c r="AB173" s="94"/>
    </row>
    <row r="174" spans="1:28" ht="12.75">
      <c r="A174" s="231" t="str">
        <f>+'ANEXO1. GASTOS FUNCIONAMIENTO'!A38</f>
        <v>2132102</v>
      </c>
      <c r="B174" s="111" t="str">
        <f>+'ANEXO1. GASTOS FUNCIONAMIENTO'!B38</f>
        <v>Materiales y suministros</v>
      </c>
      <c r="C174" s="232">
        <f>+'ANEXO1. GASTOS FUNCIONAMIENTO'!C38</f>
        <v>20000000</v>
      </c>
      <c r="D174" s="431">
        <f t="shared" ref="D174:D195" si="4">SUM(C174*4/100)+C174</f>
        <v>20800000</v>
      </c>
      <c r="E174" s="431">
        <f t="shared" ref="E174:E195" si="5">SUM(D174*4/100)+D174</f>
        <v>21632000</v>
      </c>
      <c r="F174" s="431">
        <f t="shared" ref="F174:F195" si="6">SUM(E174*4/100)+E174</f>
        <v>22497280</v>
      </c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91"/>
      <c r="V174" s="7"/>
      <c r="W174" s="7"/>
      <c r="X174" s="94"/>
      <c r="Y174" s="94"/>
      <c r="Z174" s="94"/>
      <c r="AA174" s="94"/>
      <c r="AB174" s="94"/>
    </row>
    <row r="175" spans="1:28" ht="12.75">
      <c r="A175" s="228" t="str">
        <f>+'ANEXO1. GASTOS FUNCIONAMIENTO'!A39</f>
        <v>21322</v>
      </c>
      <c r="B175" s="230" t="str">
        <f>+'ANEXO1. GASTOS FUNCIONAMIENTO'!B39</f>
        <v>Adquisición de servicios</v>
      </c>
      <c r="C175" s="229"/>
      <c r="D175" s="431"/>
      <c r="E175" s="431"/>
      <c r="F175" s="431"/>
      <c r="G175" s="230">
        <f>SUM(C176:C195)</f>
        <v>100100000</v>
      </c>
      <c r="H175" s="431">
        <f>SUM(G175*4/100)+G175</f>
        <v>104104000</v>
      </c>
      <c r="I175" s="431">
        <f>SUM(H175*4/100)+H175</f>
        <v>108268160</v>
      </c>
      <c r="J175" s="431">
        <f>SUM(I175*4/100)+I175</f>
        <v>112598886.40000001</v>
      </c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91"/>
      <c r="V175" s="7"/>
      <c r="W175" s="7"/>
      <c r="X175" s="94"/>
      <c r="Y175" s="94"/>
      <c r="Z175" s="94"/>
      <c r="AA175" s="94"/>
      <c r="AB175" s="94"/>
    </row>
    <row r="176" spans="1:28" ht="12.75">
      <c r="A176" s="231" t="str">
        <f>+'ANEXO1. GASTOS FUNCIONAMIENTO'!A40</f>
        <v>2132201</v>
      </c>
      <c r="B176" s="111" t="str">
        <f>+'ANEXO1. GASTOS FUNCIONAMIENTO'!B40</f>
        <v>Impresos y publicaciones</v>
      </c>
      <c r="C176" s="232">
        <f>+'ANEXO1. GASTOS FUNCIONAMIENTO'!C40</f>
        <v>10000000</v>
      </c>
      <c r="D176" s="431">
        <f t="shared" si="4"/>
        <v>10400000</v>
      </c>
      <c r="E176" s="431">
        <f t="shared" si="5"/>
        <v>10816000</v>
      </c>
      <c r="F176" s="431">
        <f t="shared" si="6"/>
        <v>11248640</v>
      </c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91"/>
      <c r="V176" s="7"/>
      <c r="W176" s="7"/>
      <c r="X176" s="94"/>
      <c r="Y176" s="94"/>
      <c r="Z176" s="94"/>
      <c r="AA176" s="94"/>
      <c r="AB176" s="94"/>
    </row>
    <row r="177" spans="1:28" ht="12.75">
      <c r="A177" s="231" t="str">
        <f>+'ANEXO1. GASTOS FUNCIONAMIENTO'!A41</f>
        <v>2132202</v>
      </c>
      <c r="B177" s="111" t="str">
        <f>+'ANEXO1. GASTOS FUNCIONAMIENTO'!B41</f>
        <v xml:space="preserve">Mantenimiento </v>
      </c>
      <c r="C177" s="232">
        <f>+'ANEXO1. GASTOS FUNCIONAMIENTO'!C41</f>
        <v>5500000</v>
      </c>
      <c r="D177" s="431">
        <f t="shared" si="4"/>
        <v>5720000</v>
      </c>
      <c r="E177" s="431">
        <f t="shared" si="5"/>
        <v>5948800</v>
      </c>
      <c r="F177" s="431">
        <f t="shared" si="6"/>
        <v>6186752</v>
      </c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91"/>
      <c r="V177" s="7"/>
      <c r="W177" s="7"/>
      <c r="X177" s="94"/>
      <c r="Y177" s="94"/>
      <c r="Z177" s="94"/>
      <c r="AA177" s="94"/>
      <c r="AB177" s="94"/>
    </row>
    <row r="178" spans="1:28" ht="12.75">
      <c r="A178" s="231" t="str">
        <f>+'ANEXO1. GASTOS FUNCIONAMIENTO'!A42</f>
        <v>2132203</v>
      </c>
      <c r="B178" s="111" t="str">
        <f>+'ANEXO1. GASTOS FUNCIONAMIENTO'!B42</f>
        <v>Servicios públicos acueducto</v>
      </c>
      <c r="C178" s="232">
        <f>+'ANEXO1. GASTOS FUNCIONAMIENTO'!C42</f>
        <v>1000000</v>
      </c>
      <c r="D178" s="431">
        <f t="shared" si="4"/>
        <v>1040000</v>
      </c>
      <c r="E178" s="431">
        <f t="shared" si="5"/>
        <v>1081600</v>
      </c>
      <c r="F178" s="431">
        <f t="shared" si="6"/>
        <v>1124864</v>
      </c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91"/>
      <c r="V178" s="7"/>
      <c r="W178" s="7"/>
      <c r="X178" s="94"/>
      <c r="Y178" s="94"/>
      <c r="Z178" s="94"/>
      <c r="AA178" s="94"/>
      <c r="AB178" s="94"/>
    </row>
    <row r="179" spans="1:28" ht="12.75">
      <c r="A179" s="231" t="str">
        <f>+'ANEXO1. GASTOS FUNCIONAMIENTO'!A43</f>
        <v>2132204</v>
      </c>
      <c r="B179" s="111" t="str">
        <f>+'ANEXO1. GASTOS FUNCIONAMIENTO'!B43</f>
        <v>Servicios públicos aseo</v>
      </c>
      <c r="C179" s="232">
        <f>+'ANEXO1. GASTOS FUNCIONAMIENTO'!C43</f>
        <v>500000</v>
      </c>
      <c r="D179" s="431">
        <f t="shared" si="4"/>
        <v>520000</v>
      </c>
      <c r="E179" s="431">
        <f t="shared" si="5"/>
        <v>540800</v>
      </c>
      <c r="F179" s="431">
        <f t="shared" si="6"/>
        <v>562432</v>
      </c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91"/>
      <c r="V179" s="7"/>
      <c r="W179" s="7"/>
      <c r="X179" s="94"/>
      <c r="Y179" s="94"/>
      <c r="Z179" s="94"/>
      <c r="AA179" s="94"/>
      <c r="AB179" s="94"/>
    </row>
    <row r="180" spans="1:28" ht="12.75">
      <c r="A180" s="231" t="str">
        <f>+'ANEXO1. GASTOS FUNCIONAMIENTO'!A44</f>
        <v>2132205</v>
      </c>
      <c r="B180" s="111" t="str">
        <f>+'ANEXO1. GASTOS FUNCIONAMIENTO'!B44</f>
        <v>Servicios públicos alcantarillado</v>
      </c>
      <c r="C180" s="232">
        <f>+'ANEXO1. GASTOS FUNCIONAMIENTO'!C44</f>
        <v>300000</v>
      </c>
      <c r="D180" s="431">
        <f t="shared" si="4"/>
        <v>312000</v>
      </c>
      <c r="E180" s="431">
        <f t="shared" si="5"/>
        <v>324480</v>
      </c>
      <c r="F180" s="431">
        <f t="shared" si="6"/>
        <v>337459.20000000001</v>
      </c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91"/>
      <c r="V180" s="7"/>
      <c r="W180" s="7"/>
      <c r="X180" s="94"/>
      <c r="Y180" s="94"/>
      <c r="Z180" s="94"/>
      <c r="AA180" s="94"/>
      <c r="AB180" s="94"/>
    </row>
    <row r="181" spans="1:28" ht="12.75">
      <c r="A181" s="231" t="str">
        <f>+'ANEXO1. GASTOS FUNCIONAMIENTO'!A45</f>
        <v>2132206</v>
      </c>
      <c r="B181" s="111" t="str">
        <f>+'ANEXO1. GASTOS FUNCIONAMIENTO'!B45</f>
        <v>Servicios públicos energia</v>
      </c>
      <c r="C181" s="232">
        <f>+'ANEXO1. GASTOS FUNCIONAMIENTO'!C45</f>
        <v>8000000</v>
      </c>
      <c r="D181" s="431">
        <f t="shared" si="4"/>
        <v>8320000</v>
      </c>
      <c r="E181" s="431">
        <f t="shared" si="5"/>
        <v>8652800</v>
      </c>
      <c r="F181" s="431">
        <f t="shared" si="6"/>
        <v>8998912</v>
      </c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91"/>
      <c r="V181" s="7"/>
      <c r="W181" s="7"/>
      <c r="X181" s="94"/>
      <c r="Y181" s="94"/>
      <c r="Z181" s="94"/>
      <c r="AA181" s="94"/>
      <c r="AB181" s="94"/>
    </row>
    <row r="182" spans="1:28" ht="12.75">
      <c r="A182" s="231" t="str">
        <f>+'ANEXO1. GASTOS FUNCIONAMIENTO'!A46</f>
        <v>2132207</v>
      </c>
      <c r="B182" s="111" t="str">
        <f>+'ANEXO1. GASTOS FUNCIONAMIENTO'!B46</f>
        <v>Servicios públicos teléfono</v>
      </c>
      <c r="C182" s="232">
        <f>+'ANEXO1. GASTOS FUNCIONAMIENTO'!C46</f>
        <v>5000000</v>
      </c>
      <c r="D182" s="431">
        <f t="shared" si="4"/>
        <v>5200000</v>
      </c>
      <c r="E182" s="431">
        <f t="shared" si="5"/>
        <v>5408000</v>
      </c>
      <c r="F182" s="431">
        <f t="shared" si="6"/>
        <v>5624320</v>
      </c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91"/>
      <c r="V182" s="7"/>
      <c r="W182" s="7"/>
      <c r="X182" s="94"/>
      <c r="Y182" s="94"/>
      <c r="Z182" s="94"/>
      <c r="AA182" s="94"/>
      <c r="AB182" s="94"/>
    </row>
    <row r="183" spans="1:28" ht="12.75">
      <c r="A183" s="231" t="str">
        <f>+'ANEXO1. GASTOS FUNCIONAMIENTO'!A47</f>
        <v>2132208</v>
      </c>
      <c r="B183" s="111" t="str">
        <f>+'ANEXO1. GASTOS FUNCIONAMIENTO'!B47</f>
        <v>Viáticos y gastos de viaje</v>
      </c>
      <c r="C183" s="232">
        <f>+'ANEXO1. GASTOS FUNCIONAMIENTO'!C47</f>
        <v>5000000</v>
      </c>
      <c r="D183" s="431">
        <f t="shared" si="4"/>
        <v>5200000</v>
      </c>
      <c r="E183" s="431">
        <f t="shared" si="5"/>
        <v>5408000</v>
      </c>
      <c r="F183" s="431">
        <f t="shared" si="6"/>
        <v>5624320</v>
      </c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91"/>
      <c r="V183" s="7"/>
      <c r="W183" s="7"/>
      <c r="X183" s="94"/>
      <c r="Y183" s="94"/>
      <c r="Z183" s="94"/>
      <c r="AA183" s="94"/>
      <c r="AB183" s="94"/>
    </row>
    <row r="184" spans="1:28" ht="12.75">
      <c r="A184" s="231" t="str">
        <f>+'ANEXO1. GASTOS FUNCIONAMIENTO'!A48</f>
        <v>2132209</v>
      </c>
      <c r="B184" s="111" t="str">
        <f>+'ANEXO1. GASTOS FUNCIONAMIENTO'!B48</f>
        <v>Pólizas de manejo</v>
      </c>
      <c r="C184" s="232">
        <f>+'ANEXO1. GASTOS FUNCIONAMIENTO'!C48</f>
        <v>900000</v>
      </c>
      <c r="D184" s="431">
        <f t="shared" si="4"/>
        <v>936000</v>
      </c>
      <c r="E184" s="431">
        <f t="shared" si="5"/>
        <v>973440</v>
      </c>
      <c r="F184" s="431">
        <f t="shared" si="6"/>
        <v>1012377.6</v>
      </c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91"/>
      <c r="V184" s="7"/>
      <c r="W184" s="7"/>
      <c r="X184" s="94"/>
      <c r="Y184" s="94"/>
      <c r="Z184" s="94"/>
      <c r="AA184" s="94"/>
      <c r="AB184" s="94"/>
    </row>
    <row r="185" spans="1:28" ht="12.75">
      <c r="A185" s="231" t="str">
        <f>+'ANEXO1. GASTOS FUNCIONAMIENTO'!A49</f>
        <v>2132210</v>
      </c>
      <c r="B185" s="111" t="str">
        <f>+'ANEXO1. GASTOS FUNCIONAMIENTO'!B49</f>
        <v>Seguros de vida alcalde</v>
      </c>
      <c r="C185" s="232">
        <f>+'ANEXO1. GASTOS FUNCIONAMIENTO'!C49</f>
        <v>600000</v>
      </c>
      <c r="D185" s="431">
        <f t="shared" si="4"/>
        <v>624000</v>
      </c>
      <c r="E185" s="431">
        <f t="shared" si="5"/>
        <v>648960</v>
      </c>
      <c r="F185" s="431">
        <f t="shared" si="6"/>
        <v>674918.40000000002</v>
      </c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91"/>
      <c r="V185" s="7"/>
      <c r="W185" s="7"/>
      <c r="X185" s="94"/>
      <c r="Y185" s="94"/>
      <c r="Z185" s="94"/>
      <c r="AA185" s="94"/>
      <c r="AB185" s="94"/>
    </row>
    <row r="186" spans="1:28" ht="12.75">
      <c r="A186" s="231" t="str">
        <f>+'ANEXO1. GASTOS FUNCIONAMIENTO'!A50</f>
        <v>2132211</v>
      </c>
      <c r="B186" s="111" t="str">
        <f>+'ANEXO1. GASTOS FUNCIONAMIENTO'!B50</f>
        <v>Seguros de vida concejales</v>
      </c>
      <c r="C186" s="232">
        <f>+'ANEXO1. GASTOS FUNCIONAMIENTO'!C50</f>
        <v>5600000</v>
      </c>
      <c r="D186" s="431">
        <f t="shared" si="4"/>
        <v>5824000</v>
      </c>
      <c r="E186" s="431">
        <f t="shared" si="5"/>
        <v>6056960</v>
      </c>
      <c r="F186" s="431">
        <f t="shared" si="6"/>
        <v>6299238.4000000004</v>
      </c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91"/>
      <c r="V186" s="7"/>
      <c r="W186" s="7"/>
      <c r="X186" s="94"/>
      <c r="Y186" s="94"/>
      <c r="Z186" s="94"/>
      <c r="AA186" s="94"/>
      <c r="AB186" s="94"/>
    </row>
    <row r="187" spans="1:28" ht="12.75">
      <c r="A187" s="231" t="str">
        <f>+'ANEXO1. GASTOS FUNCIONAMIENTO'!A51</f>
        <v>2132212</v>
      </c>
      <c r="B187" s="111" t="str">
        <f>+'ANEXO1. GASTOS FUNCIONAMIENTO'!B51</f>
        <v>Seguros de bienes muebles  e inmuebles</v>
      </c>
      <c r="C187" s="232">
        <f>+'ANEXO1. GASTOS FUNCIONAMIENTO'!C51</f>
        <v>30000000</v>
      </c>
      <c r="D187" s="431">
        <f t="shared" si="4"/>
        <v>31200000</v>
      </c>
      <c r="E187" s="431">
        <f t="shared" si="5"/>
        <v>32448000</v>
      </c>
      <c r="F187" s="431">
        <f t="shared" si="6"/>
        <v>33745920</v>
      </c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91"/>
      <c r="V187" s="7"/>
      <c r="W187" s="7"/>
      <c r="X187" s="94"/>
      <c r="Y187" s="94"/>
      <c r="Z187" s="94"/>
      <c r="AA187" s="94"/>
      <c r="AB187" s="94"/>
    </row>
    <row r="188" spans="1:28" ht="12.75">
      <c r="A188" s="231" t="str">
        <f>+'ANEXO1. GASTOS FUNCIONAMIENTO'!A52</f>
        <v>2132213</v>
      </c>
      <c r="B188" s="111" t="str">
        <f>+'ANEXO1. GASTOS FUNCIONAMIENTO'!B52</f>
        <v>Comunicaciones y transportes</v>
      </c>
      <c r="C188" s="232">
        <f>+'ANEXO1. GASTOS FUNCIONAMIENTO'!C52</f>
        <v>5000000</v>
      </c>
      <c r="D188" s="431">
        <f t="shared" si="4"/>
        <v>5200000</v>
      </c>
      <c r="E188" s="431">
        <f t="shared" si="5"/>
        <v>5408000</v>
      </c>
      <c r="F188" s="431">
        <f t="shared" si="6"/>
        <v>5624320</v>
      </c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91"/>
      <c r="V188" s="7"/>
      <c r="W188" s="7"/>
      <c r="X188" s="94"/>
      <c r="Y188" s="94"/>
      <c r="Z188" s="94"/>
      <c r="AA188" s="94"/>
      <c r="AB188" s="94"/>
    </row>
    <row r="189" spans="1:28" ht="12.75">
      <c r="A189" s="231" t="str">
        <f>+'ANEXO1. GASTOS FUNCIONAMIENTO'!A53</f>
        <v>2132214</v>
      </c>
      <c r="B189" s="111" t="str">
        <f>+'ANEXO1. GASTOS FUNCIONAMIENTO'!B53</f>
        <v>Bienestar social</v>
      </c>
      <c r="C189" s="232">
        <f>+'ANEXO1. GASTOS FUNCIONAMIENTO'!C53</f>
        <v>1500000</v>
      </c>
      <c r="D189" s="431">
        <f t="shared" si="4"/>
        <v>1560000</v>
      </c>
      <c r="E189" s="431">
        <f t="shared" si="5"/>
        <v>1622400</v>
      </c>
      <c r="F189" s="431">
        <f t="shared" si="6"/>
        <v>1687296</v>
      </c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91"/>
      <c r="V189" s="7"/>
      <c r="W189" s="7"/>
      <c r="X189" s="94"/>
      <c r="Y189" s="94"/>
      <c r="Z189" s="94"/>
      <c r="AA189" s="94"/>
      <c r="AB189" s="94"/>
    </row>
    <row r="190" spans="1:28" ht="12.75">
      <c r="A190" s="231" t="str">
        <f>+'ANEXO1. GASTOS FUNCIONAMIENTO'!A54</f>
        <v>2132215</v>
      </c>
      <c r="B190" s="111" t="str">
        <f>+'ANEXO1. GASTOS FUNCIONAMIENTO'!B54</f>
        <v>Fondo de compensación</v>
      </c>
      <c r="C190" s="232">
        <f>+'ANEXO1. GASTOS FUNCIONAMIENTO'!C54</f>
        <v>1000000</v>
      </c>
      <c r="D190" s="431">
        <f t="shared" si="4"/>
        <v>1040000</v>
      </c>
      <c r="E190" s="431">
        <f t="shared" si="5"/>
        <v>1081600</v>
      </c>
      <c r="F190" s="431">
        <f t="shared" si="6"/>
        <v>1124864</v>
      </c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91"/>
      <c r="V190" s="7"/>
      <c r="W190" s="7"/>
      <c r="X190" s="94"/>
      <c r="Y190" s="94"/>
      <c r="Z190" s="94"/>
      <c r="AA190" s="94"/>
      <c r="AB190" s="94"/>
    </row>
    <row r="191" spans="1:28" ht="12.75">
      <c r="A191" s="231" t="str">
        <f>+'ANEXO1. GASTOS FUNCIONAMIENTO'!A55</f>
        <v>2132216</v>
      </c>
      <c r="B191" s="111" t="str">
        <f>+'ANEXO1. GASTOS FUNCIONAMIENTO'!B55</f>
        <v>Junta Defensora de animales</v>
      </c>
      <c r="C191" s="232">
        <f>+'ANEXO1. GASTOS FUNCIONAMIENTO'!C55</f>
        <v>200000</v>
      </c>
      <c r="D191" s="431">
        <f t="shared" si="4"/>
        <v>208000</v>
      </c>
      <c r="E191" s="431">
        <f t="shared" si="5"/>
        <v>216320</v>
      </c>
      <c r="F191" s="431">
        <f t="shared" si="6"/>
        <v>224972.79999999999</v>
      </c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91"/>
      <c r="V191" s="7"/>
      <c r="W191" s="7"/>
      <c r="X191" s="94"/>
      <c r="Y191" s="94"/>
      <c r="Z191" s="94"/>
      <c r="AA191" s="94"/>
      <c r="AB191" s="94"/>
    </row>
    <row r="192" spans="1:28" ht="12.75">
      <c r="A192" s="231">
        <f>+'ANEXO1. GASTOS FUNCIONAMIENTO'!A56</f>
        <v>2132217</v>
      </c>
      <c r="B192" s="111" t="str">
        <f>+'ANEXO1. GASTOS FUNCIONAMIENTO'!B56</f>
        <v>Gastos notariales y avalúos</v>
      </c>
      <c r="C192" s="232">
        <f>+'ANEXO1. GASTOS FUNCIONAMIENTO'!C56</f>
        <v>2000000</v>
      </c>
      <c r="D192" s="431">
        <f t="shared" si="4"/>
        <v>2080000</v>
      </c>
      <c r="E192" s="431">
        <f t="shared" si="5"/>
        <v>2163200</v>
      </c>
      <c r="F192" s="431">
        <f t="shared" si="6"/>
        <v>2249728</v>
      </c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91"/>
      <c r="V192" s="7"/>
      <c r="W192" s="7"/>
      <c r="X192" s="94"/>
      <c r="Y192" s="94"/>
      <c r="Z192" s="94"/>
      <c r="AA192" s="94"/>
      <c r="AB192" s="94"/>
    </row>
    <row r="193" spans="1:28" ht="12.75">
      <c r="A193" s="231">
        <f>+'ANEXO1. GASTOS FUNCIONAMIENTO'!A57</f>
        <v>2132218</v>
      </c>
      <c r="B193" s="111" t="str">
        <f>+'ANEXO1. GASTOS FUNCIONAMIENTO'!B57</f>
        <v>Derechos de sayco y acinpro</v>
      </c>
      <c r="C193" s="232">
        <f>+'ANEXO1. GASTOS FUNCIONAMIENTO'!C57</f>
        <v>5000000</v>
      </c>
      <c r="D193" s="431">
        <f t="shared" si="4"/>
        <v>5200000</v>
      </c>
      <c r="E193" s="431">
        <f t="shared" si="5"/>
        <v>5408000</v>
      </c>
      <c r="F193" s="431">
        <f t="shared" si="6"/>
        <v>5624320</v>
      </c>
      <c r="G193" s="230"/>
      <c r="H193" s="230"/>
      <c r="I193" s="230"/>
      <c r="J193" s="230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91"/>
      <c r="V193" s="7"/>
      <c r="W193" s="7"/>
      <c r="X193" s="94"/>
      <c r="Y193" s="94"/>
      <c r="Z193" s="94"/>
      <c r="AA193" s="94"/>
      <c r="AB193" s="94"/>
    </row>
    <row r="194" spans="1:28" ht="12.75">
      <c r="A194" s="231">
        <f>+'ANEXO1. GASTOS FUNCIONAMIENTO'!A58</f>
        <v>2132219</v>
      </c>
      <c r="B194" s="111" t="str">
        <f>+'ANEXO1. GASTOS FUNCIONAMIENTO'!B58</f>
        <v>Transporte de Concejales</v>
      </c>
      <c r="C194" s="232">
        <f>+'ANEXO1. GASTOS FUNCIONAMIENTO'!C58</f>
        <v>8000000</v>
      </c>
      <c r="D194" s="431">
        <f t="shared" si="4"/>
        <v>8320000</v>
      </c>
      <c r="E194" s="431">
        <f t="shared" si="5"/>
        <v>8652800</v>
      </c>
      <c r="F194" s="431">
        <f t="shared" si="6"/>
        <v>8998912</v>
      </c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91"/>
      <c r="V194" s="7"/>
      <c r="W194" s="7"/>
      <c r="X194" s="94"/>
      <c r="Y194" s="94"/>
      <c r="Z194" s="94"/>
      <c r="AA194" s="94"/>
      <c r="AB194" s="94"/>
    </row>
    <row r="195" spans="1:28" ht="12.75">
      <c r="A195" s="231">
        <f>+'ANEXO1. GASTOS FUNCIONAMIENTO'!A59</f>
        <v>2132220</v>
      </c>
      <c r="B195" s="111" t="str">
        <f>+'ANEXO1. GASTOS FUNCIONAMIENTO'!B59</f>
        <v>Impuestos, multas y derechos</v>
      </c>
      <c r="C195" s="232">
        <f>+'ANEXO1. GASTOS FUNCIONAMIENTO'!C59</f>
        <v>5000000</v>
      </c>
      <c r="D195" s="431">
        <f t="shared" si="4"/>
        <v>5200000</v>
      </c>
      <c r="E195" s="431">
        <f t="shared" si="5"/>
        <v>5408000</v>
      </c>
      <c r="F195" s="431">
        <f t="shared" si="6"/>
        <v>5624320</v>
      </c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111"/>
      <c r="T195" s="111"/>
      <c r="U195" s="91"/>
      <c r="V195" s="7"/>
      <c r="W195" s="7"/>
      <c r="X195" s="94"/>
      <c r="Y195" s="94"/>
      <c r="Z195" s="94"/>
      <c r="AA195" s="94"/>
      <c r="AB195" s="94"/>
    </row>
    <row r="196" spans="1:28">
      <c r="A196" s="231"/>
      <c r="B196" s="111"/>
      <c r="C196" s="232"/>
      <c r="D196" s="232"/>
      <c r="E196" s="232"/>
      <c r="F196" s="232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91"/>
      <c r="V196" s="7"/>
      <c r="W196" s="7"/>
      <c r="X196" s="94"/>
      <c r="Y196" s="94"/>
      <c r="Z196" s="94"/>
      <c r="AA196" s="94"/>
      <c r="AB196" s="94"/>
    </row>
    <row r="197" spans="1:28" ht="12.75">
      <c r="A197" s="228" t="str">
        <f>+'ANEXO1. GASTOS FUNCIONAMIENTO'!A61</f>
        <v>2133</v>
      </c>
      <c r="B197" s="230" t="str">
        <f>+'ANEXO1. GASTOS FUNCIONAMIENTO'!B61</f>
        <v>TRANSFERENCIAS CORRIENTES</v>
      </c>
      <c r="C197" s="229"/>
      <c r="D197" s="229"/>
      <c r="E197" s="229"/>
      <c r="F197" s="229"/>
      <c r="G197" s="230">
        <f>SUM(C198:C201)</f>
        <v>28100000</v>
      </c>
      <c r="H197" s="431">
        <f>SUM(G197*4/100)+G197</f>
        <v>29224000</v>
      </c>
      <c r="I197" s="431">
        <f>SUM(H197*4/100)+H197</f>
        <v>30392960</v>
      </c>
      <c r="J197" s="431">
        <f>SUM(I197*4/100)+I197</f>
        <v>31608678.399999999</v>
      </c>
      <c r="K197" s="230">
        <f>+G197</f>
        <v>28100000</v>
      </c>
      <c r="L197" s="431">
        <f>SUM(K197*4/100)+K197</f>
        <v>29224000</v>
      </c>
      <c r="M197" s="431">
        <f>SUM(L197*4/100)+L197</f>
        <v>30392960</v>
      </c>
      <c r="N197" s="431">
        <f>SUM(M197*4/100)+M197</f>
        <v>31608678.399999999</v>
      </c>
      <c r="O197" s="230"/>
      <c r="P197" s="230"/>
      <c r="Q197" s="230"/>
      <c r="R197" s="230"/>
      <c r="S197" s="111"/>
      <c r="T197" s="111"/>
      <c r="U197" s="91"/>
      <c r="V197" s="7"/>
      <c r="W197" s="7"/>
      <c r="X197" s="94"/>
      <c r="Y197" s="94"/>
      <c r="Z197" s="94"/>
      <c r="AA197" s="94"/>
      <c r="AB197" s="94"/>
    </row>
    <row r="198" spans="1:28" ht="12.75">
      <c r="A198" s="231">
        <f>+'ANEXO1. GASTOS FUNCIONAMIENTO'!A62</f>
        <v>213301</v>
      </c>
      <c r="B198" s="111" t="str">
        <f>+'ANEXO1. GASTOS FUNCIONAMIENTO'!B62</f>
        <v>Transferencia Corpoyacá para medio ambiente</v>
      </c>
      <c r="C198" s="232">
        <f>+'ANEXO1. GASTOS FUNCIONAMIENTO'!C62</f>
        <v>10000000</v>
      </c>
      <c r="D198" s="431">
        <f t="shared" ref="D198:F201" si="7">SUM(C198*4/100)+C198</f>
        <v>10400000</v>
      </c>
      <c r="E198" s="431">
        <f t="shared" si="7"/>
        <v>10816000</v>
      </c>
      <c r="F198" s="431">
        <f t="shared" si="7"/>
        <v>11248640</v>
      </c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7"/>
      <c r="W198" s="7"/>
      <c r="X198" s="94"/>
      <c r="Y198" s="94"/>
      <c r="Z198" s="94"/>
      <c r="AA198" s="94"/>
      <c r="AB198" s="94"/>
    </row>
    <row r="199" spans="1:28" ht="12.75">
      <c r="A199" s="231">
        <f>+'ANEXO1. GASTOS FUNCIONAMIENTO'!A63</f>
        <v>213302</v>
      </c>
      <c r="B199" s="111" t="str">
        <f>+'ANEXO1. GASTOS FUNCIONAMIENTO'!B63</f>
        <v>Sentencias judiciales y conciliaciones</v>
      </c>
      <c r="C199" s="232">
        <f>+'ANEXO1. GASTOS FUNCIONAMIENTO'!C63</f>
        <v>17000000</v>
      </c>
      <c r="D199" s="431">
        <f t="shared" si="7"/>
        <v>17680000</v>
      </c>
      <c r="E199" s="431">
        <f t="shared" si="7"/>
        <v>18387200</v>
      </c>
      <c r="F199" s="431">
        <f t="shared" si="7"/>
        <v>19122688</v>
      </c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7"/>
      <c r="W199" s="7"/>
      <c r="X199" s="94"/>
      <c r="Y199" s="94"/>
      <c r="Z199" s="94"/>
      <c r="AA199" s="94"/>
      <c r="AB199" s="94"/>
    </row>
    <row r="200" spans="1:28" ht="12.75">
      <c r="A200" s="231">
        <f>+'ANEXO1. GASTOS FUNCIONAMIENTO'!A64</f>
        <v>213303</v>
      </c>
      <c r="B200" s="111" t="str">
        <f>+'ANEXO1. GASTOS FUNCIONAMIENTO'!B64</f>
        <v>Cuotas partes pensionales</v>
      </c>
      <c r="C200" s="232">
        <f>+'ANEXO1. GASTOS FUNCIONAMIENTO'!C64</f>
        <v>1000000</v>
      </c>
      <c r="D200" s="431">
        <f t="shared" si="7"/>
        <v>1040000</v>
      </c>
      <c r="E200" s="431">
        <f t="shared" si="7"/>
        <v>1081600</v>
      </c>
      <c r="F200" s="431">
        <f t="shared" si="7"/>
        <v>1124864</v>
      </c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7"/>
      <c r="W200" s="7"/>
      <c r="X200" s="94"/>
      <c r="Y200" s="94"/>
      <c r="Z200" s="94"/>
      <c r="AA200" s="94"/>
      <c r="AB200" s="94"/>
    </row>
    <row r="201" spans="1:28" ht="12.75">
      <c r="A201" s="231">
        <f>+'ANEXO1. GASTOS FUNCIONAMIENTO'!A65</f>
        <v>213304</v>
      </c>
      <c r="B201" s="111" t="str">
        <f>+'ANEXO1. GASTOS FUNCIONAMIENTO'!B65</f>
        <v>Tasas Retributivas</v>
      </c>
      <c r="C201" s="232">
        <f>+'ANEXO1. GASTOS FUNCIONAMIENTO'!C65</f>
        <v>100000</v>
      </c>
      <c r="D201" s="431">
        <f t="shared" si="7"/>
        <v>104000</v>
      </c>
      <c r="E201" s="431">
        <f t="shared" si="7"/>
        <v>108160</v>
      </c>
      <c r="F201" s="431">
        <f t="shared" si="7"/>
        <v>112486.39999999999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7"/>
      <c r="W201" s="7"/>
      <c r="X201" s="94"/>
      <c r="Y201" s="94"/>
      <c r="Z201" s="94"/>
      <c r="AA201" s="94"/>
      <c r="AB201" s="94"/>
    </row>
    <row r="202" spans="1:28">
      <c r="A202" s="231"/>
      <c r="B202" s="111"/>
      <c r="C202" s="232"/>
      <c r="D202" s="232"/>
      <c r="E202" s="232"/>
      <c r="F202" s="232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7"/>
      <c r="W202" s="7"/>
      <c r="X202" s="94"/>
      <c r="Y202" s="94"/>
      <c r="Z202" s="94"/>
      <c r="AA202" s="94"/>
      <c r="AB202" s="94"/>
    </row>
    <row r="203" spans="1:28" ht="12.75">
      <c r="A203" s="228" t="s">
        <v>189</v>
      </c>
      <c r="B203" s="93" t="s">
        <v>218</v>
      </c>
      <c r="C203" s="428">
        <v>80041050</v>
      </c>
      <c r="D203" s="431">
        <f>SUM(C203*4/100)+C203</f>
        <v>83242692</v>
      </c>
      <c r="E203" s="431">
        <f>SUM(D203*4/100)+D203</f>
        <v>86572399.680000007</v>
      </c>
      <c r="F203" s="431">
        <f>SUM(E203*4/100)+E203</f>
        <v>90035295.667200014</v>
      </c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>
        <f>+K203</f>
        <v>0</v>
      </c>
      <c r="T203" s="93"/>
      <c r="U203" s="91"/>
      <c r="V203" s="7"/>
      <c r="W203" s="202"/>
      <c r="X203" s="94"/>
      <c r="Y203" s="94"/>
      <c r="Z203" s="94"/>
      <c r="AA203" s="94"/>
      <c r="AB203" s="94"/>
    </row>
    <row r="204" spans="1:28">
      <c r="A204" s="228"/>
      <c r="B204" s="91"/>
      <c r="C204" s="229"/>
      <c r="D204" s="229"/>
      <c r="E204" s="229"/>
      <c r="F204" s="229"/>
      <c r="G204" s="91"/>
      <c r="H204" s="91"/>
      <c r="I204" s="91"/>
      <c r="J204" s="91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1"/>
      <c r="V204" s="7"/>
      <c r="W204" s="202"/>
      <c r="X204" s="94"/>
      <c r="Y204" s="94"/>
      <c r="Z204" s="94"/>
      <c r="AA204" s="94"/>
      <c r="AB204" s="94"/>
    </row>
    <row r="205" spans="1:28" ht="12.75">
      <c r="A205" s="228" t="s">
        <v>190</v>
      </c>
      <c r="B205" s="93" t="s">
        <v>219</v>
      </c>
      <c r="C205" s="428">
        <v>73553600</v>
      </c>
      <c r="D205" s="431">
        <f>SUM(C205*4/100)+C205</f>
        <v>76495744</v>
      </c>
      <c r="E205" s="431">
        <f>SUM(D205*4/100)+D205</f>
        <v>79555573.760000005</v>
      </c>
      <c r="F205" s="431">
        <f>SUM(E205*4/100)+E205</f>
        <v>82737796.7104</v>
      </c>
      <c r="G205" s="91"/>
      <c r="H205" s="91"/>
      <c r="I205" s="91"/>
      <c r="J205" s="91"/>
      <c r="K205" s="93"/>
      <c r="L205" s="121"/>
      <c r="M205" s="121"/>
      <c r="N205" s="121"/>
      <c r="O205" s="121"/>
      <c r="P205" s="121"/>
      <c r="Q205" s="121"/>
      <c r="R205" s="121"/>
      <c r="S205" s="180">
        <f>+K205</f>
        <v>0</v>
      </c>
      <c r="T205" s="91"/>
      <c r="U205" s="91"/>
      <c r="V205" s="7"/>
      <c r="W205" s="7"/>
      <c r="X205" s="94"/>
      <c r="Y205" s="94"/>
      <c r="Z205" s="94"/>
      <c r="AA205" s="94"/>
      <c r="AB205" s="94"/>
    </row>
    <row r="206" spans="1:28" ht="12" thickBot="1">
      <c r="A206" s="233"/>
      <c r="B206" s="234"/>
      <c r="C206" s="234"/>
      <c r="D206" s="234"/>
      <c r="E206" s="234"/>
      <c r="F206" s="234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91"/>
      <c r="U206" s="91"/>
      <c r="V206" s="7"/>
      <c r="W206" s="7"/>
      <c r="X206" s="94"/>
      <c r="Y206" s="94"/>
      <c r="Z206" s="94"/>
      <c r="AA206" s="94"/>
      <c r="AB206" s="94"/>
    </row>
    <row r="207" spans="1:28">
      <c r="A207" s="236"/>
      <c r="B207" s="237"/>
      <c r="C207" s="237"/>
      <c r="D207" s="210"/>
      <c r="E207" s="210"/>
      <c r="F207" s="210"/>
      <c r="G207" s="210"/>
      <c r="H207" s="210"/>
      <c r="I207" s="94"/>
      <c r="J207" s="94"/>
      <c r="K207" s="95"/>
      <c r="L207" s="94"/>
      <c r="M207" s="94"/>
      <c r="N207" s="94"/>
      <c r="O207" s="94"/>
      <c r="P207" s="94"/>
    </row>
    <row r="208" spans="1:28" hidden="1">
      <c r="A208" s="353"/>
      <c r="B208" s="354" t="s">
        <v>28</v>
      </c>
      <c r="C208" s="354"/>
      <c r="D208" s="355"/>
      <c r="E208" s="355"/>
      <c r="F208" s="355"/>
      <c r="G208" s="355"/>
      <c r="H208" s="355"/>
      <c r="I208" s="94"/>
      <c r="J208" s="94"/>
      <c r="K208" s="95"/>
      <c r="L208" s="94"/>
      <c r="M208" s="94"/>
      <c r="N208" s="94"/>
      <c r="O208" s="94"/>
      <c r="P208" s="94"/>
    </row>
    <row r="209" spans="1:16" hidden="1">
      <c r="A209" s="527" t="s">
        <v>27</v>
      </c>
      <c r="B209" s="356" t="s">
        <v>26</v>
      </c>
      <c r="C209" s="356">
        <f>+C65+C66+C68+C70+C72+C73+C74+C101+C110</f>
        <v>1928215100</v>
      </c>
      <c r="D209" s="356">
        <f>+F20+C102</f>
        <v>875163289</v>
      </c>
      <c r="E209" s="356">
        <f>+C78+C81+C84+C103+C104+C105</f>
        <v>152901000</v>
      </c>
      <c r="F209" s="356">
        <f>+C88+C91+C94+C97</f>
        <v>34000000</v>
      </c>
      <c r="G209" s="356">
        <f>+C107</f>
        <v>500000</v>
      </c>
      <c r="H209" s="356">
        <f>SUM(C209:G209)</f>
        <v>2990779389</v>
      </c>
      <c r="I209" s="94"/>
      <c r="J209" s="94"/>
      <c r="K209" s="94"/>
      <c r="L209" s="94"/>
      <c r="M209" s="94"/>
      <c r="N209" s="94"/>
      <c r="O209" s="94"/>
      <c r="P209" s="94"/>
    </row>
    <row r="210" spans="1:16" hidden="1">
      <c r="A210" s="527"/>
      <c r="B210" s="356" t="s">
        <v>25</v>
      </c>
      <c r="C210" s="356">
        <f>+C209-C218</f>
        <v>0</v>
      </c>
      <c r="D210" s="356">
        <f>+D209-D218-S138</f>
        <v>22000000</v>
      </c>
      <c r="E210" s="356">
        <f>+E209-E218</f>
        <v>0</v>
      </c>
      <c r="F210" s="356">
        <f>+F209-F218</f>
        <v>0</v>
      </c>
      <c r="G210" s="356">
        <f>+G209-G218</f>
        <v>0</v>
      </c>
      <c r="H210" s="356">
        <f>SUM(C210:G210)</f>
        <v>22000000</v>
      </c>
      <c r="I210" s="94"/>
      <c r="J210" s="94"/>
      <c r="K210" s="94"/>
      <c r="L210" s="94"/>
      <c r="M210" s="94"/>
      <c r="N210" s="94"/>
      <c r="O210" s="94"/>
      <c r="P210" s="94"/>
    </row>
    <row r="211" spans="1:16" hidden="1">
      <c r="A211" s="236"/>
      <c r="B211" s="237"/>
      <c r="C211" s="237"/>
      <c r="D211" s="210"/>
      <c r="E211" s="210"/>
      <c r="F211" s="210"/>
      <c r="G211" s="210"/>
      <c r="H211" s="210"/>
      <c r="I211" s="94"/>
      <c r="J211" s="94"/>
      <c r="K211" s="95"/>
      <c r="L211" s="94"/>
      <c r="M211" s="94"/>
      <c r="N211" s="94"/>
      <c r="O211" s="94"/>
      <c r="P211" s="94"/>
    </row>
    <row r="212" spans="1:16">
      <c r="H212" s="210"/>
      <c r="I212" s="94"/>
      <c r="J212" s="94"/>
      <c r="K212" s="94"/>
      <c r="L212" s="94"/>
      <c r="M212" s="94"/>
      <c r="N212" s="94"/>
      <c r="O212" s="94"/>
      <c r="P212" s="94"/>
    </row>
    <row r="213" spans="1:16" s="84" customFormat="1" ht="20.25">
      <c r="A213" s="190"/>
      <c r="B213" s="321"/>
      <c r="C213" s="321"/>
      <c r="D213" s="321"/>
      <c r="E213" s="321"/>
      <c r="F213" s="359" t="s">
        <v>583</v>
      </c>
      <c r="G213" s="321"/>
      <c r="H213" s="321"/>
      <c r="I213" s="322"/>
      <c r="J213" s="322"/>
      <c r="K213" s="322"/>
      <c r="L213" s="322"/>
      <c r="M213" s="322"/>
      <c r="N213" s="322"/>
      <c r="O213" s="322"/>
      <c r="P213" s="322"/>
    </row>
    <row r="215" spans="1:16" s="84" customFormat="1" ht="12.75">
      <c r="A215" s="414" t="s">
        <v>628</v>
      </c>
      <c r="C215" s="413"/>
      <c r="D215" s="413"/>
      <c r="E215" s="413"/>
      <c r="G215" s="413"/>
      <c r="H215" s="413"/>
    </row>
    <row r="217" spans="1:16" ht="12" thickBot="1">
      <c r="A217" s="238"/>
      <c r="B217" s="239"/>
      <c r="C217" s="265"/>
      <c r="D217" s="265"/>
      <c r="E217" s="266"/>
      <c r="F217" s="266"/>
      <c r="G217" s="266"/>
      <c r="H217" s="266"/>
      <c r="I217" s="94"/>
      <c r="J217" s="94"/>
      <c r="K217" s="94"/>
      <c r="L217" s="94"/>
      <c r="M217" s="94"/>
      <c r="N217" s="94"/>
      <c r="O217" s="94"/>
      <c r="P217" s="94"/>
    </row>
    <row r="218" spans="1:16" ht="13.5" thickBot="1">
      <c r="A218" s="241" t="s">
        <v>217</v>
      </c>
      <c r="B218" s="107" t="s">
        <v>170</v>
      </c>
      <c r="C218" s="267">
        <f t="shared" ref="C218:H218" si="8">+C239+C250+C287+C263+C317+C337+C358+C446</f>
        <v>1928215100</v>
      </c>
      <c r="D218" s="267">
        <f t="shared" si="8"/>
        <v>199731239</v>
      </c>
      <c r="E218" s="267">
        <f t="shared" si="8"/>
        <v>152901000</v>
      </c>
      <c r="F218" s="267">
        <f t="shared" si="8"/>
        <v>34000000</v>
      </c>
      <c r="G218" s="267">
        <f t="shared" si="8"/>
        <v>500000</v>
      </c>
      <c r="H218" s="267">
        <f t="shared" si="8"/>
        <v>2315347339</v>
      </c>
      <c r="I218" s="573"/>
      <c r="J218" s="586"/>
      <c r="K218" s="574"/>
      <c r="L218" s="574"/>
      <c r="M218" s="574"/>
      <c r="N218" s="574"/>
      <c r="O218" s="574"/>
      <c r="P218" s="575"/>
    </row>
    <row r="219" spans="1:16" ht="12" thickBot="1">
      <c r="H219" s="210"/>
      <c r="I219" s="94"/>
      <c r="J219" s="94"/>
      <c r="K219" s="95"/>
      <c r="L219" s="95"/>
      <c r="M219" s="95"/>
      <c r="N219" s="94"/>
      <c r="O219" s="94"/>
      <c r="P219" s="94"/>
    </row>
    <row r="220" spans="1:16" s="368" customFormat="1" ht="33.950000000000003" customHeight="1" thickBot="1">
      <c r="A220" s="556" t="s">
        <v>29</v>
      </c>
      <c r="B220" s="557"/>
      <c r="C220" s="362" t="s">
        <v>411</v>
      </c>
      <c r="D220" s="285" t="s">
        <v>412</v>
      </c>
      <c r="E220" s="350" t="s">
        <v>94</v>
      </c>
      <c r="F220" s="285" t="s">
        <v>350</v>
      </c>
      <c r="G220" s="350" t="s">
        <v>125</v>
      </c>
      <c r="H220" s="528" t="s">
        <v>116</v>
      </c>
      <c r="I220" s="559" t="s">
        <v>199</v>
      </c>
      <c r="J220" s="559"/>
      <c r="K220" s="560"/>
      <c r="L220" s="561"/>
      <c r="M220" s="559" t="s">
        <v>200</v>
      </c>
      <c r="N220" s="560"/>
      <c r="O220" s="561"/>
      <c r="P220" s="317" t="s">
        <v>198</v>
      </c>
    </row>
    <row r="221" spans="1:16" s="368" customFormat="1" ht="12" customHeight="1">
      <c r="A221" s="531">
        <v>1</v>
      </c>
      <c r="B221" s="533" t="s">
        <v>99</v>
      </c>
      <c r="C221" s="369" t="s">
        <v>319</v>
      </c>
      <c r="D221" s="318" t="s">
        <v>320</v>
      </c>
      <c r="E221" s="318" t="s">
        <v>321</v>
      </c>
      <c r="F221" s="318" t="s">
        <v>322</v>
      </c>
      <c r="G221" s="318" t="s">
        <v>323</v>
      </c>
      <c r="H221" s="529"/>
      <c r="I221" s="370" t="s">
        <v>195</v>
      </c>
      <c r="J221" s="370"/>
      <c r="K221" s="371" t="s">
        <v>428</v>
      </c>
      <c r="L221" s="372" t="s">
        <v>429</v>
      </c>
      <c r="M221" s="370" t="s">
        <v>195</v>
      </c>
      <c r="N221" s="371" t="s">
        <v>428</v>
      </c>
      <c r="O221" s="372" t="s">
        <v>429</v>
      </c>
      <c r="P221" s="373"/>
    </row>
    <row r="222" spans="1:16" s="368" customFormat="1" ht="12" customHeight="1" thickBot="1">
      <c r="A222" s="532"/>
      <c r="B222" s="534"/>
      <c r="C222" s="374" t="s">
        <v>148</v>
      </c>
      <c r="D222" s="319" t="s">
        <v>149</v>
      </c>
      <c r="E222" s="319" t="s">
        <v>619</v>
      </c>
      <c r="F222" s="319" t="s">
        <v>129</v>
      </c>
      <c r="G222" s="319" t="s">
        <v>324</v>
      </c>
      <c r="H222" s="530"/>
      <c r="I222" s="375"/>
      <c r="J222" s="375"/>
      <c r="K222" s="376"/>
      <c r="L222" s="377"/>
      <c r="M222" s="375"/>
      <c r="N222" s="376"/>
      <c r="O222" s="377"/>
      <c r="P222" s="378"/>
    </row>
    <row r="223" spans="1:16" ht="22.5">
      <c r="A223" s="289"/>
      <c r="B223" s="290" t="s">
        <v>171</v>
      </c>
      <c r="C223" s="291">
        <f t="shared" ref="C223:H223" si="9">SUM(C224:C238)</f>
        <v>114914354</v>
      </c>
      <c r="D223" s="291">
        <f t="shared" si="9"/>
        <v>11000000</v>
      </c>
      <c r="E223" s="291">
        <f t="shared" si="9"/>
        <v>0</v>
      </c>
      <c r="F223" s="291">
        <f t="shared" si="9"/>
        <v>0</v>
      </c>
      <c r="G223" s="291">
        <f t="shared" si="9"/>
        <v>0</v>
      </c>
      <c r="H223" s="291">
        <f t="shared" si="9"/>
        <v>125914354</v>
      </c>
      <c r="I223" s="292"/>
      <c r="J223" s="292"/>
      <c r="K223" s="293"/>
      <c r="L223" s="294"/>
      <c r="M223" s="292"/>
      <c r="N223" s="293"/>
      <c r="O223" s="294"/>
      <c r="P223" s="295"/>
    </row>
    <row r="224" spans="1:16" ht="22.5">
      <c r="A224" s="261" t="s">
        <v>172</v>
      </c>
      <c r="B224" s="284" t="s">
        <v>96</v>
      </c>
      <c r="C224" s="284"/>
      <c r="D224" s="243"/>
      <c r="E224" s="243"/>
      <c r="F224" s="243"/>
      <c r="G224" s="243"/>
      <c r="H224" s="245">
        <f t="shared" ref="H224:H230" si="10">SUM(C224:G224)</f>
        <v>0</v>
      </c>
      <c r="I224" s="283"/>
      <c r="J224" s="283"/>
      <c r="K224" s="109"/>
      <c r="L224" s="153"/>
      <c r="M224" s="283"/>
      <c r="N224" s="139"/>
      <c r="O224" s="281"/>
      <c r="P224" s="140" t="s">
        <v>249</v>
      </c>
    </row>
    <row r="225" spans="1:16" ht="33.75">
      <c r="A225" s="262" t="s">
        <v>329</v>
      </c>
      <c r="B225" s="286" t="s">
        <v>367</v>
      </c>
      <c r="C225" s="243">
        <f>+C66</f>
        <v>32647000</v>
      </c>
      <c r="D225" s="243"/>
      <c r="E225" s="243"/>
      <c r="F225" s="243"/>
      <c r="G225" s="243"/>
      <c r="H225" s="245">
        <f t="shared" si="10"/>
        <v>32647000</v>
      </c>
      <c r="I225" s="283"/>
      <c r="J225" s="283"/>
      <c r="K225" s="109"/>
      <c r="L225" s="153"/>
      <c r="M225" s="283" t="s">
        <v>470</v>
      </c>
      <c r="N225" s="139">
        <v>0.84</v>
      </c>
      <c r="O225" s="281">
        <v>0.84</v>
      </c>
      <c r="P225" s="140" t="s">
        <v>202</v>
      </c>
    </row>
    <row r="226" spans="1:16" ht="33.75">
      <c r="A226" s="262" t="s">
        <v>337</v>
      </c>
      <c r="B226" s="287" t="s">
        <v>602</v>
      </c>
      <c r="C226" s="243"/>
      <c r="D226" s="243"/>
      <c r="E226" s="243"/>
      <c r="F226" s="243"/>
      <c r="G226" s="243"/>
      <c r="H226" s="245">
        <f t="shared" si="10"/>
        <v>0</v>
      </c>
      <c r="I226" s="283" t="s">
        <v>390</v>
      </c>
      <c r="J226" s="283"/>
      <c r="K226" s="109">
        <v>1000</v>
      </c>
      <c r="L226" s="153">
        <v>1000</v>
      </c>
      <c r="M226" s="283" t="s">
        <v>471</v>
      </c>
      <c r="N226" s="109">
        <f>1085+95</f>
        <v>1180</v>
      </c>
      <c r="O226" s="153">
        <v>1180</v>
      </c>
      <c r="P226" s="140"/>
    </row>
    <row r="227" spans="1:16" ht="45">
      <c r="A227" s="262" t="s">
        <v>338</v>
      </c>
      <c r="B227" s="287" t="s">
        <v>368</v>
      </c>
      <c r="C227" s="243">
        <v>8000000</v>
      </c>
      <c r="D227" s="243">
        <v>5000000</v>
      </c>
      <c r="E227" s="243"/>
      <c r="F227" s="243"/>
      <c r="G227" s="243"/>
      <c r="H227" s="245">
        <f t="shared" si="10"/>
        <v>13000000</v>
      </c>
      <c r="I227" s="283" t="s">
        <v>391</v>
      </c>
      <c r="J227" s="283"/>
      <c r="K227" s="109">
        <v>2</v>
      </c>
      <c r="L227" s="153">
        <v>2</v>
      </c>
      <c r="M227" s="283" t="s">
        <v>472</v>
      </c>
      <c r="N227" s="109">
        <v>52</v>
      </c>
      <c r="O227" s="282">
        <v>50</v>
      </c>
      <c r="P227" s="140"/>
    </row>
    <row r="228" spans="1:16" ht="67.5">
      <c r="A228" s="262" t="s">
        <v>339</v>
      </c>
      <c r="B228" s="243" t="s">
        <v>369</v>
      </c>
      <c r="C228" s="243">
        <v>25000000</v>
      </c>
      <c r="D228" s="243">
        <v>1000000</v>
      </c>
      <c r="E228" s="243"/>
      <c r="F228" s="243"/>
      <c r="G228" s="243"/>
      <c r="H228" s="245">
        <f t="shared" si="10"/>
        <v>26000000</v>
      </c>
      <c r="I228" s="283" t="s">
        <v>392</v>
      </c>
      <c r="J228" s="283"/>
      <c r="K228" s="109">
        <v>300</v>
      </c>
      <c r="L228" s="153">
        <v>300</v>
      </c>
      <c r="M228" s="283" t="s">
        <v>473</v>
      </c>
      <c r="N228" s="109"/>
      <c r="O228" s="153"/>
      <c r="P228" s="140"/>
    </row>
    <row r="229" spans="1:16" ht="56.25">
      <c r="A229" s="262" t="s">
        <v>340</v>
      </c>
      <c r="B229" s="243" t="s">
        <v>603</v>
      </c>
      <c r="C229" s="243">
        <v>12000000</v>
      </c>
      <c r="D229" s="243"/>
      <c r="E229" s="243"/>
      <c r="F229" s="243"/>
      <c r="G229" s="243"/>
      <c r="H229" s="245">
        <f t="shared" si="10"/>
        <v>12000000</v>
      </c>
      <c r="I229" s="283" t="s">
        <v>393</v>
      </c>
      <c r="J229" s="283"/>
      <c r="K229" s="109">
        <v>250</v>
      </c>
      <c r="L229" s="153">
        <v>250</v>
      </c>
      <c r="M229" s="283" t="s">
        <v>474</v>
      </c>
      <c r="N229" s="109"/>
      <c r="O229" s="153"/>
      <c r="P229" s="140"/>
    </row>
    <row r="230" spans="1:16" ht="56.25">
      <c r="A230" s="262">
        <v>106</v>
      </c>
      <c r="B230" s="243" t="s">
        <v>604</v>
      </c>
      <c r="C230" s="243">
        <v>22000000</v>
      </c>
      <c r="D230" s="243"/>
      <c r="E230" s="243"/>
      <c r="F230" s="243"/>
      <c r="G230" s="243"/>
      <c r="H230" s="245">
        <f t="shared" si="10"/>
        <v>22000000</v>
      </c>
      <c r="I230" s="283" t="s">
        <v>393</v>
      </c>
      <c r="J230" s="283"/>
      <c r="K230" s="109">
        <v>250</v>
      </c>
      <c r="L230" s="153">
        <v>250</v>
      </c>
      <c r="M230" s="283" t="s">
        <v>474</v>
      </c>
      <c r="N230" s="109"/>
      <c r="O230" s="153"/>
      <c r="P230" s="140"/>
    </row>
    <row r="231" spans="1:16">
      <c r="A231" s="262"/>
      <c r="B231" s="243"/>
      <c r="C231" s="243"/>
      <c r="D231" s="243"/>
      <c r="E231" s="243"/>
      <c r="F231" s="243"/>
      <c r="G231" s="243"/>
      <c r="H231" s="245"/>
      <c r="I231" s="283"/>
      <c r="J231" s="283"/>
      <c r="K231" s="109"/>
      <c r="L231" s="153"/>
      <c r="M231" s="283"/>
      <c r="N231" s="109"/>
      <c r="O231" s="153"/>
      <c r="P231" s="140"/>
    </row>
    <row r="232" spans="1:16" s="110" customFormat="1" ht="21.95" customHeight="1">
      <c r="A232" s="262" t="s">
        <v>173</v>
      </c>
      <c r="B232" s="284" t="s">
        <v>62</v>
      </c>
      <c r="C232" s="243"/>
      <c r="D232" s="245"/>
      <c r="E232" s="245"/>
      <c r="F232" s="243"/>
      <c r="G232" s="245"/>
      <c r="H232" s="245">
        <f>SUM(C232:G232)</f>
        <v>0</v>
      </c>
      <c r="I232" s="283"/>
      <c r="J232" s="283"/>
      <c r="K232" s="109"/>
      <c r="L232" s="153"/>
      <c r="M232" s="283"/>
      <c r="N232" s="109"/>
      <c r="O232" s="153"/>
      <c r="P232" s="140"/>
    </row>
    <row r="233" spans="1:16" s="110" customFormat="1" ht="22.5">
      <c r="A233" s="262" t="s">
        <v>330</v>
      </c>
      <c r="B233" s="286" t="s">
        <v>447</v>
      </c>
      <c r="C233" s="243">
        <v>3267354</v>
      </c>
      <c r="D233" s="245"/>
      <c r="E233" s="245"/>
      <c r="F233" s="245"/>
      <c r="G233" s="245"/>
      <c r="H233" s="245">
        <f>SUM(C233:G233)</f>
        <v>3267354</v>
      </c>
      <c r="I233" s="283"/>
      <c r="J233" s="283"/>
      <c r="K233" s="109"/>
      <c r="L233" s="153"/>
      <c r="M233" s="283"/>
      <c r="N233" s="109"/>
      <c r="O233" s="153"/>
      <c r="P233" s="140"/>
    </row>
    <row r="234" spans="1:16" s="110" customFormat="1" ht="33.75">
      <c r="A234" s="262" t="s">
        <v>343</v>
      </c>
      <c r="B234" s="286" t="s">
        <v>370</v>
      </c>
      <c r="C234" s="243"/>
      <c r="D234" s="245"/>
      <c r="E234" s="245"/>
      <c r="F234" s="245"/>
      <c r="G234" s="245"/>
      <c r="H234" s="245">
        <f>SUM(C234:G234)</f>
        <v>0</v>
      </c>
      <c r="I234" s="283" t="s">
        <v>394</v>
      </c>
      <c r="J234" s="283"/>
      <c r="K234" s="109">
        <v>700</v>
      </c>
      <c r="L234" s="153">
        <v>700</v>
      </c>
      <c r="M234" s="283" t="s">
        <v>475</v>
      </c>
      <c r="N234" s="109"/>
      <c r="O234" s="153"/>
      <c r="P234" s="140"/>
    </row>
    <row r="235" spans="1:16" s="110" customFormat="1">
      <c r="A235" s="262"/>
      <c r="B235" s="286"/>
      <c r="C235" s="243"/>
      <c r="D235" s="245"/>
      <c r="E235" s="245"/>
      <c r="F235" s="245"/>
      <c r="G235" s="245"/>
      <c r="H235" s="245"/>
      <c r="I235" s="283"/>
      <c r="J235" s="283"/>
      <c r="K235" s="109"/>
      <c r="L235" s="153"/>
      <c r="M235" s="283"/>
      <c r="N235" s="109"/>
      <c r="O235" s="153"/>
      <c r="P235" s="140"/>
    </row>
    <row r="236" spans="1:16" s="110" customFormat="1">
      <c r="A236" s="263" t="s">
        <v>174</v>
      </c>
      <c r="B236" s="284" t="s">
        <v>0</v>
      </c>
      <c r="C236" s="243"/>
      <c r="D236" s="243"/>
      <c r="E236" s="245"/>
      <c r="F236" s="245"/>
      <c r="G236" s="245"/>
      <c r="H236" s="245">
        <f>SUM(C236:G236)</f>
        <v>0</v>
      </c>
      <c r="I236" s="283"/>
      <c r="J236" s="283"/>
      <c r="K236" s="109"/>
      <c r="L236" s="153"/>
      <c r="M236" s="283"/>
      <c r="N236" s="109"/>
      <c r="O236" s="153"/>
      <c r="P236" s="140"/>
    </row>
    <row r="237" spans="1:16" s="110" customFormat="1" ht="45">
      <c r="A237" s="262" t="s">
        <v>331</v>
      </c>
      <c r="B237" s="288" t="s">
        <v>371</v>
      </c>
      <c r="C237" s="243">
        <v>2000000</v>
      </c>
      <c r="D237" s="243"/>
      <c r="E237" s="245"/>
      <c r="F237" s="243"/>
      <c r="G237" s="245"/>
      <c r="H237" s="245">
        <f>SUM(C237:G237)</f>
        <v>2000000</v>
      </c>
      <c r="I237" s="283" t="s">
        <v>395</v>
      </c>
      <c r="J237" s="283"/>
      <c r="K237" s="109">
        <v>130</v>
      </c>
      <c r="L237" s="153">
        <v>130</v>
      </c>
      <c r="M237" s="283" t="s">
        <v>476</v>
      </c>
      <c r="N237" s="109"/>
      <c r="O237" s="153"/>
      <c r="P237" s="140"/>
    </row>
    <row r="238" spans="1:16" s="110" customFormat="1" ht="23.25" thickBot="1">
      <c r="A238" s="336" t="s">
        <v>346</v>
      </c>
      <c r="B238" s="296" t="s">
        <v>372</v>
      </c>
      <c r="C238" s="258">
        <v>10000000</v>
      </c>
      <c r="D238" s="258">
        <v>5000000</v>
      </c>
      <c r="E238" s="252"/>
      <c r="F238" s="258"/>
      <c r="G238" s="252"/>
      <c r="H238" s="252">
        <f>SUM(C238:G238)</f>
        <v>15000000</v>
      </c>
      <c r="I238" s="297"/>
      <c r="J238" s="297"/>
      <c r="K238" s="175">
        <v>0</v>
      </c>
      <c r="L238" s="176">
        <v>0</v>
      </c>
      <c r="M238" s="297"/>
      <c r="N238" s="175"/>
      <c r="O238" s="176"/>
      <c r="P238" s="298"/>
    </row>
    <row r="239" spans="1:16" ht="12" thickBot="1">
      <c r="A239" s="196" t="s">
        <v>116</v>
      </c>
      <c r="B239" s="246"/>
      <c r="C239" s="246">
        <f t="shared" ref="C239:H239" si="11">SUM(C224:C238)</f>
        <v>114914354</v>
      </c>
      <c r="D239" s="246">
        <f t="shared" si="11"/>
        <v>11000000</v>
      </c>
      <c r="E239" s="246">
        <f t="shared" si="11"/>
        <v>0</v>
      </c>
      <c r="F239" s="246">
        <f t="shared" si="11"/>
        <v>0</v>
      </c>
      <c r="G239" s="246">
        <f t="shared" si="11"/>
        <v>0</v>
      </c>
      <c r="H239" s="246">
        <f t="shared" si="11"/>
        <v>125914354</v>
      </c>
      <c r="I239" s="144"/>
      <c r="J239" s="144"/>
      <c r="K239" s="144"/>
      <c r="L239" s="144"/>
      <c r="M239" s="144"/>
      <c r="N239" s="144"/>
      <c r="O239" s="144"/>
      <c r="P239" s="144"/>
    </row>
    <row r="240" spans="1:16" s="94" customFormat="1">
      <c r="A240" s="247"/>
      <c r="B240" s="121"/>
      <c r="C240" s="423">
        <f>+E64</f>
        <v>114914354</v>
      </c>
      <c r="D240" s="121"/>
      <c r="E240" s="121"/>
      <c r="F240" s="121"/>
      <c r="G240" s="121"/>
      <c r="H240" s="121"/>
      <c r="I240" s="268"/>
      <c r="J240" s="268"/>
      <c r="K240" s="268"/>
      <c r="L240" s="268"/>
      <c r="M240" s="268"/>
      <c r="N240" s="268"/>
      <c r="O240" s="268"/>
      <c r="P240" s="268"/>
    </row>
    <row r="241" spans="1:16" s="94" customFormat="1">
      <c r="A241" s="247"/>
      <c r="B241" s="121"/>
      <c r="C241" s="423">
        <f>+C240-C239</f>
        <v>0</v>
      </c>
      <c r="D241" s="121"/>
      <c r="E241" s="121"/>
      <c r="F241" s="121"/>
      <c r="G241" s="121"/>
      <c r="H241" s="121"/>
      <c r="I241" s="268"/>
      <c r="J241" s="268"/>
      <c r="K241" s="268"/>
      <c r="L241" s="268"/>
      <c r="M241" s="268"/>
      <c r="N241" s="268"/>
      <c r="O241" s="268"/>
      <c r="P241" s="268"/>
    </row>
    <row r="242" spans="1:16" s="94" customFormat="1" ht="12" thickBot="1">
      <c r="A242" s="247"/>
      <c r="B242" s="121"/>
      <c r="C242" s="121"/>
      <c r="D242" s="121"/>
      <c r="E242" s="121"/>
      <c r="F242" s="121"/>
      <c r="G242" s="121"/>
      <c r="H242" s="121"/>
      <c r="I242" s="268"/>
      <c r="J242" s="268"/>
      <c r="K242" s="268"/>
      <c r="L242" s="268"/>
      <c r="M242" s="268"/>
      <c r="N242" s="268"/>
      <c r="O242" s="268"/>
      <c r="P242" s="268"/>
    </row>
    <row r="243" spans="1:16" s="379" customFormat="1" ht="33.950000000000003" customHeight="1">
      <c r="A243" s="565">
        <v>2</v>
      </c>
      <c r="B243" s="568" t="s">
        <v>625</v>
      </c>
      <c r="C243" s="380" t="s">
        <v>411</v>
      </c>
      <c r="D243" s="381" t="s">
        <v>412</v>
      </c>
      <c r="E243" s="382" t="s">
        <v>94</v>
      </c>
      <c r="F243" s="381" t="s">
        <v>350</v>
      </c>
      <c r="G243" s="382" t="s">
        <v>125</v>
      </c>
      <c r="H243" s="549" t="s">
        <v>116</v>
      </c>
      <c r="I243" s="571" t="s">
        <v>199</v>
      </c>
      <c r="J243" s="571"/>
      <c r="K243" s="571"/>
      <c r="L243" s="572"/>
      <c r="M243" s="577" t="s">
        <v>200</v>
      </c>
      <c r="N243" s="571"/>
      <c r="O243" s="572"/>
      <c r="P243" s="383" t="s">
        <v>198</v>
      </c>
    </row>
    <row r="244" spans="1:16" s="379" customFormat="1" ht="12" customHeight="1" thickBot="1">
      <c r="A244" s="566"/>
      <c r="B244" s="569"/>
      <c r="C244" s="384" t="s">
        <v>319</v>
      </c>
      <c r="D244" s="385" t="s">
        <v>320</v>
      </c>
      <c r="E244" s="385" t="s">
        <v>321</v>
      </c>
      <c r="F244" s="385" t="s">
        <v>322</v>
      </c>
      <c r="G244" s="385" t="s">
        <v>323</v>
      </c>
      <c r="H244" s="550"/>
      <c r="I244" s="386" t="s">
        <v>195</v>
      </c>
      <c r="J244" s="386"/>
      <c r="K244" s="387" t="s">
        <v>428</v>
      </c>
      <c r="L244" s="388" t="s">
        <v>429</v>
      </c>
      <c r="M244" s="387" t="s">
        <v>195</v>
      </c>
      <c r="N244" s="387" t="s">
        <v>428</v>
      </c>
      <c r="O244" s="388" t="s">
        <v>429</v>
      </c>
      <c r="P244" s="389"/>
    </row>
    <row r="245" spans="1:16" s="379" customFormat="1" ht="12" customHeight="1" thickBot="1">
      <c r="A245" s="567"/>
      <c r="B245" s="570"/>
      <c r="C245" s="390" t="s">
        <v>148</v>
      </c>
      <c r="D245" s="391" t="s">
        <v>149</v>
      </c>
      <c r="E245" s="391" t="s">
        <v>619</v>
      </c>
      <c r="F245" s="391" t="s">
        <v>129</v>
      </c>
      <c r="G245" s="391" t="s">
        <v>324</v>
      </c>
      <c r="H245" s="551"/>
      <c r="I245" s="392"/>
      <c r="J245" s="392"/>
      <c r="K245" s="393"/>
      <c r="L245" s="394"/>
      <c r="M245" s="393"/>
      <c r="N245" s="393"/>
      <c r="O245" s="395"/>
      <c r="P245" s="396"/>
    </row>
    <row r="246" spans="1:16" ht="23.25" thickBot="1">
      <c r="A246" s="196"/>
      <c r="B246" s="324" t="s">
        <v>171</v>
      </c>
      <c r="C246" s="327"/>
      <c r="D246" s="123">
        <f>SUM(D248:D249)</f>
        <v>26000000</v>
      </c>
      <c r="E246" s="123">
        <f>SUM(E248:E249)</f>
        <v>3000000</v>
      </c>
      <c r="F246" s="123">
        <f>SUM(F248:F249)</f>
        <v>0</v>
      </c>
      <c r="G246" s="123">
        <f>SUM(G248:G249)</f>
        <v>0</v>
      </c>
      <c r="H246" s="123">
        <f>SUM(H248:H249)</f>
        <v>45780115</v>
      </c>
      <c r="I246" s="133"/>
      <c r="J246" s="133"/>
      <c r="K246" s="133"/>
      <c r="L246" s="134"/>
      <c r="M246" s="133"/>
      <c r="N246" s="133"/>
      <c r="O246" s="135"/>
      <c r="P246" s="136"/>
    </row>
    <row r="247" spans="1:16" ht="12" thickBot="1">
      <c r="A247" s="326">
        <v>4</v>
      </c>
      <c r="B247" s="248" t="s">
        <v>1</v>
      </c>
      <c r="C247" s="7"/>
      <c r="D247" s="333"/>
      <c r="E247" s="328"/>
      <c r="F247" s="328"/>
      <c r="G247" s="328"/>
      <c r="H247" s="328"/>
      <c r="I247" s="329"/>
      <c r="J247" s="329"/>
      <c r="K247" s="330"/>
      <c r="L247" s="331"/>
      <c r="M247" s="330"/>
      <c r="N247" s="330"/>
      <c r="O247" s="331"/>
      <c r="P247" s="149"/>
    </row>
    <row r="248" spans="1:16" ht="45">
      <c r="A248" s="325">
        <v>401</v>
      </c>
      <c r="B248" s="112" t="s">
        <v>229</v>
      </c>
      <c r="C248" s="250">
        <v>16780115</v>
      </c>
      <c r="D248" s="244">
        <v>26000000</v>
      </c>
      <c r="E248" s="244">
        <v>3000000</v>
      </c>
      <c r="F248" s="244"/>
      <c r="G248" s="244"/>
      <c r="H248" s="242">
        <f>SUM(C248:G248)</f>
        <v>45780115</v>
      </c>
      <c r="I248" s="113" t="s">
        <v>224</v>
      </c>
      <c r="J248" s="504"/>
      <c r="K248" s="114">
        <v>1085</v>
      </c>
      <c r="L248" s="114">
        <v>1085</v>
      </c>
      <c r="M248" s="114" t="s">
        <v>477</v>
      </c>
      <c r="N248" s="114"/>
      <c r="O248" s="114"/>
      <c r="P248" s="145" t="s">
        <v>202</v>
      </c>
    </row>
    <row r="249" spans="1:16" ht="34.5" thickBot="1">
      <c r="A249" s="325">
        <v>401</v>
      </c>
      <c r="B249" s="115" t="s">
        <v>230</v>
      </c>
      <c r="C249" s="244"/>
      <c r="D249" s="244"/>
      <c r="E249" s="244"/>
      <c r="F249" s="244"/>
      <c r="G249" s="244"/>
      <c r="H249" s="242">
        <f>SUM(C249:G249)</f>
        <v>0</v>
      </c>
      <c r="I249" s="116" t="s">
        <v>225</v>
      </c>
      <c r="J249" s="505"/>
      <c r="K249" s="117">
        <v>7</v>
      </c>
      <c r="L249" s="117">
        <v>7</v>
      </c>
      <c r="M249" s="117" t="s">
        <v>478</v>
      </c>
      <c r="N249" s="117"/>
      <c r="O249" s="117"/>
      <c r="P249" s="146" t="s">
        <v>250</v>
      </c>
    </row>
    <row r="250" spans="1:16" ht="12" thickBot="1">
      <c r="A250" s="337" t="s">
        <v>116</v>
      </c>
      <c r="B250" s="246"/>
      <c r="C250" s="120">
        <f t="shared" ref="C250:H250" si="12">SUM(C248:C249)</f>
        <v>16780115</v>
      </c>
      <c r="D250" s="120">
        <f t="shared" si="12"/>
        <v>26000000</v>
      </c>
      <c r="E250" s="120">
        <f t="shared" si="12"/>
        <v>3000000</v>
      </c>
      <c r="F250" s="120">
        <f t="shared" si="12"/>
        <v>0</v>
      </c>
      <c r="G250" s="120">
        <f t="shared" si="12"/>
        <v>0</v>
      </c>
      <c r="H250" s="120">
        <f t="shared" si="12"/>
        <v>45780115</v>
      </c>
      <c r="I250" s="142"/>
      <c r="J250" s="143"/>
      <c r="K250" s="143"/>
      <c r="L250" s="144"/>
      <c r="M250" s="142"/>
      <c r="N250" s="143"/>
      <c r="O250" s="144"/>
      <c r="P250" s="144"/>
    </row>
    <row r="251" spans="1:16" s="94" customFormat="1">
      <c r="A251" s="247"/>
      <c r="B251" s="248"/>
      <c r="C251" s="423">
        <f>+E67</f>
        <v>16780115</v>
      </c>
      <c r="D251" s="249"/>
      <c r="E251" s="249"/>
      <c r="F251" s="249"/>
      <c r="G251" s="249"/>
      <c r="H251" s="210"/>
      <c r="I251" s="147"/>
      <c r="J251" s="147"/>
      <c r="K251" s="147"/>
      <c r="L251" s="147"/>
      <c r="M251" s="147"/>
      <c r="N251" s="147"/>
      <c r="O251" s="147"/>
      <c r="P251" s="147"/>
    </row>
    <row r="252" spans="1:16" s="94" customFormat="1">
      <c r="A252" s="247"/>
      <c r="B252" s="248"/>
      <c r="C252" s="424">
        <f>+C251-C250</f>
        <v>0</v>
      </c>
      <c r="D252" s="249"/>
      <c r="E252" s="249"/>
      <c r="F252" s="249"/>
      <c r="G252" s="249"/>
      <c r="H252" s="210"/>
      <c r="I252" s="147"/>
      <c r="J252" s="147"/>
      <c r="K252" s="147"/>
      <c r="L252" s="147"/>
      <c r="M252" s="147"/>
      <c r="N252" s="147"/>
      <c r="O252" s="147"/>
      <c r="P252" s="147"/>
    </row>
    <row r="253" spans="1:16" s="94" customFormat="1" ht="12" thickBot="1">
      <c r="A253" s="247"/>
      <c r="B253" s="248"/>
      <c r="C253" s="249"/>
      <c r="D253" s="249"/>
      <c r="E253" s="249"/>
      <c r="F253" s="249"/>
      <c r="G253" s="249"/>
      <c r="H253" s="210"/>
      <c r="I253" s="147"/>
      <c r="J253" s="147"/>
      <c r="K253" s="147"/>
      <c r="L253" s="147"/>
      <c r="M253" s="147"/>
      <c r="N253" s="147"/>
      <c r="O253" s="147"/>
      <c r="P253" s="147"/>
    </row>
    <row r="254" spans="1:16" s="368" customFormat="1" ht="33.950000000000003" customHeight="1">
      <c r="A254" s="555" t="s">
        <v>174</v>
      </c>
      <c r="B254" s="543" t="s">
        <v>228</v>
      </c>
      <c r="C254" s="361" t="s">
        <v>130</v>
      </c>
      <c r="D254" s="342" t="s">
        <v>186</v>
      </c>
      <c r="E254" s="397" t="s">
        <v>94</v>
      </c>
      <c r="F254" s="342" t="s">
        <v>350</v>
      </c>
      <c r="G254" s="397" t="s">
        <v>125</v>
      </c>
      <c r="H254" s="519" t="s">
        <v>116</v>
      </c>
      <c r="I254" s="559" t="s">
        <v>199</v>
      </c>
      <c r="J254" s="559"/>
      <c r="K254" s="560"/>
      <c r="L254" s="560"/>
      <c r="M254" s="560" t="s">
        <v>200</v>
      </c>
      <c r="N254" s="560"/>
      <c r="O254" s="560"/>
      <c r="P254" s="320" t="s">
        <v>198</v>
      </c>
    </row>
    <row r="255" spans="1:16" s="368" customFormat="1" ht="12" customHeight="1">
      <c r="A255" s="531"/>
      <c r="B255" s="544"/>
      <c r="C255" s="398" t="s">
        <v>319</v>
      </c>
      <c r="D255" s="340" t="s">
        <v>320</v>
      </c>
      <c r="E255" s="340" t="s">
        <v>321</v>
      </c>
      <c r="F255" s="340" t="s">
        <v>322</v>
      </c>
      <c r="G255" s="340" t="s">
        <v>323</v>
      </c>
      <c r="H255" s="520"/>
      <c r="I255" s="370" t="s">
        <v>195</v>
      </c>
      <c r="J255" s="370"/>
      <c r="K255" s="371" t="s">
        <v>196</v>
      </c>
      <c r="L255" s="371" t="s">
        <v>197</v>
      </c>
      <c r="M255" s="371" t="s">
        <v>195</v>
      </c>
      <c r="N255" s="371" t="s">
        <v>196</v>
      </c>
      <c r="O255" s="371" t="s">
        <v>197</v>
      </c>
      <c r="P255" s="399"/>
    </row>
    <row r="256" spans="1:16" s="368" customFormat="1" ht="12" customHeight="1" thickBot="1">
      <c r="A256" s="532"/>
      <c r="B256" s="545"/>
      <c r="C256" s="400" t="s">
        <v>148</v>
      </c>
      <c r="D256" s="401" t="s">
        <v>149</v>
      </c>
      <c r="E256" s="401" t="s">
        <v>619</v>
      </c>
      <c r="F256" s="401" t="s">
        <v>129</v>
      </c>
      <c r="G256" s="401" t="s">
        <v>324</v>
      </c>
      <c r="H256" s="521"/>
      <c r="I256" s="402"/>
      <c r="J256" s="402"/>
      <c r="K256" s="403"/>
      <c r="L256" s="403"/>
      <c r="M256" s="403"/>
      <c r="N256" s="403"/>
      <c r="O256" s="403"/>
      <c r="P256" s="399"/>
    </row>
    <row r="257" spans="1:16" ht="23.25" thickBot="1">
      <c r="A257" s="196" t="s">
        <v>114</v>
      </c>
      <c r="B257" s="108" t="s">
        <v>171</v>
      </c>
      <c r="C257" s="123"/>
      <c r="D257" s="123" t="s">
        <v>115</v>
      </c>
      <c r="E257" s="123" t="s">
        <v>115</v>
      </c>
      <c r="F257" s="123" t="s">
        <v>115</v>
      </c>
      <c r="G257" s="123"/>
      <c r="H257" s="367"/>
      <c r="I257" s="157"/>
      <c r="J257" s="506"/>
      <c r="K257" s="150"/>
      <c r="L257" s="150"/>
      <c r="M257" s="150"/>
      <c r="N257" s="150"/>
      <c r="O257" s="150"/>
      <c r="P257" s="158"/>
    </row>
    <row r="258" spans="1:16">
      <c r="A258" s="306"/>
      <c r="B258" s="307"/>
      <c r="C258" s="308"/>
      <c r="D258" s="308"/>
      <c r="E258" s="308"/>
      <c r="F258" s="308"/>
      <c r="G258" s="308"/>
      <c r="H258" s="255"/>
      <c r="I258" s="113"/>
      <c r="J258" s="504"/>
      <c r="K258" s="114"/>
      <c r="L258" s="114"/>
      <c r="M258" s="114"/>
      <c r="N258" s="114"/>
      <c r="O258" s="114"/>
      <c r="P258" s="152"/>
    </row>
    <row r="259" spans="1:16" ht="22.5">
      <c r="A259" s="338" t="s">
        <v>172</v>
      </c>
      <c r="B259" s="332" t="s">
        <v>61</v>
      </c>
      <c r="C259" s="7"/>
      <c r="D259" s="258"/>
      <c r="E259" s="258"/>
      <c r="F259" s="258"/>
      <c r="G259" s="258"/>
      <c r="H259" s="259">
        <f>SUM(B259:G259)</f>
        <v>0</v>
      </c>
      <c r="I259" s="119"/>
      <c r="J259" s="283"/>
      <c r="K259" s="109"/>
      <c r="L259" s="109"/>
      <c r="M259" s="109"/>
      <c r="N259" s="109"/>
      <c r="O259" s="109"/>
      <c r="P259" s="153"/>
    </row>
    <row r="260" spans="1:16" ht="22.5">
      <c r="A260" s="336" t="s">
        <v>329</v>
      </c>
      <c r="B260" s="296" t="s">
        <v>252</v>
      </c>
      <c r="C260" s="258"/>
      <c r="D260" s="258"/>
      <c r="E260" s="258"/>
      <c r="F260" s="258"/>
      <c r="G260" s="258"/>
      <c r="H260" s="259">
        <f>SUM(C260:G260)</f>
        <v>0</v>
      </c>
      <c r="I260" s="119"/>
      <c r="J260" s="283"/>
      <c r="K260" s="109"/>
      <c r="L260" s="109"/>
      <c r="M260" s="109"/>
      <c r="N260" s="109"/>
      <c r="O260" s="109"/>
      <c r="P260" s="153" t="s">
        <v>202</v>
      </c>
    </row>
    <row r="261" spans="1:16" ht="45">
      <c r="A261" s="336" t="s">
        <v>337</v>
      </c>
      <c r="B261" s="286" t="s">
        <v>234</v>
      </c>
      <c r="C261" s="243"/>
      <c r="D261" s="243"/>
      <c r="E261" s="243"/>
      <c r="F261" s="243"/>
      <c r="G261" s="243"/>
      <c r="H261" s="259">
        <f>SUM(C261:G261)</f>
        <v>0</v>
      </c>
      <c r="I261" s="119"/>
      <c r="J261" s="283"/>
      <c r="K261" s="109"/>
      <c r="L261" s="109"/>
      <c r="M261" s="109" t="s">
        <v>226</v>
      </c>
      <c r="N261" s="109">
        <f>12*15</f>
        <v>180</v>
      </c>
      <c r="O261" s="109">
        <f>12*15</f>
        <v>180</v>
      </c>
      <c r="P261" s="153" t="s">
        <v>253</v>
      </c>
    </row>
    <row r="262" spans="1:16" ht="57" thickBot="1">
      <c r="A262" s="313" t="s">
        <v>338</v>
      </c>
      <c r="B262" s="309" t="s">
        <v>235</v>
      </c>
      <c r="C262" s="304"/>
      <c r="D262" s="304"/>
      <c r="E262" s="304"/>
      <c r="F262" s="304"/>
      <c r="G262" s="304"/>
      <c r="H262" s="357">
        <f>SUM(C262:G262)</f>
        <v>0</v>
      </c>
      <c r="I262" s="119" t="s">
        <v>259</v>
      </c>
      <c r="J262" s="283"/>
      <c r="K262" s="109">
        <v>0</v>
      </c>
      <c r="L262" s="109">
        <v>12</v>
      </c>
      <c r="M262" s="109"/>
      <c r="N262" s="109"/>
      <c r="O262" s="109"/>
      <c r="P262" s="153" t="s">
        <v>254</v>
      </c>
    </row>
    <row r="263" spans="1:16" ht="12" thickBot="1">
      <c r="A263" s="337" t="s">
        <v>116</v>
      </c>
      <c r="B263" s="246"/>
      <c r="C263" s="120">
        <f t="shared" ref="C263:H263" si="13">SUM(C258:C262)</f>
        <v>0</v>
      </c>
      <c r="D263" s="120">
        <f t="shared" si="13"/>
        <v>0</v>
      </c>
      <c r="E263" s="120">
        <f t="shared" si="13"/>
        <v>0</v>
      </c>
      <c r="F263" s="120">
        <f t="shared" si="13"/>
        <v>0</v>
      </c>
      <c r="G263" s="120">
        <f t="shared" si="13"/>
        <v>0</v>
      </c>
      <c r="H263" s="120">
        <f t="shared" si="13"/>
        <v>0</v>
      </c>
      <c r="I263" s="132"/>
      <c r="J263" s="132"/>
      <c r="K263" s="132"/>
      <c r="L263" s="132"/>
      <c r="M263" s="132"/>
      <c r="N263" s="132"/>
      <c r="O263" s="132"/>
      <c r="P263" s="155"/>
    </row>
    <row r="264" spans="1:16" hidden="1">
      <c r="A264" s="247"/>
      <c r="B264" s="121"/>
      <c r="C264" s="121"/>
      <c r="D264" s="121"/>
      <c r="E264" s="121"/>
      <c r="F264" s="121"/>
      <c r="G264" s="121"/>
      <c r="H264" s="121"/>
      <c r="I264" s="268"/>
      <c r="J264" s="268"/>
      <c r="K264" s="268"/>
      <c r="L264" s="268"/>
      <c r="M264" s="268"/>
      <c r="N264" s="268"/>
      <c r="O264" s="268"/>
      <c r="P264" s="268"/>
    </row>
    <row r="265" spans="1:16" hidden="1">
      <c r="A265" s="247"/>
      <c r="B265" s="248"/>
      <c r="C265" s="249"/>
      <c r="D265" s="249"/>
      <c r="E265" s="249"/>
      <c r="F265" s="249"/>
      <c r="G265" s="249"/>
      <c r="H265" s="210"/>
      <c r="I265" s="156"/>
      <c r="J265" s="156"/>
      <c r="K265" s="156"/>
      <c r="L265" s="156"/>
      <c r="M265" s="156"/>
      <c r="N265" s="156"/>
      <c r="O265" s="156"/>
      <c r="P265" s="156"/>
    </row>
    <row r="266" spans="1:16">
      <c r="A266" s="247"/>
      <c r="B266" s="248"/>
      <c r="C266" s="249"/>
      <c r="D266" s="249"/>
      <c r="E266" s="249"/>
      <c r="F266" s="249"/>
      <c r="G266" s="249"/>
      <c r="H266" s="210"/>
      <c r="I266" s="156"/>
      <c r="J266" s="156"/>
      <c r="K266" s="156"/>
      <c r="L266" s="156"/>
      <c r="M266" s="156"/>
      <c r="N266" s="156"/>
      <c r="O266" s="156"/>
      <c r="P266" s="156"/>
    </row>
    <row r="267" spans="1:16" ht="12" thickBot="1">
      <c r="A267" s="247"/>
      <c r="B267" s="248"/>
      <c r="C267" s="249"/>
      <c r="D267" s="249"/>
      <c r="E267" s="249"/>
      <c r="F267" s="249"/>
      <c r="G267" s="249"/>
      <c r="H267" s="210"/>
      <c r="I267" s="147"/>
      <c r="J267" s="147"/>
      <c r="K267" s="148"/>
      <c r="L267" s="147"/>
      <c r="M267" s="147"/>
      <c r="N267" s="147"/>
      <c r="O267" s="147"/>
      <c r="P267" s="147"/>
    </row>
    <row r="268" spans="1:16" s="368" customFormat="1" ht="33.950000000000003" customHeight="1">
      <c r="A268" s="555">
        <v>2</v>
      </c>
      <c r="B268" s="543" t="s">
        <v>213</v>
      </c>
      <c r="C268" s="361" t="s">
        <v>411</v>
      </c>
      <c r="D268" s="342" t="s">
        <v>412</v>
      </c>
      <c r="E268" s="397" t="s">
        <v>94</v>
      </c>
      <c r="F268" s="342" t="s">
        <v>350</v>
      </c>
      <c r="G268" s="397" t="s">
        <v>125</v>
      </c>
      <c r="H268" s="519" t="s">
        <v>116</v>
      </c>
      <c r="I268" s="562" t="s">
        <v>199</v>
      </c>
      <c r="J268" s="562"/>
      <c r="K268" s="562"/>
      <c r="L268" s="563"/>
      <c r="M268" s="576" t="s">
        <v>200</v>
      </c>
      <c r="N268" s="562"/>
      <c r="O268" s="563"/>
      <c r="P268" s="404" t="s">
        <v>198</v>
      </c>
    </row>
    <row r="269" spans="1:16" s="368" customFormat="1" ht="12" customHeight="1">
      <c r="A269" s="531"/>
      <c r="B269" s="544"/>
      <c r="C269" s="398" t="s">
        <v>24</v>
      </c>
      <c r="D269" s="340" t="s">
        <v>24</v>
      </c>
      <c r="E269" s="340" t="s">
        <v>24</v>
      </c>
      <c r="F269" s="340" t="s">
        <v>24</v>
      </c>
      <c r="G269" s="340" t="s">
        <v>24</v>
      </c>
      <c r="H269" s="520"/>
      <c r="I269" s="370" t="s">
        <v>195</v>
      </c>
      <c r="J269" s="370"/>
      <c r="K269" s="371" t="s">
        <v>196</v>
      </c>
      <c r="L269" s="371" t="s">
        <v>197</v>
      </c>
      <c r="M269" s="371" t="s">
        <v>195</v>
      </c>
      <c r="N269" s="371" t="s">
        <v>196</v>
      </c>
      <c r="O269" s="371" t="s">
        <v>197</v>
      </c>
      <c r="P269" s="405"/>
    </row>
    <row r="270" spans="1:16" s="368" customFormat="1" ht="12" customHeight="1" thickBot="1">
      <c r="A270" s="532"/>
      <c r="B270" s="545"/>
      <c r="C270" s="400" t="s">
        <v>148</v>
      </c>
      <c r="D270" s="401" t="s">
        <v>149</v>
      </c>
      <c r="E270" s="401" t="s">
        <v>619</v>
      </c>
      <c r="F270" s="401" t="s">
        <v>129</v>
      </c>
      <c r="G270" s="401" t="s">
        <v>324</v>
      </c>
      <c r="H270" s="521"/>
      <c r="I270" s="402"/>
      <c r="J270" s="402"/>
      <c r="K270" s="403"/>
      <c r="L270" s="403"/>
      <c r="M270" s="403"/>
      <c r="N270" s="403"/>
      <c r="O270" s="403"/>
      <c r="P270" s="373"/>
    </row>
    <row r="271" spans="1:16" ht="23.25" thickBot="1">
      <c r="A271" s="196" t="s">
        <v>114</v>
      </c>
      <c r="B271" s="118" t="s">
        <v>171</v>
      </c>
      <c r="C271" s="123">
        <f t="shared" ref="C271:H271" si="14">SUM(C273:C286)</f>
        <v>569016021</v>
      </c>
      <c r="D271" s="123">
        <f t="shared" si="14"/>
        <v>62819769</v>
      </c>
      <c r="E271" s="123">
        <f t="shared" si="14"/>
        <v>136400000</v>
      </c>
      <c r="F271" s="123">
        <f t="shared" si="14"/>
        <v>0</v>
      </c>
      <c r="G271" s="123">
        <f t="shared" si="14"/>
        <v>500000</v>
      </c>
      <c r="H271" s="123">
        <f t="shared" si="14"/>
        <v>768735790</v>
      </c>
      <c r="I271" s="150"/>
      <c r="J271" s="150"/>
      <c r="K271" s="150"/>
      <c r="L271" s="150"/>
      <c r="M271" s="150"/>
      <c r="N271" s="150"/>
      <c r="O271" s="150"/>
      <c r="P271" s="151"/>
    </row>
    <row r="272" spans="1:16">
      <c r="A272" s="299"/>
      <c r="B272" s="300"/>
      <c r="C272" s="270"/>
      <c r="D272" s="271"/>
      <c r="E272" s="271"/>
      <c r="F272" s="271"/>
      <c r="G272" s="271"/>
      <c r="H272" s="272"/>
      <c r="I272" s="113"/>
      <c r="J272" s="504"/>
      <c r="K272" s="114"/>
      <c r="L272" s="114"/>
      <c r="M272" s="114"/>
      <c r="N272" s="114"/>
      <c r="O272" s="114"/>
      <c r="P272" s="152"/>
    </row>
    <row r="273" spans="1:16">
      <c r="A273" s="251">
        <v>1</v>
      </c>
      <c r="B273" s="332" t="s">
        <v>2</v>
      </c>
      <c r="C273" s="7"/>
      <c r="D273" s="245"/>
      <c r="E273" s="250"/>
      <c r="F273" s="242"/>
      <c r="G273" s="242"/>
      <c r="H273" s="128">
        <f>SUM(B273:G273)</f>
        <v>0</v>
      </c>
      <c r="I273" s="119"/>
      <c r="J273" s="283"/>
      <c r="K273" s="109"/>
      <c r="L273" s="109"/>
      <c r="M273" s="109"/>
      <c r="N273" s="109"/>
      <c r="O273" s="109"/>
      <c r="P273" s="153"/>
    </row>
    <row r="274" spans="1:16" ht="33.75">
      <c r="A274" s="262">
        <v>101</v>
      </c>
      <c r="B274" s="243" t="s">
        <v>13</v>
      </c>
      <c r="C274" s="351">
        <f>+C101</f>
        <v>547054416</v>
      </c>
      <c r="D274" s="91">
        <v>40819769</v>
      </c>
      <c r="E274" s="91"/>
      <c r="F274" s="91"/>
      <c r="G274" s="243"/>
      <c r="H274" s="128">
        <f t="shared" ref="H274:H286" si="15">SUM(C274:G274)</f>
        <v>587874185</v>
      </c>
      <c r="I274" s="119" t="s">
        <v>223</v>
      </c>
      <c r="J274" s="283"/>
      <c r="K274" s="109">
        <v>3400</v>
      </c>
      <c r="L274" s="109">
        <v>3400</v>
      </c>
      <c r="M274" s="109" t="s">
        <v>479</v>
      </c>
      <c r="N274" s="109">
        <v>0</v>
      </c>
      <c r="O274" s="109">
        <v>0</v>
      </c>
      <c r="P274" s="153"/>
    </row>
    <row r="275" spans="1:16" ht="33.75">
      <c r="A275" s="262">
        <v>101</v>
      </c>
      <c r="B275" s="243" t="s">
        <v>15</v>
      </c>
      <c r="C275" s="351"/>
      <c r="D275" s="91"/>
      <c r="E275" s="91">
        <v>6000000</v>
      </c>
      <c r="F275" s="91"/>
      <c r="G275" s="243"/>
      <c r="H275" s="128">
        <f>SUM(C275:G275)</f>
        <v>6000000</v>
      </c>
      <c r="I275" s="119" t="s">
        <v>223</v>
      </c>
      <c r="J275" s="283"/>
      <c r="K275" s="109">
        <v>3400</v>
      </c>
      <c r="L275" s="109">
        <v>3400</v>
      </c>
      <c r="M275" s="109" t="s">
        <v>479</v>
      </c>
      <c r="N275" s="109">
        <v>0</v>
      </c>
      <c r="O275" s="109">
        <v>0</v>
      </c>
      <c r="P275" s="153"/>
    </row>
    <row r="276" spans="1:16" ht="33.75">
      <c r="A276" s="262">
        <v>102</v>
      </c>
      <c r="B276" s="243" t="s">
        <v>14</v>
      </c>
      <c r="C276" s="351"/>
      <c r="D276" s="91"/>
      <c r="E276" s="91">
        <v>55000000</v>
      </c>
      <c r="F276" s="91"/>
      <c r="G276" s="243"/>
      <c r="H276" s="128">
        <f>SUM(C276:G276)</f>
        <v>55000000</v>
      </c>
      <c r="I276" s="119" t="s">
        <v>223</v>
      </c>
      <c r="J276" s="283"/>
      <c r="K276" s="109">
        <v>3400</v>
      </c>
      <c r="L276" s="109">
        <v>3400</v>
      </c>
      <c r="M276" s="109" t="s">
        <v>479</v>
      </c>
      <c r="N276" s="109">
        <v>0</v>
      </c>
      <c r="O276" s="109">
        <v>0</v>
      </c>
      <c r="P276" s="153"/>
    </row>
    <row r="277" spans="1:16" ht="33.75">
      <c r="A277" s="262">
        <v>103</v>
      </c>
      <c r="B277" s="243" t="s">
        <v>16</v>
      </c>
      <c r="C277" s="351"/>
      <c r="D277" s="91"/>
      <c r="E277" s="91">
        <v>75400000</v>
      </c>
      <c r="F277" s="91"/>
      <c r="G277" s="243"/>
      <c r="H277" s="128">
        <f t="shared" si="15"/>
        <v>75400000</v>
      </c>
      <c r="I277" s="119" t="s">
        <v>251</v>
      </c>
      <c r="J277" s="283"/>
      <c r="K277" s="109">
        <v>3400</v>
      </c>
      <c r="L277" s="109">
        <v>3400</v>
      </c>
      <c r="M277" s="109" t="s">
        <v>480</v>
      </c>
      <c r="N277" s="109"/>
      <c r="O277" s="109"/>
      <c r="P277" s="153"/>
    </row>
    <row r="278" spans="1:16" ht="33.75">
      <c r="A278" s="262">
        <v>104</v>
      </c>
      <c r="B278" s="243" t="s">
        <v>17</v>
      </c>
      <c r="C278" s="351"/>
      <c r="D278" s="91"/>
      <c r="E278" s="91"/>
      <c r="F278" s="91"/>
      <c r="G278" s="243">
        <f>+C107</f>
        <v>500000</v>
      </c>
      <c r="H278" s="128">
        <f>SUM(C278:G278)</f>
        <v>500000</v>
      </c>
      <c r="I278" s="119" t="s">
        <v>251</v>
      </c>
      <c r="J278" s="283"/>
      <c r="K278" s="109">
        <v>3400</v>
      </c>
      <c r="L278" s="109">
        <v>3400</v>
      </c>
      <c r="M278" s="109" t="s">
        <v>480</v>
      </c>
      <c r="N278" s="109"/>
      <c r="O278" s="109"/>
      <c r="P278" s="153"/>
    </row>
    <row r="279" spans="1:16" ht="22.5">
      <c r="A279" s="262">
        <v>105</v>
      </c>
      <c r="B279" s="243" t="s">
        <v>231</v>
      </c>
      <c r="C279" s="351"/>
      <c r="D279" s="91">
        <v>2000000</v>
      </c>
      <c r="E279" s="91"/>
      <c r="F279" s="91"/>
      <c r="G279" s="243"/>
      <c r="H279" s="128">
        <f t="shared" si="15"/>
        <v>2000000</v>
      </c>
      <c r="I279" s="119"/>
      <c r="J279" s="283"/>
      <c r="K279" s="109"/>
      <c r="L279" s="109"/>
      <c r="M279" s="109"/>
      <c r="N279" s="109"/>
      <c r="O279" s="109"/>
      <c r="P279" s="153"/>
    </row>
    <row r="280" spans="1:16">
      <c r="A280" s="262">
        <v>106</v>
      </c>
      <c r="B280" s="243" t="s">
        <v>232</v>
      </c>
      <c r="C280" s="243"/>
      <c r="D280" s="244">
        <v>15000000</v>
      </c>
      <c r="E280" s="244"/>
      <c r="F280" s="244"/>
      <c r="G280" s="244"/>
      <c r="H280" s="128">
        <f t="shared" si="15"/>
        <v>15000000</v>
      </c>
      <c r="I280" s="119"/>
      <c r="J280" s="283"/>
      <c r="K280" s="109"/>
      <c r="L280" s="109"/>
      <c r="M280" s="109"/>
      <c r="N280" s="109"/>
      <c r="O280" s="109"/>
      <c r="P280" s="153"/>
    </row>
    <row r="281" spans="1:16" ht="22.5">
      <c r="A281" s="262">
        <v>107</v>
      </c>
      <c r="B281" s="243" t="s">
        <v>504</v>
      </c>
      <c r="C281" s="258"/>
      <c r="D281" s="244">
        <v>5000000</v>
      </c>
      <c r="E281" s="244"/>
      <c r="F281" s="244"/>
      <c r="G281" s="244"/>
      <c r="H281" s="128">
        <f t="shared" si="15"/>
        <v>5000000</v>
      </c>
      <c r="I281" s="119"/>
      <c r="J281" s="283"/>
      <c r="K281" s="109"/>
      <c r="L281" s="109"/>
      <c r="M281" s="109"/>
      <c r="N281" s="109"/>
      <c r="O281" s="109"/>
      <c r="P281" s="153"/>
    </row>
    <row r="282" spans="1:16">
      <c r="A282" s="262"/>
      <c r="B282" s="335"/>
      <c r="C282" s="335"/>
      <c r="D282" s="243"/>
      <c r="E282" s="244"/>
      <c r="F282" s="244"/>
      <c r="G282" s="244"/>
      <c r="H282" s="128"/>
      <c r="I282" s="119"/>
      <c r="J282" s="283"/>
      <c r="K282" s="109"/>
      <c r="L282" s="109"/>
      <c r="M282" s="109"/>
      <c r="N282" s="109"/>
      <c r="O282" s="109"/>
      <c r="P282" s="153"/>
    </row>
    <row r="283" spans="1:16">
      <c r="A283" s="263">
        <v>109</v>
      </c>
      <c r="B283" s="332" t="s">
        <v>18</v>
      </c>
      <c r="C283" s="7"/>
      <c r="D283" s="243"/>
      <c r="E283" s="244"/>
      <c r="F283" s="244"/>
      <c r="G283" s="244"/>
      <c r="H283" s="128">
        <f>SUM(B283:G283)</f>
        <v>0</v>
      </c>
      <c r="I283" s="119"/>
      <c r="J283" s="283"/>
      <c r="K283" s="109"/>
      <c r="L283" s="109"/>
      <c r="M283" s="109"/>
      <c r="N283" s="109"/>
      <c r="O283" s="109"/>
      <c r="P283" s="153"/>
    </row>
    <row r="284" spans="1:16" ht="33.75">
      <c r="A284" s="352">
        <v>201</v>
      </c>
      <c r="B284" s="341" t="s">
        <v>233</v>
      </c>
      <c r="C284" s="91">
        <f>+C110</f>
        <v>21961605</v>
      </c>
      <c r="D284" s="91"/>
      <c r="E284" s="243"/>
      <c r="F284" s="244"/>
      <c r="G284" s="244"/>
      <c r="H284" s="128">
        <f t="shared" si="15"/>
        <v>21961605</v>
      </c>
      <c r="I284" s="119"/>
      <c r="J284" s="283"/>
      <c r="K284" s="109">
        <v>3400</v>
      </c>
      <c r="L284" s="109">
        <v>3400</v>
      </c>
      <c r="M284" s="109" t="s">
        <v>481</v>
      </c>
      <c r="N284" s="109"/>
      <c r="O284" s="109"/>
      <c r="P284" s="153"/>
    </row>
    <row r="285" spans="1:16" ht="22.5">
      <c r="A285" s="352">
        <v>202</v>
      </c>
      <c r="B285" s="341" t="s">
        <v>255</v>
      </c>
      <c r="C285" s="91"/>
      <c r="D285" s="91"/>
      <c r="E285" s="351"/>
      <c r="F285" s="91"/>
      <c r="G285" s="91"/>
      <c r="H285" s="348">
        <f t="shared" si="15"/>
        <v>0</v>
      </c>
      <c r="I285" s="119"/>
      <c r="J285" s="283"/>
      <c r="K285" s="109"/>
      <c r="L285" s="109"/>
      <c r="M285" s="109"/>
      <c r="N285" s="109"/>
      <c r="O285" s="109"/>
      <c r="P285" s="153"/>
    </row>
    <row r="286" spans="1:16" ht="12" thickBot="1">
      <c r="A286" s="313"/>
      <c r="B286" s="304"/>
      <c r="C286" s="304"/>
      <c r="D286" s="301"/>
      <c r="E286" s="302"/>
      <c r="F286" s="301"/>
      <c r="G286" s="301"/>
      <c r="H286" s="358">
        <f t="shared" si="15"/>
        <v>0</v>
      </c>
      <c r="I286" s="116"/>
      <c r="J286" s="505"/>
      <c r="K286" s="117"/>
      <c r="L286" s="117"/>
      <c r="M286" s="117"/>
      <c r="N286" s="117"/>
      <c r="O286" s="117"/>
      <c r="P286" s="154"/>
    </row>
    <row r="287" spans="1:16" ht="12" thickBot="1">
      <c r="A287" s="337" t="s">
        <v>116</v>
      </c>
      <c r="B287" s="246"/>
      <c r="C287" s="120">
        <f t="shared" ref="C287:H287" si="16">SUM(C273:C286)</f>
        <v>569016021</v>
      </c>
      <c r="D287" s="120">
        <f t="shared" si="16"/>
        <v>62819769</v>
      </c>
      <c r="E287" s="120">
        <f t="shared" si="16"/>
        <v>136400000</v>
      </c>
      <c r="F287" s="120">
        <f t="shared" si="16"/>
        <v>0</v>
      </c>
      <c r="G287" s="120">
        <f t="shared" si="16"/>
        <v>500000</v>
      </c>
      <c r="H287" s="120">
        <f t="shared" si="16"/>
        <v>768735790</v>
      </c>
      <c r="I287" s="132"/>
      <c r="J287" s="132"/>
      <c r="K287" s="132"/>
      <c r="L287" s="132"/>
      <c r="M287" s="132"/>
      <c r="N287" s="132"/>
      <c r="O287" s="132"/>
      <c r="P287" s="155"/>
    </row>
    <row r="288" spans="1:16" s="94" customFormat="1" hidden="1">
      <c r="A288" s="247"/>
      <c r="B288" s="248"/>
      <c r="C288" s="423">
        <f>+C101+C110</f>
        <v>569016021</v>
      </c>
      <c r="D288" s="249"/>
      <c r="E288" s="249"/>
      <c r="F288" s="249"/>
      <c r="G288" s="249"/>
      <c r="H288" s="210"/>
      <c r="I288" s="268"/>
      <c r="J288" s="268"/>
      <c r="K288" s="268"/>
      <c r="L288" s="268"/>
      <c r="M288" s="268"/>
      <c r="N288" s="268"/>
      <c r="O288" s="268"/>
      <c r="P288" s="268"/>
    </row>
    <row r="289" spans="1:16" s="94" customFormat="1" hidden="1">
      <c r="A289" s="247"/>
      <c r="B289" s="248"/>
      <c r="C289" s="424">
        <f>+C288-C287</f>
        <v>0</v>
      </c>
      <c r="D289" s="249"/>
      <c r="E289" s="249"/>
      <c r="F289" s="249"/>
      <c r="G289" s="249"/>
      <c r="H289" s="210"/>
      <c r="I289" s="268"/>
      <c r="J289" s="268"/>
      <c r="K289" s="268"/>
      <c r="L289" s="268"/>
      <c r="M289" s="268"/>
      <c r="N289" s="268"/>
      <c r="O289" s="268"/>
      <c r="P289" s="268"/>
    </row>
    <row r="290" spans="1:16" ht="12" thickBot="1">
      <c r="A290" s="247"/>
      <c r="B290" s="248"/>
      <c r="C290" s="249"/>
      <c r="D290" s="249"/>
      <c r="E290" s="249"/>
      <c r="F290" s="249"/>
      <c r="G290" s="249"/>
      <c r="H290" s="210"/>
      <c r="I290" s="156"/>
      <c r="J290" s="156"/>
      <c r="K290" s="156"/>
      <c r="L290" s="156"/>
      <c r="M290" s="156"/>
      <c r="N290" s="156"/>
      <c r="O290" s="156"/>
      <c r="P290" s="156"/>
    </row>
    <row r="291" spans="1:16" s="368" customFormat="1" ht="33.950000000000003" customHeight="1">
      <c r="A291" s="555" t="s">
        <v>325</v>
      </c>
      <c r="B291" s="543" t="s">
        <v>60</v>
      </c>
      <c r="C291" s="361" t="s">
        <v>411</v>
      </c>
      <c r="D291" s="342" t="s">
        <v>412</v>
      </c>
      <c r="E291" s="397" t="s">
        <v>94</v>
      </c>
      <c r="F291" s="342" t="s">
        <v>350</v>
      </c>
      <c r="G291" s="397" t="s">
        <v>125</v>
      </c>
      <c r="H291" s="519" t="s">
        <v>116</v>
      </c>
      <c r="I291" s="559" t="s">
        <v>199</v>
      </c>
      <c r="J291" s="559"/>
      <c r="K291" s="560"/>
      <c r="L291" s="560"/>
      <c r="M291" s="560" t="s">
        <v>200</v>
      </c>
      <c r="N291" s="560"/>
      <c r="O291" s="560"/>
      <c r="P291" s="320" t="s">
        <v>198</v>
      </c>
    </row>
    <row r="292" spans="1:16" s="368" customFormat="1" ht="12" customHeight="1">
      <c r="A292" s="531"/>
      <c r="B292" s="544"/>
      <c r="C292" s="398" t="s">
        <v>319</v>
      </c>
      <c r="D292" s="340" t="s">
        <v>320</v>
      </c>
      <c r="E292" s="340" t="s">
        <v>321</v>
      </c>
      <c r="F292" s="340" t="s">
        <v>322</v>
      </c>
      <c r="G292" s="340" t="s">
        <v>323</v>
      </c>
      <c r="H292" s="520"/>
      <c r="I292" s="370" t="s">
        <v>195</v>
      </c>
      <c r="J292" s="370"/>
      <c r="K292" s="371" t="s">
        <v>196</v>
      </c>
      <c r="L292" s="371" t="s">
        <v>197</v>
      </c>
      <c r="M292" s="371" t="s">
        <v>195</v>
      </c>
      <c r="N292" s="371" t="s">
        <v>196</v>
      </c>
      <c r="O292" s="371" t="s">
        <v>197</v>
      </c>
      <c r="P292" s="399"/>
    </row>
    <row r="293" spans="1:16" s="368" customFormat="1" ht="12" customHeight="1" thickBot="1">
      <c r="A293" s="532"/>
      <c r="B293" s="545"/>
      <c r="C293" s="400" t="s">
        <v>148</v>
      </c>
      <c r="D293" s="401" t="s">
        <v>149</v>
      </c>
      <c r="E293" s="401" t="s">
        <v>619</v>
      </c>
      <c r="F293" s="401" t="s">
        <v>129</v>
      </c>
      <c r="G293" s="401" t="s">
        <v>324</v>
      </c>
      <c r="H293" s="521"/>
      <c r="I293" s="402"/>
      <c r="J293" s="402"/>
      <c r="K293" s="403"/>
      <c r="L293" s="403"/>
      <c r="M293" s="403"/>
      <c r="N293" s="403"/>
      <c r="O293" s="403"/>
      <c r="P293" s="399"/>
    </row>
    <row r="294" spans="1:16" ht="23.25" thickBot="1">
      <c r="A294" s="196" t="s">
        <v>114</v>
      </c>
      <c r="B294" s="108" t="s">
        <v>171</v>
      </c>
      <c r="C294" s="123">
        <f t="shared" ref="C294:H294" si="17">SUM(C297:C316)</f>
        <v>276310740</v>
      </c>
      <c r="D294" s="123">
        <f t="shared" si="17"/>
        <v>1911470</v>
      </c>
      <c r="E294" s="123">
        <f t="shared" si="17"/>
        <v>0</v>
      </c>
      <c r="F294" s="123">
        <f t="shared" si="17"/>
        <v>0</v>
      </c>
      <c r="G294" s="123">
        <f t="shared" si="17"/>
        <v>0</v>
      </c>
      <c r="H294" s="257">
        <f t="shared" si="17"/>
        <v>278222210</v>
      </c>
      <c r="I294" s="159"/>
      <c r="J294" s="507"/>
      <c r="K294" s="133"/>
      <c r="L294" s="133"/>
      <c r="M294" s="133"/>
      <c r="N294" s="133"/>
      <c r="O294" s="133"/>
      <c r="P294" s="160"/>
    </row>
    <row r="295" spans="1:16">
      <c r="A295" s="306"/>
      <c r="B295" s="310"/>
      <c r="C295" s="254"/>
      <c r="D295" s="254"/>
      <c r="E295" s="254"/>
      <c r="F295" s="254"/>
      <c r="G295" s="254"/>
      <c r="H295" s="272"/>
      <c r="I295" s="161"/>
      <c r="J295" s="508"/>
      <c r="K295" s="137"/>
      <c r="L295" s="137"/>
      <c r="M295" s="137"/>
      <c r="N295" s="137"/>
      <c r="O295" s="137"/>
      <c r="P295" s="162"/>
    </row>
    <row r="296" spans="1:16">
      <c r="A296" s="261" t="s">
        <v>172</v>
      </c>
      <c r="B296" s="332" t="s">
        <v>59</v>
      </c>
      <c r="C296" s="7"/>
      <c r="D296" s="245"/>
      <c r="E296" s="242"/>
      <c r="F296" s="242"/>
      <c r="G296" s="242"/>
      <c r="H296" s="259">
        <f>SUM(B296:G296)</f>
        <v>0</v>
      </c>
      <c r="I296" s="163"/>
      <c r="J296" s="509"/>
      <c r="K296" s="164"/>
      <c r="L296" s="164"/>
      <c r="M296" s="164"/>
      <c r="N296" s="164"/>
      <c r="O296" s="164"/>
      <c r="P296" s="165"/>
    </row>
    <row r="297" spans="1:16" ht="22.5">
      <c r="A297" s="262" t="s">
        <v>329</v>
      </c>
      <c r="B297" s="112" t="s">
        <v>424</v>
      </c>
      <c r="C297" s="244">
        <v>36650000</v>
      </c>
      <c r="D297" s="256"/>
      <c r="E297" s="244"/>
      <c r="F297" s="244"/>
      <c r="G297" s="244"/>
      <c r="H297" s="259">
        <f t="shared" ref="H297:H316" si="18">SUM(C297:G297)</f>
        <v>36650000</v>
      </c>
      <c r="I297" s="119"/>
      <c r="J297" s="283"/>
      <c r="K297" s="109"/>
      <c r="L297" s="109"/>
      <c r="M297" s="109"/>
      <c r="N297" s="109"/>
      <c r="O297" s="109"/>
      <c r="P297" s="153"/>
    </row>
    <row r="298" spans="1:16" ht="33.75">
      <c r="A298" s="262" t="s">
        <v>337</v>
      </c>
      <c r="B298" s="112" t="s">
        <v>613</v>
      </c>
      <c r="C298" s="244">
        <v>28660740</v>
      </c>
      <c r="D298" s="244">
        <f>6911470-5000000</f>
        <v>1911470</v>
      </c>
      <c r="E298" s="244"/>
      <c r="F298" s="244"/>
      <c r="G298" s="244"/>
      <c r="H298" s="259">
        <f t="shared" si="18"/>
        <v>30572210</v>
      </c>
      <c r="I298" s="119" t="s">
        <v>396</v>
      </c>
      <c r="J298" s="283"/>
      <c r="K298" s="109">
        <v>6</v>
      </c>
      <c r="L298" s="109">
        <v>8</v>
      </c>
      <c r="M298" s="109" t="s">
        <v>482</v>
      </c>
      <c r="N298" s="109"/>
      <c r="O298" s="109"/>
      <c r="P298" s="153"/>
    </row>
    <row r="299" spans="1:16">
      <c r="A299" s="262" t="s">
        <v>338</v>
      </c>
      <c r="B299" s="112" t="s">
        <v>423</v>
      </c>
      <c r="C299" s="244">
        <v>50000000</v>
      </c>
      <c r="D299" s="244"/>
      <c r="E299" s="244"/>
      <c r="F299" s="244"/>
      <c r="G299" s="244"/>
      <c r="H299" s="259">
        <f t="shared" si="18"/>
        <v>50000000</v>
      </c>
      <c r="I299" s="119"/>
      <c r="J299" s="283"/>
      <c r="K299" s="109"/>
      <c r="L299" s="109"/>
      <c r="M299" s="109"/>
      <c r="N299" s="109"/>
      <c r="O299" s="109"/>
      <c r="P299" s="153"/>
    </row>
    <row r="300" spans="1:16">
      <c r="A300" s="262" t="s">
        <v>339</v>
      </c>
      <c r="B300" s="112" t="s">
        <v>614</v>
      </c>
      <c r="C300" s="303">
        <v>40000000</v>
      </c>
      <c r="D300" s="244"/>
      <c r="E300" s="244"/>
      <c r="F300" s="244"/>
      <c r="G300" s="244"/>
      <c r="H300" s="259">
        <f t="shared" si="18"/>
        <v>40000000</v>
      </c>
      <c r="I300" s="119"/>
      <c r="J300" s="283"/>
      <c r="K300" s="109"/>
      <c r="L300" s="109"/>
      <c r="M300" s="109"/>
      <c r="N300" s="109"/>
      <c r="O300" s="109"/>
      <c r="P300" s="153"/>
    </row>
    <row r="301" spans="1:16" ht="22.5">
      <c r="A301" s="262" t="s">
        <v>340</v>
      </c>
      <c r="B301" s="112" t="s">
        <v>373</v>
      </c>
      <c r="C301" s="215">
        <v>46000000</v>
      </c>
      <c r="D301" s="244">
        <v>0</v>
      </c>
      <c r="E301" s="244"/>
      <c r="F301" s="244"/>
      <c r="G301" s="244"/>
      <c r="H301" s="259">
        <f t="shared" si="18"/>
        <v>46000000</v>
      </c>
      <c r="I301" s="119"/>
      <c r="J301" s="283"/>
      <c r="K301" s="109"/>
      <c r="L301" s="109"/>
      <c r="M301" s="109"/>
      <c r="N301" s="109"/>
      <c r="O301" s="109"/>
      <c r="P301" s="153"/>
    </row>
    <row r="302" spans="1:16" ht="22.5">
      <c r="A302" s="339" t="s">
        <v>341</v>
      </c>
      <c r="B302" s="112" t="s">
        <v>374</v>
      </c>
      <c r="C302" s="244"/>
      <c r="D302" s="244"/>
      <c r="E302" s="244"/>
      <c r="F302" s="244"/>
      <c r="G302" s="244"/>
      <c r="H302" s="259">
        <f t="shared" si="18"/>
        <v>0</v>
      </c>
      <c r="I302" s="119"/>
      <c r="J302" s="283"/>
      <c r="K302" s="109"/>
      <c r="L302" s="109"/>
      <c r="M302" s="109"/>
      <c r="N302" s="109"/>
      <c r="O302" s="109"/>
      <c r="P302" s="153"/>
    </row>
    <row r="303" spans="1:16" ht="22.5">
      <c r="A303" s="262" t="s">
        <v>342</v>
      </c>
      <c r="B303" s="112" t="s">
        <v>375</v>
      </c>
      <c r="C303" s="244"/>
      <c r="D303" s="244"/>
      <c r="E303" s="244"/>
      <c r="F303" s="244"/>
      <c r="G303" s="244"/>
      <c r="H303" s="259">
        <f t="shared" si="18"/>
        <v>0</v>
      </c>
      <c r="I303" s="119"/>
      <c r="J303" s="283"/>
      <c r="K303" s="109"/>
      <c r="L303" s="109"/>
      <c r="M303" s="109"/>
      <c r="N303" s="109"/>
      <c r="O303" s="109"/>
      <c r="P303" s="153"/>
    </row>
    <row r="304" spans="1:16" ht="22.5">
      <c r="A304" s="262" t="s">
        <v>351</v>
      </c>
      <c r="B304" s="112" t="s">
        <v>236</v>
      </c>
      <c r="C304" s="244">
        <v>0</v>
      </c>
      <c r="D304" s="243"/>
      <c r="E304" s="244"/>
      <c r="F304" s="244"/>
      <c r="G304" s="244"/>
      <c r="H304" s="259">
        <f t="shared" si="18"/>
        <v>0</v>
      </c>
      <c r="I304" s="119"/>
      <c r="J304" s="283"/>
      <c r="K304" s="109"/>
      <c r="L304" s="109"/>
      <c r="M304" s="109"/>
      <c r="N304" s="109"/>
      <c r="O304" s="109"/>
      <c r="P304" s="153"/>
    </row>
    <row r="305" spans="1:16" ht="33.75">
      <c r="A305" s="262" t="s">
        <v>385</v>
      </c>
      <c r="B305" s="112" t="s">
        <v>376</v>
      </c>
      <c r="C305" s="244">
        <v>30000000</v>
      </c>
      <c r="D305" s="243"/>
      <c r="E305" s="244"/>
      <c r="F305" s="244"/>
      <c r="G305" s="244"/>
      <c r="H305" s="259">
        <f t="shared" si="18"/>
        <v>30000000</v>
      </c>
      <c r="I305" s="119"/>
      <c r="J305" s="283"/>
      <c r="K305" s="109">
        <v>2</v>
      </c>
      <c r="L305" s="109">
        <v>4</v>
      </c>
      <c r="M305" s="109" t="s">
        <v>397</v>
      </c>
      <c r="N305" s="109">
        <v>5</v>
      </c>
      <c r="O305" s="109">
        <v>5</v>
      </c>
      <c r="P305" s="153"/>
    </row>
    <row r="306" spans="1:16" ht="22.5">
      <c r="A306" s="262" t="s">
        <v>386</v>
      </c>
      <c r="B306" s="112" t="s">
        <v>435</v>
      </c>
      <c r="C306" s="244"/>
      <c r="D306" s="243"/>
      <c r="E306" s="244"/>
      <c r="F306" s="244"/>
      <c r="G306" s="244"/>
      <c r="H306" s="259">
        <f t="shared" si="18"/>
        <v>0</v>
      </c>
      <c r="I306" s="119"/>
      <c r="J306" s="283"/>
      <c r="K306" s="109"/>
      <c r="L306" s="109"/>
      <c r="M306" s="109"/>
      <c r="N306" s="109"/>
      <c r="O306" s="109"/>
      <c r="P306" s="153"/>
    </row>
    <row r="307" spans="1:16" ht="22.5">
      <c r="A307" s="262" t="s">
        <v>187</v>
      </c>
      <c r="B307" s="112" t="s">
        <v>505</v>
      </c>
      <c r="C307" s="256"/>
      <c r="D307" s="243"/>
      <c r="E307" s="244"/>
      <c r="F307" s="244"/>
      <c r="G307" s="244"/>
      <c r="H307" s="259">
        <f t="shared" si="18"/>
        <v>0</v>
      </c>
      <c r="I307" s="119"/>
      <c r="J307" s="283"/>
      <c r="K307" s="109"/>
      <c r="L307" s="109"/>
      <c r="M307" s="109"/>
      <c r="N307" s="109"/>
      <c r="O307" s="109"/>
      <c r="P307" s="153"/>
    </row>
    <row r="308" spans="1:16">
      <c r="A308" s="262"/>
      <c r="B308" s="334"/>
      <c r="C308" s="335"/>
      <c r="D308" s="243"/>
      <c r="E308" s="244"/>
      <c r="F308" s="244"/>
      <c r="G308" s="244"/>
      <c r="H308" s="259"/>
      <c r="I308" s="119"/>
      <c r="J308" s="283"/>
      <c r="K308" s="109"/>
      <c r="L308" s="109"/>
      <c r="M308" s="109"/>
      <c r="N308" s="109"/>
      <c r="O308" s="109"/>
      <c r="P308" s="153"/>
    </row>
    <row r="309" spans="1:16" ht="22.5">
      <c r="A309" s="263" t="s">
        <v>173</v>
      </c>
      <c r="B309" s="332" t="s">
        <v>3</v>
      </c>
      <c r="C309" s="7"/>
      <c r="D309" s="243"/>
      <c r="E309" s="244"/>
      <c r="F309" s="244"/>
      <c r="G309" s="244"/>
      <c r="H309" s="259">
        <f>SUM(B309:G309)</f>
        <v>0</v>
      </c>
      <c r="I309" s="363"/>
      <c r="J309" s="510"/>
      <c r="K309" s="364"/>
      <c r="L309" s="364"/>
      <c r="M309" s="364"/>
      <c r="N309" s="364"/>
      <c r="O309" s="364"/>
      <c r="P309" s="153"/>
    </row>
    <row r="310" spans="1:16" ht="33.75">
      <c r="A310" s="336" t="s">
        <v>330</v>
      </c>
      <c r="B310" s="112" t="s">
        <v>419</v>
      </c>
      <c r="C310" s="244">
        <v>31500000</v>
      </c>
      <c r="D310" s="258"/>
      <c r="E310" s="244"/>
      <c r="F310" s="360"/>
      <c r="G310" s="91"/>
      <c r="H310" s="252">
        <f t="shared" si="18"/>
        <v>31500000</v>
      </c>
      <c r="I310" s="119" t="s">
        <v>398</v>
      </c>
      <c r="J310" s="283"/>
      <c r="K310" s="109">
        <v>100</v>
      </c>
      <c r="L310" s="109">
        <v>100</v>
      </c>
      <c r="M310" s="109" t="s">
        <v>483</v>
      </c>
      <c r="N310" s="109"/>
      <c r="O310" s="109"/>
      <c r="P310" s="153"/>
    </row>
    <row r="311" spans="1:16" ht="22.5">
      <c r="A311" s="336" t="s">
        <v>343</v>
      </c>
      <c r="B311" s="112" t="s">
        <v>421</v>
      </c>
      <c r="C311" s="244">
        <v>3600000</v>
      </c>
      <c r="D311" s="258"/>
      <c r="E311" s="244"/>
      <c r="F311" s="360"/>
      <c r="G311" s="91"/>
      <c r="H311" s="252">
        <f t="shared" si="18"/>
        <v>3600000</v>
      </c>
      <c r="I311" s="119"/>
      <c r="J311" s="283"/>
      <c r="K311" s="109"/>
      <c r="L311" s="109"/>
      <c r="M311" s="109"/>
      <c r="N311" s="109"/>
      <c r="O311" s="109"/>
      <c r="P311" s="153"/>
    </row>
    <row r="312" spans="1:16" ht="22.5">
      <c r="A312" s="336" t="s">
        <v>344</v>
      </c>
      <c r="B312" s="112" t="s">
        <v>420</v>
      </c>
      <c r="C312" s="256">
        <v>9900000</v>
      </c>
      <c r="D312" s="258"/>
      <c r="E312" s="244"/>
      <c r="F312" s="360"/>
      <c r="G312" s="91"/>
      <c r="H312" s="252">
        <f t="shared" si="18"/>
        <v>9900000</v>
      </c>
      <c r="I312" s="119"/>
      <c r="J312" s="283"/>
      <c r="K312" s="109"/>
      <c r="L312" s="109"/>
      <c r="M312" s="109"/>
      <c r="N312" s="109"/>
      <c r="O312" s="109"/>
      <c r="P312" s="153"/>
    </row>
    <row r="313" spans="1:16">
      <c r="A313" s="336"/>
      <c r="B313" s="334"/>
      <c r="C313" s="335"/>
      <c r="D313" s="258"/>
      <c r="E313" s="244"/>
      <c r="F313" s="360"/>
      <c r="G313" s="91"/>
      <c r="H313" s="252"/>
      <c r="I313" s="119"/>
      <c r="J313" s="283"/>
      <c r="K313" s="109"/>
      <c r="L313" s="109"/>
      <c r="M313" s="109"/>
      <c r="N313" s="109"/>
      <c r="O313" s="109"/>
      <c r="P313" s="153"/>
    </row>
    <row r="314" spans="1:16" ht="22.5">
      <c r="A314" s="336" t="s">
        <v>174</v>
      </c>
      <c r="B314" s="332" t="s">
        <v>58</v>
      </c>
      <c r="C314" s="7"/>
      <c r="D314" s="258"/>
      <c r="E314" s="244"/>
      <c r="F314" s="256"/>
      <c r="G314" s="244"/>
      <c r="H314" s="259">
        <f>SUM(B314:G314)</f>
        <v>0</v>
      </c>
      <c r="I314" s="119"/>
      <c r="J314" s="283"/>
      <c r="K314" s="109"/>
      <c r="L314" s="109"/>
      <c r="M314" s="109"/>
      <c r="N314" s="109"/>
      <c r="O314" s="109"/>
      <c r="P314" s="153"/>
    </row>
    <row r="315" spans="1:16" ht="22.5">
      <c r="A315" s="336" t="s">
        <v>331</v>
      </c>
      <c r="B315" s="112" t="s">
        <v>377</v>
      </c>
      <c r="C315" s="244">
        <v>0</v>
      </c>
      <c r="D315" s="258"/>
      <c r="E315" s="244"/>
      <c r="F315" s="256"/>
      <c r="G315" s="244"/>
      <c r="H315" s="259">
        <f t="shared" si="18"/>
        <v>0</v>
      </c>
      <c r="I315" s="119"/>
      <c r="J315" s="283"/>
      <c r="K315" s="109"/>
      <c r="L315" s="109"/>
      <c r="M315" s="109"/>
      <c r="N315" s="109"/>
      <c r="O315" s="109"/>
      <c r="P315" s="153"/>
    </row>
    <row r="316" spans="1:16" ht="12" thickBot="1">
      <c r="A316" s="313" t="s">
        <v>346</v>
      </c>
      <c r="B316" s="312" t="s">
        <v>378</v>
      </c>
      <c r="C316" s="302">
        <v>0</v>
      </c>
      <c r="D316" s="311"/>
      <c r="E316" s="302"/>
      <c r="F316" s="302"/>
      <c r="G316" s="302"/>
      <c r="H316" s="357">
        <f t="shared" si="18"/>
        <v>0</v>
      </c>
      <c r="I316" s="116"/>
      <c r="J316" s="505"/>
      <c r="K316" s="117"/>
      <c r="L316" s="117"/>
      <c r="M316" s="117"/>
      <c r="N316" s="117"/>
      <c r="O316" s="117"/>
      <c r="P316" s="154"/>
    </row>
    <row r="317" spans="1:16" ht="12" thickBot="1">
      <c r="A317" s="196"/>
      <c r="B317" s="120"/>
      <c r="C317" s="120">
        <f t="shared" ref="C317:H317" si="19">SUM(C296:C316)</f>
        <v>276310740</v>
      </c>
      <c r="D317" s="120">
        <f t="shared" si="19"/>
        <v>1911470</v>
      </c>
      <c r="E317" s="120">
        <f t="shared" si="19"/>
        <v>0</v>
      </c>
      <c r="F317" s="120">
        <f t="shared" si="19"/>
        <v>0</v>
      </c>
      <c r="G317" s="120">
        <f t="shared" si="19"/>
        <v>0</v>
      </c>
      <c r="H317" s="120">
        <f t="shared" si="19"/>
        <v>278222210</v>
      </c>
      <c r="I317" s="166"/>
      <c r="J317" s="174"/>
      <c r="K317" s="132"/>
      <c r="L317" s="132"/>
      <c r="M317" s="132"/>
      <c r="N317" s="132"/>
      <c r="O317" s="132"/>
      <c r="P317" s="167"/>
    </row>
    <row r="318" spans="1:16" s="94" customFormat="1">
      <c r="A318" s="247"/>
      <c r="B318" s="121"/>
      <c r="C318" s="423">
        <f>+C70</f>
        <v>276310740</v>
      </c>
      <c r="D318" s="121"/>
      <c r="E318" s="121"/>
      <c r="F318" s="121"/>
      <c r="G318" s="121"/>
      <c r="H318" s="260"/>
      <c r="I318" s="268"/>
      <c r="J318" s="268"/>
      <c r="K318" s="268"/>
      <c r="L318" s="268"/>
      <c r="M318" s="268"/>
      <c r="N318" s="268"/>
      <c r="O318" s="268"/>
      <c r="P318" s="268"/>
    </row>
    <row r="319" spans="1:16" s="94" customFormat="1">
      <c r="A319" s="247"/>
      <c r="B319" s="121"/>
      <c r="C319" s="423">
        <f>+C318-C317</f>
        <v>0</v>
      </c>
      <c r="D319" s="121"/>
      <c r="E319" s="121"/>
      <c r="F319" s="121"/>
      <c r="G319" s="121"/>
      <c r="H319" s="260"/>
      <c r="I319" s="268"/>
      <c r="J319" s="268"/>
      <c r="K319" s="268"/>
      <c r="L319" s="268"/>
      <c r="M319" s="268"/>
      <c r="N319" s="268"/>
      <c r="O319" s="268"/>
      <c r="P319" s="268"/>
    </row>
    <row r="320" spans="1:16" ht="12" thickBot="1">
      <c r="H320" s="210"/>
      <c r="I320" s="156"/>
      <c r="J320" s="156"/>
      <c r="K320" s="156"/>
      <c r="L320" s="156"/>
      <c r="M320" s="156"/>
      <c r="N320" s="156"/>
      <c r="O320" s="156"/>
      <c r="P320" s="156"/>
    </row>
    <row r="321" spans="1:16" s="368" customFormat="1" ht="33.950000000000003" customHeight="1">
      <c r="A321" s="555" t="s">
        <v>326</v>
      </c>
      <c r="B321" s="543" t="s">
        <v>57</v>
      </c>
      <c r="C321" s="361" t="s">
        <v>411</v>
      </c>
      <c r="D321" s="342" t="s">
        <v>412</v>
      </c>
      <c r="E321" s="397" t="s">
        <v>94</v>
      </c>
      <c r="F321" s="342" t="s">
        <v>350</v>
      </c>
      <c r="G321" s="397" t="s">
        <v>125</v>
      </c>
      <c r="H321" s="522" t="s">
        <v>116</v>
      </c>
      <c r="I321" s="562" t="s">
        <v>199</v>
      </c>
      <c r="J321" s="562"/>
      <c r="K321" s="562"/>
      <c r="L321" s="563"/>
      <c r="M321" s="576" t="s">
        <v>200</v>
      </c>
      <c r="N321" s="562"/>
      <c r="O321" s="563"/>
      <c r="P321" s="404" t="s">
        <v>198</v>
      </c>
    </row>
    <row r="322" spans="1:16" s="368" customFormat="1" ht="12" customHeight="1">
      <c r="A322" s="531"/>
      <c r="B322" s="544"/>
      <c r="C322" s="398" t="s">
        <v>319</v>
      </c>
      <c r="D322" s="340" t="s">
        <v>320</v>
      </c>
      <c r="E322" s="340" t="s">
        <v>321</v>
      </c>
      <c r="F322" s="340" t="s">
        <v>322</v>
      </c>
      <c r="G322" s="340" t="s">
        <v>323</v>
      </c>
      <c r="H322" s="523"/>
      <c r="I322" s="406" t="s">
        <v>195</v>
      </c>
      <c r="J322" s="406"/>
      <c r="K322" s="406" t="s">
        <v>196</v>
      </c>
      <c r="L322" s="407" t="s">
        <v>197</v>
      </c>
      <c r="M322" s="408" t="s">
        <v>195</v>
      </c>
      <c r="N322" s="406" t="s">
        <v>196</v>
      </c>
      <c r="O322" s="407" t="s">
        <v>197</v>
      </c>
      <c r="P322" s="409"/>
    </row>
    <row r="323" spans="1:16" s="368" customFormat="1" ht="12" customHeight="1" thickBot="1">
      <c r="A323" s="532"/>
      <c r="B323" s="545"/>
      <c r="C323" s="400" t="s">
        <v>148</v>
      </c>
      <c r="D323" s="401" t="s">
        <v>149</v>
      </c>
      <c r="E323" s="401" t="s">
        <v>619</v>
      </c>
      <c r="F323" s="401" t="s">
        <v>129</v>
      </c>
      <c r="G323" s="401" t="s">
        <v>324</v>
      </c>
      <c r="H323" s="524"/>
      <c r="I323" s="410"/>
      <c r="J323" s="410"/>
      <c r="K323" s="410"/>
      <c r="L323" s="373"/>
      <c r="M323" s="411"/>
      <c r="N323" s="410"/>
      <c r="O323" s="373"/>
      <c r="P323" s="412"/>
    </row>
    <row r="324" spans="1:16" ht="23.25" thickBot="1">
      <c r="A324" s="196"/>
      <c r="B324" s="120" t="s">
        <v>147</v>
      </c>
      <c r="C324" s="358">
        <f t="shared" ref="C324:H324" si="20">SUM(C325:C336)</f>
        <v>66295935</v>
      </c>
      <c r="D324" s="358">
        <f t="shared" si="20"/>
        <v>0</v>
      </c>
      <c r="E324" s="358">
        <f t="shared" si="20"/>
        <v>1000</v>
      </c>
      <c r="F324" s="358">
        <f t="shared" si="20"/>
        <v>0</v>
      </c>
      <c r="G324" s="358">
        <f t="shared" si="20"/>
        <v>0</v>
      </c>
      <c r="H324" s="358">
        <f t="shared" si="20"/>
        <v>66296935</v>
      </c>
      <c r="I324" s="168"/>
      <c r="J324" s="134"/>
      <c r="K324" s="133"/>
      <c r="L324" s="133"/>
      <c r="M324" s="134"/>
      <c r="N324" s="133"/>
      <c r="O324" s="133"/>
      <c r="P324" s="135"/>
    </row>
    <row r="325" spans="1:16">
      <c r="A325" s="269" t="s">
        <v>114</v>
      </c>
      <c r="B325" s="255"/>
      <c r="C325" s="254"/>
      <c r="D325" s="308"/>
      <c r="E325" s="254"/>
      <c r="F325" s="254"/>
      <c r="G325" s="254"/>
      <c r="H325" s="255"/>
      <c r="I325" s="169"/>
      <c r="J325" s="170"/>
      <c r="K325" s="137"/>
      <c r="L325" s="137"/>
      <c r="M325" s="170"/>
      <c r="N325" s="137"/>
      <c r="O325" s="137"/>
      <c r="P325" s="138"/>
    </row>
    <row r="326" spans="1:16">
      <c r="A326" s="261" t="s">
        <v>172</v>
      </c>
      <c r="B326" s="332" t="s">
        <v>56</v>
      </c>
      <c r="C326" s="7"/>
      <c r="D326" s="245"/>
      <c r="E326" s="242"/>
      <c r="F326" s="242"/>
      <c r="G326" s="242"/>
      <c r="H326" s="259">
        <f>SUM(B326:G326)</f>
        <v>0</v>
      </c>
      <c r="I326" s="124"/>
      <c r="J326" s="125"/>
      <c r="K326" s="109"/>
      <c r="L326" s="109"/>
      <c r="M326" s="125"/>
      <c r="N326" s="109"/>
      <c r="O326" s="109"/>
      <c r="P326" s="140"/>
    </row>
    <row r="327" spans="1:16" ht="33.75">
      <c r="A327" s="262" t="s">
        <v>329</v>
      </c>
      <c r="B327" s="112" t="s">
        <v>615</v>
      </c>
      <c r="C327" s="244">
        <v>25000000</v>
      </c>
      <c r="D327" s="243"/>
      <c r="E327" s="244"/>
      <c r="F327" s="244"/>
      <c r="G327" s="244"/>
      <c r="H327" s="259">
        <f t="shared" ref="H327:H336" si="21">SUM(C327:G327)</f>
        <v>25000000</v>
      </c>
      <c r="I327" s="124" t="s">
        <v>399</v>
      </c>
      <c r="J327" s="125"/>
      <c r="K327" s="141">
        <v>100</v>
      </c>
      <c r="L327" s="141">
        <v>100</v>
      </c>
      <c r="M327" s="125" t="s">
        <v>484</v>
      </c>
      <c r="N327" s="109"/>
      <c r="O327" s="109"/>
      <c r="P327" s="140"/>
    </row>
    <row r="328" spans="1:16" ht="22.5">
      <c r="A328" s="262" t="s">
        <v>337</v>
      </c>
      <c r="B328" s="112" t="s">
        <v>448</v>
      </c>
      <c r="C328" s="244">
        <v>15000000</v>
      </c>
      <c r="D328" s="243"/>
      <c r="E328" s="244"/>
      <c r="F328" s="244"/>
      <c r="G328" s="244"/>
      <c r="H328" s="259">
        <f t="shared" si="21"/>
        <v>15000000</v>
      </c>
      <c r="I328" s="124"/>
      <c r="J328" s="125"/>
      <c r="K328" s="141"/>
      <c r="L328" s="141"/>
      <c r="M328" s="125"/>
      <c r="N328" s="109"/>
      <c r="O328" s="109"/>
      <c r="P328" s="140"/>
    </row>
    <row r="329" spans="1:16">
      <c r="A329" s="262" t="s">
        <v>338</v>
      </c>
      <c r="B329" s="112" t="s">
        <v>436</v>
      </c>
      <c r="C329" s="244"/>
      <c r="D329" s="243"/>
      <c r="E329" s="244"/>
      <c r="F329" s="243"/>
      <c r="G329" s="244"/>
      <c r="H329" s="259">
        <f t="shared" si="21"/>
        <v>0</v>
      </c>
      <c r="I329" s="124"/>
      <c r="J329" s="125"/>
      <c r="K329" s="141"/>
      <c r="L329" s="141"/>
      <c r="M329" s="125"/>
      <c r="N329" s="109"/>
      <c r="O329" s="109"/>
      <c r="P329" s="140"/>
    </row>
    <row r="330" spans="1:16">
      <c r="A330" s="262"/>
      <c r="B330" s="112"/>
      <c r="C330" s="256"/>
      <c r="D330" s="243"/>
      <c r="E330" s="244"/>
      <c r="F330" s="243"/>
      <c r="G330" s="244"/>
      <c r="H330" s="259">
        <f t="shared" si="21"/>
        <v>0</v>
      </c>
      <c r="I330" s="124"/>
      <c r="J330" s="125"/>
      <c r="K330" s="109"/>
      <c r="L330" s="109"/>
      <c r="M330" s="125"/>
      <c r="N330" s="109"/>
      <c r="O330" s="109"/>
      <c r="P330" s="140"/>
    </row>
    <row r="331" spans="1:16">
      <c r="A331" s="263" t="s">
        <v>173</v>
      </c>
      <c r="B331" s="332" t="s">
        <v>49</v>
      </c>
      <c r="C331" s="7"/>
      <c r="D331" s="243"/>
      <c r="E331" s="244"/>
      <c r="F331" s="243"/>
      <c r="G331" s="244"/>
      <c r="H331" s="259">
        <f>SUM(B331:G331)</f>
        <v>0</v>
      </c>
      <c r="I331" s="124"/>
      <c r="J331" s="125"/>
      <c r="K331" s="109"/>
      <c r="L331" s="109"/>
      <c r="M331" s="125"/>
      <c r="N331" s="109"/>
      <c r="O331" s="109"/>
      <c r="P331" s="140"/>
    </row>
    <row r="332" spans="1:16">
      <c r="A332" s="262" t="s">
        <v>330</v>
      </c>
      <c r="B332" s="112" t="s">
        <v>379</v>
      </c>
      <c r="C332" s="244">
        <v>10000000</v>
      </c>
      <c r="D332" s="243"/>
      <c r="E332" s="244"/>
      <c r="F332" s="243"/>
      <c r="G332" s="244"/>
      <c r="H332" s="259">
        <f t="shared" si="21"/>
        <v>10000000</v>
      </c>
      <c r="I332" s="124"/>
      <c r="J332" s="125"/>
      <c r="K332" s="109"/>
      <c r="L332" s="109"/>
      <c r="M332" s="125"/>
      <c r="N332" s="109"/>
      <c r="O332" s="109"/>
      <c r="P332" s="140"/>
    </row>
    <row r="333" spans="1:16" ht="33.75">
      <c r="A333" s="262" t="s">
        <v>343</v>
      </c>
      <c r="B333" s="112" t="s">
        <v>380</v>
      </c>
      <c r="C333" s="244">
        <v>10000000</v>
      </c>
      <c r="D333" s="243"/>
      <c r="E333" s="244">
        <v>1000</v>
      </c>
      <c r="F333" s="243"/>
      <c r="G333" s="244"/>
      <c r="H333" s="259">
        <f t="shared" si="21"/>
        <v>10001000</v>
      </c>
      <c r="I333" s="124" t="s">
        <v>400</v>
      </c>
      <c r="J333" s="125"/>
      <c r="K333" s="109">
        <v>6</v>
      </c>
      <c r="L333" s="109">
        <v>6</v>
      </c>
      <c r="M333" s="124" t="s">
        <v>485</v>
      </c>
      <c r="N333" s="109">
        <v>2</v>
      </c>
      <c r="O333" s="109">
        <v>5</v>
      </c>
      <c r="P333" s="140"/>
    </row>
    <row r="334" spans="1:16">
      <c r="A334" s="262"/>
      <c r="B334" s="112" t="s">
        <v>466</v>
      </c>
      <c r="C334" s="244">
        <v>6295935</v>
      </c>
      <c r="D334" s="243"/>
      <c r="E334" s="244"/>
      <c r="F334" s="303"/>
      <c r="G334" s="244"/>
      <c r="H334" s="259">
        <f t="shared" si="21"/>
        <v>6295935</v>
      </c>
      <c r="I334" s="124"/>
      <c r="J334" s="125"/>
      <c r="K334" s="109"/>
      <c r="L334" s="109"/>
      <c r="M334" s="125"/>
      <c r="N334" s="109"/>
      <c r="O334" s="109"/>
      <c r="P334" s="140"/>
    </row>
    <row r="335" spans="1:16">
      <c r="A335" s="262"/>
      <c r="B335" s="112"/>
      <c r="C335" s="244"/>
      <c r="D335" s="243"/>
      <c r="E335" s="242"/>
      <c r="F335" s="242"/>
      <c r="G335" s="242"/>
      <c r="H335" s="259">
        <f t="shared" si="21"/>
        <v>0</v>
      </c>
      <c r="I335" s="124"/>
      <c r="J335" s="125"/>
      <c r="K335" s="109"/>
      <c r="L335" s="109"/>
      <c r="M335" s="125"/>
      <c r="N335" s="109"/>
      <c r="O335" s="109"/>
      <c r="P335" s="140"/>
    </row>
    <row r="336" spans="1:16" ht="12" thickBot="1">
      <c r="A336" s="313"/>
      <c r="B336" s="312"/>
      <c r="C336" s="302"/>
      <c r="D336" s="311"/>
      <c r="E336" s="302"/>
      <c r="F336" s="302"/>
      <c r="G336" s="302"/>
      <c r="H336" s="357">
        <f t="shared" si="21"/>
        <v>0</v>
      </c>
      <c r="I336" s="171"/>
      <c r="J336" s="172"/>
      <c r="K336" s="117"/>
      <c r="L336" s="117"/>
      <c r="M336" s="172"/>
      <c r="N336" s="117"/>
      <c r="O336" s="117"/>
      <c r="P336" s="146"/>
    </row>
    <row r="337" spans="1:16" ht="12" thickBot="1">
      <c r="A337" s="196" t="s">
        <v>116</v>
      </c>
      <c r="B337" s="120"/>
      <c r="C337" s="253">
        <f t="shared" ref="C337:H337" si="22">SUM(C326:C336)</f>
        <v>66295935</v>
      </c>
      <c r="D337" s="253">
        <f t="shared" si="22"/>
        <v>0</v>
      </c>
      <c r="E337" s="253">
        <f t="shared" si="22"/>
        <v>1000</v>
      </c>
      <c r="F337" s="253">
        <f t="shared" si="22"/>
        <v>0</v>
      </c>
      <c r="G337" s="253">
        <f t="shared" si="22"/>
        <v>0</v>
      </c>
      <c r="H337" s="253">
        <f t="shared" si="22"/>
        <v>66296935</v>
      </c>
      <c r="I337" s="173"/>
      <c r="J337" s="173"/>
      <c r="K337" s="173"/>
      <c r="L337" s="174"/>
      <c r="M337" s="132"/>
      <c r="N337" s="132"/>
      <c r="O337" s="132"/>
      <c r="P337" s="167"/>
    </row>
    <row r="338" spans="1:16" s="94" customFormat="1">
      <c r="A338" s="264"/>
      <c r="B338" s="210"/>
      <c r="C338" s="423">
        <f>+C72</f>
        <v>66295935</v>
      </c>
      <c r="D338" s="210"/>
      <c r="E338" s="210"/>
      <c r="F338" s="210"/>
      <c r="G338" s="210"/>
      <c r="H338" s="210"/>
      <c r="I338" s="268"/>
      <c r="J338" s="268"/>
      <c r="K338" s="268"/>
      <c r="L338" s="268"/>
      <c r="M338" s="268"/>
      <c r="N338" s="268"/>
      <c r="O338" s="268"/>
      <c r="P338" s="268"/>
    </row>
    <row r="339" spans="1:16" s="94" customFormat="1">
      <c r="A339" s="264"/>
      <c r="B339" s="210"/>
      <c r="C339" s="422">
        <f>+C338-C337</f>
        <v>0</v>
      </c>
      <c r="D339" s="210"/>
      <c r="E339" s="210"/>
      <c r="F339" s="210"/>
      <c r="G339" s="210"/>
      <c r="H339" s="210"/>
      <c r="I339" s="268"/>
      <c r="J339" s="268"/>
      <c r="K339" s="268"/>
      <c r="L339" s="268"/>
      <c r="M339" s="268"/>
      <c r="N339" s="268"/>
      <c r="O339" s="268"/>
      <c r="P339" s="268"/>
    </row>
    <row r="340" spans="1:16" ht="12" thickBot="1">
      <c r="H340" s="210"/>
      <c r="I340" s="156"/>
      <c r="J340" s="156"/>
      <c r="K340" s="156"/>
      <c r="L340" s="156"/>
      <c r="M340" s="156"/>
      <c r="N340" s="156"/>
      <c r="O340" s="156"/>
      <c r="P340" s="156"/>
    </row>
    <row r="341" spans="1:16" s="368" customFormat="1" ht="33.950000000000003" customHeight="1">
      <c r="A341" s="555" t="s">
        <v>327</v>
      </c>
      <c r="B341" s="543" t="s">
        <v>110</v>
      </c>
      <c r="C341" s="361" t="s">
        <v>411</v>
      </c>
      <c r="D341" s="342" t="s">
        <v>412</v>
      </c>
      <c r="E341" s="397" t="s">
        <v>94</v>
      </c>
      <c r="F341" s="342" t="s">
        <v>350</v>
      </c>
      <c r="G341" s="397" t="s">
        <v>125</v>
      </c>
      <c r="H341" s="519" t="s">
        <v>116</v>
      </c>
      <c r="I341" s="559" t="s">
        <v>199</v>
      </c>
      <c r="J341" s="559"/>
      <c r="K341" s="560"/>
      <c r="L341" s="560"/>
      <c r="M341" s="560" t="s">
        <v>200</v>
      </c>
      <c r="N341" s="560"/>
      <c r="O341" s="560"/>
      <c r="P341" s="320" t="s">
        <v>198</v>
      </c>
    </row>
    <row r="342" spans="1:16" s="368" customFormat="1" ht="12" customHeight="1">
      <c r="A342" s="531"/>
      <c r="B342" s="544"/>
      <c r="C342" s="398" t="s">
        <v>319</v>
      </c>
      <c r="D342" s="340" t="s">
        <v>320</v>
      </c>
      <c r="E342" s="340" t="s">
        <v>321</v>
      </c>
      <c r="F342" s="340" t="s">
        <v>322</v>
      </c>
      <c r="G342" s="340" t="s">
        <v>323</v>
      </c>
      <c r="H342" s="520"/>
      <c r="I342" s="370" t="s">
        <v>195</v>
      </c>
      <c r="J342" s="370"/>
      <c r="K342" s="371" t="s">
        <v>196</v>
      </c>
      <c r="L342" s="371" t="s">
        <v>197</v>
      </c>
      <c r="M342" s="371" t="s">
        <v>195</v>
      </c>
      <c r="N342" s="371" t="s">
        <v>196</v>
      </c>
      <c r="O342" s="371" t="s">
        <v>197</v>
      </c>
      <c r="P342" s="399"/>
    </row>
    <row r="343" spans="1:16" s="368" customFormat="1" ht="12" customHeight="1" thickBot="1">
      <c r="A343" s="532"/>
      <c r="B343" s="545"/>
      <c r="C343" s="400" t="s">
        <v>148</v>
      </c>
      <c r="D343" s="401" t="s">
        <v>149</v>
      </c>
      <c r="E343" s="401" t="s">
        <v>619</v>
      </c>
      <c r="F343" s="401" t="s">
        <v>129</v>
      </c>
      <c r="G343" s="401" t="s">
        <v>324</v>
      </c>
      <c r="H343" s="521"/>
      <c r="I343" s="402"/>
      <c r="J343" s="402"/>
      <c r="K343" s="403"/>
      <c r="L343" s="403"/>
      <c r="M343" s="403"/>
      <c r="N343" s="403"/>
      <c r="O343" s="403"/>
      <c r="P343" s="399"/>
    </row>
    <row r="344" spans="1:16" ht="23.25" thickBot="1">
      <c r="A344" s="269" t="s">
        <v>114</v>
      </c>
      <c r="B344" s="315" t="s">
        <v>171</v>
      </c>
      <c r="C344" s="365">
        <f t="shared" ref="C344:H344" si="23">SUM(C345:C357)</f>
        <v>49720950</v>
      </c>
      <c r="D344" s="365">
        <f t="shared" si="23"/>
        <v>34000000</v>
      </c>
      <c r="E344" s="365">
        <f t="shared" si="23"/>
        <v>0</v>
      </c>
      <c r="F344" s="365">
        <f t="shared" si="23"/>
        <v>10000000</v>
      </c>
      <c r="G344" s="366">
        <f t="shared" si="23"/>
        <v>0</v>
      </c>
      <c r="H344" s="366">
        <f t="shared" si="23"/>
        <v>93720950</v>
      </c>
      <c r="I344" s="159"/>
      <c r="J344" s="507"/>
      <c r="K344" s="133"/>
      <c r="L344" s="133"/>
      <c r="M344" s="133"/>
      <c r="N344" s="133"/>
      <c r="O344" s="133"/>
      <c r="P344" s="160"/>
    </row>
    <row r="345" spans="1:16">
      <c r="A345" s="299"/>
      <c r="B345" s="300"/>
      <c r="C345" s="308"/>
      <c r="D345" s="270"/>
      <c r="E345" s="270"/>
      <c r="F345" s="270"/>
      <c r="G345" s="308"/>
      <c r="H345" s="255"/>
      <c r="I345" s="161"/>
      <c r="J345" s="508"/>
      <c r="K345" s="137"/>
      <c r="L345" s="137"/>
      <c r="M345" s="137"/>
      <c r="N345" s="137"/>
      <c r="O345" s="137"/>
      <c r="P345" s="162"/>
    </row>
    <row r="346" spans="1:16" ht="22.5">
      <c r="A346" s="261" t="s">
        <v>172</v>
      </c>
      <c r="B346" s="332" t="s">
        <v>45</v>
      </c>
      <c r="C346" s="7"/>
      <c r="D346" s="245"/>
      <c r="E346" s="245"/>
      <c r="F346" s="245"/>
      <c r="G346" s="245"/>
      <c r="H346" s="259">
        <f>SUM(B346:G346)</f>
        <v>0</v>
      </c>
      <c r="I346" s="119"/>
      <c r="J346" s="283"/>
      <c r="K346" s="109"/>
      <c r="L346" s="109"/>
      <c r="M346" s="109"/>
      <c r="N346" s="109"/>
      <c r="O346" s="109"/>
      <c r="P346" s="153"/>
    </row>
    <row r="347" spans="1:16" ht="22.5">
      <c r="A347" s="262" t="s">
        <v>329</v>
      </c>
      <c r="B347" s="286" t="s">
        <v>381</v>
      </c>
      <c r="C347" s="243">
        <v>1000000</v>
      </c>
      <c r="D347" s="243"/>
      <c r="E347" s="243"/>
      <c r="F347" s="243"/>
      <c r="G347" s="243"/>
      <c r="H347" s="259">
        <f t="shared" ref="H347:H357" si="24">SUM(C347:G347)</f>
        <v>1000000</v>
      </c>
      <c r="I347" s="119"/>
      <c r="J347" s="283"/>
      <c r="K347" s="109"/>
      <c r="L347" s="109"/>
      <c r="M347" s="109"/>
      <c r="N347" s="109"/>
      <c r="O347" s="109"/>
      <c r="P347" s="153"/>
    </row>
    <row r="348" spans="1:16">
      <c r="A348" s="262" t="s">
        <v>337</v>
      </c>
      <c r="B348" s="286" t="s">
        <v>425</v>
      </c>
      <c r="C348" s="243">
        <v>800000</v>
      </c>
      <c r="D348" s="243"/>
      <c r="E348" s="243"/>
      <c r="F348" s="243"/>
      <c r="G348" s="243"/>
      <c r="H348" s="259">
        <f t="shared" si="24"/>
        <v>800000</v>
      </c>
      <c r="I348" s="119"/>
      <c r="J348" s="283"/>
      <c r="K348" s="109"/>
      <c r="L348" s="109"/>
      <c r="M348" s="109"/>
      <c r="N348" s="109"/>
      <c r="O348" s="109"/>
      <c r="P348" s="153"/>
    </row>
    <row r="349" spans="1:16" ht="22.5">
      <c r="A349" s="262" t="s">
        <v>338</v>
      </c>
      <c r="B349" s="286" t="s">
        <v>434</v>
      </c>
      <c r="C349" s="243"/>
      <c r="D349" s="243"/>
      <c r="E349" s="243"/>
      <c r="F349" s="243"/>
      <c r="G349" s="243"/>
      <c r="H349" s="259">
        <f t="shared" si="24"/>
        <v>0</v>
      </c>
      <c r="I349" s="119"/>
      <c r="J349" s="283"/>
      <c r="K349" s="109"/>
      <c r="L349" s="109"/>
      <c r="M349" s="109"/>
      <c r="N349" s="109"/>
      <c r="O349" s="109"/>
      <c r="P349" s="153"/>
    </row>
    <row r="350" spans="1:16" ht="45">
      <c r="A350" s="262"/>
      <c r="B350" s="286"/>
      <c r="C350" s="258"/>
      <c r="D350" s="243"/>
      <c r="E350" s="243"/>
      <c r="F350" s="243"/>
      <c r="G350" s="243"/>
      <c r="H350" s="259">
        <f t="shared" si="24"/>
        <v>0</v>
      </c>
      <c r="I350" s="119"/>
      <c r="J350" s="283"/>
      <c r="K350" s="109">
        <v>3</v>
      </c>
      <c r="L350" s="109">
        <v>3</v>
      </c>
      <c r="M350" s="109" t="s">
        <v>486</v>
      </c>
      <c r="N350" s="109">
        <v>3</v>
      </c>
      <c r="O350" s="109">
        <v>3</v>
      </c>
      <c r="P350" s="153"/>
    </row>
    <row r="351" spans="1:16" ht="22.5">
      <c r="A351" s="263" t="s">
        <v>173</v>
      </c>
      <c r="B351" s="332" t="s">
        <v>44</v>
      </c>
      <c r="C351" s="7"/>
      <c r="D351" s="243"/>
      <c r="E351" s="243"/>
      <c r="F351" s="243"/>
      <c r="G351" s="243"/>
      <c r="H351" s="259">
        <f>SUM(B351:G351)</f>
        <v>0</v>
      </c>
    </row>
    <row r="352" spans="1:16" ht="45">
      <c r="A352" s="339" t="s">
        <v>330</v>
      </c>
      <c r="B352" s="287" t="s">
        <v>382</v>
      </c>
      <c r="C352" s="243">
        <v>29920950</v>
      </c>
      <c r="D352" s="243">
        <v>30000000</v>
      </c>
      <c r="E352" s="243"/>
      <c r="F352" s="243">
        <v>6000000</v>
      </c>
      <c r="G352" s="243"/>
      <c r="H352" s="259">
        <f t="shared" si="24"/>
        <v>65920950</v>
      </c>
      <c r="I352" s="119" t="s">
        <v>347</v>
      </c>
      <c r="J352" s="283"/>
      <c r="K352" s="109">
        <v>4</v>
      </c>
      <c r="L352" s="109">
        <v>8</v>
      </c>
      <c r="M352" s="109" t="s">
        <v>487</v>
      </c>
      <c r="N352" s="109">
        <v>15</v>
      </c>
      <c r="O352" s="109">
        <v>16</v>
      </c>
      <c r="P352" s="153"/>
    </row>
    <row r="353" spans="1:16" ht="22.5">
      <c r="A353" s="262" t="s">
        <v>343</v>
      </c>
      <c r="B353" s="286" t="s">
        <v>383</v>
      </c>
      <c r="C353" s="243">
        <v>18000000</v>
      </c>
      <c r="D353" s="243">
        <v>4000000</v>
      </c>
      <c r="E353" s="243"/>
      <c r="F353" s="243"/>
      <c r="G353" s="243"/>
      <c r="H353" s="259">
        <f t="shared" si="24"/>
        <v>22000000</v>
      </c>
      <c r="I353" s="126" t="s">
        <v>401</v>
      </c>
      <c r="J353" s="297"/>
      <c r="K353" s="109">
        <v>1</v>
      </c>
      <c r="L353" s="109">
        <v>1</v>
      </c>
      <c r="M353" s="109"/>
      <c r="N353" s="109"/>
      <c r="O353" s="109"/>
      <c r="P353" s="153"/>
    </row>
    <row r="354" spans="1:16" ht="45">
      <c r="A354" s="262" t="s">
        <v>344</v>
      </c>
      <c r="B354" s="286" t="s">
        <v>384</v>
      </c>
      <c r="C354" s="243"/>
      <c r="D354" s="243"/>
      <c r="E354" s="243"/>
      <c r="F354" s="243"/>
      <c r="G354" s="258"/>
      <c r="H354" s="259">
        <f t="shared" si="24"/>
        <v>0</v>
      </c>
      <c r="I354" s="127" t="s">
        <v>402</v>
      </c>
      <c r="J354" s="511"/>
      <c r="K354" s="175">
        <v>50</v>
      </c>
      <c r="L354" s="175">
        <v>60</v>
      </c>
      <c r="M354" s="175"/>
      <c r="N354" s="175"/>
      <c r="O354" s="175"/>
      <c r="P354" s="176"/>
    </row>
    <row r="355" spans="1:16" ht="22.5">
      <c r="A355" s="262" t="s">
        <v>345</v>
      </c>
      <c r="B355" s="286" t="s">
        <v>462</v>
      </c>
      <c r="C355" s="243"/>
      <c r="D355" s="243"/>
      <c r="E355" s="243"/>
      <c r="F355" s="243">
        <v>1000000</v>
      </c>
      <c r="G355" s="258"/>
      <c r="H355" s="259">
        <f t="shared" si="24"/>
        <v>1000000</v>
      </c>
      <c r="I355" s="126"/>
      <c r="J355" s="297"/>
      <c r="K355" s="175"/>
      <c r="L355" s="175"/>
      <c r="M355" s="175"/>
      <c r="N355" s="175"/>
      <c r="O355" s="175"/>
      <c r="P355" s="176"/>
    </row>
    <row r="356" spans="1:16">
      <c r="A356" s="262" t="s">
        <v>387</v>
      </c>
      <c r="B356" s="286" t="s">
        <v>463</v>
      </c>
      <c r="C356" s="243"/>
      <c r="D356" s="243"/>
      <c r="E356" s="243"/>
      <c r="F356" s="243">
        <v>2000000</v>
      </c>
      <c r="G356" s="258"/>
      <c r="H356" s="259">
        <f t="shared" si="24"/>
        <v>2000000</v>
      </c>
      <c r="I356" s="126"/>
      <c r="J356" s="297"/>
      <c r="K356" s="175"/>
      <c r="L356" s="175"/>
      <c r="M356" s="175"/>
      <c r="N356" s="175"/>
      <c r="O356" s="175"/>
      <c r="P356" s="176"/>
    </row>
    <row r="357" spans="1:16" ht="23.25" thickBot="1">
      <c r="A357" s="336" t="s">
        <v>422</v>
      </c>
      <c r="B357" s="296" t="s">
        <v>464</v>
      </c>
      <c r="C357" s="258"/>
      <c r="D357" s="258"/>
      <c r="E357" s="258"/>
      <c r="F357" s="258">
        <v>1000000</v>
      </c>
      <c r="G357" s="258"/>
      <c r="H357" s="259">
        <f t="shared" si="24"/>
        <v>1000000</v>
      </c>
      <c r="I357" s="126"/>
      <c r="J357" s="297"/>
      <c r="K357" s="175"/>
      <c r="L357" s="175"/>
      <c r="M357" s="175"/>
      <c r="N357" s="175"/>
      <c r="O357" s="175"/>
      <c r="P357" s="176"/>
    </row>
    <row r="358" spans="1:16" ht="12" thickBot="1">
      <c r="A358" s="196" t="s">
        <v>116</v>
      </c>
      <c r="B358" s="246"/>
      <c r="C358" s="314">
        <f t="shared" ref="C358:H358" si="25">SUM(C346:C357)</f>
        <v>49720950</v>
      </c>
      <c r="D358" s="314">
        <f t="shared" si="25"/>
        <v>34000000</v>
      </c>
      <c r="E358" s="314">
        <f t="shared" si="25"/>
        <v>0</v>
      </c>
      <c r="F358" s="314">
        <f t="shared" si="25"/>
        <v>10000000</v>
      </c>
      <c r="G358" s="314">
        <f t="shared" si="25"/>
        <v>0</v>
      </c>
      <c r="H358" s="253">
        <f t="shared" si="25"/>
        <v>93720950</v>
      </c>
      <c r="I358" s="177"/>
      <c r="J358" s="512"/>
      <c r="K358" s="178"/>
      <c r="L358" s="178"/>
      <c r="M358" s="178"/>
      <c r="N358" s="178"/>
      <c r="O358" s="178"/>
      <c r="P358" s="179"/>
    </row>
    <row r="359" spans="1:16" s="94" customFormat="1">
      <c r="A359" s="247"/>
      <c r="B359" s="121"/>
      <c r="C359" s="423">
        <f>SUM(C73)</f>
        <v>49720950</v>
      </c>
      <c r="D359" s="249"/>
      <c r="E359" s="249"/>
      <c r="F359" s="249"/>
      <c r="G359" s="249"/>
      <c r="H359" s="210"/>
      <c r="I359" s="268"/>
      <c r="J359" s="268"/>
      <c r="K359" s="268"/>
      <c r="L359" s="268"/>
      <c r="M359" s="268"/>
      <c r="N359" s="268"/>
      <c r="O359" s="268"/>
      <c r="P359" s="268"/>
    </row>
    <row r="360" spans="1:16" s="94" customFormat="1">
      <c r="A360" s="247"/>
      <c r="B360" s="121"/>
      <c r="C360" s="424">
        <f>+C359-C358</f>
        <v>0</v>
      </c>
      <c r="D360" s="249"/>
      <c r="E360" s="249"/>
      <c r="F360" s="249"/>
      <c r="G360" s="249"/>
      <c r="H360" s="210"/>
      <c r="I360" s="268"/>
      <c r="J360" s="268"/>
      <c r="K360" s="268"/>
      <c r="L360" s="268"/>
      <c r="M360" s="268"/>
      <c r="N360" s="268"/>
      <c r="O360" s="268"/>
      <c r="P360" s="268"/>
    </row>
    <row r="361" spans="1:16" ht="12" thickBot="1">
      <c r="H361" s="210"/>
      <c r="I361" s="156"/>
      <c r="J361" s="156"/>
      <c r="K361" s="156"/>
      <c r="L361" s="156"/>
      <c r="M361" s="156"/>
      <c r="N361" s="156"/>
      <c r="O361" s="156"/>
      <c r="P361" s="156"/>
    </row>
    <row r="362" spans="1:16" s="368" customFormat="1" ht="33.950000000000003" customHeight="1">
      <c r="A362" s="546" t="s">
        <v>328</v>
      </c>
      <c r="B362" s="552" t="s">
        <v>55</v>
      </c>
      <c r="C362" s="285" t="s">
        <v>411</v>
      </c>
      <c r="D362" s="285" t="s">
        <v>412</v>
      </c>
      <c r="E362" s="350" t="s">
        <v>94</v>
      </c>
      <c r="F362" s="285" t="s">
        <v>350</v>
      </c>
      <c r="G362" s="350" t="s">
        <v>125</v>
      </c>
      <c r="H362" s="528" t="s">
        <v>116</v>
      </c>
      <c r="I362" s="559" t="s">
        <v>199</v>
      </c>
      <c r="J362" s="559"/>
      <c r="K362" s="560"/>
      <c r="L362" s="561"/>
      <c r="M362" s="559" t="s">
        <v>200</v>
      </c>
      <c r="N362" s="560"/>
      <c r="O362" s="561"/>
      <c r="P362" s="317" t="s">
        <v>198</v>
      </c>
    </row>
    <row r="363" spans="1:16" s="368" customFormat="1" ht="12" customHeight="1">
      <c r="A363" s="547"/>
      <c r="B363" s="553"/>
      <c r="C363" s="318" t="s">
        <v>319</v>
      </c>
      <c r="D363" s="318" t="s">
        <v>320</v>
      </c>
      <c r="E363" s="318" t="s">
        <v>321</v>
      </c>
      <c r="F363" s="318" t="s">
        <v>322</v>
      </c>
      <c r="G363" s="318" t="s">
        <v>323</v>
      </c>
      <c r="H363" s="529"/>
      <c r="I363" s="370" t="s">
        <v>195</v>
      </c>
      <c r="J363" s="370"/>
      <c r="K363" s="371" t="s">
        <v>196</v>
      </c>
      <c r="L363" s="372" t="s">
        <v>197</v>
      </c>
      <c r="M363" s="370" t="s">
        <v>195</v>
      </c>
      <c r="N363" s="371" t="s">
        <v>196</v>
      </c>
      <c r="O363" s="372" t="s">
        <v>197</v>
      </c>
      <c r="P363" s="373"/>
    </row>
    <row r="364" spans="1:16" s="368" customFormat="1" ht="12" customHeight="1" thickBot="1">
      <c r="A364" s="548"/>
      <c r="B364" s="554"/>
      <c r="C364" s="319" t="s">
        <v>148</v>
      </c>
      <c r="D364" s="319" t="s">
        <v>149</v>
      </c>
      <c r="E364" s="319" t="s">
        <v>619</v>
      </c>
      <c r="F364" s="319" t="s">
        <v>129</v>
      </c>
      <c r="G364" s="319" t="s">
        <v>324</v>
      </c>
      <c r="H364" s="530"/>
      <c r="I364" s="375"/>
      <c r="J364" s="375"/>
      <c r="K364" s="376"/>
      <c r="L364" s="377"/>
      <c r="M364" s="375"/>
      <c r="N364" s="376"/>
      <c r="O364" s="377"/>
      <c r="P364" s="378"/>
    </row>
    <row r="365" spans="1:16" ht="22.5">
      <c r="A365" s="289" t="s">
        <v>114</v>
      </c>
      <c r="B365" s="291" t="s">
        <v>171</v>
      </c>
      <c r="C365" s="348">
        <f t="shared" ref="C365:H365" si="26">SUM(C366:C445)</f>
        <v>835176985</v>
      </c>
      <c r="D365" s="348">
        <f t="shared" si="26"/>
        <v>64000000</v>
      </c>
      <c r="E365" s="348">
        <f t="shared" si="26"/>
        <v>13500000</v>
      </c>
      <c r="F365" s="348">
        <f t="shared" si="26"/>
        <v>24000000</v>
      </c>
      <c r="G365" s="348">
        <f t="shared" si="26"/>
        <v>0</v>
      </c>
      <c r="H365" s="348">
        <f t="shared" si="26"/>
        <v>936676985</v>
      </c>
      <c r="I365" s="292"/>
      <c r="J365" s="292"/>
      <c r="K365" s="293"/>
      <c r="L365" s="294"/>
      <c r="M365" s="292"/>
      <c r="N365" s="293"/>
      <c r="O365" s="294"/>
      <c r="P365" s="295"/>
    </row>
    <row r="366" spans="1:16">
      <c r="A366" s="347"/>
      <c r="B366" s="245"/>
      <c r="C366" s="243"/>
      <c r="D366" s="243"/>
      <c r="E366" s="243"/>
      <c r="F366" s="243"/>
      <c r="G366" s="243"/>
      <c r="H366" s="245"/>
      <c r="I366" s="283"/>
      <c r="J366" s="283"/>
      <c r="K366" s="109"/>
      <c r="L366" s="153"/>
      <c r="M366" s="283"/>
      <c r="N366" s="109"/>
      <c r="O366" s="153"/>
      <c r="P366" s="140"/>
    </row>
    <row r="367" spans="1:16">
      <c r="A367" s="261">
        <v>7</v>
      </c>
      <c r="B367" s="284" t="s">
        <v>54</v>
      </c>
      <c r="C367" s="344"/>
      <c r="D367" s="245"/>
      <c r="E367" s="243"/>
      <c r="F367" s="243"/>
      <c r="G367" s="243"/>
      <c r="H367" s="245">
        <f>SUM(B367:G367)</f>
        <v>0</v>
      </c>
      <c r="I367" s="283"/>
      <c r="J367" s="283"/>
      <c r="K367" s="109"/>
      <c r="L367" s="153"/>
      <c r="M367" s="283"/>
      <c r="N367" s="109"/>
      <c r="O367" s="153"/>
      <c r="P367" s="140"/>
    </row>
    <row r="368" spans="1:16" ht="22.5">
      <c r="A368" s="262">
        <v>701</v>
      </c>
      <c r="B368" s="286" t="s">
        <v>237</v>
      </c>
      <c r="C368" s="243">
        <v>50000000</v>
      </c>
      <c r="D368" s="243"/>
      <c r="E368" s="245"/>
      <c r="F368" s="243"/>
      <c r="G368" s="245"/>
      <c r="H368" s="245">
        <f t="shared" ref="H368:H380" si="27">SUM(C368:G368)</f>
        <v>50000000</v>
      </c>
      <c r="I368" s="283" t="s">
        <v>488</v>
      </c>
      <c r="J368" s="283"/>
      <c r="K368" s="109"/>
      <c r="L368" s="153"/>
      <c r="M368" s="283" t="s">
        <v>403</v>
      </c>
      <c r="N368" s="109">
        <v>950</v>
      </c>
      <c r="O368" s="153">
        <v>982</v>
      </c>
      <c r="P368" s="140"/>
    </row>
    <row r="369" spans="1:16" ht="22.5">
      <c r="A369" s="262">
        <v>702</v>
      </c>
      <c r="B369" s="286" t="s">
        <v>238</v>
      </c>
      <c r="C369" s="243">
        <v>50000000</v>
      </c>
      <c r="D369" s="243"/>
      <c r="E369" s="243"/>
      <c r="F369" s="243"/>
      <c r="G369" s="243"/>
      <c r="H369" s="245">
        <f t="shared" si="27"/>
        <v>50000000</v>
      </c>
      <c r="I369" s="283"/>
      <c r="J369" s="283"/>
      <c r="K369" s="109"/>
      <c r="L369" s="153"/>
      <c r="M369" s="283" t="s">
        <v>404</v>
      </c>
      <c r="N369" s="141">
        <f>950/1300*100</f>
        <v>73.076923076923066</v>
      </c>
      <c r="O369" s="282">
        <f>0.756153846153846*100</f>
        <v>75.615384615384599</v>
      </c>
      <c r="P369" s="140"/>
    </row>
    <row r="370" spans="1:16">
      <c r="A370" s="262"/>
      <c r="B370" s="286"/>
      <c r="C370" s="245"/>
      <c r="D370" s="243"/>
      <c r="E370" s="245"/>
      <c r="F370" s="245"/>
      <c r="G370" s="245"/>
      <c r="H370" s="245">
        <f t="shared" si="27"/>
        <v>0</v>
      </c>
      <c r="I370" s="283"/>
      <c r="J370" s="283"/>
      <c r="K370" s="109"/>
      <c r="L370" s="153"/>
      <c r="M370" s="283"/>
      <c r="N370" s="109"/>
      <c r="O370" s="153"/>
      <c r="P370" s="140"/>
    </row>
    <row r="371" spans="1:16">
      <c r="A371" s="261">
        <v>8</v>
      </c>
      <c r="B371" s="284" t="s">
        <v>5</v>
      </c>
      <c r="C371" s="344"/>
      <c r="D371" s="243"/>
      <c r="E371" s="243"/>
      <c r="F371" s="243"/>
      <c r="G371" s="243"/>
      <c r="H371" s="245">
        <f>SUM(B371:G371)</f>
        <v>0</v>
      </c>
      <c r="I371" s="283"/>
      <c r="J371" s="283"/>
      <c r="K371" s="109"/>
      <c r="L371" s="153"/>
      <c r="M371" s="283"/>
      <c r="N371" s="109"/>
      <c r="O371" s="153"/>
      <c r="P371" s="140"/>
    </row>
    <row r="372" spans="1:16" ht="33.75">
      <c r="A372" s="262">
        <v>801</v>
      </c>
      <c r="B372" s="286" t="s">
        <v>239</v>
      </c>
      <c r="C372" s="243">
        <v>43000000</v>
      </c>
      <c r="D372" s="243"/>
      <c r="E372" s="243"/>
      <c r="F372" s="243"/>
      <c r="G372" s="243"/>
      <c r="H372" s="245">
        <f>SUM(C372:G372)</f>
        <v>43000000</v>
      </c>
      <c r="I372" s="283" t="s">
        <v>490</v>
      </c>
      <c r="J372" s="283"/>
      <c r="K372" s="109"/>
      <c r="L372" s="153"/>
      <c r="M372" s="283" t="s">
        <v>405</v>
      </c>
      <c r="N372" s="141">
        <f>900/1300*100</f>
        <v>69.230769230769226</v>
      </c>
      <c r="O372" s="282">
        <f>900/1300*100</f>
        <v>69.230769230769226</v>
      </c>
      <c r="P372" s="140"/>
    </row>
    <row r="373" spans="1:16" ht="22.5">
      <c r="A373" s="262">
        <v>802</v>
      </c>
      <c r="B373" s="286" t="s">
        <v>261</v>
      </c>
      <c r="C373" s="243">
        <v>5000000</v>
      </c>
      <c r="D373" s="243"/>
      <c r="E373" s="243"/>
      <c r="F373" s="243"/>
      <c r="G373" s="243"/>
      <c r="H373" s="245">
        <f>SUM(C373:G373)</f>
        <v>5000000</v>
      </c>
      <c r="I373" s="283"/>
      <c r="J373" s="283"/>
      <c r="K373" s="109"/>
      <c r="L373" s="153"/>
      <c r="M373" s="283" t="s">
        <v>406</v>
      </c>
      <c r="N373" s="109">
        <v>900</v>
      </c>
      <c r="O373" s="153">
        <v>900</v>
      </c>
      <c r="P373" s="140"/>
    </row>
    <row r="374" spans="1:16">
      <c r="A374" s="262">
        <v>803</v>
      </c>
      <c r="B374" s="286" t="s">
        <v>432</v>
      </c>
      <c r="C374" s="243">
        <v>4000000</v>
      </c>
      <c r="D374" s="243"/>
      <c r="E374" s="243"/>
      <c r="F374" s="243"/>
      <c r="G374" s="243"/>
      <c r="H374" s="245">
        <f>SUM(C374:G374)</f>
        <v>4000000</v>
      </c>
      <c r="I374" s="283"/>
      <c r="J374" s="283"/>
      <c r="K374" s="109"/>
      <c r="L374" s="153"/>
      <c r="M374" s="283"/>
      <c r="N374" s="109"/>
      <c r="O374" s="153"/>
      <c r="P374" s="140"/>
    </row>
    <row r="375" spans="1:16">
      <c r="A375" s="262"/>
      <c r="B375" s="286"/>
      <c r="C375" s="243"/>
      <c r="D375" s="243"/>
      <c r="E375" s="243"/>
      <c r="F375" s="243"/>
      <c r="G375" s="243"/>
      <c r="H375" s="245">
        <f>SUM(C375:G375)</f>
        <v>0</v>
      </c>
      <c r="I375" s="283"/>
      <c r="J375" s="283"/>
      <c r="K375" s="109"/>
      <c r="L375" s="153"/>
      <c r="M375" s="283"/>
      <c r="N375" s="109"/>
      <c r="O375" s="153"/>
      <c r="P375" s="140"/>
    </row>
    <row r="376" spans="1:16" ht="33.75">
      <c r="A376" s="261">
        <v>9</v>
      </c>
      <c r="B376" s="284" t="s">
        <v>4</v>
      </c>
      <c r="C376" s="344"/>
      <c r="D376" s="243"/>
      <c r="E376" s="243"/>
      <c r="F376" s="243"/>
      <c r="G376" s="243"/>
      <c r="H376" s="245">
        <f>SUM(B376:G376)</f>
        <v>0</v>
      </c>
      <c r="I376" s="283" t="s">
        <v>489</v>
      </c>
      <c r="J376" s="283"/>
      <c r="K376" s="109">
        <v>60</v>
      </c>
      <c r="L376" s="153">
        <v>70</v>
      </c>
      <c r="M376" s="283" t="s">
        <v>348</v>
      </c>
      <c r="N376" s="109"/>
      <c r="O376" s="153"/>
      <c r="P376" s="140"/>
    </row>
    <row r="377" spans="1:16" ht="33.75">
      <c r="A377" s="262">
        <v>901</v>
      </c>
      <c r="B377" s="286" t="s">
        <v>460</v>
      </c>
      <c r="C377" s="243">
        <f>50000000+15000000</f>
        <v>65000000</v>
      </c>
      <c r="D377" s="243"/>
      <c r="E377" s="243"/>
      <c r="F377" s="243"/>
      <c r="G377" s="243"/>
      <c r="H377" s="245">
        <f t="shared" si="27"/>
        <v>65000000</v>
      </c>
      <c r="I377" s="283"/>
      <c r="J377" s="283"/>
      <c r="K377" s="109"/>
      <c r="L377" s="153"/>
      <c r="M377" s="283" t="s">
        <v>430</v>
      </c>
      <c r="N377" s="109">
        <v>0.5</v>
      </c>
      <c r="O377" s="153">
        <v>0.4</v>
      </c>
      <c r="P377" s="140"/>
    </row>
    <row r="378" spans="1:16">
      <c r="A378" s="262">
        <v>902</v>
      </c>
      <c r="B378" s="286" t="s">
        <v>461</v>
      </c>
      <c r="C378" s="243">
        <f>85000000</f>
        <v>85000000</v>
      </c>
      <c r="D378" s="243"/>
      <c r="E378" s="243"/>
      <c r="F378" s="243"/>
      <c r="G378" s="243"/>
      <c r="H378" s="245">
        <f t="shared" si="27"/>
        <v>85000000</v>
      </c>
      <c r="I378" s="283"/>
      <c r="J378" s="283"/>
      <c r="K378" s="109"/>
      <c r="L378" s="153"/>
      <c r="M378" s="283"/>
      <c r="N378" s="109"/>
      <c r="O378" s="153"/>
      <c r="P378" s="140"/>
    </row>
    <row r="379" spans="1:16" ht="22.5">
      <c r="A379" s="262">
        <v>903</v>
      </c>
      <c r="B379" s="286" t="s">
        <v>353</v>
      </c>
      <c r="C379" s="243"/>
      <c r="D379" s="243">
        <v>50000000</v>
      </c>
      <c r="E379" s="243"/>
      <c r="F379" s="243"/>
      <c r="G379" s="243"/>
      <c r="H379" s="245">
        <f t="shared" si="27"/>
        <v>50000000</v>
      </c>
      <c r="I379" s="283"/>
      <c r="J379" s="283"/>
      <c r="K379" s="109"/>
      <c r="L379" s="153"/>
      <c r="M379" s="283"/>
      <c r="N379" s="109"/>
      <c r="O379" s="153"/>
      <c r="P379" s="140"/>
    </row>
    <row r="380" spans="1:16" ht="22.5">
      <c r="A380" s="262">
        <v>904</v>
      </c>
      <c r="B380" s="286" t="s">
        <v>626</v>
      </c>
      <c r="C380" s="243">
        <v>1724363</v>
      </c>
      <c r="D380" s="243"/>
      <c r="E380" s="243"/>
      <c r="F380" s="243"/>
      <c r="G380" s="243"/>
      <c r="H380" s="245">
        <f t="shared" si="27"/>
        <v>1724363</v>
      </c>
      <c r="I380" s="283"/>
      <c r="J380" s="283"/>
      <c r="K380" s="109"/>
      <c r="L380" s="153"/>
      <c r="M380" s="283"/>
      <c r="N380" s="109"/>
      <c r="O380" s="153"/>
      <c r="P380" s="140"/>
    </row>
    <row r="381" spans="1:16" hidden="1">
      <c r="A381" s="347"/>
      <c r="B381" s="243"/>
      <c r="C381" s="243"/>
      <c r="D381" s="243"/>
      <c r="E381" s="243"/>
      <c r="F381" s="243"/>
      <c r="G381" s="243"/>
      <c r="H381" s="243"/>
      <c r="I381" s="346"/>
      <c r="J381" s="346"/>
      <c r="K381" s="7"/>
      <c r="L381" s="343"/>
      <c r="M381" s="346"/>
      <c r="N381" s="7"/>
      <c r="O381" s="343"/>
      <c r="P381" s="344"/>
    </row>
    <row r="382" spans="1:16" ht="33.75">
      <c r="A382" s="261">
        <v>10</v>
      </c>
      <c r="B382" s="284" t="s">
        <v>36</v>
      </c>
      <c r="C382" s="344"/>
      <c r="D382" s="243"/>
      <c r="E382" s="243"/>
      <c r="F382" s="243"/>
      <c r="G382" s="243"/>
      <c r="H382" s="245">
        <f>SUM(B382:G382)</f>
        <v>0</v>
      </c>
      <c r="I382" s="283"/>
      <c r="J382" s="283"/>
      <c r="K382" s="109"/>
      <c r="L382" s="153"/>
      <c r="M382" s="283" t="s">
        <v>409</v>
      </c>
      <c r="N382" s="109">
        <v>220</v>
      </c>
      <c r="O382" s="153">
        <v>230</v>
      </c>
      <c r="P382" s="140"/>
    </row>
    <row r="383" spans="1:16" ht="33.75">
      <c r="A383" s="262">
        <v>1001</v>
      </c>
      <c r="B383" s="286" t="s">
        <v>260</v>
      </c>
      <c r="C383" s="243">
        <v>8800000</v>
      </c>
      <c r="D383" s="243"/>
      <c r="E383" s="243"/>
      <c r="F383" s="243">
        <v>0</v>
      </c>
      <c r="G383" s="243"/>
      <c r="H383" s="245">
        <f>SUM(C383:G383)</f>
        <v>8800000</v>
      </c>
      <c r="I383" s="283"/>
      <c r="J383" s="283"/>
      <c r="K383" s="109"/>
      <c r="L383" s="153"/>
      <c r="M383" s="283" t="s">
        <v>410</v>
      </c>
      <c r="N383" s="109">
        <v>23</v>
      </c>
      <c r="O383" s="153">
        <v>26</v>
      </c>
      <c r="P383" s="140"/>
    </row>
    <row r="384" spans="1:16" ht="33.75">
      <c r="A384" s="262">
        <v>1002</v>
      </c>
      <c r="B384" s="286" t="s">
        <v>361</v>
      </c>
      <c r="C384" s="243">
        <v>30000000</v>
      </c>
      <c r="D384" s="243"/>
      <c r="E384" s="243">
        <v>6500000</v>
      </c>
      <c r="F384" s="243"/>
      <c r="G384" s="243"/>
      <c r="H384" s="245">
        <f>SUM(C384:G384)</f>
        <v>36500000</v>
      </c>
      <c r="I384" s="283"/>
      <c r="J384" s="283"/>
      <c r="K384" s="109"/>
      <c r="L384" s="153"/>
      <c r="M384" s="283"/>
      <c r="N384" s="109"/>
      <c r="O384" s="153"/>
      <c r="P384" s="140"/>
    </row>
    <row r="385" spans="1:16">
      <c r="A385" s="262">
        <v>1003</v>
      </c>
      <c r="B385" s="286" t="s">
        <v>465</v>
      </c>
      <c r="C385" s="243"/>
      <c r="D385" s="243"/>
      <c r="E385" s="243">
        <v>7000000</v>
      </c>
      <c r="F385" s="243"/>
      <c r="G385" s="243"/>
      <c r="H385" s="245">
        <f>SUM(C385:G385)</f>
        <v>7000000</v>
      </c>
      <c r="I385" s="283"/>
      <c r="J385" s="283"/>
      <c r="K385" s="109"/>
      <c r="L385" s="153"/>
      <c r="M385" s="283"/>
      <c r="N385" s="109"/>
      <c r="O385" s="153"/>
      <c r="P385" s="140"/>
    </row>
    <row r="386" spans="1:16">
      <c r="A386" s="262"/>
      <c r="B386" s="286"/>
      <c r="C386" s="243"/>
      <c r="D386" s="243"/>
      <c r="E386" s="243"/>
      <c r="F386" s="243"/>
      <c r="G386" s="243"/>
      <c r="H386" s="245"/>
      <c r="I386" s="283"/>
      <c r="J386" s="283"/>
      <c r="K386" s="109"/>
      <c r="L386" s="153"/>
      <c r="M386" s="283"/>
      <c r="N386" s="109"/>
      <c r="O386" s="153"/>
      <c r="P386" s="140"/>
    </row>
    <row r="387" spans="1:16">
      <c r="A387" s="261">
        <v>11</v>
      </c>
      <c r="B387" s="284" t="s">
        <v>6</v>
      </c>
      <c r="C387" s="344"/>
      <c r="D387" s="243"/>
      <c r="E387" s="243"/>
      <c r="F387" s="243"/>
      <c r="G387" s="243"/>
      <c r="H387" s="245">
        <f>SUM(B387:G387)</f>
        <v>0</v>
      </c>
      <c r="I387" s="283"/>
      <c r="J387" s="283"/>
      <c r="K387" s="109"/>
      <c r="L387" s="153"/>
      <c r="M387" s="283"/>
      <c r="N387" s="109"/>
      <c r="O387" s="153"/>
      <c r="P387" s="140"/>
    </row>
    <row r="388" spans="1:16">
      <c r="A388" s="262">
        <v>1101</v>
      </c>
      <c r="B388" s="286" t="s">
        <v>457</v>
      </c>
      <c r="C388" s="243">
        <v>10000000</v>
      </c>
      <c r="D388" s="243"/>
      <c r="E388" s="243"/>
      <c r="F388" s="243"/>
      <c r="G388" s="243"/>
      <c r="H388" s="245">
        <f>SUM(C388:G388)</f>
        <v>10000000</v>
      </c>
      <c r="I388" s="283"/>
      <c r="J388" s="283"/>
      <c r="K388" s="109"/>
      <c r="L388" s="153"/>
      <c r="M388" s="283"/>
      <c r="N388" s="109"/>
      <c r="O388" s="153"/>
      <c r="P388" s="140"/>
    </row>
    <row r="389" spans="1:16" ht="22.5">
      <c r="A389" s="262">
        <v>1102</v>
      </c>
      <c r="B389" s="286" t="s">
        <v>458</v>
      </c>
      <c r="C389" s="243">
        <v>10000000</v>
      </c>
      <c r="D389" s="243"/>
      <c r="E389" s="243"/>
      <c r="F389" s="243"/>
      <c r="G389" s="243"/>
      <c r="H389" s="245">
        <f>SUM(C389:G389)</f>
        <v>10000000</v>
      </c>
      <c r="I389" s="283"/>
      <c r="J389" s="283"/>
      <c r="K389" s="109"/>
      <c r="L389" s="153"/>
      <c r="M389" s="283"/>
      <c r="N389" s="109"/>
      <c r="O389" s="153"/>
      <c r="P389" s="140"/>
    </row>
    <row r="390" spans="1:16">
      <c r="A390" s="262"/>
      <c r="B390" s="286"/>
      <c r="C390" s="243"/>
      <c r="D390" s="243"/>
      <c r="E390" s="243"/>
      <c r="F390" s="243"/>
      <c r="G390" s="243"/>
      <c r="H390" s="245"/>
      <c r="I390" s="283"/>
      <c r="J390" s="283"/>
      <c r="K390" s="109"/>
      <c r="L390" s="153"/>
      <c r="M390" s="283"/>
      <c r="N390" s="109"/>
      <c r="O390" s="153"/>
      <c r="P390" s="140"/>
    </row>
    <row r="391" spans="1:16" ht="33.75">
      <c r="A391" s="261">
        <v>12</v>
      </c>
      <c r="B391" s="284" t="s">
        <v>42</v>
      </c>
      <c r="C391" s="344"/>
      <c r="D391" s="243"/>
      <c r="E391" s="243"/>
      <c r="F391" s="243"/>
      <c r="G391" s="243"/>
      <c r="H391" s="245">
        <f>SUM(B391:G391)</f>
        <v>0</v>
      </c>
      <c r="I391" s="283" t="s">
        <v>493</v>
      </c>
      <c r="J391" s="283"/>
      <c r="K391" s="109">
        <v>0</v>
      </c>
      <c r="L391" s="153">
        <v>8</v>
      </c>
      <c r="M391" s="283"/>
      <c r="N391" s="109"/>
      <c r="O391" s="153"/>
      <c r="P391" s="140"/>
    </row>
    <row r="392" spans="1:16">
      <c r="A392" s="262">
        <v>1201</v>
      </c>
      <c r="B392" s="286" t="s">
        <v>240</v>
      </c>
      <c r="C392" s="243">
        <v>10000000</v>
      </c>
      <c r="D392" s="243">
        <v>5000000</v>
      </c>
      <c r="E392" s="243"/>
      <c r="F392" s="243"/>
      <c r="G392" s="243"/>
      <c r="H392" s="245">
        <f>SUM(C392:G392)</f>
        <v>15000000</v>
      </c>
      <c r="I392" s="283"/>
      <c r="J392" s="283"/>
      <c r="K392" s="109">
        <v>0</v>
      </c>
      <c r="L392" s="153">
        <v>0</v>
      </c>
      <c r="M392" s="283"/>
      <c r="N392" s="109"/>
      <c r="O392" s="153"/>
      <c r="P392" s="140"/>
    </row>
    <row r="393" spans="1:16" ht="22.5">
      <c r="A393" s="262">
        <v>1202</v>
      </c>
      <c r="B393" s="286" t="s">
        <v>456</v>
      </c>
      <c r="C393" s="243">
        <v>8400000</v>
      </c>
      <c r="D393" s="243"/>
      <c r="E393" s="243"/>
      <c r="F393" s="243"/>
      <c r="G393" s="243"/>
      <c r="H393" s="245">
        <f>SUM(C393:G393)</f>
        <v>8400000</v>
      </c>
      <c r="I393" s="283"/>
      <c r="J393" s="283"/>
      <c r="K393" s="109"/>
      <c r="L393" s="153"/>
      <c r="M393" s="283"/>
      <c r="N393" s="109"/>
      <c r="O393" s="153"/>
      <c r="P393" s="140"/>
    </row>
    <row r="394" spans="1:16" ht="22.5">
      <c r="A394" s="262">
        <v>1203</v>
      </c>
      <c r="B394" s="286" t="s">
        <v>245</v>
      </c>
      <c r="C394" s="243"/>
      <c r="D394" s="243"/>
      <c r="E394" s="243"/>
      <c r="F394" s="243">
        <v>7000000</v>
      </c>
      <c r="G394" s="243"/>
      <c r="H394" s="245">
        <f>SUM(C394:G394)</f>
        <v>7000000</v>
      </c>
      <c r="I394" s="283" t="s">
        <v>494</v>
      </c>
      <c r="J394" s="283"/>
      <c r="K394" s="109">
        <v>0</v>
      </c>
      <c r="L394" s="153">
        <v>1</v>
      </c>
      <c r="M394" s="283"/>
      <c r="N394" s="109"/>
      <c r="O394" s="153"/>
      <c r="P394" s="140"/>
    </row>
    <row r="395" spans="1:16">
      <c r="A395" s="262">
        <v>1204</v>
      </c>
      <c r="B395" s="286" t="s">
        <v>467</v>
      </c>
      <c r="C395" s="243"/>
      <c r="D395" s="243">
        <v>9000000</v>
      </c>
      <c r="E395" s="243"/>
      <c r="F395" s="243"/>
      <c r="G395" s="243"/>
      <c r="H395" s="245">
        <f>SUM(C395:G395)</f>
        <v>9000000</v>
      </c>
      <c r="I395" s="283"/>
      <c r="J395" s="283"/>
      <c r="K395" s="109"/>
      <c r="L395" s="153"/>
      <c r="M395" s="283"/>
      <c r="N395" s="109"/>
      <c r="O395" s="345"/>
      <c r="P395" s="140"/>
    </row>
    <row r="396" spans="1:16">
      <c r="A396" s="262"/>
      <c r="B396" s="286"/>
      <c r="C396" s="243"/>
      <c r="D396" s="243"/>
      <c r="E396" s="243"/>
      <c r="F396" s="243"/>
      <c r="G396" s="243"/>
      <c r="H396" s="245">
        <f>SUM(C396:G396)</f>
        <v>0</v>
      </c>
      <c r="I396" s="283"/>
      <c r="J396" s="283"/>
      <c r="K396" s="109"/>
      <c r="L396" s="153"/>
      <c r="M396" s="283"/>
      <c r="N396" s="109"/>
      <c r="O396" s="153"/>
      <c r="P396" s="140"/>
    </row>
    <row r="397" spans="1:16">
      <c r="A397" s="263">
        <v>13</v>
      </c>
      <c r="B397" s="284" t="s">
        <v>53</v>
      </c>
      <c r="C397" s="344"/>
      <c r="D397" s="243"/>
      <c r="E397" s="243"/>
      <c r="F397" s="243"/>
      <c r="G397" s="243"/>
      <c r="H397" s="245">
        <f>SUM(B397:G397)</f>
        <v>0</v>
      </c>
      <c r="I397" s="283"/>
      <c r="J397" s="283"/>
      <c r="K397" s="109"/>
      <c r="L397" s="153"/>
      <c r="M397" s="283"/>
      <c r="N397" s="109"/>
      <c r="O397" s="153"/>
      <c r="P397" s="140"/>
    </row>
    <row r="398" spans="1:16" ht="33.75">
      <c r="A398" s="262">
        <v>1301</v>
      </c>
      <c r="B398" s="286" t="s">
        <v>360</v>
      </c>
      <c r="C398" s="243">
        <v>3000000</v>
      </c>
      <c r="D398" s="243"/>
      <c r="E398" s="243"/>
      <c r="F398" s="243"/>
      <c r="G398" s="243"/>
      <c r="H398" s="245">
        <f>SUM(C398:G398)</f>
        <v>3000000</v>
      </c>
      <c r="I398" s="283" t="s">
        <v>500</v>
      </c>
      <c r="J398" s="283"/>
      <c r="K398" s="109">
        <v>180</v>
      </c>
      <c r="L398" s="153">
        <v>240</v>
      </c>
      <c r="M398" s="283"/>
      <c r="N398" s="109"/>
      <c r="O398" s="153"/>
      <c r="P398" s="140"/>
    </row>
    <row r="399" spans="1:16">
      <c r="A399" s="262"/>
      <c r="B399" s="286"/>
      <c r="C399" s="243"/>
      <c r="D399" s="243"/>
      <c r="E399" s="243"/>
      <c r="F399" s="243"/>
      <c r="G399" s="243"/>
      <c r="H399" s="245"/>
      <c r="I399" s="283"/>
      <c r="J399" s="283"/>
      <c r="K399" s="109"/>
      <c r="L399" s="153"/>
      <c r="M399" s="283"/>
      <c r="N399" s="109"/>
      <c r="O399" s="153"/>
      <c r="P399" s="140"/>
    </row>
    <row r="400" spans="1:16" ht="56.25">
      <c r="A400" s="261">
        <v>14</v>
      </c>
      <c r="B400" s="284" t="s">
        <v>38</v>
      </c>
      <c r="C400" s="344"/>
      <c r="D400" s="243"/>
      <c r="E400" s="243"/>
      <c r="F400" s="243"/>
      <c r="G400" s="243"/>
      <c r="H400" s="245">
        <f>SUM(B400:G400)</f>
        <v>0</v>
      </c>
      <c r="I400" s="283" t="s">
        <v>498</v>
      </c>
      <c r="J400" s="283"/>
      <c r="K400" s="109"/>
      <c r="L400" s="153"/>
      <c r="M400" s="283" t="s">
        <v>349</v>
      </c>
      <c r="N400" s="109"/>
      <c r="O400" s="153"/>
      <c r="P400" s="140"/>
    </row>
    <row r="401" spans="1:16" ht="45">
      <c r="A401" s="262">
        <v>1401</v>
      </c>
      <c r="B401" s="286" t="s">
        <v>256</v>
      </c>
      <c r="C401" s="243">
        <v>3000000</v>
      </c>
      <c r="D401" s="243"/>
      <c r="E401" s="243"/>
      <c r="F401" s="243"/>
      <c r="G401" s="243"/>
      <c r="H401" s="245">
        <f t="shared" ref="H401:H416" si="28">SUM(C401:G401)</f>
        <v>3000000</v>
      </c>
      <c r="I401" s="283" t="s">
        <v>497</v>
      </c>
      <c r="J401" s="283"/>
      <c r="K401" s="109"/>
      <c r="L401" s="153"/>
      <c r="M401" s="283"/>
      <c r="N401" s="109"/>
      <c r="O401" s="153"/>
      <c r="P401" s="140"/>
    </row>
    <row r="402" spans="1:16" ht="22.5">
      <c r="A402" s="262">
        <v>1402</v>
      </c>
      <c r="B402" s="286" t="s">
        <v>244</v>
      </c>
      <c r="C402" s="243">
        <v>3000000</v>
      </c>
      <c r="D402" s="284"/>
      <c r="E402" s="284"/>
      <c r="F402" s="284"/>
      <c r="G402" s="284"/>
      <c r="H402" s="245">
        <f t="shared" si="28"/>
        <v>3000000</v>
      </c>
      <c r="I402" s="283"/>
      <c r="J402" s="283"/>
      <c r="K402" s="109"/>
      <c r="L402" s="153"/>
      <c r="M402" s="283"/>
      <c r="N402" s="109"/>
      <c r="O402" s="153"/>
      <c r="P402" s="140"/>
    </row>
    <row r="403" spans="1:16">
      <c r="A403" s="262">
        <v>1403</v>
      </c>
      <c r="B403" s="286" t="s">
        <v>357</v>
      </c>
      <c r="C403" s="243">
        <v>14000000</v>
      </c>
      <c r="D403" s="243"/>
      <c r="E403" s="243"/>
      <c r="F403" s="243"/>
      <c r="G403" s="243"/>
      <c r="H403" s="245">
        <f t="shared" si="28"/>
        <v>14000000</v>
      </c>
      <c r="I403" s="283"/>
      <c r="J403" s="283"/>
      <c r="K403" s="109"/>
      <c r="L403" s="153"/>
      <c r="M403" s="283"/>
      <c r="N403" s="109"/>
      <c r="O403" s="153"/>
      <c r="P403" s="140"/>
    </row>
    <row r="404" spans="1:16" ht="45">
      <c r="A404" s="262">
        <v>1404</v>
      </c>
      <c r="B404" s="286" t="s">
        <v>627</v>
      </c>
      <c r="C404" s="243">
        <v>1000000</v>
      </c>
      <c r="D404" s="243"/>
      <c r="E404" s="243"/>
      <c r="F404" s="243"/>
      <c r="G404" s="243"/>
      <c r="H404" s="245">
        <f t="shared" si="28"/>
        <v>1000000</v>
      </c>
      <c r="I404" s="283" t="s">
        <v>499</v>
      </c>
      <c r="J404" s="283"/>
      <c r="K404" s="109">
        <v>270</v>
      </c>
      <c r="L404" s="153">
        <v>290</v>
      </c>
      <c r="M404" s="283"/>
      <c r="N404" s="109"/>
      <c r="O404" s="153"/>
      <c r="P404" s="140"/>
    </row>
    <row r="405" spans="1:16" ht="22.5">
      <c r="A405" s="262">
        <v>1405</v>
      </c>
      <c r="B405" s="286" t="s">
        <v>352</v>
      </c>
      <c r="C405" s="243">
        <v>2000000</v>
      </c>
      <c r="D405" s="243"/>
      <c r="E405" s="243"/>
      <c r="F405" s="243"/>
      <c r="G405" s="243"/>
      <c r="H405" s="245">
        <f t="shared" si="28"/>
        <v>2000000</v>
      </c>
      <c r="I405" s="283"/>
      <c r="J405" s="283"/>
      <c r="K405" s="109"/>
      <c r="L405" s="153"/>
      <c r="M405" s="283"/>
      <c r="N405" s="109"/>
      <c r="O405" s="153"/>
      <c r="P405" s="140"/>
    </row>
    <row r="406" spans="1:16">
      <c r="A406" s="262">
        <v>1406</v>
      </c>
      <c r="B406" s="286" t="s">
        <v>356</v>
      </c>
      <c r="C406" s="243">
        <v>2000000</v>
      </c>
      <c r="D406" s="243"/>
      <c r="E406" s="243"/>
      <c r="F406" s="243"/>
      <c r="G406" s="243"/>
      <c r="H406" s="245">
        <f t="shared" si="28"/>
        <v>2000000</v>
      </c>
      <c r="I406" s="283"/>
      <c r="J406" s="283"/>
      <c r="K406" s="109"/>
      <c r="L406" s="153"/>
      <c r="M406" s="283"/>
      <c r="N406" s="109"/>
      <c r="O406" s="153"/>
      <c r="P406" s="140"/>
    </row>
    <row r="407" spans="1:16">
      <c r="A407" s="262">
        <v>1407</v>
      </c>
      <c r="B407" s="286" t="s">
        <v>357</v>
      </c>
      <c r="C407" s="243"/>
      <c r="D407" s="243"/>
      <c r="E407" s="243"/>
      <c r="F407" s="243"/>
      <c r="G407" s="243"/>
      <c r="H407" s="245">
        <f t="shared" si="28"/>
        <v>0</v>
      </c>
      <c r="I407" s="283"/>
      <c r="J407" s="283"/>
      <c r="K407" s="109"/>
      <c r="L407" s="153"/>
      <c r="M407" s="283"/>
      <c r="N407" s="109"/>
      <c r="O407" s="153"/>
      <c r="P407" s="140"/>
    </row>
    <row r="408" spans="1:16">
      <c r="A408" s="262">
        <v>1408</v>
      </c>
      <c r="B408" s="286" t="s">
        <v>358</v>
      </c>
      <c r="C408" s="243">
        <v>2000000</v>
      </c>
      <c r="D408" s="243"/>
      <c r="E408" s="243"/>
      <c r="F408" s="243"/>
      <c r="G408" s="243"/>
      <c r="H408" s="245">
        <f t="shared" si="28"/>
        <v>2000000</v>
      </c>
      <c r="I408" s="283"/>
      <c r="J408" s="283"/>
      <c r="K408" s="109"/>
      <c r="L408" s="153"/>
      <c r="M408" s="283"/>
      <c r="N408" s="109"/>
      <c r="O408" s="153"/>
      <c r="P408" s="140"/>
    </row>
    <row r="409" spans="1:16">
      <c r="A409" s="262">
        <v>1409</v>
      </c>
      <c r="B409" s="286" t="s">
        <v>359</v>
      </c>
      <c r="C409" s="243">
        <v>2000000</v>
      </c>
      <c r="D409" s="243"/>
      <c r="E409" s="243"/>
      <c r="F409" s="245"/>
      <c r="G409" s="245"/>
      <c r="H409" s="245">
        <f t="shared" si="28"/>
        <v>2000000</v>
      </c>
      <c r="I409" s="283"/>
      <c r="J409" s="283"/>
      <c r="K409" s="109"/>
      <c r="L409" s="153"/>
      <c r="M409" s="283"/>
      <c r="N409" s="109"/>
      <c r="O409" s="153"/>
      <c r="P409" s="140"/>
    </row>
    <row r="410" spans="1:16">
      <c r="A410" s="262">
        <v>1410</v>
      </c>
      <c r="B410" s="286" t="s">
        <v>453</v>
      </c>
      <c r="C410" s="243">
        <v>1000000</v>
      </c>
      <c r="D410" s="243"/>
      <c r="E410" s="243"/>
      <c r="F410" s="243"/>
      <c r="G410" s="243"/>
      <c r="H410" s="245">
        <f t="shared" si="28"/>
        <v>1000000</v>
      </c>
      <c r="I410" s="283"/>
      <c r="J410" s="283"/>
      <c r="K410" s="109"/>
      <c r="L410" s="153"/>
      <c r="M410" s="283"/>
      <c r="N410" s="109"/>
      <c r="O410" s="153"/>
      <c r="P410" s="140"/>
    </row>
    <row r="411" spans="1:16">
      <c r="A411" s="262">
        <v>1411</v>
      </c>
      <c r="B411" s="286" t="s">
        <v>363</v>
      </c>
      <c r="C411" s="243">
        <v>4000000</v>
      </c>
      <c r="D411" s="243"/>
      <c r="E411" s="243"/>
      <c r="F411" s="243">
        <v>5000000</v>
      </c>
      <c r="G411" s="243"/>
      <c r="H411" s="245">
        <f t="shared" si="28"/>
        <v>9000000</v>
      </c>
      <c r="I411" s="283"/>
      <c r="J411" s="283"/>
      <c r="K411" s="109"/>
      <c r="L411" s="153"/>
      <c r="M411" s="283"/>
      <c r="N411" s="109"/>
      <c r="O411" s="153"/>
      <c r="P411" s="140"/>
    </row>
    <row r="412" spans="1:16" ht="22.5">
      <c r="A412" s="262">
        <v>1412</v>
      </c>
      <c r="B412" s="286" t="s">
        <v>451</v>
      </c>
      <c r="C412" s="243">
        <v>4000000</v>
      </c>
      <c r="D412" s="243"/>
      <c r="E412" s="243"/>
      <c r="F412" s="243"/>
      <c r="G412" s="243"/>
      <c r="H412" s="245">
        <f t="shared" si="28"/>
        <v>4000000</v>
      </c>
      <c r="I412" s="283"/>
      <c r="J412" s="283"/>
      <c r="K412" s="109"/>
      <c r="L412" s="153"/>
      <c r="M412" s="283"/>
      <c r="N412" s="109"/>
      <c r="O412" s="153"/>
      <c r="P412" s="140"/>
    </row>
    <row r="413" spans="1:16" ht="22.5">
      <c r="A413" s="262">
        <v>1413</v>
      </c>
      <c r="B413" s="286" t="s">
        <v>452</v>
      </c>
      <c r="C413" s="243">
        <v>1000000</v>
      </c>
      <c r="D413" s="243"/>
      <c r="E413" s="243"/>
      <c r="F413" s="243"/>
      <c r="G413" s="243"/>
      <c r="H413" s="245">
        <f t="shared" si="28"/>
        <v>1000000</v>
      </c>
      <c r="I413" s="283"/>
      <c r="J413" s="283"/>
      <c r="K413" s="109"/>
      <c r="L413" s="153"/>
      <c r="M413" s="283"/>
      <c r="N413" s="109"/>
      <c r="O413" s="153"/>
      <c r="P413" s="140"/>
    </row>
    <row r="414" spans="1:16">
      <c r="A414" s="262">
        <v>1414</v>
      </c>
      <c r="B414" s="286" t="s">
        <v>454</v>
      </c>
      <c r="C414" s="243">
        <v>1000000</v>
      </c>
      <c r="D414" s="243"/>
      <c r="E414" s="243"/>
      <c r="F414" s="243"/>
      <c r="G414" s="243"/>
      <c r="H414" s="245">
        <f t="shared" si="28"/>
        <v>1000000</v>
      </c>
      <c r="I414" s="283"/>
      <c r="J414" s="283"/>
      <c r="K414" s="109"/>
      <c r="L414" s="153"/>
      <c r="M414" s="283"/>
      <c r="N414" s="109"/>
      <c r="O414" s="153"/>
      <c r="P414" s="140"/>
    </row>
    <row r="415" spans="1:16">
      <c r="A415" s="262">
        <v>1415</v>
      </c>
      <c r="B415" s="286" t="s">
        <v>455</v>
      </c>
      <c r="C415" s="243">
        <v>1000000</v>
      </c>
      <c r="D415" s="243"/>
      <c r="E415" s="243"/>
      <c r="F415" s="243"/>
      <c r="G415" s="243"/>
      <c r="H415" s="245">
        <f t="shared" si="28"/>
        <v>1000000</v>
      </c>
      <c r="I415" s="283"/>
      <c r="J415" s="283"/>
      <c r="K415" s="109"/>
      <c r="L415" s="153"/>
      <c r="M415" s="283"/>
      <c r="N415" s="109"/>
      <c r="O415" s="153"/>
      <c r="P415" s="140"/>
    </row>
    <row r="416" spans="1:16">
      <c r="A416" s="262">
        <v>1416</v>
      </c>
      <c r="B416" s="286" t="s">
        <v>433</v>
      </c>
      <c r="C416" s="243">
        <v>3000000</v>
      </c>
      <c r="D416" s="243"/>
      <c r="E416" s="243"/>
      <c r="F416" s="243"/>
      <c r="G416" s="243"/>
      <c r="H416" s="245">
        <f t="shared" si="28"/>
        <v>3000000</v>
      </c>
      <c r="I416" s="283"/>
      <c r="J416" s="283"/>
      <c r="K416" s="109"/>
      <c r="L416" s="153"/>
      <c r="M416" s="283"/>
      <c r="N416" s="109"/>
      <c r="O416" s="153"/>
      <c r="P416" s="140"/>
    </row>
    <row r="417" spans="1:16">
      <c r="A417" s="262"/>
      <c r="B417" s="286"/>
      <c r="C417" s="243"/>
      <c r="D417" s="243"/>
      <c r="E417" s="243"/>
      <c r="F417" s="243"/>
      <c r="G417" s="243"/>
      <c r="H417" s="245"/>
      <c r="I417" s="283"/>
      <c r="J417" s="283"/>
      <c r="K417" s="109"/>
      <c r="L417" s="153"/>
      <c r="M417" s="283"/>
      <c r="N417" s="109"/>
      <c r="O417" s="153"/>
      <c r="P417" s="140"/>
    </row>
    <row r="418" spans="1:16" ht="22.5">
      <c r="A418" s="261">
        <v>15</v>
      </c>
      <c r="B418" s="284" t="s">
        <v>48</v>
      </c>
      <c r="C418" s="344"/>
      <c r="D418" s="243"/>
      <c r="E418" s="243"/>
      <c r="F418" s="243"/>
      <c r="G418" s="243"/>
      <c r="H418" s="245">
        <f>SUM(B418:G418)</f>
        <v>0</v>
      </c>
      <c r="I418" s="283"/>
      <c r="J418" s="283"/>
      <c r="K418" s="109"/>
      <c r="L418" s="153"/>
      <c r="M418" s="283"/>
      <c r="N418" s="109"/>
      <c r="O418" s="153"/>
      <c r="P418" s="140"/>
    </row>
    <row r="419" spans="1:16" ht="45">
      <c r="A419" s="262">
        <v>1501</v>
      </c>
      <c r="B419" s="286" t="s">
        <v>262</v>
      </c>
      <c r="C419" s="243">
        <v>2000000</v>
      </c>
      <c r="D419" s="243"/>
      <c r="E419" s="243"/>
      <c r="F419" s="243"/>
      <c r="G419" s="243"/>
      <c r="H419" s="245">
        <f t="shared" ref="H419:H425" si="29">SUM(C419:G419)</f>
        <v>2000000</v>
      </c>
      <c r="I419" s="283" t="s">
        <v>491</v>
      </c>
      <c r="J419" s="283"/>
      <c r="K419" s="109">
        <v>7</v>
      </c>
      <c r="L419" s="153">
        <v>8</v>
      </c>
      <c r="M419" s="283" t="s">
        <v>407</v>
      </c>
      <c r="N419" s="109">
        <v>25</v>
      </c>
      <c r="O419" s="153">
        <v>30</v>
      </c>
      <c r="P419" s="140"/>
    </row>
    <row r="420" spans="1:16" ht="33.75">
      <c r="A420" s="262">
        <v>1502</v>
      </c>
      <c r="B420" s="286" t="s">
        <v>263</v>
      </c>
      <c r="C420" s="243">
        <v>5000000</v>
      </c>
      <c r="D420" s="243"/>
      <c r="E420" s="243"/>
      <c r="F420" s="243"/>
      <c r="G420" s="243"/>
      <c r="H420" s="245">
        <f t="shared" si="29"/>
        <v>5000000</v>
      </c>
      <c r="I420" s="283" t="s">
        <v>492</v>
      </c>
      <c r="J420" s="283"/>
      <c r="K420" s="109">
        <v>90</v>
      </c>
      <c r="L420" s="153">
        <v>95</v>
      </c>
      <c r="M420" s="283"/>
      <c r="N420" s="109"/>
      <c r="O420" s="153"/>
      <c r="P420" s="140"/>
    </row>
    <row r="421" spans="1:16" ht="22.5">
      <c r="A421" s="262">
        <v>1503</v>
      </c>
      <c r="B421" s="286" t="s">
        <v>427</v>
      </c>
      <c r="C421" s="243">
        <v>2000000</v>
      </c>
      <c r="D421" s="243"/>
      <c r="E421" s="243"/>
      <c r="F421" s="243"/>
      <c r="G421" s="243"/>
      <c r="H421" s="245">
        <f t="shared" si="29"/>
        <v>2000000</v>
      </c>
      <c r="I421" s="283"/>
      <c r="J421" s="283"/>
      <c r="K421" s="109"/>
      <c r="L421" s="153"/>
      <c r="M421" s="283"/>
      <c r="N421" s="109"/>
      <c r="O421" s="153"/>
      <c r="P421" s="140"/>
    </row>
    <row r="422" spans="1:16" ht="22.5">
      <c r="A422" s="262">
        <v>1504</v>
      </c>
      <c r="B422" s="286" t="s">
        <v>506</v>
      </c>
      <c r="C422" s="243"/>
      <c r="D422" s="243"/>
      <c r="E422" s="243"/>
      <c r="F422" s="243"/>
      <c r="G422" s="243"/>
      <c r="H422" s="245">
        <f t="shared" si="29"/>
        <v>0</v>
      </c>
      <c r="I422" s="283"/>
      <c r="J422" s="283"/>
      <c r="K422" s="109"/>
      <c r="L422" s="153"/>
      <c r="M422" s="283"/>
      <c r="N422" s="109"/>
      <c r="O422" s="153"/>
      <c r="P422" s="140"/>
    </row>
    <row r="423" spans="1:16">
      <c r="A423" s="262">
        <v>1505</v>
      </c>
      <c r="B423" s="286" t="s">
        <v>459</v>
      </c>
      <c r="C423" s="243">
        <v>5000000</v>
      </c>
      <c r="D423" s="243"/>
      <c r="E423" s="243"/>
      <c r="F423" s="243"/>
      <c r="G423" s="243"/>
      <c r="H423" s="245">
        <f t="shared" si="29"/>
        <v>5000000</v>
      </c>
      <c r="I423" s="283"/>
      <c r="J423" s="283"/>
      <c r="K423" s="109"/>
      <c r="L423" s="153"/>
      <c r="M423" s="283"/>
      <c r="N423" s="109"/>
      <c r="O423" s="153"/>
      <c r="P423" s="140"/>
    </row>
    <row r="424" spans="1:16">
      <c r="A424" s="262">
        <v>1506</v>
      </c>
      <c r="B424" s="286" t="s">
        <v>503</v>
      </c>
      <c r="C424" s="243"/>
      <c r="D424" s="243"/>
      <c r="E424" s="243"/>
      <c r="F424" s="243"/>
      <c r="G424" s="243"/>
      <c r="H424" s="245">
        <f t="shared" si="29"/>
        <v>0</v>
      </c>
      <c r="I424" s="283"/>
      <c r="J424" s="283"/>
      <c r="K424" s="109"/>
      <c r="L424" s="153"/>
      <c r="M424" s="283"/>
      <c r="N424" s="109"/>
      <c r="O424" s="153"/>
      <c r="P424" s="140"/>
    </row>
    <row r="425" spans="1:16" ht="22.5">
      <c r="A425" s="262">
        <v>1507</v>
      </c>
      <c r="B425" s="286" t="s">
        <v>507</v>
      </c>
      <c r="C425" s="243">
        <v>5000000</v>
      </c>
      <c r="D425" s="243"/>
      <c r="E425" s="243"/>
      <c r="F425" s="243"/>
      <c r="G425" s="243"/>
      <c r="H425" s="245">
        <f t="shared" si="29"/>
        <v>5000000</v>
      </c>
      <c r="I425" s="283"/>
      <c r="J425" s="283"/>
      <c r="K425" s="109"/>
      <c r="L425" s="153"/>
      <c r="M425" s="283"/>
      <c r="N425" s="109"/>
      <c r="O425" s="153"/>
      <c r="P425" s="140"/>
    </row>
    <row r="426" spans="1:16">
      <c r="A426" s="262"/>
      <c r="B426" s="286"/>
      <c r="C426" s="243"/>
      <c r="D426" s="243"/>
      <c r="E426" s="243"/>
      <c r="F426" s="243"/>
      <c r="G426" s="243"/>
      <c r="H426" s="245"/>
      <c r="I426" s="283"/>
      <c r="J426" s="283"/>
      <c r="K426" s="109"/>
      <c r="L426" s="153"/>
      <c r="M426" s="283"/>
      <c r="N426" s="109"/>
      <c r="O426" s="153"/>
      <c r="P426" s="140"/>
    </row>
    <row r="427" spans="1:16">
      <c r="A427" s="261">
        <v>16</v>
      </c>
      <c r="B427" s="284" t="s">
        <v>52</v>
      </c>
      <c r="C427" s="344"/>
      <c r="D427" s="243"/>
      <c r="E427" s="245"/>
      <c r="F427" s="245"/>
      <c r="G427" s="245"/>
      <c r="H427" s="245">
        <f>SUM(B427:G427)</f>
        <v>0</v>
      </c>
      <c r="I427" s="283"/>
      <c r="J427" s="283"/>
      <c r="K427" s="109"/>
      <c r="L427" s="153"/>
      <c r="M427" s="283"/>
      <c r="N427" s="109"/>
      <c r="O427" s="153"/>
      <c r="P427" s="140"/>
    </row>
    <row r="428" spans="1:16" ht="22.5">
      <c r="A428" s="262">
        <v>1601</v>
      </c>
      <c r="B428" s="286" t="s">
        <v>241</v>
      </c>
      <c r="C428" s="243">
        <v>1000000</v>
      </c>
      <c r="D428" s="243"/>
      <c r="E428" s="245"/>
      <c r="F428" s="245"/>
      <c r="G428" s="245"/>
      <c r="H428" s="245">
        <f>SUM(C428:G428)</f>
        <v>1000000</v>
      </c>
      <c r="I428" s="283"/>
      <c r="J428" s="283"/>
      <c r="K428" s="109"/>
      <c r="L428" s="153"/>
      <c r="M428" s="283"/>
      <c r="N428" s="109"/>
      <c r="O428" s="153"/>
      <c r="P428" s="140"/>
    </row>
    <row r="429" spans="1:16">
      <c r="A429" s="262"/>
      <c r="B429" s="286"/>
      <c r="C429" s="243"/>
      <c r="D429" s="245"/>
      <c r="E429" s="245"/>
      <c r="F429" s="245"/>
      <c r="G429" s="245"/>
      <c r="H429" s="245">
        <f>SUM(C429:G429)</f>
        <v>0</v>
      </c>
      <c r="I429" s="283"/>
      <c r="J429" s="283"/>
      <c r="K429" s="109"/>
      <c r="L429" s="153"/>
      <c r="M429" s="283"/>
      <c r="N429" s="109"/>
      <c r="O429" s="153"/>
      <c r="P429" s="140"/>
    </row>
    <row r="430" spans="1:16" ht="22.5">
      <c r="A430" s="261">
        <v>17</v>
      </c>
      <c r="B430" s="284" t="s">
        <v>51</v>
      </c>
      <c r="C430" s="344"/>
      <c r="D430" s="243"/>
      <c r="E430" s="243"/>
      <c r="F430" s="243"/>
      <c r="G430" s="243"/>
      <c r="H430" s="245">
        <f>SUM(B430:G430)</f>
        <v>0</v>
      </c>
      <c r="I430" s="283"/>
      <c r="J430" s="283"/>
      <c r="K430" s="109"/>
      <c r="L430" s="153"/>
      <c r="M430" s="283"/>
      <c r="N430" s="109"/>
      <c r="O430" s="153"/>
      <c r="P430" s="140"/>
    </row>
    <row r="431" spans="1:16" ht="33.75">
      <c r="A431" s="262">
        <v>1701</v>
      </c>
      <c r="B431" s="286" t="s">
        <v>354</v>
      </c>
      <c r="C431" s="243">
        <v>9030622</v>
      </c>
      <c r="D431" s="243"/>
      <c r="E431" s="243"/>
      <c r="F431" s="243"/>
      <c r="G431" s="243"/>
      <c r="H431" s="245">
        <f t="shared" ref="H431:H436" si="30">SUM(C431:G431)</f>
        <v>9030622</v>
      </c>
      <c r="I431" s="283"/>
      <c r="J431" s="283"/>
      <c r="K431" s="109">
        <v>1</v>
      </c>
      <c r="L431" s="153">
        <v>1</v>
      </c>
      <c r="M431" s="283" t="s">
        <v>408</v>
      </c>
      <c r="N431" s="109">
        <v>55.42</v>
      </c>
      <c r="O431" s="345">
        <v>58</v>
      </c>
      <c r="P431" s="140"/>
    </row>
    <row r="432" spans="1:16" ht="22.5">
      <c r="A432" s="262">
        <v>1702</v>
      </c>
      <c r="B432" s="286" t="s">
        <v>355</v>
      </c>
      <c r="C432" s="243">
        <v>18000000</v>
      </c>
      <c r="D432" s="243"/>
      <c r="E432" s="243"/>
      <c r="F432" s="243"/>
      <c r="G432" s="243"/>
      <c r="H432" s="245">
        <f t="shared" si="30"/>
        <v>18000000</v>
      </c>
      <c r="I432" s="283"/>
      <c r="J432" s="283"/>
      <c r="K432" s="109">
        <v>1</v>
      </c>
      <c r="L432" s="153">
        <v>1</v>
      </c>
      <c r="M432" s="283"/>
      <c r="N432" s="109"/>
      <c r="O432" s="153"/>
      <c r="P432" s="140"/>
    </row>
    <row r="433" spans="1:31">
      <c r="A433" s="262">
        <v>1703</v>
      </c>
      <c r="B433" s="286" t="s">
        <v>450</v>
      </c>
      <c r="C433" s="243">
        <v>2500000</v>
      </c>
      <c r="D433" s="243"/>
      <c r="E433" s="243"/>
      <c r="F433" s="243"/>
      <c r="G433" s="243"/>
      <c r="H433" s="245">
        <f t="shared" si="30"/>
        <v>2500000</v>
      </c>
      <c r="I433" s="283"/>
      <c r="J433" s="283"/>
      <c r="K433" s="109"/>
      <c r="L433" s="153"/>
      <c r="M433" s="283"/>
      <c r="N433" s="109"/>
      <c r="O433" s="153"/>
      <c r="P433" s="140"/>
    </row>
    <row r="434" spans="1:31">
      <c r="A434" s="262">
        <v>1704</v>
      </c>
      <c r="B434" s="286" t="s">
        <v>426</v>
      </c>
      <c r="C434" s="243">
        <f>6000000-1000000</f>
        <v>5000000</v>
      </c>
      <c r="D434" s="243"/>
      <c r="E434" s="243"/>
      <c r="F434" s="243"/>
      <c r="G434" s="243"/>
      <c r="H434" s="245">
        <f t="shared" si="30"/>
        <v>5000000</v>
      </c>
      <c r="I434" s="283"/>
      <c r="J434" s="283"/>
      <c r="K434" s="109"/>
      <c r="L434" s="153"/>
      <c r="M434" s="283"/>
      <c r="N434" s="109"/>
      <c r="O434" s="153"/>
      <c r="P434" s="140"/>
    </row>
    <row r="435" spans="1:31" ht="22.5">
      <c r="A435" s="262">
        <v>1705</v>
      </c>
      <c r="B435" s="286" t="s">
        <v>91</v>
      </c>
      <c r="C435" s="243">
        <f>6000000</f>
        <v>6000000</v>
      </c>
      <c r="D435" s="243"/>
      <c r="E435" s="243"/>
      <c r="F435" s="243"/>
      <c r="G435" s="243"/>
      <c r="H435" s="245">
        <f t="shared" si="30"/>
        <v>6000000</v>
      </c>
      <c r="I435" s="283"/>
      <c r="J435" s="283"/>
      <c r="K435" s="109"/>
      <c r="L435" s="153"/>
      <c r="M435" s="283"/>
      <c r="N435" s="109"/>
      <c r="O435" s="153"/>
      <c r="P435" s="140"/>
    </row>
    <row r="436" spans="1:31" hidden="1">
      <c r="A436" s="262"/>
      <c r="B436" s="286"/>
      <c r="C436" s="243"/>
      <c r="D436" s="243"/>
      <c r="E436" s="243"/>
      <c r="F436" s="243"/>
      <c r="G436" s="243"/>
      <c r="H436" s="245">
        <f t="shared" si="30"/>
        <v>0</v>
      </c>
      <c r="I436" s="283"/>
      <c r="J436" s="283"/>
      <c r="K436" s="109"/>
      <c r="L436" s="153"/>
      <c r="M436" s="283"/>
      <c r="N436" s="109"/>
      <c r="O436" s="153"/>
      <c r="P436" s="140"/>
    </row>
    <row r="437" spans="1:31" ht="33.75">
      <c r="A437" s="263">
        <v>18</v>
      </c>
      <c r="B437" s="284" t="s">
        <v>40</v>
      </c>
      <c r="C437" s="344"/>
      <c r="D437" s="243"/>
      <c r="E437" s="243"/>
      <c r="F437" s="243"/>
      <c r="G437" s="243"/>
      <c r="H437" s="245">
        <f>SUM(B437:G437)</f>
        <v>0</v>
      </c>
      <c r="I437" s="283" t="s">
        <v>495</v>
      </c>
      <c r="J437" s="283"/>
      <c r="K437" s="109"/>
      <c r="L437" s="153"/>
      <c r="M437" s="283"/>
      <c r="N437" s="109"/>
      <c r="O437" s="153"/>
      <c r="P437" s="140"/>
    </row>
    <row r="438" spans="1:31" ht="24" customHeight="1">
      <c r="A438" s="262">
        <v>1801</v>
      </c>
      <c r="B438" s="286" t="s">
        <v>449</v>
      </c>
      <c r="C438" s="243">
        <f>+'ANEXO X. PROYECCION DE NOMINA'!AA25+5000000</f>
        <v>28424000</v>
      </c>
      <c r="D438" s="243"/>
      <c r="E438" s="243"/>
      <c r="F438" s="243"/>
      <c r="G438" s="243"/>
      <c r="H438" s="245">
        <f>SUM(C438:G438)</f>
        <v>28424000</v>
      </c>
      <c r="I438" s="283" t="s">
        <v>496</v>
      </c>
      <c r="J438" s="283"/>
      <c r="K438" s="109"/>
      <c r="L438" s="153"/>
      <c r="M438" s="283"/>
      <c r="N438" s="109"/>
      <c r="O438" s="153"/>
      <c r="P438" s="140"/>
    </row>
    <row r="439" spans="1:31" ht="23.25" customHeight="1">
      <c r="A439" s="262">
        <v>1802</v>
      </c>
      <c r="B439" s="286" t="s">
        <v>242</v>
      </c>
      <c r="C439" s="243">
        <f>+'ANEXO X. PROYECCION DE NOMINA'!AA23+6000000</f>
        <v>51698000</v>
      </c>
      <c r="D439" s="243"/>
      <c r="E439" s="243"/>
      <c r="F439" s="243"/>
      <c r="G439" s="243"/>
      <c r="H439" s="245">
        <f>SUM(C439:G439)</f>
        <v>51698000</v>
      </c>
      <c r="I439" s="283" t="s">
        <v>497</v>
      </c>
      <c r="J439" s="283"/>
      <c r="K439" s="109"/>
      <c r="L439" s="153"/>
      <c r="M439" s="283"/>
      <c r="N439" s="109"/>
      <c r="O439" s="153"/>
      <c r="P439" s="140"/>
    </row>
    <row r="440" spans="1:31">
      <c r="A440" s="262">
        <v>1803</v>
      </c>
      <c r="B440" s="286" t="s">
        <v>243</v>
      </c>
      <c r="C440" s="243"/>
      <c r="D440" s="243"/>
      <c r="E440" s="243"/>
      <c r="F440" s="243">
        <v>12000000</v>
      </c>
      <c r="G440" s="243"/>
      <c r="H440" s="245">
        <f>SUM(C440:G440)</f>
        <v>12000000</v>
      </c>
      <c r="I440" s="283"/>
      <c r="J440" s="283"/>
      <c r="K440" s="109"/>
      <c r="L440" s="153"/>
      <c r="M440" s="283"/>
      <c r="N440" s="109"/>
      <c r="O440" s="153"/>
      <c r="P440" s="140"/>
    </row>
    <row r="441" spans="1:31">
      <c r="A441" s="262"/>
      <c r="B441" s="286"/>
      <c r="C441" s="284"/>
      <c r="D441" s="284"/>
      <c r="E441" s="284"/>
      <c r="F441" s="284"/>
      <c r="G441" s="284"/>
      <c r="H441" s="245"/>
      <c r="I441" s="283"/>
      <c r="J441" s="283"/>
      <c r="K441" s="109"/>
      <c r="L441" s="153"/>
      <c r="M441" s="283"/>
      <c r="N441" s="109"/>
      <c r="O441" s="153"/>
      <c r="P441" s="140"/>
    </row>
    <row r="442" spans="1:31">
      <c r="A442" s="261" t="s">
        <v>153</v>
      </c>
      <c r="B442" s="305" t="s">
        <v>7</v>
      </c>
      <c r="C442" s="243"/>
      <c r="D442" s="243"/>
      <c r="E442" s="243"/>
      <c r="F442" s="243"/>
      <c r="G442" s="243"/>
      <c r="H442" s="245">
        <f>SUM(C442:G442)</f>
        <v>0</v>
      </c>
      <c r="I442" s="283"/>
      <c r="J442" s="283"/>
      <c r="K442" s="109"/>
      <c r="L442" s="153"/>
      <c r="M442" s="283"/>
      <c r="N442" s="109"/>
      <c r="O442" s="153"/>
      <c r="P442" s="140"/>
    </row>
    <row r="443" spans="1:31" ht="22.5">
      <c r="A443" s="262" t="s">
        <v>220</v>
      </c>
      <c r="B443" s="286" t="s">
        <v>388</v>
      </c>
      <c r="C443" s="243">
        <v>234600000</v>
      </c>
      <c r="D443" s="243"/>
      <c r="E443" s="243"/>
      <c r="F443" s="243"/>
      <c r="G443" s="243"/>
      <c r="H443" s="245">
        <f>SUM(C443:G443)</f>
        <v>234600000</v>
      </c>
      <c r="I443" s="283"/>
      <c r="J443" s="283"/>
      <c r="K443" s="109"/>
      <c r="L443" s="153"/>
      <c r="M443" s="283"/>
      <c r="N443" s="109"/>
      <c r="O443" s="153"/>
      <c r="P443" s="140"/>
    </row>
    <row r="444" spans="1:31" ht="22.5">
      <c r="A444" s="262" t="s">
        <v>221</v>
      </c>
      <c r="B444" s="286" t="s">
        <v>389</v>
      </c>
      <c r="C444" s="243">
        <v>32000000</v>
      </c>
      <c r="D444" s="243"/>
      <c r="E444" s="243"/>
      <c r="F444" s="243"/>
      <c r="G444" s="243"/>
      <c r="H444" s="245">
        <f>SUM(C444:G444)</f>
        <v>32000000</v>
      </c>
      <c r="I444" s="283"/>
      <c r="J444" s="283"/>
      <c r="K444" s="109">
        <v>0</v>
      </c>
      <c r="L444" s="153">
        <v>0</v>
      </c>
      <c r="M444" s="283" t="s">
        <v>431</v>
      </c>
      <c r="N444" s="109">
        <v>14.17</v>
      </c>
      <c r="O444" s="153">
        <v>14.17</v>
      </c>
      <c r="P444" s="140"/>
    </row>
    <row r="445" spans="1:31" ht="12" thickBot="1">
      <c r="A445" s="349"/>
      <c r="B445" s="258"/>
      <c r="C445" s="258"/>
      <c r="D445" s="258"/>
      <c r="E445" s="258"/>
      <c r="F445" s="258"/>
      <c r="G445" s="258"/>
      <c r="H445" s="252">
        <f>SUM(C445:G445)</f>
        <v>0</v>
      </c>
      <c r="I445" s="297"/>
      <c r="J445" s="297"/>
      <c r="K445" s="175"/>
      <c r="L445" s="176"/>
      <c r="M445" s="297"/>
      <c r="N445" s="175"/>
      <c r="O445" s="176"/>
      <c r="P445" s="298"/>
    </row>
    <row r="446" spans="1:31" ht="12" thickBot="1">
      <c r="A446" s="196" t="s">
        <v>116</v>
      </c>
      <c r="B446" s="246"/>
      <c r="C446" s="246">
        <f t="shared" ref="C446:H446" si="31">SUM(C367:C444)</f>
        <v>835176985</v>
      </c>
      <c r="D446" s="246">
        <f t="shared" si="31"/>
        <v>64000000</v>
      </c>
      <c r="E446" s="246">
        <f t="shared" si="31"/>
        <v>13500000</v>
      </c>
      <c r="F446" s="246">
        <f t="shared" si="31"/>
        <v>24000000</v>
      </c>
      <c r="G446" s="246">
        <f t="shared" si="31"/>
        <v>0</v>
      </c>
      <c r="H446" s="246">
        <f t="shared" si="31"/>
        <v>936676985</v>
      </c>
      <c r="I446" s="144"/>
      <c r="J446" s="144"/>
      <c r="K446" s="144"/>
      <c r="L446" s="144"/>
      <c r="M446" s="144"/>
      <c r="N446" s="144"/>
      <c r="O446" s="144"/>
      <c r="P446" s="144"/>
    </row>
    <row r="447" spans="1:31" s="94" customFormat="1">
      <c r="A447" s="247"/>
      <c r="B447" s="121"/>
      <c r="C447" s="423">
        <f>+C74</f>
        <v>835176985</v>
      </c>
      <c r="D447" s="121"/>
      <c r="E447" s="121"/>
      <c r="F447" s="121"/>
      <c r="G447" s="121"/>
      <c r="H447" s="121"/>
      <c r="I447" s="268"/>
      <c r="J447" s="268"/>
      <c r="K447" s="268"/>
      <c r="L447" s="268"/>
      <c r="M447" s="268"/>
      <c r="N447" s="268"/>
      <c r="O447" s="268"/>
      <c r="P447" s="268"/>
    </row>
    <row r="448" spans="1:31" s="94" customFormat="1">
      <c r="A448" s="264"/>
      <c r="B448" s="210"/>
      <c r="C448" s="422">
        <f>+C447-C446</f>
        <v>0</v>
      </c>
      <c r="D448" s="210"/>
      <c r="E448" s="147"/>
      <c r="F448" s="210"/>
      <c r="G448" s="210"/>
      <c r="H448" s="121"/>
      <c r="I448" s="95"/>
      <c r="J448" s="95"/>
      <c r="K448" s="95"/>
      <c r="L448" s="95"/>
      <c r="M448" s="95"/>
      <c r="N448" s="129"/>
      <c r="AE448" s="97"/>
    </row>
    <row r="449" spans="1:16">
      <c r="A449" s="264"/>
      <c r="B449" s="210"/>
      <c r="C449" s="210"/>
      <c r="D449" s="210"/>
      <c r="E449" s="210"/>
      <c r="F449" s="210"/>
      <c r="G449" s="210"/>
      <c r="H449" s="210"/>
    </row>
    <row r="450" spans="1:16" s="84" customFormat="1" ht="14.25" customHeight="1">
      <c r="A450" s="415"/>
      <c r="B450" s="418" t="s">
        <v>616</v>
      </c>
      <c r="C450" s="416"/>
      <c r="D450" s="417"/>
      <c r="E450" s="417"/>
      <c r="F450" s="417"/>
      <c r="G450" s="413"/>
      <c r="H450" s="417"/>
      <c r="I450" s="418"/>
      <c r="J450" s="418"/>
      <c r="K450" s="418"/>
      <c r="L450" s="418"/>
      <c r="M450" s="418"/>
      <c r="N450" s="418"/>
      <c r="O450" s="418"/>
      <c r="P450" s="418"/>
    </row>
    <row r="451" spans="1:16" ht="12.75">
      <c r="A451" s="247"/>
      <c r="B451" s="121"/>
      <c r="C451" s="121"/>
      <c r="D451" s="210"/>
      <c r="E451" s="210"/>
      <c r="F451" s="210"/>
      <c r="H451" s="210"/>
      <c r="I451" s="130"/>
      <c r="J451" s="130"/>
      <c r="K451" s="130"/>
      <c r="L451" s="130"/>
      <c r="M451" s="130"/>
      <c r="N451" s="130"/>
      <c r="O451" s="130"/>
      <c r="P451" s="130"/>
    </row>
    <row r="452" spans="1:16" ht="12.75">
      <c r="A452" s="264"/>
      <c r="B452" s="210"/>
      <c r="C452" s="210"/>
      <c r="D452" s="210"/>
      <c r="E452" s="210"/>
      <c r="F452" s="210"/>
      <c r="H452" s="210"/>
      <c r="I452" s="79"/>
      <c r="J452" s="79"/>
      <c r="K452" s="79"/>
      <c r="L452" s="79"/>
      <c r="M452" s="79"/>
      <c r="N452" s="79"/>
      <c r="O452" s="79"/>
      <c r="P452" s="79"/>
    </row>
    <row r="453" spans="1:16" ht="12.75">
      <c r="A453" s="264"/>
      <c r="B453" s="210"/>
      <c r="C453" s="210"/>
      <c r="D453" s="210"/>
      <c r="E453" s="210"/>
      <c r="F453" s="210"/>
      <c r="G453" s="210"/>
      <c r="H453" s="210"/>
      <c r="I453" s="79"/>
      <c r="J453" s="79"/>
      <c r="K453" s="79"/>
      <c r="L453" s="79"/>
      <c r="M453" s="79"/>
      <c r="N453" s="79"/>
      <c r="O453" s="79"/>
      <c r="P453" s="79"/>
    </row>
    <row r="454" spans="1:16" ht="12.75">
      <c r="A454" s="264"/>
      <c r="B454" s="131" t="s">
        <v>631</v>
      </c>
      <c r="C454" s="210"/>
      <c r="D454" s="210"/>
      <c r="E454" s="210"/>
      <c r="F454" s="210"/>
      <c r="G454" s="131" t="s">
        <v>630</v>
      </c>
      <c r="H454" s="210"/>
      <c r="K454" s="131"/>
      <c r="L454" s="131"/>
      <c r="N454" s="131"/>
      <c r="O454" s="131"/>
      <c r="P454" s="131"/>
    </row>
    <row r="455" spans="1:16" ht="12.75">
      <c r="A455" s="264"/>
      <c r="B455" s="79" t="s">
        <v>202</v>
      </c>
      <c r="C455" s="210"/>
      <c r="D455" s="210"/>
      <c r="E455" s="210"/>
      <c r="F455" s="210"/>
      <c r="G455" s="79" t="s">
        <v>502</v>
      </c>
      <c r="H455" s="260"/>
      <c r="K455" s="79"/>
      <c r="L455" s="79"/>
      <c r="N455" s="79"/>
      <c r="O455" s="79"/>
      <c r="P455" s="79"/>
    </row>
    <row r="456" spans="1:16" ht="12.75">
      <c r="A456" s="264"/>
      <c r="B456" s="79"/>
      <c r="C456" s="210"/>
      <c r="D456" s="210"/>
      <c r="E456" s="210"/>
      <c r="F456" s="210"/>
      <c r="G456" s="79"/>
      <c r="H456" s="260"/>
      <c r="K456" s="79"/>
      <c r="L456" s="79"/>
      <c r="N456" s="79"/>
      <c r="O456" s="79"/>
      <c r="P456" s="79"/>
    </row>
    <row r="457" spans="1:16" ht="12.75">
      <c r="A457" s="264"/>
      <c r="B457" s="79"/>
      <c r="C457" s="210"/>
      <c r="D457" s="210"/>
      <c r="E457" s="210"/>
      <c r="F457" s="210"/>
      <c r="G457" s="79"/>
      <c r="H457" s="260"/>
      <c r="K457" s="79"/>
      <c r="L457" s="79"/>
      <c r="N457" s="79"/>
      <c r="O457" s="79"/>
      <c r="P457" s="79"/>
    </row>
    <row r="458" spans="1:16" ht="12.75">
      <c r="A458" s="264"/>
      <c r="B458" s="79"/>
      <c r="C458" s="210"/>
      <c r="D458" s="210"/>
      <c r="E458" s="210"/>
      <c r="F458" s="210"/>
      <c r="G458" s="79"/>
      <c r="H458" s="121"/>
      <c r="K458" s="79"/>
      <c r="L458" s="79"/>
      <c r="N458" s="79"/>
      <c r="O458" s="79"/>
      <c r="P458" s="79"/>
    </row>
    <row r="459" spans="1:16" ht="12.75">
      <c r="A459" s="264"/>
      <c r="B459" s="131" t="s">
        <v>365</v>
      </c>
      <c r="C459" s="210"/>
      <c r="D459" s="210"/>
      <c r="E459" s="210"/>
      <c r="F459" s="210"/>
      <c r="G459" s="131" t="s">
        <v>501</v>
      </c>
      <c r="H459" s="121"/>
      <c r="K459" s="131"/>
      <c r="L459" s="79"/>
      <c r="N459" s="79"/>
      <c r="O459" s="79"/>
      <c r="P459" s="79"/>
    </row>
    <row r="460" spans="1:16" ht="12.75">
      <c r="A460" s="264"/>
      <c r="B460" s="79" t="s">
        <v>366</v>
      </c>
      <c r="C460" s="210"/>
      <c r="D460" s="210"/>
      <c r="E460" s="210"/>
      <c r="F460" s="210"/>
      <c r="G460" s="79" t="s">
        <v>201</v>
      </c>
      <c r="H460" s="240"/>
      <c r="K460" s="79"/>
      <c r="L460" s="79"/>
      <c r="N460" s="79"/>
      <c r="O460" s="79"/>
      <c r="P460" s="79"/>
    </row>
    <row r="461" spans="1:16">
      <c r="C461" s="323"/>
    </row>
    <row r="465" spans="1:1">
      <c r="A465" s="206" t="s">
        <v>633</v>
      </c>
    </row>
  </sheetData>
  <mergeCells count="61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M220:O220"/>
    <mergeCell ref="A221:A222"/>
    <mergeCell ref="B221:B222"/>
    <mergeCell ref="A13:H13"/>
    <mergeCell ref="A14:H14"/>
    <mergeCell ref="A15:H15"/>
    <mergeCell ref="A16:H16"/>
    <mergeCell ref="A17:F17"/>
    <mergeCell ref="A135:F135"/>
    <mergeCell ref="A254:A256"/>
    <mergeCell ref="B254:B256"/>
    <mergeCell ref="H254:H256"/>
    <mergeCell ref="I254:L254"/>
    <mergeCell ref="M254:O254"/>
    <mergeCell ref="A209:A210"/>
    <mergeCell ref="I218:P218"/>
    <mergeCell ref="A220:B220"/>
    <mergeCell ref="H220:H222"/>
    <mergeCell ref="I220:L220"/>
    <mergeCell ref="A291:A293"/>
    <mergeCell ref="B291:B293"/>
    <mergeCell ref="H291:H293"/>
    <mergeCell ref="I291:L291"/>
    <mergeCell ref="M291:O291"/>
    <mergeCell ref="A243:A245"/>
    <mergeCell ref="B243:B245"/>
    <mergeCell ref="H243:H245"/>
    <mergeCell ref="I243:L243"/>
    <mergeCell ref="M243:O243"/>
    <mergeCell ref="A341:A343"/>
    <mergeCell ref="B341:B343"/>
    <mergeCell ref="H341:H343"/>
    <mergeCell ref="I341:L341"/>
    <mergeCell ref="M341:O341"/>
    <mergeCell ref="A268:A270"/>
    <mergeCell ref="B268:B270"/>
    <mergeCell ref="H268:H270"/>
    <mergeCell ref="I268:L268"/>
    <mergeCell ref="M268:O268"/>
    <mergeCell ref="A362:A364"/>
    <mergeCell ref="B362:B364"/>
    <mergeCell ref="H362:H364"/>
    <mergeCell ref="I362:L362"/>
    <mergeCell ref="M362:O362"/>
    <mergeCell ref="A321:A323"/>
    <mergeCell ref="B321:B323"/>
    <mergeCell ref="H321:H323"/>
    <mergeCell ref="I321:L321"/>
    <mergeCell ref="M321:O321"/>
  </mergeCells>
  <pageMargins left="1.25" right="0.15748031496062992" top="1.28" bottom="0.68" header="0.42" footer="0.31496062992125984"/>
  <pageSetup paperSize="5" scale="65" orientation="landscape" verticalDpi="300" r:id="rId1"/>
  <headerFooter>
    <oddHeader>&amp;L                            &amp;G&amp;C
PRESUPUESTO DE RENTAS Y GASTOS</oddHeader>
    <oddFooter>&amp;CMUNICIPIO DE CUCAITA&amp;RPágina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PROYECTO DE ACUERDO</vt:lpstr>
      <vt:lpstr>POAI</vt:lpstr>
      <vt:lpstr>ANEXO1. GASTOS FUNCIONAMIENTO</vt:lpstr>
      <vt:lpstr>ANEXO X. PROYECCION DE NOMINA</vt:lpstr>
      <vt:lpstr>GASTOS CONCEJO</vt:lpstr>
      <vt:lpstr>Hoja1</vt:lpstr>
      <vt:lpstr>PROYECTO 11</vt:lpstr>
      <vt:lpstr>POA 12</vt:lpstr>
      <vt:lpstr>'ANEXO X. PROYECCION DE NOMINA'!Área_de_impresión</vt:lpstr>
      <vt:lpstr>'POA 12'!Área_de_impresión</vt:lpstr>
      <vt:lpstr>POAI!Área_de_impresión</vt:lpstr>
      <vt:lpstr>'PROYECTO 11'!Área_de_impresión</vt:lpstr>
      <vt:lpstr>'PROYECTO DE ACUERDO'!Área_de_impresión</vt:lpstr>
      <vt:lpstr>'ANEXO1. GASTOS FUNCIONAMIENTO'!Títulos_a_imprimir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DE CUCAITA</dc:creator>
  <cp:lastModifiedBy>rubiurre</cp:lastModifiedBy>
  <cp:lastPrinted>2012-05-17T19:58:24Z</cp:lastPrinted>
  <dcterms:created xsi:type="dcterms:W3CDTF">2001-08-26T00:33:21Z</dcterms:created>
  <dcterms:modified xsi:type="dcterms:W3CDTF">2012-07-05T22:09:23Z</dcterms:modified>
</cp:coreProperties>
</file>