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ingresos2008" sheetId="1" r:id="rId1"/>
    <sheet name="GASTOS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'GASTOS'!$A$1:$H$387</definedName>
    <definedName name="_xlnm.Print_Area" localSheetId="0">'ingresos2008'!$A$1:$I$222</definedName>
    <definedName name="_xlnm.Print_Titles" localSheetId="1">'GASTOS'!$1:$6</definedName>
    <definedName name="_xlnm.Print_Titles" localSheetId="0">'ingresos2008'!$1:$8</definedName>
  </definedNames>
  <calcPr fullCalcOnLoad="1"/>
</workbook>
</file>

<file path=xl/comments2.xml><?xml version="1.0" encoding="utf-8"?>
<comments xmlns="http://schemas.openxmlformats.org/spreadsheetml/2006/main">
  <authors>
    <author>Fabio Ardila</author>
  </authors>
  <commentList>
    <comment ref="B144" authorId="0">
      <text>
        <r>
          <rPr>
            <b/>
            <sz val="8"/>
            <rFont val="Tahoma"/>
            <family val="0"/>
          </rPr>
          <t xml:space="preserve">vehiculos trupper, computo
</t>
        </r>
      </text>
    </comment>
  </commentList>
</comments>
</file>

<file path=xl/sharedStrings.xml><?xml version="1.0" encoding="utf-8"?>
<sst xmlns="http://schemas.openxmlformats.org/spreadsheetml/2006/main" count="836" uniqueCount="632">
  <si>
    <t>MUNICIPIO DE PACHO</t>
  </si>
  <si>
    <t>CONCEPTOS</t>
  </si>
  <si>
    <t>RECAUDO</t>
  </si>
  <si>
    <t>TOTAL</t>
  </si>
  <si>
    <t>PRESUPUESTO</t>
  </si>
  <si>
    <t>SUPERAVIT</t>
  </si>
  <si>
    <t>%</t>
  </si>
  <si>
    <t>PROYECTADO</t>
  </si>
  <si>
    <t>APROBADO</t>
  </si>
  <si>
    <t xml:space="preserve">O DEFICIT </t>
  </si>
  <si>
    <t>PROGRAMADO</t>
  </si>
  <si>
    <t>(3)</t>
  </si>
  <si>
    <t>(4=2+3)</t>
  </si>
  <si>
    <t>INGRESOS PRESUPUESTO MUNICIPAL</t>
  </si>
  <si>
    <t>I-  INGRESOS CORRIENTES (A+B)</t>
  </si>
  <si>
    <t xml:space="preserve">I-  </t>
  </si>
  <si>
    <t>Predial Unificado</t>
  </si>
  <si>
    <t>IMPUESTOS DIRECTOS</t>
  </si>
  <si>
    <t>TRIBUTARIOS (1+2)</t>
  </si>
  <si>
    <t>CODIGO</t>
  </si>
  <si>
    <t>IMPUESTOS INDIRECTOS</t>
  </si>
  <si>
    <t>Industria y comercio General</t>
  </si>
  <si>
    <t>Avisos y tableros</t>
  </si>
  <si>
    <t>Espectaculos Publicos</t>
  </si>
  <si>
    <t>Deguello de ganado menor</t>
  </si>
  <si>
    <t>Guias y movilizacion de ganado</t>
  </si>
  <si>
    <t>Delineacion Urbana</t>
  </si>
  <si>
    <t>Sobretasa a la gasolina</t>
  </si>
  <si>
    <t xml:space="preserve">  NO TRIBUTARIOS </t>
  </si>
  <si>
    <t xml:space="preserve">  TASAS Y DERECHOS</t>
  </si>
  <si>
    <t>II</t>
  </si>
  <si>
    <t xml:space="preserve">  1.1.</t>
  </si>
  <si>
    <t>I</t>
  </si>
  <si>
    <t xml:space="preserve">  B</t>
  </si>
  <si>
    <t xml:space="preserve">  1.</t>
  </si>
  <si>
    <t xml:space="preserve">  2.</t>
  </si>
  <si>
    <t>Plaza de mercado</t>
  </si>
  <si>
    <t>Formularios y pliegos</t>
  </si>
  <si>
    <t>Marcas y herretes</t>
  </si>
  <si>
    <t>Licencias de transporte</t>
  </si>
  <si>
    <t>Publicaciones</t>
  </si>
  <si>
    <t xml:space="preserve">Arrendamientos </t>
  </si>
  <si>
    <t>De rentas</t>
  </si>
  <si>
    <t>Departamento</t>
  </si>
  <si>
    <t>Deguello Ganado Mayor</t>
  </si>
  <si>
    <t xml:space="preserve">    OTROS INGRESOS NO TRIBUTARIOS</t>
  </si>
  <si>
    <t>Aprovechamientos</t>
  </si>
  <si>
    <t xml:space="preserve">    RECURSOS DE CAPITAL</t>
  </si>
  <si>
    <t xml:space="preserve">    CREDITO INTERNO</t>
  </si>
  <si>
    <t xml:space="preserve">    RECURSOS DE CAPITAL(Suman A...E)</t>
  </si>
  <si>
    <t>DEPARTAMENTO</t>
  </si>
  <si>
    <t>MUNICIPIOS</t>
  </si>
  <si>
    <t xml:space="preserve">    RECURSOS DEL BALANCE</t>
  </si>
  <si>
    <t>RECUPERACION DE CARTERA</t>
  </si>
  <si>
    <t>TOTAL INGRESOS PPTO MUNICIPÀL</t>
  </si>
  <si>
    <t xml:space="preserve">    INGRESOS CORRIENTES</t>
  </si>
  <si>
    <t xml:space="preserve">    NO TRIBUTARIOS</t>
  </si>
  <si>
    <t xml:space="preserve">    APORTES Y PARTICIPACIONES</t>
  </si>
  <si>
    <t>RENDIMIENTOS FINANCIEROS</t>
  </si>
  <si>
    <t>INGRESOS PPTO.GENERAL DEL MUNICIPIO</t>
  </si>
  <si>
    <t>Arrendamientos</t>
  </si>
  <si>
    <t>Matricula de vehiculos</t>
  </si>
  <si>
    <t>(1)</t>
  </si>
  <si>
    <t>(2)</t>
  </si>
  <si>
    <t>CONCEPTO</t>
  </si>
  <si>
    <t>EJECUTADO</t>
  </si>
  <si>
    <t>PROYECCION</t>
  </si>
  <si>
    <t>AJUSTADO</t>
  </si>
  <si>
    <t>DIFERENCIA</t>
  </si>
  <si>
    <t>PROYECTO</t>
  </si>
  <si>
    <t>GASTOS DE PERSONAL</t>
  </si>
  <si>
    <t>GASTOS DE ADMINISTRACIÓN</t>
  </si>
  <si>
    <t>Servicios Personales Asociados a la Nómina</t>
  </si>
  <si>
    <t>001</t>
  </si>
  <si>
    <t>Sueldos Personal de Nómina</t>
  </si>
  <si>
    <t>002</t>
  </si>
  <si>
    <t>004</t>
  </si>
  <si>
    <t>Transporte</t>
  </si>
  <si>
    <t>Prima de Navidad</t>
  </si>
  <si>
    <t>Indemnización por Vacaciones</t>
  </si>
  <si>
    <t>Servicios Personales Indirectos</t>
  </si>
  <si>
    <t>Jornales</t>
  </si>
  <si>
    <t>Honorarios</t>
  </si>
  <si>
    <t>Supernumerarios</t>
  </si>
  <si>
    <t>Remuneración Servicios Técnicos</t>
  </si>
  <si>
    <t>Contribuciones Inherentes a la Nómina al Sector Privado</t>
  </si>
  <si>
    <t>Caja de Compensación</t>
  </si>
  <si>
    <t>A.P.S. Servicios Médicos</t>
  </si>
  <si>
    <t>A.P.S. pensiones</t>
  </si>
  <si>
    <t>Contribuciones Inherentes a la Nómina al Sector Público</t>
  </si>
  <si>
    <t>Fondo de Cesantías</t>
  </si>
  <si>
    <t>Inst. Colomb. Btar. Fliar. (I.C.B.F.)</t>
  </si>
  <si>
    <t>Inst. Técnico y escuelas industriales</t>
  </si>
  <si>
    <t>Escuela Superior de Admon Pub(ESAP)</t>
  </si>
  <si>
    <t>Serv. Nal. de Aprendizaje (SENA)</t>
  </si>
  <si>
    <t>A.R.P. Riesgos profesionales</t>
  </si>
  <si>
    <t>GASTOS GENERALES</t>
  </si>
  <si>
    <t>Adquisición de Bienes</t>
  </si>
  <si>
    <t>Compra de Equipo</t>
  </si>
  <si>
    <t>Materiales y Suministros</t>
  </si>
  <si>
    <t>Impresos y Publicaciones</t>
  </si>
  <si>
    <t>Gastos Imprevistos</t>
  </si>
  <si>
    <t>Adquisición de Servicios</t>
  </si>
  <si>
    <t>Mantenimiento</t>
  </si>
  <si>
    <t>Servicios Públicos</t>
  </si>
  <si>
    <t>Viáticos y Gastos de Viaje al Interior</t>
  </si>
  <si>
    <t>Comunicación y Transporte</t>
  </si>
  <si>
    <t>Seguros</t>
  </si>
  <si>
    <t>009</t>
  </si>
  <si>
    <t>Capacitación</t>
  </si>
  <si>
    <t>Transportes Concejales</t>
  </si>
  <si>
    <t>Impuestos y Multas</t>
  </si>
  <si>
    <t>Impuestos, Tasas y Multas</t>
  </si>
  <si>
    <t>TRANSFERENCIAS CORRIENTES</t>
  </si>
  <si>
    <t xml:space="preserve"> Transferencias de Previsión y Seguridad Social</t>
  </si>
  <si>
    <t>Pensiones y Jubilaciones</t>
  </si>
  <si>
    <t xml:space="preserve">Mesadas Pensiónales </t>
  </si>
  <si>
    <t>Cesantias</t>
  </si>
  <si>
    <t xml:space="preserve">Otras Transferencias </t>
  </si>
  <si>
    <t>Dest. otras transferencias ctes</t>
  </si>
  <si>
    <t>Otras transferencias</t>
  </si>
  <si>
    <t>Federación Colombiana concejos</t>
  </si>
  <si>
    <t>Auxilio de Transporte</t>
  </si>
  <si>
    <t>TOTAL PERSONERIA</t>
  </si>
  <si>
    <t>Servicios bomberos</t>
  </si>
  <si>
    <t>Inhumación de cadaveres</t>
  </si>
  <si>
    <t>TOTAL FUNCIONAMIENTO DESPACHO DEL ALCALDE</t>
  </si>
  <si>
    <t>INVERSION</t>
  </si>
  <si>
    <t>TOTAL GASTOS DESPACHO ALCALDE</t>
  </si>
  <si>
    <t>AMORTIZACIONES</t>
  </si>
  <si>
    <t>INTERESES COMISIONES Y GASTOS</t>
  </si>
  <si>
    <t>TOTAL SERVICIO DE LA DEUDA</t>
  </si>
  <si>
    <t>TOTAL FONDO DE MAQUINARIA</t>
  </si>
  <si>
    <t>CONCEJO</t>
  </si>
  <si>
    <t>PERSONERIA</t>
  </si>
  <si>
    <t>DESPACHO DEL ALCALDE</t>
  </si>
  <si>
    <t>Funcionamiento</t>
  </si>
  <si>
    <t>Inversión otros recursos</t>
  </si>
  <si>
    <t>SERVICIO DE LA DEUDA</t>
  </si>
  <si>
    <t>FONDO DE MAQUINARIA</t>
  </si>
  <si>
    <t>CONSOLIDADO</t>
  </si>
  <si>
    <t>GASTOS DE FUNCIONAMIENTO</t>
  </si>
  <si>
    <t>TOTAL GASTOS</t>
  </si>
  <si>
    <t>RESULTADO FISCAL</t>
  </si>
  <si>
    <t>INGRESOS</t>
  </si>
  <si>
    <t>GASTOS</t>
  </si>
  <si>
    <t>SALDO</t>
  </si>
  <si>
    <t xml:space="preserve">Participación impuesto vehículos </t>
  </si>
  <si>
    <t>Inversión</t>
  </si>
  <si>
    <t>Consejo Municipal de Desarrollo Rural</t>
  </si>
  <si>
    <t>(3=1+2)</t>
  </si>
  <si>
    <t>(4)</t>
  </si>
  <si>
    <t>(5=3-4)</t>
  </si>
  <si>
    <t>Suerte y azar, rifas</t>
  </si>
  <si>
    <t xml:space="preserve">Juegos localizados </t>
  </si>
  <si>
    <t>Sobretasa al deporte</t>
  </si>
  <si>
    <t>Estampilla procultura</t>
  </si>
  <si>
    <t>Impuesto seguridad y vigilancia(5% contrato obras)</t>
  </si>
  <si>
    <t>Impuesto Alumbrado público</t>
  </si>
  <si>
    <t>Ocupacion de Vias y Espacio Público</t>
  </si>
  <si>
    <t>Licencias de urbanizacion y construccion</t>
  </si>
  <si>
    <t>Alquiler de maquinaria</t>
  </si>
  <si>
    <t>RENTAS CONTRACTUALES</t>
  </si>
  <si>
    <t>4.3.1</t>
  </si>
  <si>
    <t>4.4.4</t>
  </si>
  <si>
    <t>4.4.2</t>
  </si>
  <si>
    <t>4.4.3</t>
  </si>
  <si>
    <t>Registros certificaciones y autorizaciones</t>
  </si>
  <si>
    <t>Cuotas partes pensionales</t>
  </si>
  <si>
    <t>FONDO TERRITORIAL DE PENSIONES</t>
  </si>
  <si>
    <t>FONDOS ESPECIALES</t>
  </si>
  <si>
    <t>2001</t>
  </si>
  <si>
    <t>ENE-SEP/2001</t>
  </si>
  <si>
    <t>OCT - DIC -2001</t>
  </si>
  <si>
    <t>2002</t>
  </si>
  <si>
    <t>SANEAMIENTO FISCAL</t>
  </si>
  <si>
    <t>2. SERVICIO A LA DEUDA</t>
  </si>
  <si>
    <t>SERVICIO A LA DEUDA .</t>
  </si>
  <si>
    <t>Servicios encargo fiduciario</t>
  </si>
  <si>
    <t>INGRESOS DESTINACION ESPECIFICA</t>
  </si>
  <si>
    <t>Licencias de conduccion</t>
  </si>
  <si>
    <t>Bonificación administrativa alcalde</t>
  </si>
  <si>
    <t xml:space="preserve">TOTAL FUNCIONAMIENTO INSTITUTO </t>
  </si>
  <si>
    <t>NACION</t>
  </si>
  <si>
    <t>Sistema General de Participación Educación</t>
  </si>
  <si>
    <t>Fondo de solidaridad y garantía FOSYGA</t>
  </si>
  <si>
    <t>OTRAS PARTICIPACIONES.-</t>
  </si>
  <si>
    <t>Recursos Etesa</t>
  </si>
  <si>
    <t>4.3.2</t>
  </si>
  <si>
    <t>Recursos  FAEP</t>
  </si>
  <si>
    <t>4.3.3</t>
  </si>
  <si>
    <t>10% RECURSOS picn 2001</t>
  </si>
  <si>
    <t xml:space="preserve">    MULTAS Y SANCIONES</t>
  </si>
  <si>
    <t>COFINANCIACION</t>
  </si>
  <si>
    <t>Espectáculos públicos</t>
  </si>
  <si>
    <t xml:space="preserve">INGRESOS CORRIENTES DE LIBRE DESTINACION </t>
  </si>
  <si>
    <t xml:space="preserve">TOTAL PRESUPUESTO MUNICIPIO </t>
  </si>
  <si>
    <t>Prima de vacaciones</t>
  </si>
  <si>
    <t>Intereses cesantìas</t>
  </si>
  <si>
    <t>Intereses Cesantìas</t>
  </si>
  <si>
    <t>Indemnizaciones por vacaciones</t>
  </si>
  <si>
    <t>Seguro de vida</t>
  </si>
  <si>
    <t>intereses Cesantìas</t>
  </si>
  <si>
    <t>Dotación empleados</t>
  </si>
  <si>
    <t>pago impuestos vehiculos</t>
  </si>
  <si>
    <t>Federación colombiana de municipios</t>
  </si>
  <si>
    <t>Sistema General de Participación</t>
  </si>
  <si>
    <t>Inversión recursos destinación específica</t>
  </si>
  <si>
    <t>GASTOS SISTEMA GENERAL DE PARTICIPACION</t>
  </si>
  <si>
    <t>SGP. Propósitos generales Libre inversión</t>
  </si>
  <si>
    <t xml:space="preserve">Sistema General de Participación </t>
  </si>
  <si>
    <t xml:space="preserve">Sistema general de participación </t>
  </si>
  <si>
    <t xml:space="preserve">Inversión </t>
  </si>
  <si>
    <t>TRASFERECIAS CORRIENTES</t>
  </si>
  <si>
    <t>Otras trasferencias</t>
  </si>
  <si>
    <t xml:space="preserve">Programa salud ocupacional </t>
  </si>
  <si>
    <t>Gastos de protocolo y bienestar social</t>
  </si>
  <si>
    <t>TOTAL INVERSION</t>
  </si>
  <si>
    <t>2. GASTOS DE FUNCIONAMIENTO</t>
  </si>
  <si>
    <t>Rodamiento de vehiculos e impuesto sobre vehiculos automotores</t>
  </si>
  <si>
    <t>Recuperación cartera Contribucion de Valorizacion</t>
  </si>
  <si>
    <t>Recuperacion cartera Valorizacion Rural</t>
  </si>
  <si>
    <t>Comercialización Productos agrícolas</t>
  </si>
  <si>
    <t>Comercializacion Productos Piscicolas</t>
  </si>
  <si>
    <t>Comercializacion Semovientes</t>
  </si>
  <si>
    <t>Comercializacion Productos lácteos</t>
  </si>
  <si>
    <t>Alquiler de maquinaria agricola</t>
  </si>
  <si>
    <t>Multas de tránsito 20% Acuerdo 21 de 2000</t>
  </si>
  <si>
    <t>Contribuciones Inherentes a la Nómina</t>
  </si>
  <si>
    <t>Convenio Ministerio de Minas y Energia</t>
  </si>
  <si>
    <t>Recuperación cartera Sanciones</t>
  </si>
  <si>
    <t>RECAUDO REAL</t>
  </si>
  <si>
    <t>CONCEPTOS CON DESTINACION ESPECIFICA</t>
  </si>
  <si>
    <t>SISTEMA GENERAL DE PARTICIPACION</t>
  </si>
  <si>
    <t>Comisiones, Gastos Bancarios</t>
  </si>
  <si>
    <t>Gastos notariales y de registro</t>
  </si>
  <si>
    <t>Gastos superintendencia</t>
  </si>
  <si>
    <t>Servicios personales indirectos</t>
  </si>
  <si>
    <t>Remuneraciòn servicios como operario maquinaria</t>
  </si>
  <si>
    <t>TOTAL GASTOS INSTITUTO MUNICIPAL DE  DEPORTES</t>
  </si>
  <si>
    <t>INSTITUTO MUNICIPAL DE DEPORTES</t>
  </si>
  <si>
    <t>GASTOS DE INVERSION RECURSOS DESTINACION ESPECIFICA</t>
  </si>
  <si>
    <t>inversion con recursos propios</t>
  </si>
  <si>
    <t>Suministro de combustibles y lubricantes</t>
  </si>
  <si>
    <t>GASTOS ORGANISMOS DE CONTROL</t>
  </si>
  <si>
    <t>GASTOS DE INVERSION RECURSOS PROPIOS CARTERA</t>
  </si>
  <si>
    <t>GASTOS FONDO DE MAQUINARIA</t>
  </si>
  <si>
    <t>VALOR</t>
  </si>
  <si>
    <t>DESTINO</t>
  </si>
  <si>
    <t>60% Fondo Reserva Patrimonio Autónomo Pesional. Y a partir del 2005 50% para el mismo concepto, el % restante para Deuda Püblica y/o Inversión</t>
  </si>
  <si>
    <t>NORMA LEGAL</t>
  </si>
  <si>
    <t>Inversión en Deporte</t>
  </si>
  <si>
    <t>Inversión en activdades culturales y fortalecimiento Banda Municipal</t>
  </si>
  <si>
    <t>Fondo de Seguridad y Vigilancia</t>
  </si>
  <si>
    <t>Inversion en Plan de Atención Básica PAB</t>
  </si>
  <si>
    <t xml:space="preserve">Mejoramiento de infraestructura y adecuacion sistemas productivos Granja Municipal </t>
  </si>
  <si>
    <t>Mantenimiento y pago de operario del Tractor, para el sector Agr</t>
  </si>
  <si>
    <t>ACUERDO 022 DE 2004</t>
  </si>
  <si>
    <t>ACUERDO 018  DE 2003</t>
  </si>
  <si>
    <t>ACUERDO 021  DE 2000</t>
  </si>
  <si>
    <t>ETESA</t>
  </si>
  <si>
    <t>ACUERDO 21 DE 2000</t>
  </si>
  <si>
    <t>ACUERDO 10 DE 2002</t>
  </si>
  <si>
    <t>CONVENIOS</t>
  </si>
  <si>
    <t>RECAUDADO</t>
  </si>
  <si>
    <t xml:space="preserve">Convenio SISBEN </t>
  </si>
  <si>
    <t>Sobretasa Gasolina</t>
  </si>
  <si>
    <t>Convenio Federación Nacional de Cafeteros</t>
  </si>
  <si>
    <t>Estacionamiento de vehículos y motociletas (zonas azules)</t>
  </si>
  <si>
    <t xml:space="preserve">Multas de tránsito </t>
  </si>
  <si>
    <t>Aporte sobretasa deporte</t>
  </si>
  <si>
    <t>Organización de  enventos deportivos</t>
  </si>
  <si>
    <t>TOTAL INGRESOS INSTITUTO MUNICIPAL DE DEPORTES</t>
  </si>
  <si>
    <t xml:space="preserve">Arrendamiento Granja Municipal </t>
  </si>
  <si>
    <t>Remuneración servicios técnicos</t>
  </si>
  <si>
    <t>Compra equipo y repuestos  para maquinaria</t>
  </si>
  <si>
    <t xml:space="preserve">Mantenimiento y reparación de  maquinaria </t>
  </si>
  <si>
    <t>ENERO - OCTUBRE</t>
  </si>
  <si>
    <t>NOV - DIC</t>
  </si>
  <si>
    <t>Servicio de Internet</t>
  </si>
  <si>
    <t xml:space="preserve">MARCO FISCAL </t>
  </si>
  <si>
    <t>PROMEDIO</t>
  </si>
  <si>
    <t>FONDO LOCAL DE SALUD</t>
  </si>
  <si>
    <t>SISTEMA GENERAL DE PARTICIPACION SALUD</t>
  </si>
  <si>
    <t>Régimen Subsidiado Continuidad</t>
  </si>
  <si>
    <t>Regimen Subsidiado Ampliación</t>
  </si>
  <si>
    <t>Salud Pública</t>
  </si>
  <si>
    <t>COFINANCIACION MINISTERIO SALUD</t>
  </si>
  <si>
    <t>GOBERNACION DE CUNDINAMARCA</t>
  </si>
  <si>
    <t>Trasferencia Secretaria Salud Cundinamarca</t>
  </si>
  <si>
    <t>OTRAS COFINANCIACIONES</t>
  </si>
  <si>
    <t>RECURSOS PROPIOS</t>
  </si>
  <si>
    <t>SALDOS A 31 DE DICIEMBRE VIGENCIA ANTERIOR</t>
  </si>
  <si>
    <t>TRANSFERENCIAS, PARTICIPACION Y COFINANCIACION</t>
  </si>
  <si>
    <t>PROPOSITOS GENERALES</t>
  </si>
  <si>
    <t>Alimentación Escolar</t>
  </si>
  <si>
    <t>Agua Potable y Saneamiento Básico   41%</t>
  </si>
  <si>
    <t>Deporte Recreación                                   4%</t>
  </si>
  <si>
    <t>Cultura                                                          3%</t>
  </si>
  <si>
    <t>Libre Destinaciòn                                     28%</t>
  </si>
  <si>
    <t>Otros Sectores                                           42%</t>
  </si>
  <si>
    <t>Convenios con la Gobernación de Cundinamarca</t>
  </si>
  <si>
    <t>Aportes Municipio de Pacho Propósitos generales</t>
  </si>
  <si>
    <t>RESUMEN</t>
  </si>
  <si>
    <t>PROYECCION 2006</t>
  </si>
  <si>
    <t>INGRESOS  INSTITUTO  MUNICIPAL DE  RECREACION Y  DEPORTES</t>
  </si>
  <si>
    <t xml:space="preserve">SECCION CONCEJO MUNICIPAL </t>
  </si>
  <si>
    <t>SERVICIOS PERSONALES</t>
  </si>
  <si>
    <t>2111101</t>
  </si>
  <si>
    <t>2111102</t>
  </si>
  <si>
    <t>2111103</t>
  </si>
  <si>
    <t>2111104</t>
  </si>
  <si>
    <t>2112</t>
  </si>
  <si>
    <t>21112</t>
  </si>
  <si>
    <t>2111201</t>
  </si>
  <si>
    <t>21113</t>
  </si>
  <si>
    <t>2111301</t>
  </si>
  <si>
    <t>2111302</t>
  </si>
  <si>
    <t>2111303</t>
  </si>
  <si>
    <t>21114</t>
  </si>
  <si>
    <t>2111401</t>
  </si>
  <si>
    <t>2111402</t>
  </si>
  <si>
    <t>2111403</t>
  </si>
  <si>
    <t>2111405</t>
  </si>
  <si>
    <t>2111406</t>
  </si>
  <si>
    <t>2111407</t>
  </si>
  <si>
    <t>2111408</t>
  </si>
  <si>
    <t>21121</t>
  </si>
  <si>
    <t>2112101</t>
  </si>
  <si>
    <t>2112102</t>
  </si>
  <si>
    <t>21122</t>
  </si>
  <si>
    <t>2112201</t>
  </si>
  <si>
    <t>2112202</t>
  </si>
  <si>
    <t>2112203</t>
  </si>
  <si>
    <t>2112204</t>
  </si>
  <si>
    <t>2112205</t>
  </si>
  <si>
    <t>2112206</t>
  </si>
  <si>
    <t>2112207</t>
  </si>
  <si>
    <t>2112209</t>
  </si>
  <si>
    <t>2112210</t>
  </si>
  <si>
    <t>2112211</t>
  </si>
  <si>
    <t>2113</t>
  </si>
  <si>
    <t>2113101</t>
  </si>
  <si>
    <t xml:space="preserve">TOTAL SECCION CONCEJO MUNICIPAL PACHO </t>
  </si>
  <si>
    <t xml:space="preserve">SECCION. PERSONERIA MUNICIPAL PACHO </t>
  </si>
  <si>
    <t>212</t>
  </si>
  <si>
    <t>2121</t>
  </si>
  <si>
    <t>21211</t>
  </si>
  <si>
    <t>2121101</t>
  </si>
  <si>
    <t>2121102</t>
  </si>
  <si>
    <t>2121103</t>
  </si>
  <si>
    <t>2121104</t>
  </si>
  <si>
    <t>21213</t>
  </si>
  <si>
    <t>2121301</t>
  </si>
  <si>
    <t>2121302</t>
  </si>
  <si>
    <t>2121303</t>
  </si>
  <si>
    <t>21214</t>
  </si>
  <si>
    <t>2121401</t>
  </si>
  <si>
    <t>2121402</t>
  </si>
  <si>
    <t>2121403</t>
  </si>
  <si>
    <t>2121404</t>
  </si>
  <si>
    <t>2121405</t>
  </si>
  <si>
    <t>2121406</t>
  </si>
  <si>
    <t>2121407</t>
  </si>
  <si>
    <t>2122</t>
  </si>
  <si>
    <t>21221</t>
  </si>
  <si>
    <t>2122101</t>
  </si>
  <si>
    <t>2122102</t>
  </si>
  <si>
    <t>21222</t>
  </si>
  <si>
    <t>2122202</t>
  </si>
  <si>
    <t>2122203</t>
  </si>
  <si>
    <t>2122208</t>
  </si>
  <si>
    <t>2122209</t>
  </si>
  <si>
    <t>SECCION. ALCALDIA</t>
  </si>
  <si>
    <t>213</t>
  </si>
  <si>
    <t>2131</t>
  </si>
  <si>
    <t>21311</t>
  </si>
  <si>
    <t>2131101</t>
  </si>
  <si>
    <t>2131102</t>
  </si>
  <si>
    <t>2131103</t>
  </si>
  <si>
    <t>2131104</t>
  </si>
  <si>
    <t>2131105</t>
  </si>
  <si>
    <t>2131106</t>
  </si>
  <si>
    <t>2131107</t>
  </si>
  <si>
    <t>21312</t>
  </si>
  <si>
    <t>2131201</t>
  </si>
  <si>
    <t>2131203</t>
  </si>
  <si>
    <t>2131202</t>
  </si>
  <si>
    <t>2132</t>
  </si>
  <si>
    <t>21321</t>
  </si>
  <si>
    <t>2132101</t>
  </si>
  <si>
    <t>2132102</t>
  </si>
  <si>
    <t>2132103</t>
  </si>
  <si>
    <t>2132104</t>
  </si>
  <si>
    <t>2132105</t>
  </si>
  <si>
    <t xml:space="preserve">Materiales y Suministros administración central </t>
  </si>
  <si>
    <t>Compra de Equipo oficina corregimiento de Pasuncha</t>
  </si>
  <si>
    <t>Materiales y Suministros  oficina Corregimiento Pasuncha</t>
  </si>
  <si>
    <t>2131204</t>
  </si>
  <si>
    <t>Honorarios  Comité Socioeconómico</t>
  </si>
  <si>
    <t>Materiales y suministros Comité Socioeconómico de estratificación</t>
  </si>
  <si>
    <t>21322</t>
  </si>
  <si>
    <t>2132201</t>
  </si>
  <si>
    <t>2132202</t>
  </si>
  <si>
    <t>2132203</t>
  </si>
  <si>
    <t>2132204</t>
  </si>
  <si>
    <t>2132205</t>
  </si>
  <si>
    <t>2132206</t>
  </si>
  <si>
    <t>2132207</t>
  </si>
  <si>
    <t>2132208</t>
  </si>
  <si>
    <t>2132209</t>
  </si>
  <si>
    <t>2132210</t>
  </si>
  <si>
    <t>2132211</t>
  </si>
  <si>
    <t>2132212</t>
  </si>
  <si>
    <t>2132213</t>
  </si>
  <si>
    <t>2132214</t>
  </si>
  <si>
    <t>2132215</t>
  </si>
  <si>
    <t>2132216</t>
  </si>
  <si>
    <t>Transporte Comité Socioeconómico de estratificación</t>
  </si>
  <si>
    <t>2132217</t>
  </si>
  <si>
    <t>2132218</t>
  </si>
  <si>
    <t>218</t>
  </si>
  <si>
    <t>2181</t>
  </si>
  <si>
    <t>21811</t>
  </si>
  <si>
    <t>2181101</t>
  </si>
  <si>
    <t>2181102</t>
  </si>
  <si>
    <t>2181103</t>
  </si>
  <si>
    <t>2181104</t>
  </si>
  <si>
    <t>2182</t>
  </si>
  <si>
    <t>21821</t>
  </si>
  <si>
    <t>2182101</t>
  </si>
  <si>
    <t>SECCION SECRETARIA DE CULTURA Y TURISMO</t>
  </si>
  <si>
    <t>SECRETARIA DE CULTURA Y TURISMO</t>
  </si>
  <si>
    <t>219</t>
  </si>
  <si>
    <t>2191</t>
  </si>
  <si>
    <t>21911</t>
  </si>
  <si>
    <t>2191101</t>
  </si>
  <si>
    <t>2191102</t>
  </si>
  <si>
    <t>2192</t>
  </si>
  <si>
    <t>21921</t>
  </si>
  <si>
    <t>219211</t>
  </si>
  <si>
    <t>21921101</t>
  </si>
  <si>
    <t>21922</t>
  </si>
  <si>
    <t>219221</t>
  </si>
  <si>
    <t>21922101</t>
  </si>
  <si>
    <t>219222</t>
  </si>
  <si>
    <t>21922201</t>
  </si>
  <si>
    <t>21922202</t>
  </si>
  <si>
    <t>2,10</t>
  </si>
  <si>
    <t xml:space="preserve">SECCION.  INSTITUTO  MUNICIPAL DE   DEPORTES Y RECREACION </t>
  </si>
  <si>
    <t>2101</t>
  </si>
  <si>
    <t>21011</t>
  </si>
  <si>
    <t>2101101</t>
  </si>
  <si>
    <t>2101102</t>
  </si>
  <si>
    <t>2101103</t>
  </si>
  <si>
    <t>21010104</t>
  </si>
  <si>
    <t>21010105</t>
  </si>
  <si>
    <t>21012</t>
  </si>
  <si>
    <t>2101201</t>
  </si>
  <si>
    <t>2101202</t>
  </si>
  <si>
    <t>2101203</t>
  </si>
  <si>
    <t>21013</t>
  </si>
  <si>
    <t>2101301</t>
  </si>
  <si>
    <t>2101302</t>
  </si>
  <si>
    <t>2101303</t>
  </si>
  <si>
    <t>2101304</t>
  </si>
  <si>
    <t>2101305</t>
  </si>
  <si>
    <t>2101306</t>
  </si>
  <si>
    <t>2101307</t>
  </si>
  <si>
    <t>2102</t>
  </si>
  <si>
    <t>21021</t>
  </si>
  <si>
    <t>2102101</t>
  </si>
  <si>
    <t>21022</t>
  </si>
  <si>
    <t>2102201</t>
  </si>
  <si>
    <t>2102202</t>
  </si>
  <si>
    <t>2102203</t>
  </si>
  <si>
    <t>2102204</t>
  </si>
  <si>
    <t>Compra de Equipo y mobiliario</t>
  </si>
  <si>
    <t>23</t>
  </si>
  <si>
    <t>233</t>
  </si>
  <si>
    <t>CREDITO INTERNO</t>
  </si>
  <si>
    <t>2331</t>
  </si>
  <si>
    <t>BANCA COMERCIAL</t>
  </si>
  <si>
    <t>23310101</t>
  </si>
  <si>
    <t>Amortización a Capital</t>
  </si>
  <si>
    <t>23310102</t>
  </si>
  <si>
    <t>Intereses</t>
  </si>
  <si>
    <t>SERVICIO A LA DEUDA PUBLICA</t>
  </si>
  <si>
    <t>2232</t>
  </si>
  <si>
    <t>22320201</t>
  </si>
  <si>
    <t>22320202</t>
  </si>
  <si>
    <t>Bonos Pensionales</t>
  </si>
  <si>
    <t>Contingencias, Demandas y Litigios</t>
  </si>
  <si>
    <t>Dotación</t>
  </si>
  <si>
    <t>CONSOLIDADO POR  SECCIONES</t>
  </si>
  <si>
    <t>INSTITUTO MUNICIPAL DE  RECREACION Y DEPORTES</t>
  </si>
  <si>
    <t>GASTOS DE INVERSION RECURSOS PROPIOS</t>
  </si>
  <si>
    <t>Viáticos y Gastos de Viaje</t>
  </si>
  <si>
    <t xml:space="preserve">Viáticos y Gastos de Viaje </t>
  </si>
  <si>
    <t>Elaboración y Ploteada de planos</t>
  </si>
  <si>
    <t>2132219</t>
  </si>
  <si>
    <t>Gastos de viaje Comité de Desarrollo Rural</t>
  </si>
  <si>
    <t>2111105</t>
  </si>
  <si>
    <t>Vacaciones</t>
  </si>
  <si>
    <t>OTROS SERVICIOS A LA DEUDA</t>
  </si>
  <si>
    <t>2132220</t>
  </si>
  <si>
    <t>2132221</t>
  </si>
  <si>
    <t>2132222</t>
  </si>
  <si>
    <t>Rendimiento financiero Alimentacion Escolar</t>
  </si>
  <si>
    <t>Rendimiento Financiero Educación</t>
  </si>
  <si>
    <t>Rendimiento Financiero Agua Potable y saneamiento</t>
  </si>
  <si>
    <t>Rendimiento Financiero Cultura</t>
  </si>
  <si>
    <t>Rendimiento Financiero Otros Sectores</t>
  </si>
  <si>
    <t>Rendimiento Financiero Salud(SGP. Fosyga. Estesa</t>
  </si>
  <si>
    <t>Rendimiento Financiero Recursos Propios</t>
  </si>
  <si>
    <t>Rendimiento Financiero Recursos Destinación Específica</t>
  </si>
  <si>
    <t>Corporación autónoma Regional CAR</t>
  </si>
  <si>
    <t xml:space="preserve">regalias del carbon </t>
  </si>
  <si>
    <t>Ministerio de cultura y turismo</t>
  </si>
  <si>
    <t>Convenio Comité de Cafeteros</t>
  </si>
  <si>
    <t>Rendimiento Financiero Patrimonio Autónomo</t>
  </si>
  <si>
    <t xml:space="preserve">Rendimiento financiero </t>
  </si>
  <si>
    <t>Rendimiento Financieor  Salud Pública</t>
  </si>
  <si>
    <t>Remate de  lote Plaza de Ferias</t>
  </si>
  <si>
    <t>salario alcalde</t>
  </si>
  <si>
    <t>2132223</t>
  </si>
  <si>
    <t>2132224</t>
  </si>
  <si>
    <t>2132225</t>
  </si>
  <si>
    <t>2132226</t>
  </si>
  <si>
    <t>CONTRIBUCIONES INHERENTES A LA NOMINA</t>
  </si>
  <si>
    <t>2133</t>
  </si>
  <si>
    <t>21331</t>
  </si>
  <si>
    <t>2133101</t>
  </si>
  <si>
    <t>2133102</t>
  </si>
  <si>
    <t>2133103</t>
  </si>
  <si>
    <t>2133104</t>
  </si>
  <si>
    <t>2133105</t>
  </si>
  <si>
    <t>2133106</t>
  </si>
  <si>
    <t>21332</t>
  </si>
  <si>
    <t>2133201</t>
  </si>
  <si>
    <t>2133202</t>
  </si>
  <si>
    <t>2133203</t>
  </si>
  <si>
    <t>2133204</t>
  </si>
  <si>
    <t>Servicio de energía</t>
  </si>
  <si>
    <t>Servicio de Acueducto, Alcantarillado, Aseo y alumbrado público</t>
  </si>
  <si>
    <t>Servicio de Telefóno</t>
  </si>
  <si>
    <t>Servicio de telefonía celular</t>
  </si>
  <si>
    <t xml:space="preserve">Comunicación,  Transporte y  Peajes </t>
  </si>
  <si>
    <t xml:space="preserve">Servicio de parqueadero </t>
  </si>
  <si>
    <t>financiado recursos propios</t>
  </si>
  <si>
    <t>Convenios  Núcleos educativos</t>
  </si>
  <si>
    <t>2193</t>
  </si>
  <si>
    <t>FONDO DE SOLIDARIDAD Y REDISTRIBUCION DE INGRESOS</t>
  </si>
  <si>
    <t>Subsidio a estratos subsidiables. Ley 142 de 1994</t>
  </si>
  <si>
    <t>219301</t>
  </si>
  <si>
    <t>PROGRAMA. SUBSIDIOS</t>
  </si>
  <si>
    <t>21930101</t>
  </si>
  <si>
    <t>SUBPROGRAMA. SUBSIDIOS A ESTRATOS SUBSIDIABLES</t>
  </si>
  <si>
    <t>TOTAL FONDO DE SOLIDARIDAD Y REDISTRIBUCION</t>
  </si>
  <si>
    <t xml:space="preserve">GASTOS FONDO DE SOLIDARIDAD Y REDISTRIBUCION </t>
  </si>
  <si>
    <t>Predial Unificado Vigencias Anteriores</t>
  </si>
  <si>
    <t xml:space="preserve">Eventos especiales municipio de  Pacho </t>
  </si>
  <si>
    <t>Eventos especiales Corregimiento Pasuncha</t>
  </si>
  <si>
    <t>Inversión con rentas propias(CARTERA)</t>
  </si>
  <si>
    <t xml:space="preserve"> PRESUPUESTO INGRESOS </t>
  </si>
  <si>
    <t>PRESUPUESTO VIGENCIA FISCAL DE 2008</t>
  </si>
  <si>
    <t>2008</t>
  </si>
  <si>
    <t>VIGENCIA FISCAL DEL 2008</t>
  </si>
  <si>
    <t>Convenio Embajada del Japòn</t>
  </si>
  <si>
    <t>Instituto Nacional de Vias</t>
  </si>
  <si>
    <t>SUPERAVIT EJERCICIO ANTERIOR</t>
  </si>
  <si>
    <t>Trasferencia Secretaria Salud Cundinamarca AMPLIACION COBERTURA</t>
  </si>
  <si>
    <t>Fondo de solidaridad y garantía FOSYGA (AMPLIACION DE COBERTURA)</t>
  </si>
  <si>
    <t>Aportes  Ingresos Corrientes Libre Destinacion</t>
  </si>
  <si>
    <t>RECURSOS DE CAPITAL</t>
  </si>
  <si>
    <t>(6=3*4.5%)</t>
  </si>
  <si>
    <t>SML 6.3%</t>
  </si>
  <si>
    <t>Subsidio de alimentación</t>
  </si>
  <si>
    <t>2121105</t>
  </si>
  <si>
    <t>2121106</t>
  </si>
  <si>
    <t>2121107</t>
  </si>
  <si>
    <t>Derechos Humanos</t>
  </si>
  <si>
    <t>contador</t>
  </si>
  <si>
    <t>sistema control interno</t>
  </si>
  <si>
    <t>archivo</t>
  </si>
  <si>
    <t>plan desarrollo</t>
  </si>
  <si>
    <t>21333</t>
  </si>
  <si>
    <t>2133301</t>
  </si>
  <si>
    <t>2133302</t>
  </si>
  <si>
    <t>2133303</t>
  </si>
  <si>
    <t>Transferencia Funcionamiento Instituto de Deportes Pacho</t>
  </si>
  <si>
    <t xml:space="preserve">Subsidio de alimentacion </t>
  </si>
  <si>
    <t>2102102</t>
  </si>
  <si>
    <t>Compra de equipo</t>
  </si>
  <si>
    <t>2102205</t>
  </si>
  <si>
    <t>2102206</t>
  </si>
  <si>
    <t>2102207</t>
  </si>
  <si>
    <t>2102208</t>
  </si>
  <si>
    <t>Comisiones y gastos bancarios</t>
  </si>
  <si>
    <t>Trasnferencia recursos propios</t>
  </si>
  <si>
    <t xml:space="preserve">Otros recursos(Sobretasa deporte </t>
  </si>
  <si>
    <t>icld</t>
  </si>
  <si>
    <t>total recursos propios</t>
  </si>
  <si>
    <t>Recursos libre destinación</t>
  </si>
  <si>
    <t>recursos propios</t>
  </si>
  <si>
    <t>2132227</t>
  </si>
  <si>
    <t>+</t>
  </si>
  <si>
    <t>total inversion</t>
  </si>
  <si>
    <t>saldos</t>
  </si>
  <si>
    <t>superavit</t>
  </si>
  <si>
    <t>cofinanciacion</t>
  </si>
  <si>
    <t>ampl salud</t>
  </si>
  <si>
    <t>deporte</t>
  </si>
  <si>
    <t>dif 2007-2008</t>
  </si>
  <si>
    <t>2008/2007</t>
  </si>
  <si>
    <t>2211106</t>
  </si>
  <si>
    <t>Inversión con recursos propios(recuperación cartera)</t>
  </si>
  <si>
    <t>INGRESOS CORRIENTES</t>
  </si>
  <si>
    <t xml:space="preserve">4.797.670.195.00 </t>
  </si>
  <si>
    <t>RECURSOS DEL BALANCE</t>
  </si>
  <si>
    <t>INGRESOS FONDOS ESPECIALES</t>
  </si>
  <si>
    <t xml:space="preserve">INSTITUTO MUNICIPAL DE DEPORTES Y RECREACION        </t>
  </si>
  <si>
    <t>2133304</t>
  </si>
  <si>
    <t>2132228</t>
  </si>
  <si>
    <t>Seguro de vida Concejales municipio de Pacho</t>
  </si>
  <si>
    <t xml:space="preserve"> Aportes seguros salud Concejales </t>
  </si>
  <si>
    <t>Derechos de tránsito</t>
  </si>
  <si>
    <t>Revisión de vehículos</t>
  </si>
  <si>
    <t>Placas de vehículos</t>
  </si>
  <si>
    <t>Traspaso de Vehìculos</t>
  </si>
  <si>
    <t>Otros servicios de tránsito</t>
  </si>
  <si>
    <t>Costos procesales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</si>
</sst>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4" formatCode="#,##0.0_);\(#,##0.0\)"/>
    <numFmt numFmtId="215" formatCode="_(* #,##0_);_(* \(#,##0\);_(* &quot;-&quot;??_);_(@_)"/>
    <numFmt numFmtId="216" formatCode="_-* #,##0.0\ _P_t_s_-;\-* #,##0.0\ _P_t_s_-;_-* &quot;-&quot;??\ _P_t_s_-;_-@_-"/>
    <numFmt numFmtId="217" formatCode="_-* #,##0\ _P_t_s_-;\-* #,##0\ _P_t_s_-;_-* &quot;-&quot;??\ _P_t_s_-;_-@_-"/>
    <numFmt numFmtId="218" formatCode="#,##0.0"/>
    <numFmt numFmtId="219" formatCode="0.0"/>
    <numFmt numFmtId="220" formatCode="_(* #,##0.0_);_(* \(#,##0.0\);_(* &quot;-&quot;??_);_(@_)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&quot;C$&quot;#,##0.0_);\(&quot;C$&quot;#,##0.0\)"/>
    <numFmt numFmtId="226" formatCode="_-* #,##0.000\ _P_t_s_-;\-* #,##0.000\ _P_t_s_-;_-* &quot;-&quot;??\ _P_t_s_-;_-@_-"/>
    <numFmt numFmtId="227" formatCode="0.0%"/>
  </numFmts>
  <fonts count="23">
    <font>
      <sz val="10"/>
      <name val="Arial"/>
      <family val="0"/>
    </font>
    <font>
      <b/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Courier"/>
      <family val="0"/>
    </font>
    <font>
      <b/>
      <sz val="12"/>
      <name val="Bookman Old Style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4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0"/>
      <color indexed="8"/>
      <name val="Batang"/>
      <family val="0"/>
    </font>
    <font>
      <sz val="10"/>
      <name val="Batang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74" fontId="1" fillId="0" borderId="1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 horizontal="center"/>
      <protection/>
    </xf>
    <xf numFmtId="49" fontId="1" fillId="0" borderId="3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74" fontId="2" fillId="0" borderId="1" xfId="0" applyNumberFormat="1" applyFont="1" applyBorder="1" applyAlignment="1" applyProtection="1">
      <alignment horizontal="center"/>
      <protection/>
    </xf>
    <xf numFmtId="174" fontId="2" fillId="0" borderId="4" xfId="0" applyNumberFormat="1" applyFont="1" applyBorder="1" applyAlignment="1" applyProtection="1">
      <alignment horizontal="center"/>
      <protection/>
    </xf>
    <xf numFmtId="174" fontId="2" fillId="0" borderId="5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 applyProtection="1">
      <alignment horizontal="center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174" fontId="2" fillId="0" borderId="1" xfId="0" applyNumberFormat="1" applyFont="1" applyBorder="1" applyAlignment="1" applyProtection="1">
      <alignment horizontal="left"/>
      <protection/>
    </xf>
    <xf numFmtId="174" fontId="1" fillId="0" borderId="4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174" fontId="2" fillId="0" borderId="5" xfId="0" applyNumberFormat="1" applyFont="1" applyBorder="1" applyAlignment="1" applyProtection="1">
      <alignment horizontal="left"/>
      <protection/>
    </xf>
    <xf numFmtId="217" fontId="0" fillId="0" borderId="0" xfId="0" applyNumberFormat="1" applyAlignment="1">
      <alignment/>
    </xf>
    <xf numFmtId="0" fontId="0" fillId="0" borderId="0" xfId="0" applyFill="1" applyAlignment="1">
      <alignment/>
    </xf>
    <xf numFmtId="217" fontId="3" fillId="0" borderId="0" xfId="17" applyNumberFormat="1" applyFont="1" applyAlignment="1">
      <alignment/>
    </xf>
    <xf numFmtId="217" fontId="0" fillId="0" borderId="0" xfId="17" applyNumberForma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74" fontId="2" fillId="0" borderId="7" xfId="0" applyNumberFormat="1" applyFont="1" applyBorder="1" applyAlignment="1" applyProtection="1">
      <alignment horizontal="center"/>
      <protection/>
    </xf>
    <xf numFmtId="49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>
      <alignment/>
    </xf>
    <xf numFmtId="49" fontId="1" fillId="0" borderId="9" xfId="0" applyNumberFormat="1" applyFont="1" applyBorder="1" applyAlignment="1" applyProtection="1">
      <alignment horizontal="center"/>
      <protection/>
    </xf>
    <xf numFmtId="174" fontId="1" fillId="0" borderId="8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214" fontId="7" fillId="0" borderId="1" xfId="0" applyNumberFormat="1" applyFont="1" applyBorder="1" applyAlignment="1" applyProtection="1">
      <alignment/>
      <protection/>
    </xf>
    <xf numFmtId="214" fontId="7" fillId="0" borderId="0" xfId="0" applyNumberFormat="1" applyFont="1" applyBorder="1" applyAlignment="1" applyProtection="1">
      <alignment/>
      <protection/>
    </xf>
    <xf numFmtId="214" fontId="7" fillId="0" borderId="8" xfId="0" applyNumberFormat="1" applyFont="1" applyBorder="1" applyAlignment="1" applyProtection="1">
      <alignment/>
      <protection/>
    </xf>
    <xf numFmtId="0" fontId="7" fillId="0" borderId="2" xfId="0" applyFont="1" applyBorder="1" applyAlignment="1">
      <alignment/>
    </xf>
    <xf numFmtId="3" fontId="5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>
      <alignment/>
    </xf>
    <xf numFmtId="174" fontId="7" fillId="0" borderId="4" xfId="0" applyNumberFormat="1" applyFont="1" applyBorder="1" applyAlignment="1" applyProtection="1">
      <alignment horizontal="center"/>
      <protection/>
    </xf>
    <xf numFmtId="174" fontId="5" fillId="0" borderId="4" xfId="0" applyNumberFormat="1" applyFont="1" applyBorder="1" applyAlignment="1" applyProtection="1">
      <alignment horizontal="center"/>
      <protection/>
    </xf>
    <xf numFmtId="174" fontId="5" fillId="0" borderId="5" xfId="0" applyNumberFormat="1" applyFont="1" applyBorder="1" applyAlignment="1" applyProtection="1">
      <alignment horizontal="center"/>
      <protection/>
    </xf>
    <xf numFmtId="174" fontId="5" fillId="0" borderId="5" xfId="0" applyNumberFormat="1" applyFont="1" applyBorder="1" applyAlignment="1" applyProtection="1">
      <alignment horizontal="left"/>
      <protection/>
    </xf>
    <xf numFmtId="174" fontId="5" fillId="0" borderId="7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174" fontId="5" fillId="0" borderId="1" xfId="0" applyNumberFormat="1" applyFont="1" applyBorder="1" applyAlignment="1" applyProtection="1">
      <alignment horizontal="left"/>
      <protection/>
    </xf>
    <xf numFmtId="174" fontId="5" fillId="0" borderId="0" xfId="0" applyNumberFormat="1" applyFont="1" applyBorder="1" applyAlignment="1" applyProtection="1">
      <alignment horizontal="center"/>
      <protection/>
    </xf>
    <xf numFmtId="174" fontId="5" fillId="0" borderId="1" xfId="0" applyNumberFormat="1" applyFont="1" applyBorder="1" applyAlignment="1" applyProtection="1">
      <alignment horizontal="center"/>
      <protection/>
    </xf>
    <xf numFmtId="49" fontId="5" fillId="0" borderId="8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8" xfId="0" applyFont="1" applyBorder="1" applyAlignment="1">
      <alignment/>
    </xf>
    <xf numFmtId="49" fontId="7" fillId="0" borderId="2" xfId="0" applyNumberFormat="1" applyFont="1" applyBorder="1" applyAlignment="1" applyProtection="1">
      <alignment horizontal="center"/>
      <protection/>
    </xf>
    <xf numFmtId="49" fontId="7" fillId="0" borderId="3" xfId="0" applyNumberFormat="1" applyFont="1" applyBorder="1" applyAlignment="1" applyProtection="1">
      <alignment horizontal="center"/>
      <protection/>
    </xf>
    <xf numFmtId="49" fontId="7" fillId="0" borderId="9" xfId="0" applyNumberFormat="1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17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left"/>
      <protection/>
    </xf>
    <xf numFmtId="174" fontId="6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justify" vertical="justify" wrapText="1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74" fontId="7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justify" vertical="justify" wrapText="1"/>
    </xf>
    <xf numFmtId="3" fontId="5" fillId="0" borderId="10" xfId="1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quotePrefix="1">
      <alignment horizontal="right"/>
    </xf>
    <xf numFmtId="3" fontId="6" fillId="0" borderId="0" xfId="17" applyNumberFormat="1" applyFont="1" applyFill="1" applyBorder="1" applyAlignment="1">
      <alignment horizontal="right"/>
    </xf>
    <xf numFmtId="3" fontId="5" fillId="0" borderId="10" xfId="17" applyNumberFormat="1" applyFont="1" applyFill="1" applyBorder="1" applyAlignment="1" quotePrefix="1">
      <alignment horizontal="right"/>
    </xf>
    <xf numFmtId="3" fontId="6" fillId="0" borderId="0" xfId="17" applyNumberFormat="1" applyFont="1" applyFill="1" applyAlignment="1">
      <alignment horizontal="right"/>
    </xf>
    <xf numFmtId="3" fontId="6" fillId="0" borderId="0" xfId="17" applyNumberFormat="1" applyFont="1" applyFill="1" applyBorder="1" applyAlignment="1" quotePrefix="1">
      <alignment horizontal="right"/>
    </xf>
    <xf numFmtId="3" fontId="6" fillId="0" borderId="10" xfId="17" applyNumberFormat="1" applyFont="1" applyFill="1" applyBorder="1" applyAlignment="1" quotePrefix="1">
      <alignment horizontal="right"/>
    </xf>
    <xf numFmtId="3" fontId="5" fillId="0" borderId="0" xfId="17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5" fillId="0" borderId="0" xfId="0" applyFont="1" applyAlignment="1">
      <alignment/>
    </xf>
    <xf numFmtId="9" fontId="0" fillId="0" borderId="0" xfId="21" applyAlignment="1">
      <alignment/>
    </xf>
    <xf numFmtId="217" fontId="0" fillId="0" borderId="0" xfId="17" applyNumberFormat="1" applyAlignment="1">
      <alignment/>
    </xf>
    <xf numFmtId="217" fontId="6" fillId="0" borderId="0" xfId="17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 applyProtection="1">
      <alignment/>
      <protection locked="0"/>
    </xf>
    <xf numFmtId="9" fontId="6" fillId="0" borderId="0" xfId="21" applyFont="1" applyAlignment="1">
      <alignment/>
    </xf>
    <xf numFmtId="213" fontId="6" fillId="0" borderId="0" xfId="17" applyFont="1" applyAlignment="1">
      <alignment/>
    </xf>
    <xf numFmtId="3" fontId="6" fillId="0" borderId="0" xfId="17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21" applyNumberFormat="1" applyFont="1" applyAlignment="1">
      <alignment/>
    </xf>
    <xf numFmtId="217" fontId="6" fillId="0" borderId="0" xfId="17" applyNumberFormat="1" applyFont="1" applyFill="1" applyAlignment="1">
      <alignment/>
    </xf>
    <xf numFmtId="217" fontId="6" fillId="0" borderId="0" xfId="17" applyNumberFormat="1" applyFont="1" applyAlignment="1">
      <alignment/>
    </xf>
    <xf numFmtId="217" fontId="6" fillId="0" borderId="0" xfId="0" applyNumberFormat="1" applyFont="1" applyAlignment="1">
      <alignment/>
    </xf>
    <xf numFmtId="174" fontId="5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3" fontId="6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3" fontId="5" fillId="0" borderId="2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21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17" fontId="6" fillId="0" borderId="0" xfId="17" applyNumberFormat="1" applyFont="1" applyAlignment="1">
      <alignment/>
    </xf>
    <xf numFmtId="213" fontId="6" fillId="0" borderId="0" xfId="17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49" fontId="7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213" fontId="6" fillId="0" borderId="0" xfId="0" applyNumberFormat="1" applyFont="1" applyAlignment="1">
      <alignment/>
    </xf>
    <xf numFmtId="217" fontId="0" fillId="0" borderId="10" xfId="17" applyNumberFormat="1" applyFont="1" applyFill="1" applyBorder="1" applyAlignment="1" applyProtection="1">
      <alignment horizontal="right" vertical="justify" wrapText="1"/>
      <protection/>
    </xf>
    <xf numFmtId="217" fontId="0" fillId="0" borderId="0" xfId="17" applyNumberFormat="1" applyFont="1" applyFill="1" applyBorder="1" applyAlignment="1" applyProtection="1">
      <alignment horizontal="right" vertical="justify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174" fontId="2" fillId="0" borderId="5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214" fontId="7" fillId="0" borderId="0" xfId="0" applyNumberFormat="1" applyFont="1" applyFill="1" applyBorder="1" applyAlignment="1" applyProtection="1">
      <alignment/>
      <protection/>
    </xf>
    <xf numFmtId="174" fontId="5" fillId="0" borderId="5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174" fontId="1" fillId="0" borderId="18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>
      <alignment horizontal="left"/>
    </xf>
    <xf numFmtId="174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174" fontId="7" fillId="0" borderId="18" xfId="0" applyNumberFormat="1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17" fontId="6" fillId="0" borderId="13" xfId="17" applyNumberFormat="1" applyFont="1" applyFill="1" applyBorder="1" applyAlignment="1" applyProtection="1">
      <alignment/>
      <protection locked="0"/>
    </xf>
    <xf numFmtId="217" fontId="3" fillId="0" borderId="0" xfId="17" applyNumberFormat="1" applyFont="1" applyFill="1" applyAlignment="1">
      <alignment/>
    </xf>
    <xf numFmtId="217" fontId="6" fillId="0" borderId="0" xfId="17" applyNumberFormat="1" applyFont="1" applyFill="1" applyAlignment="1">
      <alignment horizontal="right"/>
    </xf>
    <xf numFmtId="217" fontId="6" fillId="2" borderId="0" xfId="17" applyNumberFormat="1" applyFont="1" applyFill="1" applyAlignment="1">
      <alignment/>
    </xf>
    <xf numFmtId="217" fontId="0" fillId="0" borderId="0" xfId="17" applyNumberFormat="1" applyFont="1" applyFill="1" applyAlignment="1">
      <alignment/>
    </xf>
    <xf numFmtId="217" fontId="16" fillId="0" borderId="0" xfId="17" applyNumberFormat="1" applyFont="1" applyFill="1" applyAlignment="1">
      <alignment/>
    </xf>
    <xf numFmtId="217" fontId="0" fillId="0" borderId="0" xfId="17" applyNumberFormat="1" applyFill="1" applyBorder="1" applyAlignment="1">
      <alignment/>
    </xf>
    <xf numFmtId="0" fontId="6" fillId="3" borderId="17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vertical="center" wrapText="1"/>
    </xf>
    <xf numFmtId="3" fontId="5" fillId="3" borderId="10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217" fontId="6" fillId="3" borderId="0" xfId="17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17" fontId="5" fillId="0" borderId="21" xfId="17" applyNumberFormat="1" applyFont="1" applyFill="1" applyBorder="1" applyAlignment="1">
      <alignment horizontal="center" vertical="justify" wrapText="1"/>
    </xf>
    <xf numFmtId="217" fontId="2" fillId="0" borderId="22" xfId="17" applyNumberFormat="1" applyFont="1" applyFill="1" applyBorder="1" applyAlignment="1">
      <alignment horizontal="center" vertical="justify" wrapText="1"/>
    </xf>
    <xf numFmtId="0" fontId="2" fillId="0" borderId="22" xfId="0" applyFont="1" applyFill="1" applyBorder="1" applyAlignment="1">
      <alignment horizontal="center" vertical="justify" wrapText="1"/>
    </xf>
    <xf numFmtId="217" fontId="6" fillId="0" borderId="23" xfId="17" applyNumberFormat="1" applyFont="1" applyFill="1" applyBorder="1" applyAlignment="1">
      <alignment/>
    </xf>
    <xf numFmtId="217" fontId="0" fillId="0" borderId="12" xfId="17" applyNumberFormat="1" applyFont="1" applyFill="1" applyBorder="1" applyAlignment="1">
      <alignment horizontal="left" vertical="justify" wrapText="1"/>
    </xf>
    <xf numFmtId="0" fontId="0" fillId="0" borderId="22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 horizontal="left" vertical="center" wrapText="1"/>
    </xf>
    <xf numFmtId="215" fontId="9" fillId="0" borderId="4" xfId="17" applyNumberFormat="1" applyFont="1" applyFill="1" applyBorder="1" applyAlignment="1">
      <alignment horizontal="center"/>
    </xf>
    <xf numFmtId="215" fontId="9" fillId="0" borderId="5" xfId="17" applyNumberFormat="1" applyFont="1" applyFill="1" applyBorder="1" applyAlignment="1">
      <alignment horizontal="center"/>
    </xf>
    <xf numFmtId="215" fontId="5" fillId="0" borderId="1" xfId="17" applyNumberFormat="1" applyFont="1" applyFill="1" applyBorder="1" applyAlignment="1">
      <alignment horizontal="center"/>
    </xf>
    <xf numFmtId="215" fontId="5" fillId="0" borderId="0" xfId="17" applyNumberFormat="1" applyFont="1" applyFill="1" applyBorder="1" applyAlignment="1">
      <alignment horizontal="center"/>
    </xf>
    <xf numFmtId="49" fontId="5" fillId="0" borderId="1" xfId="17" applyNumberFormat="1" applyFont="1" applyFill="1" applyBorder="1" applyAlignment="1">
      <alignment horizontal="center"/>
    </xf>
    <xf numFmtId="49" fontId="5" fillId="0" borderId="0" xfId="17" applyNumberFormat="1" applyFont="1" applyFill="1" applyBorder="1" applyAlignment="1">
      <alignment horizontal="center"/>
    </xf>
    <xf numFmtId="49" fontId="5" fillId="0" borderId="2" xfId="17" applyNumberFormat="1" applyFont="1" applyFill="1" applyBorder="1" applyAlignment="1">
      <alignment horizontal="center"/>
    </xf>
    <xf numFmtId="49" fontId="5" fillId="0" borderId="3" xfId="17" applyNumberFormat="1" applyFont="1" applyFill="1" applyBorder="1" applyAlignment="1">
      <alignment horizontal="center"/>
    </xf>
    <xf numFmtId="3" fontId="5" fillId="0" borderId="10" xfId="17" applyNumberFormat="1" applyFont="1" applyFill="1" applyBorder="1" applyAlignment="1">
      <alignment horizontal="left"/>
    </xf>
    <xf numFmtId="3" fontId="5" fillId="0" borderId="10" xfId="17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5" fillId="0" borderId="10" xfId="18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/>
    </xf>
    <xf numFmtId="3" fontId="6" fillId="0" borderId="10" xfId="1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217" fontId="0" fillId="0" borderId="12" xfId="17" applyNumberFormat="1" applyFont="1" applyFill="1" applyBorder="1" applyAlignment="1">
      <alignment horizontal="right" vertical="justify" wrapText="1"/>
    </xf>
    <xf numFmtId="217" fontId="6" fillId="0" borderId="0" xfId="17" applyNumberFormat="1" applyFont="1" applyFill="1" applyBorder="1" applyAlignment="1">
      <alignment/>
    </xf>
    <xf numFmtId="217" fontId="0" fillId="0" borderId="0" xfId="17" applyNumberFormat="1" applyFont="1" applyFill="1" applyBorder="1" applyAlignment="1">
      <alignment/>
    </xf>
    <xf numFmtId="217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justify" wrapText="1"/>
    </xf>
    <xf numFmtId="217" fontId="0" fillId="0" borderId="0" xfId="17" applyNumberFormat="1" applyFill="1" applyAlignment="1">
      <alignment horizontal="right"/>
    </xf>
    <xf numFmtId="49" fontId="6" fillId="0" borderId="10" xfId="0" applyNumberFormat="1" applyFont="1" applyFill="1" applyBorder="1" applyAlignment="1" quotePrefix="1">
      <alignment horizontal="left"/>
    </xf>
    <xf numFmtId="43" fontId="6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 quotePrefix="1">
      <alignment horizontal="left"/>
    </xf>
    <xf numFmtId="3" fontId="6" fillId="0" borderId="10" xfId="0" applyNumberFormat="1" applyFont="1" applyFill="1" applyBorder="1" applyAlignment="1" quotePrefix="1">
      <alignment horizontal="left"/>
    </xf>
    <xf numFmtId="49" fontId="5" fillId="0" borderId="10" xfId="0" applyNumberFormat="1" applyFont="1" applyFill="1" applyBorder="1" applyAlignment="1" quotePrefix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217" fontId="5" fillId="0" borderId="0" xfId="17" applyNumberFormat="1" applyFont="1" applyFill="1" applyAlignment="1">
      <alignment/>
    </xf>
    <xf numFmtId="3" fontId="8" fillId="0" borderId="24" xfId="17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3" fontId="5" fillId="0" borderId="0" xfId="21" applyNumberFormat="1" applyFont="1" applyFill="1" applyAlignment="1">
      <alignment/>
    </xf>
    <xf numFmtId="49" fontId="5" fillId="0" borderId="10" xfId="17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 quotePrefix="1">
      <alignment horizontal="justify" vertical="center"/>
    </xf>
    <xf numFmtId="217" fontId="5" fillId="0" borderId="1" xfId="17" applyNumberFormat="1" applyFont="1" applyFill="1" applyBorder="1" applyAlignment="1">
      <alignment horizontal="right"/>
    </xf>
    <xf numFmtId="213" fontId="6" fillId="0" borderId="0" xfId="17" applyFont="1" applyFill="1" applyAlignment="1">
      <alignment/>
    </xf>
    <xf numFmtId="213" fontId="5" fillId="0" borderId="0" xfId="17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9" fontId="6" fillId="0" borderId="0" xfId="21" applyFont="1" applyFill="1" applyAlignment="1">
      <alignment/>
    </xf>
    <xf numFmtId="3" fontId="6" fillId="0" borderId="10" xfId="0" applyNumberFormat="1" applyFont="1" applyFill="1" applyBorder="1" applyAlignment="1">
      <alignment horizontal="justify" vertical="center" wrapText="1"/>
    </xf>
    <xf numFmtId="3" fontId="17" fillId="0" borderId="10" xfId="17" applyNumberFormat="1" applyFont="1" applyFill="1" applyBorder="1" applyAlignment="1">
      <alignment horizontal="right"/>
    </xf>
    <xf numFmtId="217" fontId="3" fillId="0" borderId="0" xfId="17" applyNumberFormat="1" applyFont="1" applyFill="1" applyAlignment="1">
      <alignment horizontal="right"/>
    </xf>
    <xf numFmtId="3" fontId="17" fillId="0" borderId="10" xfId="17" applyNumberFormat="1" applyFont="1" applyFill="1" applyBorder="1" applyAlignment="1">
      <alignment horizontal="left"/>
    </xf>
    <xf numFmtId="3" fontId="4" fillId="0" borderId="10" xfId="17" applyNumberFormat="1" applyFont="1" applyFill="1" applyBorder="1" applyAlignment="1">
      <alignment horizontal="right"/>
    </xf>
    <xf numFmtId="49" fontId="6" fillId="0" borderId="0" xfId="17" applyNumberFormat="1" applyFont="1" applyFill="1" applyBorder="1" applyAlignment="1">
      <alignment horizontal="left"/>
    </xf>
    <xf numFmtId="3" fontId="6" fillId="0" borderId="0" xfId="17" applyNumberFormat="1" applyFont="1" applyFill="1" applyBorder="1" applyAlignment="1">
      <alignment horizontal="center"/>
    </xf>
    <xf numFmtId="3" fontId="5" fillId="0" borderId="10" xfId="17" applyNumberFormat="1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/>
    </xf>
    <xf numFmtId="49" fontId="6" fillId="0" borderId="10" xfId="17" applyNumberFormat="1" applyFont="1" applyFill="1" applyBorder="1" applyAlignment="1">
      <alignment horizontal="left"/>
    </xf>
    <xf numFmtId="3" fontId="6" fillId="0" borderId="10" xfId="17" applyNumberFormat="1" applyFont="1" applyFill="1" applyBorder="1" applyAlignment="1">
      <alignment horizontal="center"/>
    </xf>
    <xf numFmtId="3" fontId="17" fillId="0" borderId="0" xfId="17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217" fontId="2" fillId="0" borderId="0" xfId="17" applyNumberFormat="1" applyFont="1" applyFill="1" applyAlignment="1">
      <alignment/>
    </xf>
    <xf numFmtId="217" fontId="5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217" fontId="0" fillId="0" borderId="0" xfId="0" applyNumberFormat="1" applyFill="1" applyAlignment="1">
      <alignment/>
    </xf>
    <xf numFmtId="217" fontId="18" fillId="0" borderId="0" xfId="17" applyNumberFormat="1" applyFont="1" applyFill="1" applyAlignment="1">
      <alignment/>
    </xf>
    <xf numFmtId="0" fontId="19" fillId="0" borderId="0" xfId="0" applyFont="1" applyFill="1" applyAlignment="1">
      <alignment/>
    </xf>
    <xf numFmtId="21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17" fontId="5" fillId="0" borderId="0" xfId="17" applyNumberFormat="1" applyFont="1" applyFill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213" fontId="5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0" fontId="0" fillId="0" borderId="0" xfId="21" applyNumberFormat="1" applyFill="1" applyAlignment="1">
      <alignment/>
    </xf>
    <xf numFmtId="0" fontId="21" fillId="0" borderId="0" xfId="0" applyFont="1" applyAlignment="1">
      <alignment horizontal="right"/>
    </xf>
    <xf numFmtId="217" fontId="15" fillId="0" borderId="0" xfId="17" applyNumberFormat="1" applyFont="1" applyFill="1" applyAlignment="1">
      <alignment/>
    </xf>
    <xf numFmtId="0" fontId="20" fillId="0" borderId="0" xfId="0" applyFont="1" applyAlignment="1">
      <alignment/>
    </xf>
    <xf numFmtId="217" fontId="0" fillId="0" borderId="0" xfId="17" applyNumberFormat="1" applyAlignment="1">
      <alignment/>
    </xf>
    <xf numFmtId="4" fontId="21" fillId="0" borderId="0" xfId="0" applyNumberFormat="1" applyFont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215" fontId="5" fillId="0" borderId="4" xfId="17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215" fontId="9" fillId="0" borderId="4" xfId="17" applyNumberFormat="1" applyFont="1" applyFill="1" applyBorder="1" applyAlignment="1">
      <alignment horizontal="center" vertical="center" wrapText="1"/>
    </xf>
    <xf numFmtId="215" fontId="9" fillId="0" borderId="1" xfId="17" applyNumberFormat="1" applyFont="1" applyFill="1" applyBorder="1" applyAlignment="1">
      <alignment horizontal="center" vertical="center" wrapText="1"/>
    </xf>
    <xf numFmtId="215" fontId="9" fillId="0" borderId="2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tha\Mis%20documentos\2005\PRESUPUESTO\Documents%20and%20Settings\alcaldia\Configuraci&#243;n%20local\Temp\Mis%20documentos\PROYECTO%20PRESUPUESTO%202002\PRESUPUESTO%20NOM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tha\Mis%20documentos\2006\presupuesto\MARCO%20FISCAL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CO%20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NTAPERSONAL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ro"/>
      <sheetName val="PRESUPUESTO"/>
      <sheetName val="planta2"/>
      <sheetName val="planta1"/>
      <sheetName val="PARAFISCALES"/>
    </sheetNames>
    <sheetDataSet>
      <sheetData sheetId="1">
        <row r="9">
          <cell r="K9">
            <v>1472823</v>
          </cell>
          <cell r="L9">
            <v>17673876</v>
          </cell>
        </row>
        <row r="15">
          <cell r="K15">
            <v>3362260.1610000003</v>
          </cell>
          <cell r="L15">
            <v>40347121.932000004</v>
          </cell>
        </row>
        <row r="28">
          <cell r="J28">
            <v>9196186.671</v>
          </cell>
          <cell r="L28">
            <v>110354240.052</v>
          </cell>
        </row>
        <row r="40">
          <cell r="J40">
            <v>1256062.5</v>
          </cell>
          <cell r="L40">
            <v>15072750</v>
          </cell>
        </row>
        <row r="70">
          <cell r="K70">
            <v>1560294.45</v>
          </cell>
          <cell r="L70">
            <v>18723533.4</v>
          </cell>
        </row>
      </sheetData>
      <sheetData sheetId="4">
        <row r="4">
          <cell r="B4">
            <v>706955.04</v>
          </cell>
        </row>
        <row r="5">
          <cell r="B5">
            <v>1413910.08</v>
          </cell>
        </row>
        <row r="6">
          <cell r="B6">
            <v>1789479.945</v>
          </cell>
        </row>
        <row r="7">
          <cell r="B7">
            <v>92257.63272</v>
          </cell>
        </row>
        <row r="12">
          <cell r="B12">
            <v>530216.28</v>
          </cell>
        </row>
        <row r="13">
          <cell r="B13">
            <v>176738.76</v>
          </cell>
        </row>
        <row r="14">
          <cell r="B14">
            <v>88369.38</v>
          </cell>
        </row>
        <row r="15">
          <cell r="B15">
            <v>88369.38</v>
          </cell>
        </row>
        <row r="21">
          <cell r="B21">
            <v>1613884.8772800001</v>
          </cell>
        </row>
        <row r="22">
          <cell r="B22">
            <v>3227769.7545600003</v>
          </cell>
        </row>
        <row r="23">
          <cell r="B23">
            <v>4085146.0956150005</v>
          </cell>
        </row>
        <row r="24">
          <cell r="B24">
            <v>210611.97648504</v>
          </cell>
        </row>
        <row r="28">
          <cell r="B28">
            <v>1210413.65796</v>
          </cell>
        </row>
        <row r="29">
          <cell r="B29">
            <v>403471.21932000003</v>
          </cell>
        </row>
        <row r="30">
          <cell r="B30">
            <v>201735.60966000002</v>
          </cell>
        </row>
        <row r="31">
          <cell r="B31">
            <v>201735.60966000002</v>
          </cell>
        </row>
        <row r="37">
          <cell r="B37">
            <v>4414169.602080001</v>
          </cell>
        </row>
        <row r="38">
          <cell r="B38">
            <v>8828339.204160001</v>
          </cell>
        </row>
        <row r="39">
          <cell r="B39">
            <v>11173366.805265</v>
          </cell>
        </row>
        <row r="40">
          <cell r="B40">
            <v>2688229.28766672</v>
          </cell>
        </row>
        <row r="44">
          <cell r="B44">
            <v>3310627.20156</v>
          </cell>
        </row>
        <row r="45">
          <cell r="B45">
            <v>1103542.4005200001</v>
          </cell>
        </row>
        <row r="46">
          <cell r="B46">
            <v>551771.2002600001</v>
          </cell>
        </row>
        <row r="47">
          <cell r="B47">
            <v>551771.2002600001</v>
          </cell>
        </row>
        <row r="53">
          <cell r="B53">
            <v>2268493.506</v>
          </cell>
        </row>
        <row r="54">
          <cell r="B54">
            <v>4536987.012</v>
          </cell>
        </row>
        <row r="55">
          <cell r="B55">
            <v>5742124.1870625</v>
          </cell>
        </row>
        <row r="56">
          <cell r="B56">
            <v>1381512.545154</v>
          </cell>
        </row>
        <row r="60">
          <cell r="B60">
            <v>1701370.1294999998</v>
          </cell>
        </row>
        <row r="61">
          <cell r="B61">
            <v>567123.3765</v>
          </cell>
        </row>
        <row r="62">
          <cell r="B62">
            <v>283561.68825</v>
          </cell>
        </row>
        <row r="63">
          <cell r="B63">
            <v>283561.68825</v>
          </cell>
        </row>
        <row r="136">
          <cell r="B136">
            <v>748941.336</v>
          </cell>
        </row>
        <row r="137">
          <cell r="B137">
            <v>1497882.672</v>
          </cell>
        </row>
        <row r="138">
          <cell r="B138">
            <v>1895757.75675</v>
          </cell>
        </row>
        <row r="139">
          <cell r="B139">
            <v>97736.84434799998</v>
          </cell>
        </row>
        <row r="143">
          <cell r="B143">
            <v>561706.002</v>
          </cell>
        </row>
        <row r="144">
          <cell r="B144">
            <v>187235.334</v>
          </cell>
        </row>
        <row r="145">
          <cell r="B145">
            <v>93617.667</v>
          </cell>
        </row>
        <row r="146">
          <cell r="B146">
            <v>93617.667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Balance Financiero"/>
      <sheetName val="Ley 617"/>
      <sheetName val="Capacidad de Pago"/>
      <sheetName val="Pasivo a Cancelar y Deuda"/>
      <sheetName val="Fuentes y Usos Seguimiento"/>
      <sheetName val="Fuentes y Usos Proyecciones"/>
      <sheetName val="Ingresos Proyecciones"/>
      <sheetName val="Gastos Proyecciones"/>
      <sheetName val="Cuadros para Informe Municipios"/>
      <sheetName val="Variación Cuentas por Pagar"/>
      <sheetName val="Resumen Indicadores"/>
      <sheetName val="Gráf  Déf-Sup Primario"/>
      <sheetName val="Gráf Déf-Aho Corriente"/>
      <sheetName val="Gráf Déf-Sup Total"/>
      <sheetName val=" Gráf Comp Ing Tributarios"/>
      <sheetName val="Gráf Comp Gastos Funcionamien"/>
      <sheetName val=" Gráf Comp Ingresos"/>
      <sheetName val=" Gráf Comp Gastos"/>
      <sheetName val="Gráf Comp Transf"/>
    </sheetNames>
    <sheetDataSet>
      <sheetData sheetId="8">
        <row r="24">
          <cell r="G24">
            <v>6483893.659999999</v>
          </cell>
        </row>
        <row r="68">
          <cell r="G68">
            <v>1501149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Balance Financiero"/>
      <sheetName val="Ley 617"/>
      <sheetName val="Capacidad de Pago"/>
      <sheetName val="Pasivo a Cancelar y Deuda"/>
      <sheetName val="Fuentes y Usos Seguimiento"/>
      <sheetName val="Fuentes y Usos Proyecciones"/>
      <sheetName val="Ingresos Proyecciones"/>
      <sheetName val="Gastos Proyecciones"/>
      <sheetName val="Cuadros para Informe Municipios"/>
      <sheetName val="Variación Cuentas por Pagar"/>
      <sheetName val="Resumen Indicadores"/>
      <sheetName val="Gráf  Déf-Sup Primario"/>
      <sheetName val="Gráf Déf-Aho Corriente"/>
      <sheetName val="Gráf Déf-Sup Total"/>
      <sheetName val=" Gráf Comp Ing Tributarios"/>
      <sheetName val="Gráf Comp Gastos Funcionamien"/>
      <sheetName val=" Gráf Comp Ingresos"/>
      <sheetName val=" Gráf Comp Gastos"/>
      <sheetName val="Gráf Comp Transf"/>
    </sheetNames>
    <sheetDataSet>
      <sheetData sheetId="3">
        <row r="86">
          <cell r="U86">
            <v>2647973.88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INA2007"/>
      <sheetName val="NOMINA2007 (2)"/>
    </sheetNames>
    <sheetDataSet>
      <sheetData sheetId="1">
        <row r="63">
          <cell r="P63">
            <v>35701524.88446667</v>
          </cell>
          <cell r="Q63">
            <v>4284182.986136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3"/>
  <sheetViews>
    <sheetView view="pageBreakPreview" zoomScale="60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"/>
    </sheetView>
  </sheetViews>
  <sheetFormatPr defaultColWidth="11.421875" defaultRowHeight="12.75"/>
  <cols>
    <col min="1" max="1" width="11.7109375" style="181" customWidth="1"/>
    <col min="2" max="2" width="49.7109375" style="0" customWidth="1"/>
    <col min="3" max="3" width="21.7109375" style="0" customWidth="1"/>
    <col min="4" max="4" width="19.00390625" style="0" customWidth="1"/>
    <col min="5" max="6" width="21.7109375" style="0" customWidth="1"/>
    <col min="7" max="7" width="19.140625" style="0" customWidth="1"/>
    <col min="8" max="8" width="20.00390625" style="21" customWidth="1"/>
    <col min="9" max="9" width="8.7109375" style="0" customWidth="1"/>
    <col min="10" max="10" width="18.140625" style="108" customWidth="1"/>
    <col min="11" max="11" width="19.7109375" style="0" customWidth="1"/>
    <col min="12" max="12" width="21.8515625" style="0" customWidth="1"/>
    <col min="13" max="13" width="7.57421875" style="0" customWidth="1"/>
    <col min="14" max="14" width="32.8515625" style="0" customWidth="1"/>
    <col min="15" max="15" width="18.28125" style="0" customWidth="1"/>
    <col min="16" max="20" width="9.140625" style="0" customWidth="1"/>
    <col min="21" max="21" width="28.140625" style="0" customWidth="1"/>
    <col min="22" max="22" width="16.421875" style="0" customWidth="1"/>
    <col min="23" max="16384" width="9.140625" style="0" customWidth="1"/>
  </cols>
  <sheetData>
    <row r="1" spans="1:22" ht="18">
      <c r="A1" s="302" t="s">
        <v>0</v>
      </c>
      <c r="B1" s="303"/>
      <c r="C1" s="303"/>
      <c r="D1" s="303"/>
      <c r="E1" s="303"/>
      <c r="F1" s="303"/>
      <c r="G1" s="303"/>
      <c r="H1" s="303"/>
      <c r="I1" s="304"/>
      <c r="R1" s="287">
        <v>1</v>
      </c>
      <c r="S1" s="288" t="s">
        <v>617</v>
      </c>
      <c r="T1" s="289"/>
      <c r="U1" s="289"/>
      <c r="V1" s="290" t="s">
        <v>618</v>
      </c>
    </row>
    <row r="2" spans="1:22" ht="18">
      <c r="A2" s="305" t="s">
        <v>567</v>
      </c>
      <c r="B2" s="306"/>
      <c r="C2" s="306"/>
      <c r="D2" s="306"/>
      <c r="E2" s="306"/>
      <c r="F2" s="306"/>
      <c r="G2" s="306"/>
      <c r="H2" s="306"/>
      <c r="I2" s="307"/>
      <c r="R2" s="287">
        <v>2</v>
      </c>
      <c r="S2" s="296" t="s">
        <v>619</v>
      </c>
      <c r="T2" s="296"/>
      <c r="U2" s="289"/>
      <c r="V2" s="291">
        <v>180558073</v>
      </c>
    </row>
    <row r="3" spans="1:22" ht="18">
      <c r="A3" s="305" t="s">
        <v>564</v>
      </c>
      <c r="B3" s="306"/>
      <c r="C3" s="306"/>
      <c r="D3" s="306"/>
      <c r="E3" s="306"/>
      <c r="F3" s="306"/>
      <c r="G3" s="306"/>
      <c r="H3" s="306"/>
      <c r="I3" s="307"/>
      <c r="R3" s="287">
        <v>3</v>
      </c>
      <c r="S3" s="296" t="s">
        <v>620</v>
      </c>
      <c r="T3" s="296"/>
      <c r="U3" s="289"/>
      <c r="V3" s="291">
        <v>3214079100</v>
      </c>
    </row>
    <row r="4" spans="1:22" ht="12.75">
      <c r="A4" s="159"/>
      <c r="B4" s="24"/>
      <c r="C4" s="25"/>
      <c r="D4" s="25"/>
      <c r="E4" s="25"/>
      <c r="F4" s="25"/>
      <c r="G4" s="25"/>
      <c r="H4" s="145"/>
      <c r="I4" s="26"/>
      <c r="R4" s="287">
        <v>4</v>
      </c>
      <c r="S4" s="296" t="s">
        <v>621</v>
      </c>
      <c r="T4" s="296"/>
      <c r="U4" s="296"/>
      <c r="V4" s="291">
        <v>18090767</v>
      </c>
    </row>
    <row r="5" spans="1:9" ht="12.75">
      <c r="A5" s="160" t="s">
        <v>19</v>
      </c>
      <c r="B5" s="16" t="s">
        <v>1</v>
      </c>
      <c r="C5" s="10" t="s">
        <v>231</v>
      </c>
      <c r="D5" s="11" t="s">
        <v>7</v>
      </c>
      <c r="E5" s="10" t="s">
        <v>3</v>
      </c>
      <c r="F5" s="19" t="s">
        <v>4</v>
      </c>
      <c r="G5" s="10" t="s">
        <v>5</v>
      </c>
      <c r="H5" s="146" t="s">
        <v>2</v>
      </c>
      <c r="I5" s="27" t="s">
        <v>6</v>
      </c>
    </row>
    <row r="6" spans="1:9" ht="12.75">
      <c r="A6" s="161"/>
      <c r="B6" s="17"/>
      <c r="C6" s="15" t="s">
        <v>277</v>
      </c>
      <c r="D6" s="12" t="s">
        <v>278</v>
      </c>
      <c r="E6" s="9" t="s">
        <v>264</v>
      </c>
      <c r="F6" s="12" t="s">
        <v>8</v>
      </c>
      <c r="G6" s="9" t="s">
        <v>9</v>
      </c>
      <c r="H6" s="147" t="s">
        <v>10</v>
      </c>
      <c r="I6" s="28" t="s">
        <v>614</v>
      </c>
    </row>
    <row r="7" spans="1:9" ht="12.75">
      <c r="A7" s="161"/>
      <c r="B7" s="17"/>
      <c r="C7" s="13">
        <v>2007</v>
      </c>
      <c r="D7" s="14">
        <v>2007</v>
      </c>
      <c r="E7" s="13">
        <v>2007</v>
      </c>
      <c r="F7" s="14">
        <v>2007</v>
      </c>
      <c r="G7" s="13">
        <v>2007</v>
      </c>
      <c r="H7" s="148">
        <v>2008</v>
      </c>
      <c r="I7" s="29"/>
    </row>
    <row r="8" spans="1:9" ht="12.75">
      <c r="A8" s="162"/>
      <c r="B8" s="7"/>
      <c r="C8" s="3" t="s">
        <v>62</v>
      </c>
      <c r="D8" s="4" t="s">
        <v>63</v>
      </c>
      <c r="E8" s="3" t="s">
        <v>150</v>
      </c>
      <c r="F8" s="4" t="s">
        <v>151</v>
      </c>
      <c r="G8" s="3" t="s">
        <v>152</v>
      </c>
      <c r="H8" s="149"/>
      <c r="I8" s="30"/>
    </row>
    <row r="9" spans="1:9" ht="12.75">
      <c r="A9" s="163"/>
      <c r="B9" s="6"/>
      <c r="C9" s="1"/>
      <c r="D9" s="2"/>
      <c r="E9" s="1"/>
      <c r="F9" s="2"/>
      <c r="G9" s="1"/>
      <c r="H9" s="150"/>
      <c r="I9" s="31"/>
    </row>
    <row r="10" spans="1:9" ht="15.75">
      <c r="A10" s="164"/>
      <c r="B10" s="33" t="s">
        <v>13</v>
      </c>
      <c r="C10" s="34"/>
      <c r="D10" s="35"/>
      <c r="E10" s="34"/>
      <c r="F10" s="35"/>
      <c r="G10" s="34"/>
      <c r="H10" s="151"/>
      <c r="I10" s="36"/>
    </row>
    <row r="11" spans="1:13" ht="15">
      <c r="A11" s="165"/>
      <c r="B11" s="37"/>
      <c r="C11" s="34"/>
      <c r="D11" s="35"/>
      <c r="E11" s="34"/>
      <c r="F11" s="35"/>
      <c r="G11" s="34"/>
      <c r="H11" s="151"/>
      <c r="I11" s="36"/>
      <c r="K11" s="108"/>
      <c r="L11" s="108"/>
      <c r="M11" s="108"/>
    </row>
    <row r="12" spans="1:13" ht="15.75">
      <c r="A12" s="74" t="s">
        <v>15</v>
      </c>
      <c r="B12" s="71" t="s">
        <v>14</v>
      </c>
      <c r="C12" s="38">
        <f aca="true" t="shared" si="0" ref="C12:H12">C14+C29</f>
        <v>4561106115.360001</v>
      </c>
      <c r="D12" s="38">
        <f t="shared" si="0"/>
        <v>1246838882</v>
      </c>
      <c r="E12" s="38">
        <f t="shared" si="0"/>
        <v>5807944997.360001</v>
      </c>
      <c r="F12" s="38">
        <f t="shared" si="0"/>
        <v>5569410826.240001</v>
      </c>
      <c r="G12" s="38">
        <f>G14+G29</f>
        <v>228885650.55999997</v>
      </c>
      <c r="H12" s="39">
        <f t="shared" si="0"/>
        <v>5037100175.903181</v>
      </c>
      <c r="I12" s="38"/>
      <c r="K12" s="108"/>
      <c r="L12" s="108"/>
      <c r="M12" s="108"/>
    </row>
    <row r="13" spans="1:13" ht="15">
      <c r="A13" s="166"/>
      <c r="B13" s="64"/>
      <c r="C13" s="72"/>
      <c r="D13" s="72"/>
      <c r="E13" s="72"/>
      <c r="F13" s="72"/>
      <c r="G13" s="72"/>
      <c r="H13" s="41"/>
      <c r="I13" s="72" t="str">
        <f>IF(E13&lt;&gt;0,((H13/E13)-1)*100,"  ")</f>
        <v>  </v>
      </c>
      <c r="K13" s="108"/>
      <c r="L13" s="108"/>
      <c r="M13" s="108"/>
    </row>
    <row r="14" spans="1:13" ht="15.75">
      <c r="A14" s="74">
        <v>11</v>
      </c>
      <c r="B14" s="71" t="s">
        <v>18</v>
      </c>
      <c r="C14" s="38">
        <f aca="true" t="shared" si="1" ref="C14:H14">C16+C20</f>
        <v>1636043692</v>
      </c>
      <c r="D14" s="38">
        <f t="shared" si="1"/>
        <v>252780000</v>
      </c>
      <c r="E14" s="38">
        <f t="shared" si="1"/>
        <v>1888823692</v>
      </c>
      <c r="F14" s="38">
        <f t="shared" si="1"/>
        <v>1742943882.72</v>
      </c>
      <c r="G14" s="38">
        <f t="shared" si="1"/>
        <v>145879809.27999997</v>
      </c>
      <c r="H14" s="39">
        <f t="shared" si="1"/>
        <v>1881353121.9850001</v>
      </c>
      <c r="I14" s="38">
        <f>IF(E14&lt;&gt;0,((H14/E14)-1)*100,"  ")</f>
        <v>-0.3955144170756153</v>
      </c>
      <c r="K14" s="108"/>
      <c r="L14" s="108"/>
      <c r="M14" s="108"/>
    </row>
    <row r="15" spans="1:13" ht="15.75">
      <c r="A15" s="167"/>
      <c r="B15" s="73"/>
      <c r="C15" s="38"/>
      <c r="D15" s="38"/>
      <c r="E15" s="38"/>
      <c r="F15" s="38"/>
      <c r="G15" s="38"/>
      <c r="H15" s="39"/>
      <c r="I15" s="38"/>
      <c r="K15" s="108"/>
      <c r="L15" s="108"/>
      <c r="M15" s="108"/>
    </row>
    <row r="16" spans="1:13" ht="15.75">
      <c r="A16" s="74">
        <v>111</v>
      </c>
      <c r="B16" s="71" t="s">
        <v>17</v>
      </c>
      <c r="C16" s="38">
        <f aca="true" t="shared" si="2" ref="C16:H16">SUM(C18:C19)</f>
        <v>1000228028</v>
      </c>
      <c r="D16" s="38">
        <f t="shared" si="2"/>
        <v>27000000</v>
      </c>
      <c r="E16" s="38">
        <f t="shared" si="2"/>
        <v>1027228028</v>
      </c>
      <c r="F16" s="38">
        <f t="shared" si="2"/>
        <v>957681327.76</v>
      </c>
      <c r="G16" s="38">
        <f t="shared" si="2"/>
        <v>69546700.23999998</v>
      </c>
      <c r="H16" s="38">
        <f t="shared" si="2"/>
        <v>1009095473.445</v>
      </c>
      <c r="I16" s="38">
        <f>IF(E16&lt;&gt;0,((H16/E16)-1)*100,"  ")</f>
        <v>-1.7651927381989174</v>
      </c>
      <c r="K16" s="108"/>
      <c r="L16" s="108"/>
      <c r="M16" s="108"/>
    </row>
    <row r="17" spans="1:13" ht="15">
      <c r="A17" s="166"/>
      <c r="B17" s="64"/>
      <c r="C17" s="72"/>
      <c r="D17" s="72"/>
      <c r="E17" s="72"/>
      <c r="F17" s="72"/>
      <c r="G17" s="72"/>
      <c r="H17" s="41"/>
      <c r="I17" s="72"/>
      <c r="J17" s="108">
        <f>+H18-E18</f>
        <v>33678752.44500005</v>
      </c>
      <c r="K17" s="108"/>
      <c r="L17" s="108"/>
      <c r="M17" s="108"/>
    </row>
    <row r="18" spans="1:14" ht="15">
      <c r="A18" s="75">
        <v>11101</v>
      </c>
      <c r="B18" s="76" t="s">
        <v>16</v>
      </c>
      <c r="C18" s="72">
        <v>736416721</v>
      </c>
      <c r="D18" s="72">
        <v>12000000</v>
      </c>
      <c r="E18" s="72">
        <f>SUM(C18:D18)</f>
        <v>748416721</v>
      </c>
      <c r="F18" s="72">
        <v>776511841.6</v>
      </c>
      <c r="G18" s="72">
        <f>+E18-F18</f>
        <v>-28095120.600000024</v>
      </c>
      <c r="H18" s="41">
        <f>SUM(E18*4.5%)+E18</f>
        <v>782095473.445</v>
      </c>
      <c r="I18" s="41">
        <f>IF(E18&lt;&gt;0,((H18-E18)/E18)*100,0)</f>
        <v>4.500000000000007</v>
      </c>
      <c r="J18" s="182">
        <v>514270</v>
      </c>
      <c r="K18" s="111">
        <v>573746</v>
      </c>
      <c r="L18" s="111">
        <v>647077</v>
      </c>
      <c r="M18" s="108">
        <f>+F18</f>
        <v>776511841.6</v>
      </c>
      <c r="N18" s="18">
        <f>+E18</f>
        <v>748416721</v>
      </c>
    </row>
    <row r="19" spans="1:14" ht="15">
      <c r="A19" s="85">
        <v>11101</v>
      </c>
      <c r="B19" s="79" t="s">
        <v>560</v>
      </c>
      <c r="C19" s="41">
        <v>263811307</v>
      </c>
      <c r="D19" s="41">
        <v>15000000</v>
      </c>
      <c r="E19" s="41">
        <f>SUM(C19:D19)</f>
        <v>278811307</v>
      </c>
      <c r="F19" s="41">
        <v>181169486.16</v>
      </c>
      <c r="G19" s="41">
        <f>+E19-F19</f>
        <v>97641820.84</v>
      </c>
      <c r="H19" s="128">
        <v>227000000</v>
      </c>
      <c r="I19" s="41"/>
      <c r="J19" s="183"/>
      <c r="K19" s="112">
        <f>+K18/J18-1</f>
        <v>0.11565131156785347</v>
      </c>
      <c r="L19" s="112">
        <f>+L18/K18-1</f>
        <v>0.12781091284296542</v>
      </c>
      <c r="M19" s="108"/>
      <c r="N19" s="107">
        <f>+N18/M18</f>
        <v>0.963818812418739</v>
      </c>
    </row>
    <row r="20" spans="1:13" ht="15.75">
      <c r="A20" s="77">
        <v>112</v>
      </c>
      <c r="B20" s="78" t="s">
        <v>20</v>
      </c>
      <c r="C20" s="39">
        <f aca="true" t="shared" si="3" ref="C20:H20">SUM(C22:C28)</f>
        <v>635815664</v>
      </c>
      <c r="D20" s="39">
        <f t="shared" si="3"/>
        <v>225780000</v>
      </c>
      <c r="E20" s="39">
        <f t="shared" si="3"/>
        <v>861595664</v>
      </c>
      <c r="F20" s="39">
        <f t="shared" si="3"/>
        <v>785262554.96</v>
      </c>
      <c r="G20" s="39">
        <f t="shared" si="3"/>
        <v>76333109.03999999</v>
      </c>
      <c r="H20" s="39">
        <f t="shared" si="3"/>
        <v>872257648.54</v>
      </c>
      <c r="I20" s="39">
        <f>IF(E20&lt;&gt;0,((H20/E20)-1)*100,"  ")</f>
        <v>1.2374696142853248</v>
      </c>
      <c r="J20" s="184"/>
      <c r="K20" s="112">
        <f>+K19+L19</f>
        <v>0.24346222441081888</v>
      </c>
      <c r="L20" s="112"/>
      <c r="M20" s="108"/>
    </row>
    <row r="21" spans="1:13" ht="15">
      <c r="A21" s="86"/>
      <c r="B21" s="60"/>
      <c r="C21" s="41"/>
      <c r="D21" s="41"/>
      <c r="E21" s="41"/>
      <c r="F21" s="41"/>
      <c r="G21" s="41"/>
      <c r="H21" s="41"/>
      <c r="I21" s="41"/>
      <c r="J21" s="184" t="s">
        <v>281</v>
      </c>
      <c r="K21" s="112">
        <f>+K20/2</f>
        <v>0.12173111220540944</v>
      </c>
      <c r="L21" s="112"/>
      <c r="M21" s="108"/>
    </row>
    <row r="22" spans="1:13" ht="15">
      <c r="A22" s="85">
        <v>11201</v>
      </c>
      <c r="B22" s="79" t="s">
        <v>21</v>
      </c>
      <c r="C22" s="41">
        <v>151457402</v>
      </c>
      <c r="D22" s="41">
        <v>800000</v>
      </c>
      <c r="E22" s="41">
        <f aca="true" t="shared" si="4" ref="E22:E28">SUM(C22:D22)</f>
        <v>152257402</v>
      </c>
      <c r="F22" s="41">
        <v>126924124.08</v>
      </c>
      <c r="G22" s="41">
        <f aca="true" t="shared" si="5" ref="G22:G28">+E22-F22</f>
        <v>25333277.92</v>
      </c>
      <c r="H22" s="41">
        <v>131118000</v>
      </c>
      <c r="I22" s="41">
        <f aca="true" t="shared" si="6" ref="I22:I28">IF(E22&lt;&gt;0,((H22-E22)/E22)*100,0)</f>
        <v>-13.883989692665319</v>
      </c>
      <c r="J22" s="109"/>
      <c r="K22" s="114">
        <f>+E18*12%+E18</f>
        <v>838226727.52</v>
      </c>
      <c r="L22" s="112"/>
      <c r="M22" s="108"/>
    </row>
    <row r="23" spans="1:13" ht="15">
      <c r="A23" s="85">
        <v>11202</v>
      </c>
      <c r="B23" s="79" t="s">
        <v>22</v>
      </c>
      <c r="C23" s="41">
        <v>23587050</v>
      </c>
      <c r="D23" s="41">
        <v>180000</v>
      </c>
      <c r="E23" s="41">
        <f t="shared" si="4"/>
        <v>23767050</v>
      </c>
      <c r="F23" s="41">
        <v>20258550</v>
      </c>
      <c r="G23" s="41">
        <f t="shared" si="5"/>
        <v>3508500</v>
      </c>
      <c r="H23" s="41">
        <f>SUM(E23*4%)+E23</f>
        <v>24717732</v>
      </c>
      <c r="I23" s="41">
        <f t="shared" si="6"/>
        <v>4</v>
      </c>
      <c r="J23" s="109"/>
      <c r="K23" s="116">
        <f>+K22-H18</f>
        <v>56131254.07499993</v>
      </c>
      <c r="L23" s="112"/>
      <c r="M23" s="108"/>
    </row>
    <row r="24" spans="1:11" ht="15">
      <c r="A24" s="85">
        <v>11203</v>
      </c>
      <c r="B24" s="79" t="s">
        <v>23</v>
      </c>
      <c r="C24" s="41">
        <v>0</v>
      </c>
      <c r="D24" s="41">
        <v>0</v>
      </c>
      <c r="E24" s="41">
        <f t="shared" si="4"/>
        <v>0</v>
      </c>
      <c r="F24" s="41">
        <v>0</v>
      </c>
      <c r="G24" s="41">
        <f t="shared" si="5"/>
        <v>0</v>
      </c>
      <c r="H24" s="41">
        <v>0</v>
      </c>
      <c r="I24" s="41">
        <v>0</v>
      </c>
      <c r="J24" s="183"/>
      <c r="K24" s="115"/>
    </row>
    <row r="25" spans="1:11" ht="15">
      <c r="A25" s="85">
        <v>11204</v>
      </c>
      <c r="B25" s="79" t="s">
        <v>24</v>
      </c>
      <c r="C25" s="41">
        <v>0</v>
      </c>
      <c r="D25" s="41">
        <v>0</v>
      </c>
      <c r="E25" s="41">
        <f t="shared" si="4"/>
        <v>0</v>
      </c>
      <c r="F25" s="41">
        <v>0</v>
      </c>
      <c r="G25" s="41">
        <f t="shared" si="5"/>
        <v>0</v>
      </c>
      <c r="H25" s="41">
        <f>SUM(E25*4%)+E25</f>
        <v>0</v>
      </c>
      <c r="I25" s="41">
        <f t="shared" si="6"/>
        <v>0</v>
      </c>
      <c r="J25" s="183"/>
      <c r="K25" s="114">
        <f>+E18*8%+E18</f>
        <v>808290058.68</v>
      </c>
    </row>
    <row r="26" spans="1:11" ht="15">
      <c r="A26" s="85">
        <v>11205</v>
      </c>
      <c r="B26" s="79" t="s">
        <v>25</v>
      </c>
      <c r="C26" s="41">
        <v>4703712</v>
      </c>
      <c r="D26" s="41">
        <v>600000</v>
      </c>
      <c r="E26" s="41">
        <f t="shared" si="4"/>
        <v>5303712</v>
      </c>
      <c r="F26" s="41">
        <v>3117712</v>
      </c>
      <c r="G26" s="41">
        <f t="shared" si="5"/>
        <v>2186000</v>
      </c>
      <c r="H26" s="41">
        <f>SUM(E26*4.5%)+E26</f>
        <v>5542379.04</v>
      </c>
      <c r="I26" s="41">
        <f t="shared" si="6"/>
        <v>4.500000000000001</v>
      </c>
      <c r="J26" s="183"/>
      <c r="K26" s="69">
        <f>+K25-H18</f>
        <v>26194585.234999895</v>
      </c>
    </row>
    <row r="27" spans="1:10" ht="15">
      <c r="A27" s="85">
        <v>11206</v>
      </c>
      <c r="B27" s="79" t="s">
        <v>26</v>
      </c>
      <c r="C27" s="41">
        <v>6505500</v>
      </c>
      <c r="D27" s="41">
        <v>200000</v>
      </c>
      <c r="E27" s="41">
        <f t="shared" si="4"/>
        <v>6705500</v>
      </c>
      <c r="F27" s="41">
        <v>1838248.88</v>
      </c>
      <c r="G27" s="41">
        <f t="shared" si="5"/>
        <v>4867251.12</v>
      </c>
      <c r="H27" s="41">
        <f>SUM(E27*4.5%)+E27</f>
        <v>7007247.5</v>
      </c>
      <c r="I27" s="41">
        <f t="shared" si="6"/>
        <v>4.5</v>
      </c>
      <c r="J27" s="183"/>
    </row>
    <row r="28" spans="1:13" ht="15">
      <c r="A28" s="86">
        <v>11207</v>
      </c>
      <c r="B28" s="60" t="s">
        <v>266</v>
      </c>
      <c r="C28" s="41">
        <v>449562000</v>
      </c>
      <c r="D28" s="41">
        <f>56000000*4</f>
        <v>224000000</v>
      </c>
      <c r="E28" s="41">
        <f t="shared" si="4"/>
        <v>673562000</v>
      </c>
      <c r="F28" s="41">
        <v>633123920</v>
      </c>
      <c r="G28" s="41">
        <f t="shared" si="5"/>
        <v>40438080</v>
      </c>
      <c r="H28" s="41">
        <f>SUM(E28*4.5%)+E28</f>
        <v>703872290</v>
      </c>
      <c r="I28" s="41">
        <f t="shared" si="6"/>
        <v>4.5</v>
      </c>
      <c r="J28" s="182"/>
      <c r="K28" s="111">
        <v>440793</v>
      </c>
      <c r="L28" s="111">
        <v>527945</v>
      </c>
      <c r="M28" s="111">
        <v>598398</v>
      </c>
    </row>
    <row r="29" spans="1:13" ht="15.75">
      <c r="A29" s="77">
        <v>12</v>
      </c>
      <c r="B29" s="78" t="s">
        <v>28</v>
      </c>
      <c r="C29" s="39">
        <f aca="true" t="shared" si="7" ref="C29:I29">C31+C52+C55+C59+C92</f>
        <v>2925062423.36</v>
      </c>
      <c r="D29" s="39">
        <f t="shared" si="7"/>
        <v>994058882</v>
      </c>
      <c r="E29" s="39">
        <f t="shared" si="7"/>
        <v>3919121305.36</v>
      </c>
      <c r="F29" s="39">
        <f>F31+F52+F55+F59+F92</f>
        <v>3826466943.5200005</v>
      </c>
      <c r="G29" s="39">
        <f>G31+G52+G55+G59+G92</f>
        <v>83005841.28</v>
      </c>
      <c r="H29" s="39">
        <f t="shared" si="7"/>
        <v>3155747053.9181814</v>
      </c>
      <c r="I29" s="39">
        <f t="shared" si="7"/>
        <v>67.49999999999999</v>
      </c>
      <c r="J29" s="117"/>
      <c r="K29" s="112"/>
      <c r="L29" s="112">
        <f>+L28/K28-1</f>
        <v>0.19771638841814632</v>
      </c>
      <c r="M29" s="112">
        <f>+M28/L28-1</f>
        <v>0.1334476129142239</v>
      </c>
    </row>
    <row r="30" spans="1:13" ht="15.75">
      <c r="A30" s="168"/>
      <c r="B30" s="80"/>
      <c r="C30" s="39"/>
      <c r="D30" s="39"/>
      <c r="E30" s="39"/>
      <c r="F30" s="39"/>
      <c r="G30" s="39"/>
      <c r="H30" s="39"/>
      <c r="I30" s="39"/>
      <c r="J30" s="117"/>
      <c r="K30" s="112">
        <f>+L29+M29</f>
        <v>0.33116400133237023</v>
      </c>
      <c r="L30" s="112"/>
      <c r="M30" s="112"/>
    </row>
    <row r="31" spans="1:13" ht="15.75">
      <c r="A31" s="77">
        <v>121</v>
      </c>
      <c r="B31" s="78" t="s">
        <v>29</v>
      </c>
      <c r="C31" s="39">
        <f>SUM(C33:C45)</f>
        <v>163393175</v>
      </c>
      <c r="D31" s="39">
        <f>SUM(D33:D45)</f>
        <v>24010000</v>
      </c>
      <c r="E31" s="39">
        <f>SUM(E33:E45)</f>
        <v>187403175</v>
      </c>
      <c r="F31" s="39">
        <f>SUM(F33:F45)</f>
        <v>167849519.92</v>
      </c>
      <c r="G31" s="39">
        <f>SUM(G33:G45)</f>
        <v>11442386.520000003</v>
      </c>
      <c r="H31" s="39">
        <f>SUM(H33:H51)</f>
        <v>209122177.875</v>
      </c>
      <c r="I31" s="39">
        <f>SUM(I33:I44)</f>
        <v>54.00000000000001</v>
      </c>
      <c r="J31" s="117"/>
      <c r="K31" s="112">
        <f>+K30/2</f>
        <v>0.16558200066618511</v>
      </c>
      <c r="L31" s="112"/>
      <c r="M31" s="112"/>
    </row>
    <row r="32" spans="1:13" ht="15">
      <c r="A32" s="86"/>
      <c r="B32" s="60"/>
      <c r="C32" s="41">
        <v>0</v>
      </c>
      <c r="D32" s="41">
        <v>0</v>
      </c>
      <c r="E32" s="41"/>
      <c r="F32" s="41"/>
      <c r="G32" s="41"/>
      <c r="H32" s="41"/>
      <c r="I32" s="41"/>
      <c r="J32" s="117"/>
      <c r="K32" s="118">
        <f>+E28*K31</f>
        <v>111529743.53271697</v>
      </c>
      <c r="L32" s="118">
        <f>+L28-K28</f>
        <v>87152</v>
      </c>
      <c r="M32" s="118">
        <f>+M28-L28</f>
        <v>70453</v>
      </c>
    </row>
    <row r="33" spans="1:13" ht="15">
      <c r="A33" s="85">
        <v>12101</v>
      </c>
      <c r="B33" s="79" t="s">
        <v>36</v>
      </c>
      <c r="C33" s="41">
        <v>27661000</v>
      </c>
      <c r="D33" s="41">
        <v>12400000</v>
      </c>
      <c r="E33" s="41">
        <f aca="true" t="shared" si="8" ref="E33:E40">SUM(C33:D33)</f>
        <v>40061000</v>
      </c>
      <c r="F33" s="41">
        <v>42848000</v>
      </c>
      <c r="G33" s="41">
        <f aca="true" t="shared" si="9" ref="G33:G38">+E33-F33</f>
        <v>-2787000</v>
      </c>
      <c r="H33" s="41">
        <f aca="true" t="shared" si="10" ref="H33:H44">SUM(E33*4.5%)+E33</f>
        <v>41863745</v>
      </c>
      <c r="I33" s="41">
        <f aca="true" t="shared" si="11" ref="I33:I39">IF(E33&lt;&gt;0,((H33-E33)/E33)*100,0)</f>
        <v>4.5</v>
      </c>
      <c r="J33" s="117"/>
      <c r="K33" s="119">
        <f>+K32+E28</f>
        <v>785091743.532717</v>
      </c>
      <c r="L33" s="119">
        <f>+L32+M32</f>
        <v>157605</v>
      </c>
      <c r="M33" s="20"/>
    </row>
    <row r="34" spans="1:12" ht="15">
      <c r="A34" s="85">
        <v>12102</v>
      </c>
      <c r="B34" s="79" t="s">
        <v>159</v>
      </c>
      <c r="C34" s="41">
        <v>693142</v>
      </c>
      <c r="D34" s="41">
        <v>0</v>
      </c>
      <c r="E34" s="41">
        <f t="shared" si="8"/>
        <v>693142</v>
      </c>
      <c r="F34" s="41">
        <v>119600</v>
      </c>
      <c r="G34" s="41">
        <f t="shared" si="9"/>
        <v>573542</v>
      </c>
      <c r="H34" s="41">
        <f t="shared" si="10"/>
        <v>724333.39</v>
      </c>
      <c r="I34" s="41">
        <f t="shared" si="11"/>
        <v>4.500000000000002</v>
      </c>
      <c r="J34" s="117"/>
      <c r="K34" s="68"/>
      <c r="L34" s="68">
        <f>+L33/2</f>
        <v>78802.5</v>
      </c>
    </row>
    <row r="35" spans="1:12" ht="15">
      <c r="A35" s="85">
        <v>12103</v>
      </c>
      <c r="B35" s="79" t="s">
        <v>167</v>
      </c>
      <c r="C35" s="41">
        <v>11334750</v>
      </c>
      <c r="D35" s="41">
        <v>900000</v>
      </c>
      <c r="E35" s="41">
        <f t="shared" si="8"/>
        <v>12234750</v>
      </c>
      <c r="F35" s="41">
        <v>11253539.44</v>
      </c>
      <c r="G35" s="41">
        <f t="shared" si="9"/>
        <v>981210.5600000005</v>
      </c>
      <c r="H35" s="41">
        <f t="shared" si="10"/>
        <v>12785313.75</v>
      </c>
      <c r="I35" s="41">
        <f t="shared" si="11"/>
        <v>4.5</v>
      </c>
      <c r="J35" s="117"/>
      <c r="K35" s="113">
        <f>+H28*0.27</f>
        <v>190045518.3</v>
      </c>
      <c r="L35" s="68"/>
    </row>
    <row r="36" spans="1:10" ht="15">
      <c r="A36" s="85">
        <v>12104</v>
      </c>
      <c r="B36" s="79" t="s">
        <v>46</v>
      </c>
      <c r="C36" s="41">
        <v>2005490</v>
      </c>
      <c r="D36" s="41">
        <v>0</v>
      </c>
      <c r="E36" s="41">
        <f t="shared" si="8"/>
        <v>2005490</v>
      </c>
      <c r="F36" s="41">
        <v>3845902.32</v>
      </c>
      <c r="G36" s="41">
        <f t="shared" si="9"/>
        <v>-1840412.3199999998</v>
      </c>
      <c r="H36" s="41">
        <f t="shared" si="10"/>
        <v>2095737.05</v>
      </c>
      <c r="I36" s="41">
        <f t="shared" si="11"/>
        <v>4.500000000000003</v>
      </c>
      <c r="J36" s="183"/>
    </row>
    <row r="37" spans="1:10" ht="15">
      <c r="A37" s="85">
        <v>12105</v>
      </c>
      <c r="B37" s="79" t="s">
        <v>37</v>
      </c>
      <c r="C37" s="41">
        <v>12730766</v>
      </c>
      <c r="D37" s="41">
        <v>1000000</v>
      </c>
      <c r="E37" s="41">
        <f t="shared" si="8"/>
        <v>13730766</v>
      </c>
      <c r="F37" s="41">
        <v>8998894.32</v>
      </c>
      <c r="G37" s="41">
        <f t="shared" si="9"/>
        <v>4731871.68</v>
      </c>
      <c r="H37" s="41">
        <f t="shared" si="10"/>
        <v>14348650.47</v>
      </c>
      <c r="I37" s="41">
        <f t="shared" si="11"/>
        <v>4.500000000000004</v>
      </c>
      <c r="J37" s="183"/>
    </row>
    <row r="38" spans="1:10" ht="15">
      <c r="A38" s="85">
        <v>12106</v>
      </c>
      <c r="B38" s="79" t="s">
        <v>38</v>
      </c>
      <c r="C38" s="41">
        <v>105600</v>
      </c>
      <c r="D38" s="41">
        <v>0</v>
      </c>
      <c r="E38" s="41">
        <f t="shared" si="8"/>
        <v>105600</v>
      </c>
      <c r="F38" s="41">
        <v>315120</v>
      </c>
      <c r="G38" s="41">
        <f t="shared" si="9"/>
        <v>-209520</v>
      </c>
      <c r="H38" s="41">
        <f t="shared" si="10"/>
        <v>110352</v>
      </c>
      <c r="I38" s="41">
        <f t="shared" si="11"/>
        <v>4.5</v>
      </c>
      <c r="J38" s="183"/>
    </row>
    <row r="39" spans="1:10" ht="15">
      <c r="A39" s="85">
        <v>12107</v>
      </c>
      <c r="B39" s="79" t="s">
        <v>160</v>
      </c>
      <c r="C39" s="41">
        <v>12250722</v>
      </c>
      <c r="D39" s="41">
        <f>150000*3</f>
        <v>450000</v>
      </c>
      <c r="E39" s="41">
        <f t="shared" si="8"/>
        <v>12700722</v>
      </c>
      <c r="F39" s="41">
        <v>4589453.44</v>
      </c>
      <c r="G39" s="41"/>
      <c r="H39" s="41">
        <f t="shared" si="10"/>
        <v>13272254.49</v>
      </c>
      <c r="I39" s="41">
        <f t="shared" si="11"/>
        <v>4.500000000000002</v>
      </c>
      <c r="J39" s="183"/>
    </row>
    <row r="40" spans="1:10" ht="15">
      <c r="A40" s="85">
        <v>12108</v>
      </c>
      <c r="B40" s="79" t="s">
        <v>39</v>
      </c>
      <c r="C40" s="41">
        <v>1000521</v>
      </c>
      <c r="D40" s="41">
        <v>60000</v>
      </c>
      <c r="E40" s="41">
        <f t="shared" si="8"/>
        <v>1060521</v>
      </c>
      <c r="F40" s="41">
        <v>926432</v>
      </c>
      <c r="G40" s="41">
        <f>+E40-F40</f>
        <v>134089</v>
      </c>
      <c r="H40" s="41">
        <f t="shared" si="10"/>
        <v>1108244.445</v>
      </c>
      <c r="I40" s="41">
        <f>IF(E40&lt;&gt;0,((H40-E40)/E40)*100,0)</f>
        <v>4.500000000000006</v>
      </c>
      <c r="J40" s="183"/>
    </row>
    <row r="41" spans="1:10" ht="15">
      <c r="A41" s="169">
        <v>12109</v>
      </c>
      <c r="B41" s="79" t="s">
        <v>40</v>
      </c>
      <c r="C41" s="41">
        <v>14509528</v>
      </c>
      <c r="D41" s="41">
        <v>1500000</v>
      </c>
      <c r="E41" s="41">
        <f>SUM(C41:D41)</f>
        <v>16009528</v>
      </c>
      <c r="F41" s="41">
        <v>17312152</v>
      </c>
      <c r="G41" s="41">
        <f>+E41-F41</f>
        <v>-1302624</v>
      </c>
      <c r="H41" s="41">
        <f t="shared" si="10"/>
        <v>16729956.76</v>
      </c>
      <c r="I41" s="41">
        <f>IF(E41&lt;&gt;0,((H41-E41)/E41)*100,0)</f>
        <v>4.499999999999998</v>
      </c>
      <c r="J41" s="183"/>
    </row>
    <row r="42" spans="1:10" ht="15">
      <c r="A42" s="169">
        <v>12110</v>
      </c>
      <c r="B42" s="79" t="s">
        <v>180</v>
      </c>
      <c r="C42" s="41">
        <v>63931206</v>
      </c>
      <c r="D42" s="41">
        <v>6000000</v>
      </c>
      <c r="E42" s="41">
        <f>SUM(C42:D42)</f>
        <v>69931206</v>
      </c>
      <c r="F42" s="41">
        <v>35000000</v>
      </c>
      <c r="G42" s="41">
        <f>+E42-F42</f>
        <v>34931206</v>
      </c>
      <c r="H42" s="41">
        <f t="shared" si="10"/>
        <v>73078110.27</v>
      </c>
      <c r="I42" s="41">
        <f>IF(E42&lt;&gt;0,((H42-E42)/E42)*100,0)</f>
        <v>4.499999999999995</v>
      </c>
      <c r="J42" s="183"/>
    </row>
    <row r="43" spans="1:10" ht="30">
      <c r="A43" s="85">
        <v>12111</v>
      </c>
      <c r="B43" s="81" t="s">
        <v>219</v>
      </c>
      <c r="C43" s="41">
        <v>13252650</v>
      </c>
      <c r="D43" s="41">
        <v>900000</v>
      </c>
      <c r="E43" s="41">
        <f>SUM(C43:D43)</f>
        <v>14152650</v>
      </c>
      <c r="F43" s="41">
        <v>37630746.4</v>
      </c>
      <c r="G43" s="41">
        <f>+E43-F43</f>
        <v>-23478096.4</v>
      </c>
      <c r="H43" s="41">
        <f t="shared" si="10"/>
        <v>14789519.25</v>
      </c>
      <c r="I43" s="41">
        <f>IF(E43&lt;&gt;0,((H43-E43)/E43)*100,0)</f>
        <v>4.5</v>
      </c>
      <c r="J43" s="183"/>
    </row>
    <row r="44" spans="1:10" ht="15">
      <c r="A44" s="85">
        <v>12112</v>
      </c>
      <c r="B44" s="79" t="s">
        <v>61</v>
      </c>
      <c r="C44" s="41">
        <v>3917800</v>
      </c>
      <c r="D44" s="41">
        <v>800000</v>
      </c>
      <c r="E44" s="41">
        <f>SUM(C44:D44)</f>
        <v>4717800</v>
      </c>
      <c r="F44" s="41">
        <v>5009680</v>
      </c>
      <c r="G44" s="41">
        <f>+E44-F44</f>
        <v>-291880</v>
      </c>
      <c r="H44" s="41">
        <f t="shared" si="10"/>
        <v>4930101</v>
      </c>
      <c r="I44" s="41">
        <f>IF(E44&lt;&gt;0,((H44-E44)/E44)*100,0)</f>
        <v>4.5</v>
      </c>
      <c r="J44" s="183"/>
    </row>
    <row r="45" spans="1:10" ht="15">
      <c r="A45" s="85">
        <v>12113</v>
      </c>
      <c r="B45" s="79" t="s">
        <v>626</v>
      </c>
      <c r="C45" s="41"/>
      <c r="D45" s="41"/>
      <c r="E45" s="41"/>
      <c r="F45" s="41"/>
      <c r="G45" s="41"/>
      <c r="H45" s="41">
        <v>1000</v>
      </c>
      <c r="I45" s="41"/>
      <c r="J45" s="183"/>
    </row>
    <row r="46" spans="1:10" ht="15">
      <c r="A46" s="85">
        <v>12114</v>
      </c>
      <c r="B46" s="79" t="s">
        <v>627</v>
      </c>
      <c r="C46" s="41"/>
      <c r="D46" s="41"/>
      <c r="E46" s="41"/>
      <c r="F46" s="41"/>
      <c r="G46" s="41"/>
      <c r="H46" s="41">
        <v>1000</v>
      </c>
      <c r="I46" s="41"/>
      <c r="J46" s="183"/>
    </row>
    <row r="47" spans="1:10" ht="15">
      <c r="A47" s="85">
        <v>12115</v>
      </c>
      <c r="B47" s="79" t="s">
        <v>628</v>
      </c>
      <c r="C47" s="41"/>
      <c r="D47" s="41"/>
      <c r="E47" s="41"/>
      <c r="F47" s="41"/>
      <c r="G47" s="41"/>
      <c r="H47" s="41">
        <v>1000</v>
      </c>
      <c r="I47" s="41"/>
      <c r="J47" s="183"/>
    </row>
    <row r="48" spans="1:10" ht="15">
      <c r="A48" s="85">
        <v>12116</v>
      </c>
      <c r="B48" s="79" t="s">
        <v>629</v>
      </c>
      <c r="C48" s="41"/>
      <c r="D48" s="41"/>
      <c r="E48" s="41"/>
      <c r="F48" s="41"/>
      <c r="G48" s="41"/>
      <c r="H48" s="41">
        <v>1000</v>
      </c>
      <c r="I48" s="41"/>
      <c r="J48" s="183"/>
    </row>
    <row r="49" spans="1:10" ht="15">
      <c r="A49" s="85">
        <v>12117</v>
      </c>
      <c r="B49" s="79" t="s">
        <v>630</v>
      </c>
      <c r="C49" s="41"/>
      <c r="D49" s="41"/>
      <c r="E49" s="41"/>
      <c r="F49" s="41"/>
      <c r="G49" s="41"/>
      <c r="H49" s="41">
        <v>1000</v>
      </c>
      <c r="I49" s="41"/>
      <c r="J49" s="183"/>
    </row>
    <row r="50" spans="1:10" ht="15">
      <c r="A50" s="85">
        <v>12118</v>
      </c>
      <c r="B50" s="79" t="s">
        <v>279</v>
      </c>
      <c r="C50" s="41">
        <v>10908000</v>
      </c>
      <c r="D50" s="41">
        <f>900000*2</f>
        <v>1800000</v>
      </c>
      <c r="E50" s="41">
        <f>SUM(C50:D50)</f>
        <v>12708000</v>
      </c>
      <c r="F50" s="41">
        <v>10779600</v>
      </c>
      <c r="G50" s="41">
        <f>+E50-F50</f>
        <v>1928400</v>
      </c>
      <c r="H50" s="41">
        <f>SUM(E50*4.5%)+E50</f>
        <v>13279860</v>
      </c>
      <c r="I50" s="41">
        <f>IF(E50&lt;&gt;0,((H50-E50)/E50)*100,0)</f>
        <v>4.5</v>
      </c>
      <c r="J50" s="183"/>
    </row>
    <row r="51" spans="1:10" ht="15">
      <c r="A51" s="85">
        <v>12119</v>
      </c>
      <c r="B51" s="79" t="s">
        <v>631</v>
      </c>
      <c r="C51" s="41"/>
      <c r="D51" s="41"/>
      <c r="E51" s="41"/>
      <c r="F51" s="41"/>
      <c r="G51" s="41"/>
      <c r="H51" s="41">
        <v>1000</v>
      </c>
      <c r="I51" s="41"/>
      <c r="J51" s="183"/>
    </row>
    <row r="52" spans="1:10" ht="15.75">
      <c r="A52" s="77">
        <v>122</v>
      </c>
      <c r="B52" s="78" t="s">
        <v>162</v>
      </c>
      <c r="C52" s="39">
        <f aca="true" t="shared" si="12" ref="C52:H52">SUM(C53:C54)</f>
        <v>56380915</v>
      </c>
      <c r="D52" s="39">
        <f t="shared" si="12"/>
        <v>12518000</v>
      </c>
      <c r="E52" s="39">
        <f t="shared" si="12"/>
        <v>68898915</v>
      </c>
      <c r="F52" s="39">
        <f t="shared" si="12"/>
        <v>70437837.6</v>
      </c>
      <c r="G52" s="39">
        <f t="shared" si="12"/>
        <v>-1538922.6000000015</v>
      </c>
      <c r="H52" s="39">
        <f t="shared" si="12"/>
        <v>87999366.175</v>
      </c>
      <c r="I52" s="39">
        <f>SUM(I53:I53)</f>
        <v>4.499999999999996</v>
      </c>
      <c r="J52" s="183"/>
    </row>
    <row r="53" spans="1:10" ht="15">
      <c r="A53" s="85">
        <v>12201</v>
      </c>
      <c r="B53" s="79" t="s">
        <v>41</v>
      </c>
      <c r="C53" s="41">
        <v>56380915</v>
      </c>
      <c r="D53" s="41">
        <f>8250000+4268000</f>
        <v>12518000</v>
      </c>
      <c r="E53" s="41">
        <f>SUM(C53:D53)</f>
        <v>68898915</v>
      </c>
      <c r="F53" s="41">
        <v>54837837.6</v>
      </c>
      <c r="G53" s="41">
        <f>+E53-F53</f>
        <v>14061077.399999999</v>
      </c>
      <c r="H53" s="41">
        <f>SUM(E53*4.5%)+E53</f>
        <v>71999366.175</v>
      </c>
      <c r="I53" s="41">
        <f>IF(E53&lt;&gt;0,((H53-E53)/E53)*100,0)</f>
        <v>4.499999999999996</v>
      </c>
      <c r="J53" s="183"/>
    </row>
    <row r="54" spans="1:10" ht="15">
      <c r="A54" s="85">
        <v>12202</v>
      </c>
      <c r="B54" s="79" t="s">
        <v>523</v>
      </c>
      <c r="C54" s="41">
        <v>0</v>
      </c>
      <c r="D54" s="41"/>
      <c r="E54" s="41">
        <f>SUM(C54:D54)</f>
        <v>0</v>
      </c>
      <c r="F54" s="41">
        <v>15600000</v>
      </c>
      <c r="G54" s="41">
        <f>+E54-F54</f>
        <v>-15600000</v>
      </c>
      <c r="H54" s="41">
        <v>16000000</v>
      </c>
      <c r="I54" s="41"/>
      <c r="J54" s="183"/>
    </row>
    <row r="55" spans="1:10" ht="15.75">
      <c r="A55" s="77">
        <v>123</v>
      </c>
      <c r="B55" s="78" t="s">
        <v>192</v>
      </c>
      <c r="C55" s="39">
        <f aca="true" t="shared" si="13" ref="C55:H55">SUM(C57:C57)</f>
        <v>31121437</v>
      </c>
      <c r="D55" s="39">
        <f t="shared" si="13"/>
        <v>4000000</v>
      </c>
      <c r="E55" s="39">
        <f t="shared" si="13"/>
        <v>35121437</v>
      </c>
      <c r="F55" s="39">
        <f t="shared" si="13"/>
        <v>2888634.32</v>
      </c>
      <c r="G55" s="39">
        <f t="shared" si="13"/>
        <v>32232802.68</v>
      </c>
      <c r="H55" s="39">
        <f t="shared" si="13"/>
        <v>36701901.665</v>
      </c>
      <c r="I55" s="39">
        <f>IF(E55&lt;&gt;0,((H55/E55)-1)*100,"  ")</f>
        <v>4.499999999999993</v>
      </c>
      <c r="J55" s="183"/>
    </row>
    <row r="56" spans="1:21" ht="15">
      <c r="A56" s="86"/>
      <c r="B56" s="60"/>
      <c r="C56" s="41"/>
      <c r="D56" s="41"/>
      <c r="E56" s="41"/>
      <c r="F56" s="41"/>
      <c r="G56" s="41"/>
      <c r="H56" s="41"/>
      <c r="I56" s="41"/>
      <c r="J56" s="109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1:21" ht="15">
      <c r="A57" s="85">
        <v>12301</v>
      </c>
      <c r="B57" s="79" t="s">
        <v>42</v>
      </c>
      <c r="C57" s="41">
        <v>31121437</v>
      </c>
      <c r="D57" s="41">
        <v>4000000</v>
      </c>
      <c r="E57" s="41">
        <f>SUM(C57:D57)</f>
        <v>35121437</v>
      </c>
      <c r="F57" s="41">
        <v>2888634.32</v>
      </c>
      <c r="G57" s="41">
        <f>+E57-F57</f>
        <v>32232802.68</v>
      </c>
      <c r="H57" s="41">
        <f>SUM(E57*4.5%)+E57</f>
        <v>36701901.665</v>
      </c>
      <c r="I57" s="41">
        <f>IF(E57&lt;&gt;0,((H57-E57)/E57)*100,0)</f>
        <v>4.499999999999997</v>
      </c>
      <c r="J57" s="109"/>
      <c r="K57" s="135" t="e">
        <f>+#REF!*80%</f>
        <v>#REF!</v>
      </c>
      <c r="L57" s="102"/>
      <c r="M57" s="102"/>
      <c r="N57" s="102"/>
      <c r="O57" s="102"/>
      <c r="P57" s="102"/>
      <c r="Q57" s="102"/>
      <c r="R57" s="102"/>
      <c r="S57" s="102"/>
      <c r="T57" s="102"/>
      <c r="U57" s="102"/>
    </row>
    <row r="58" spans="1:21" ht="15">
      <c r="A58" s="86"/>
      <c r="B58" s="60"/>
      <c r="C58" s="41"/>
      <c r="D58" s="41"/>
      <c r="E58" s="41"/>
      <c r="F58" s="41"/>
      <c r="G58" s="41"/>
      <c r="H58" s="41"/>
      <c r="I58" s="41"/>
      <c r="J58" s="109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</row>
    <row r="59" spans="1:21" ht="15.75">
      <c r="A59" s="299">
        <v>124</v>
      </c>
      <c r="B59" s="314" t="s">
        <v>293</v>
      </c>
      <c r="C59" s="311">
        <f aca="true" t="shared" si="14" ref="C59:H59">+C61+C71+C75+C79</f>
        <v>2528365772.36</v>
      </c>
      <c r="D59" s="311">
        <f t="shared" si="14"/>
        <v>919891522</v>
      </c>
      <c r="E59" s="311">
        <f t="shared" si="14"/>
        <v>3448257294.36</v>
      </c>
      <c r="F59" s="311">
        <f>+F61+F71+F75+F79</f>
        <v>3428580078.4</v>
      </c>
      <c r="G59" s="311">
        <f t="shared" si="14"/>
        <v>18139963.960000016</v>
      </c>
      <c r="H59" s="311">
        <f t="shared" si="14"/>
        <v>2626655089.6231813</v>
      </c>
      <c r="I59" s="39"/>
      <c r="J59" s="109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1" ht="15" customHeight="1">
      <c r="A60" s="300"/>
      <c r="B60" s="315"/>
      <c r="C60" s="312"/>
      <c r="D60" s="312"/>
      <c r="E60" s="312"/>
      <c r="F60" s="312"/>
      <c r="G60" s="312"/>
      <c r="H60" s="312"/>
      <c r="I60" s="41"/>
      <c r="J60" s="109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1:21" ht="15.75">
      <c r="A61" s="82">
        <v>1241</v>
      </c>
      <c r="B61" s="78" t="s">
        <v>183</v>
      </c>
      <c r="C61" s="39">
        <f aca="true" t="shared" si="15" ref="C61:H61">+C62+C65</f>
        <v>2180746301.36</v>
      </c>
      <c r="D61" s="39">
        <f t="shared" si="15"/>
        <v>408867494</v>
      </c>
      <c r="E61" s="39">
        <f t="shared" si="15"/>
        <v>2589613795.36</v>
      </c>
      <c r="F61" s="39">
        <f t="shared" si="15"/>
        <v>2589613796</v>
      </c>
      <c r="G61" s="39">
        <f t="shared" si="15"/>
        <v>-0.6399999856948853</v>
      </c>
      <c r="H61" s="39">
        <f t="shared" si="15"/>
        <v>2586147173.8181815</v>
      </c>
      <c r="I61" s="39">
        <f>+I62+I69</f>
        <v>-0.33046875574314777</v>
      </c>
      <c r="J61" s="109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</row>
    <row r="62" spans="1:21" ht="15.75">
      <c r="A62" s="82">
        <v>12411</v>
      </c>
      <c r="B62" s="78" t="s">
        <v>233</v>
      </c>
      <c r="C62" s="39">
        <f aca="true" t="shared" si="16" ref="C62:H62">+C63+C64</f>
        <v>388936296</v>
      </c>
      <c r="D62" s="39">
        <f t="shared" si="16"/>
        <v>76902709</v>
      </c>
      <c r="E62" s="39">
        <f t="shared" si="16"/>
        <v>465839005</v>
      </c>
      <c r="F62" s="39">
        <f t="shared" si="16"/>
        <v>465839005</v>
      </c>
      <c r="G62" s="39">
        <f t="shared" si="16"/>
        <v>0</v>
      </c>
      <c r="H62" s="39">
        <f t="shared" si="16"/>
        <v>465881589.0909091</v>
      </c>
      <c r="I62" s="39">
        <f>+I63+I64+I65+I68</f>
        <v>-0.33046875574314777</v>
      </c>
      <c r="J62" s="109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1:21" ht="15">
      <c r="A63" s="85">
        <v>1241101</v>
      </c>
      <c r="B63" s="79" t="s">
        <v>184</v>
      </c>
      <c r="C63" s="41">
        <v>329780988</v>
      </c>
      <c r="D63" s="41">
        <v>65980420</v>
      </c>
      <c r="E63" s="41">
        <f>SUM(C63:D63)</f>
        <v>395761408</v>
      </c>
      <c r="F63" s="41">
        <v>395761408</v>
      </c>
      <c r="G63" s="41">
        <f>+E63-F63</f>
        <v>0</v>
      </c>
      <c r="H63" s="41">
        <v>395882540</v>
      </c>
      <c r="I63" s="41"/>
      <c r="J63" s="109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  <row r="64" spans="1:21" ht="15">
      <c r="A64" s="85">
        <v>1241102</v>
      </c>
      <c r="B64" s="79" t="s">
        <v>295</v>
      </c>
      <c r="C64" s="41">
        <v>59155308</v>
      </c>
      <c r="D64" s="41">
        <v>10922289</v>
      </c>
      <c r="E64" s="41">
        <f>SUM(C64:D64)</f>
        <v>70077597</v>
      </c>
      <c r="F64" s="41">
        <v>70077597</v>
      </c>
      <c r="G64" s="41">
        <f>+E64-F64</f>
        <v>0</v>
      </c>
      <c r="H64" s="41">
        <f>SUM(J64:K64)</f>
        <v>69999049.0909091</v>
      </c>
      <c r="I64" s="41"/>
      <c r="J64" s="109">
        <f>+K64/11</f>
        <v>5833254.090909091</v>
      </c>
      <c r="K64" s="136">
        <v>64165795</v>
      </c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1:21" ht="15.75">
      <c r="A65" s="89">
        <v>12412</v>
      </c>
      <c r="B65" s="90" t="s">
        <v>294</v>
      </c>
      <c r="C65" s="39">
        <f aca="true" t="shared" si="17" ref="C65:H65">SUM(C66:C70)</f>
        <v>1791810005.3600001</v>
      </c>
      <c r="D65" s="39">
        <f t="shared" si="17"/>
        <v>331964785</v>
      </c>
      <c r="E65" s="39">
        <f t="shared" si="17"/>
        <v>2123774790.3600001</v>
      </c>
      <c r="F65" s="39">
        <f t="shared" si="17"/>
        <v>2123774791</v>
      </c>
      <c r="G65" s="39">
        <f t="shared" si="17"/>
        <v>-0.6399999856948853</v>
      </c>
      <c r="H65" s="39">
        <f t="shared" si="17"/>
        <v>2120265584.7272725</v>
      </c>
      <c r="I65" s="39">
        <f>+I66+I67</f>
        <v>-0.33046875574314777</v>
      </c>
      <c r="J65" s="109">
        <f aca="true" t="shared" si="18" ref="J65:J70">+K65/11</f>
        <v>0</v>
      </c>
      <c r="K65" s="136"/>
      <c r="L65" s="135">
        <f>+'[2]Ingresos Proyecciones'!$G$68</f>
        <v>1501149</v>
      </c>
      <c r="M65" s="102"/>
      <c r="N65" s="102"/>
      <c r="O65" s="102"/>
      <c r="P65" s="102"/>
      <c r="Q65" s="102"/>
      <c r="R65" s="102"/>
      <c r="S65" s="102"/>
      <c r="T65" s="102"/>
      <c r="U65" s="102"/>
    </row>
    <row r="66" spans="1:21" ht="15">
      <c r="A66" s="85">
        <v>1241201</v>
      </c>
      <c r="B66" s="79" t="s">
        <v>299</v>
      </c>
      <c r="C66" s="41">
        <v>540635347.63</v>
      </c>
      <c r="D66" s="41">
        <v>100158770</v>
      </c>
      <c r="E66" s="41">
        <f>SUM(C66:D66)</f>
        <v>640794117.63</v>
      </c>
      <c r="F66" s="41">
        <v>640794118</v>
      </c>
      <c r="G66" s="41">
        <f>+E66-F66</f>
        <v>-0.3700000047683716</v>
      </c>
      <c r="H66" s="41">
        <f>SUM(J66:K66)</f>
        <v>639735305.4545455</v>
      </c>
      <c r="I66" s="41">
        <f>IF(E66&lt;&gt;0,((H66-E66)/E66)*100,0)</f>
        <v>-0.16523437814481695</v>
      </c>
      <c r="J66" s="109">
        <f t="shared" si="18"/>
        <v>53311275.45454545</v>
      </c>
      <c r="K66" s="136">
        <v>586424030</v>
      </c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 ht="15">
      <c r="A67" s="85">
        <v>1241202</v>
      </c>
      <c r="B67" s="79" t="s">
        <v>296</v>
      </c>
      <c r="C67" s="41">
        <v>569980929.73</v>
      </c>
      <c r="D67" s="41">
        <v>105599155</v>
      </c>
      <c r="E67" s="41">
        <f>SUM(C67:D67)</f>
        <v>675580084.73</v>
      </c>
      <c r="F67" s="41">
        <v>675580085</v>
      </c>
      <c r="G67" s="41">
        <f>+E67-F67</f>
        <v>-0.26999998092651367</v>
      </c>
      <c r="H67" s="41">
        <f>SUM(J67:K67)</f>
        <v>674463794.1818181</v>
      </c>
      <c r="I67" s="41">
        <f>IF(E67&lt;&gt;0,((H67-E67)/E67)*100,0)</f>
        <v>-0.16523437759833082</v>
      </c>
      <c r="J67" s="109">
        <f t="shared" si="18"/>
        <v>56205316.18181818</v>
      </c>
      <c r="K67" s="136">
        <v>618258478</v>
      </c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ht="15">
      <c r="A68" s="83">
        <v>1241203</v>
      </c>
      <c r="B68" s="84" t="s">
        <v>297</v>
      </c>
      <c r="C68" s="41">
        <v>55604899</v>
      </c>
      <c r="D68" s="41">
        <v>10305353</v>
      </c>
      <c r="E68" s="41">
        <f>SUM(C68:D68)</f>
        <v>65910252</v>
      </c>
      <c r="F68" s="41">
        <v>65910252</v>
      </c>
      <c r="G68" s="41">
        <f>+E68-F68</f>
        <v>0</v>
      </c>
      <c r="H68" s="41">
        <f>SUM(J68:K68)</f>
        <v>65801345.45454545</v>
      </c>
      <c r="I68" s="41"/>
      <c r="J68" s="109">
        <f t="shared" si="18"/>
        <v>5483445.454545454</v>
      </c>
      <c r="K68" s="136">
        <v>60317900</v>
      </c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1:21" ht="15.75">
      <c r="A69" s="83">
        <v>1241204</v>
      </c>
      <c r="B69" s="84" t="s">
        <v>298</v>
      </c>
      <c r="C69" s="41">
        <v>41705922</v>
      </c>
      <c r="D69" s="41">
        <v>7726767</v>
      </c>
      <c r="E69" s="41">
        <f>SUM(C69:D69)</f>
        <v>49432689</v>
      </c>
      <c r="F69" s="41">
        <v>49432689</v>
      </c>
      <c r="G69" s="41">
        <f>+E69-F69</f>
        <v>0</v>
      </c>
      <c r="H69" s="41">
        <f>SUM(J69:K69)</f>
        <v>49351009.09090909</v>
      </c>
      <c r="I69" s="39"/>
      <c r="J69" s="109">
        <f t="shared" si="18"/>
        <v>4112584.090909091</v>
      </c>
      <c r="K69" s="136">
        <v>45238425</v>
      </c>
      <c r="L69" s="102"/>
      <c r="M69" s="102"/>
      <c r="N69" s="102"/>
      <c r="O69" s="102"/>
      <c r="P69" s="102"/>
      <c r="Q69" s="102"/>
      <c r="R69" s="102"/>
      <c r="S69" s="102"/>
      <c r="T69" s="102"/>
      <c r="U69" s="102"/>
    </row>
    <row r="70" spans="1:21" ht="15">
      <c r="A70" s="85">
        <v>1241205</v>
      </c>
      <c r="B70" s="84" t="s">
        <v>300</v>
      </c>
      <c r="C70" s="41">
        <v>583882907</v>
      </c>
      <c r="D70" s="41">
        <v>108174740</v>
      </c>
      <c r="E70" s="41">
        <f>SUM(C70:D70)</f>
        <v>692057647</v>
      </c>
      <c r="F70" s="41">
        <v>692057647</v>
      </c>
      <c r="G70" s="41">
        <f>+E70-F70</f>
        <v>0</v>
      </c>
      <c r="H70" s="41">
        <f>SUM(J70:K70)</f>
        <v>690914130.5454545</v>
      </c>
      <c r="I70" s="41"/>
      <c r="J70" s="109">
        <f t="shared" si="18"/>
        <v>57576177.54545455</v>
      </c>
      <c r="K70" s="136">
        <v>633337953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</row>
    <row r="71" spans="1:21" ht="15.75">
      <c r="A71" s="82">
        <v>12413</v>
      </c>
      <c r="B71" s="78" t="s">
        <v>43</v>
      </c>
      <c r="C71" s="39">
        <f>SUM(C72:C74)</f>
        <v>30121929</v>
      </c>
      <c r="D71" s="39">
        <f aca="true" t="shared" si="19" ref="D71:I71">SUM(D72:D74)</f>
        <v>2900000</v>
      </c>
      <c r="E71" s="39">
        <f t="shared" si="19"/>
        <v>33021929</v>
      </c>
      <c r="F71" s="39">
        <f t="shared" si="19"/>
        <v>12280434.4</v>
      </c>
      <c r="G71" s="39">
        <f t="shared" si="19"/>
        <v>20741494.6</v>
      </c>
      <c r="H71" s="39">
        <f t="shared" si="19"/>
        <v>34507915.805</v>
      </c>
      <c r="I71" s="39">
        <f t="shared" si="19"/>
        <v>4.499999999999998</v>
      </c>
      <c r="J71" s="109">
        <v>0</v>
      </c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1:21" ht="15">
      <c r="A72" s="85">
        <v>1241301</v>
      </c>
      <c r="B72" s="79" t="s">
        <v>44</v>
      </c>
      <c r="C72" s="41">
        <v>11179500</v>
      </c>
      <c r="D72" s="41">
        <v>900000</v>
      </c>
      <c r="E72" s="41">
        <f>SUM(C72:D72)</f>
        <v>12079500</v>
      </c>
      <c r="F72" s="41">
        <v>11116040</v>
      </c>
      <c r="G72" s="41">
        <f>+E72-F72</f>
        <v>963460</v>
      </c>
      <c r="H72" s="41">
        <f>SUM(E72*4.5%)+E72</f>
        <v>12623077.5</v>
      </c>
      <c r="I72" s="41"/>
      <c r="J72" s="109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</row>
    <row r="73" spans="1:21" ht="15">
      <c r="A73" s="85">
        <v>1241302</v>
      </c>
      <c r="B73" s="79" t="s">
        <v>147</v>
      </c>
      <c r="C73" s="41">
        <v>18942429</v>
      </c>
      <c r="D73" s="41">
        <v>2000000</v>
      </c>
      <c r="E73" s="41">
        <f aca="true" t="shared" si="20" ref="E73:E78">SUM(C73:D73)</f>
        <v>20942429</v>
      </c>
      <c r="F73" s="41">
        <v>1164394.4</v>
      </c>
      <c r="G73" s="41">
        <f>+E73-F73</f>
        <v>19778034.6</v>
      </c>
      <c r="H73" s="41">
        <f>SUM(E73*4.5%)+E73</f>
        <v>21884838.305</v>
      </c>
      <c r="I73" s="41">
        <f>IF(E73&lt;&gt;0,((H73-E73)/E73)*100,0)</f>
        <v>4.499999999999998</v>
      </c>
      <c r="J73" s="185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</row>
    <row r="74" spans="1:21" ht="15">
      <c r="A74" s="85"/>
      <c r="B74" s="84"/>
      <c r="C74" s="41"/>
      <c r="D74" s="41"/>
      <c r="E74" s="41"/>
      <c r="F74" s="41"/>
      <c r="G74" s="41"/>
      <c r="H74" s="41"/>
      <c r="I74" s="41"/>
      <c r="J74" s="109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</row>
    <row r="75" spans="1:21" ht="15.75" hidden="1">
      <c r="A75" s="89">
        <v>4.3</v>
      </c>
      <c r="B75" s="90" t="s">
        <v>186</v>
      </c>
      <c r="C75" s="39">
        <f>SUM(C76:C78)</f>
        <v>0</v>
      </c>
      <c r="D75" s="39">
        <f aca="true" t="shared" si="21" ref="D75:I75">SUM(D76:D78)</f>
        <v>0</v>
      </c>
      <c r="E75" s="39">
        <f t="shared" si="21"/>
        <v>0</v>
      </c>
      <c r="F75" s="39"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109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</row>
    <row r="76" spans="1:21" ht="15.75" hidden="1">
      <c r="A76" s="85" t="s">
        <v>163</v>
      </c>
      <c r="B76" s="60" t="s">
        <v>263</v>
      </c>
      <c r="C76" s="39">
        <v>0</v>
      </c>
      <c r="D76" s="41">
        <v>0</v>
      </c>
      <c r="E76" s="41">
        <f t="shared" si="20"/>
        <v>0</v>
      </c>
      <c r="F76" s="41">
        <v>0</v>
      </c>
      <c r="G76" s="39">
        <f>+E76-F76</f>
        <v>0</v>
      </c>
      <c r="H76" s="41">
        <v>0</v>
      </c>
      <c r="I76" s="39">
        <f>IF(E76&lt;&gt;0,((H76-E76)/E76)*100,0)</f>
        <v>0</v>
      </c>
      <c r="J76" s="109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</row>
    <row r="77" spans="1:21" ht="15.75" hidden="1">
      <c r="A77" s="85" t="s">
        <v>188</v>
      </c>
      <c r="B77" s="60" t="s">
        <v>189</v>
      </c>
      <c r="C77" s="41">
        <v>0</v>
      </c>
      <c r="D77" s="41">
        <v>0</v>
      </c>
      <c r="E77" s="41">
        <f t="shared" si="20"/>
        <v>0</v>
      </c>
      <c r="F77" s="41">
        <v>0</v>
      </c>
      <c r="G77" s="39">
        <f>+E77-F77</f>
        <v>0</v>
      </c>
      <c r="H77" s="41">
        <v>0</v>
      </c>
      <c r="I77" s="39">
        <f>IF(E77&lt;&gt;0,((H77-E77)/E77)*100,0)</f>
        <v>0</v>
      </c>
      <c r="J77" s="109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</row>
    <row r="78" spans="1:21" ht="15.75" hidden="1">
      <c r="A78" s="85" t="s">
        <v>190</v>
      </c>
      <c r="B78" s="60" t="s">
        <v>191</v>
      </c>
      <c r="C78" s="41">
        <v>0</v>
      </c>
      <c r="D78" s="41"/>
      <c r="E78" s="41">
        <f t="shared" si="20"/>
        <v>0</v>
      </c>
      <c r="F78" s="41"/>
      <c r="G78" s="39"/>
      <c r="H78" s="41"/>
      <c r="I78" s="39"/>
      <c r="J78" s="109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</row>
    <row r="79" spans="1:21" ht="15.75">
      <c r="A79" s="82">
        <v>12414</v>
      </c>
      <c r="B79" s="78" t="s">
        <v>193</v>
      </c>
      <c r="C79" s="39">
        <f aca="true" t="shared" si="22" ref="C79:H79">SUM(C80:C91)</f>
        <v>317497542</v>
      </c>
      <c r="D79" s="39">
        <f t="shared" si="22"/>
        <v>508124028</v>
      </c>
      <c r="E79" s="39">
        <f t="shared" si="22"/>
        <v>825621570</v>
      </c>
      <c r="F79" s="39">
        <f t="shared" si="22"/>
        <v>826685848</v>
      </c>
      <c r="G79" s="39">
        <f t="shared" si="22"/>
        <v>-2601530</v>
      </c>
      <c r="H79" s="39">
        <f t="shared" si="22"/>
        <v>6000000</v>
      </c>
      <c r="I79" s="39">
        <f>SUM(I80:I85)</f>
        <v>-100</v>
      </c>
      <c r="J79" s="109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</row>
    <row r="80" spans="1:21" ht="15">
      <c r="A80" s="85">
        <v>1241401</v>
      </c>
      <c r="B80" s="79" t="s">
        <v>568</v>
      </c>
      <c r="C80" s="41">
        <v>197398290</v>
      </c>
      <c r="D80" s="41">
        <v>0</v>
      </c>
      <c r="E80" s="41">
        <f aca="true" t="shared" si="23" ref="E80:E91">SUM(C80:D80)</f>
        <v>197398290</v>
      </c>
      <c r="F80" s="41">
        <v>199999820</v>
      </c>
      <c r="G80" s="41">
        <f>+E80-F80</f>
        <v>-2601530</v>
      </c>
      <c r="H80" s="41">
        <v>0</v>
      </c>
      <c r="I80" s="41">
        <f>IF(E80&lt;&gt;0,((H80-E80)/E80)*100,0)</f>
        <v>-100</v>
      </c>
      <c r="J80" s="109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</row>
    <row r="81" spans="1:21" ht="15" hidden="1">
      <c r="A81" s="85" t="s">
        <v>165</v>
      </c>
      <c r="B81" s="79" t="s">
        <v>229</v>
      </c>
      <c r="C81" s="41"/>
      <c r="D81" s="41">
        <v>0</v>
      </c>
      <c r="E81" s="41">
        <f t="shared" si="23"/>
        <v>0</v>
      </c>
      <c r="F81" s="41">
        <v>0</v>
      </c>
      <c r="G81" s="41">
        <f>+E81-F81</f>
        <v>0</v>
      </c>
      <c r="H81" s="41">
        <v>0</v>
      </c>
      <c r="I81" s="41">
        <f>IF(E81&lt;&gt;0,((H81-E81)/E81)*100,0)</f>
        <v>0</v>
      </c>
      <c r="J81" s="109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</row>
    <row r="82" spans="1:21" ht="15" hidden="1">
      <c r="A82" s="85" t="s">
        <v>166</v>
      </c>
      <c r="B82" s="79" t="s">
        <v>187</v>
      </c>
      <c r="C82" s="41">
        <v>0</v>
      </c>
      <c r="D82" s="41">
        <v>0</v>
      </c>
      <c r="E82" s="41">
        <f t="shared" si="23"/>
        <v>0</v>
      </c>
      <c r="F82" s="41">
        <v>0</v>
      </c>
      <c r="G82" s="41">
        <f>+E82-F82</f>
        <v>0</v>
      </c>
      <c r="H82" s="41">
        <v>0</v>
      </c>
      <c r="I82" s="41">
        <f>IF(E82&lt;&gt;0,((H82-E82)/E82)*100,0)</f>
        <v>0</v>
      </c>
      <c r="J82" s="109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</row>
    <row r="83" spans="1:21" ht="15" hidden="1">
      <c r="A83" s="85" t="s">
        <v>164</v>
      </c>
      <c r="B83" s="79" t="s">
        <v>265</v>
      </c>
      <c r="C83" s="41">
        <v>0</v>
      </c>
      <c r="D83" s="41">
        <v>0</v>
      </c>
      <c r="E83" s="41">
        <f t="shared" si="23"/>
        <v>0</v>
      </c>
      <c r="F83" s="41">
        <v>0</v>
      </c>
      <c r="G83" s="41">
        <f>+E83-F83</f>
        <v>0</v>
      </c>
      <c r="H83" s="41">
        <v>0</v>
      </c>
      <c r="I83" s="41">
        <f>IF(E83&lt;&gt;0,((H83-E83)/E83)*100,0)</f>
        <v>0</v>
      </c>
      <c r="J83" s="109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</row>
    <row r="84" spans="1:21" ht="15" hidden="1">
      <c r="A84" s="85"/>
      <c r="B84" s="79"/>
      <c r="C84" s="41"/>
      <c r="D84" s="41"/>
      <c r="E84" s="41"/>
      <c r="F84" s="41"/>
      <c r="G84" s="41"/>
      <c r="H84" s="41"/>
      <c r="I84" s="41"/>
      <c r="J84" s="109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</row>
    <row r="85" spans="1:21" ht="30">
      <c r="A85" s="85">
        <v>1241402</v>
      </c>
      <c r="B85" s="84" t="s">
        <v>301</v>
      </c>
      <c r="C85" s="41">
        <v>74732000</v>
      </c>
      <c r="D85" s="41">
        <v>199620840</v>
      </c>
      <c r="E85" s="41">
        <f t="shared" si="23"/>
        <v>274352840</v>
      </c>
      <c r="F85" s="41">
        <v>274352840</v>
      </c>
      <c r="G85" s="41">
        <f aca="true" t="shared" si="24" ref="G85:G90">+E85-F85</f>
        <v>0</v>
      </c>
      <c r="H85" s="41"/>
      <c r="I85" s="125"/>
      <c r="J85" s="109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</row>
    <row r="86" spans="1:21" ht="15">
      <c r="A86" s="85">
        <v>1241403</v>
      </c>
      <c r="B86" s="84" t="s">
        <v>516</v>
      </c>
      <c r="C86" s="41">
        <v>38500000</v>
      </c>
      <c r="D86" s="41">
        <v>98672816</v>
      </c>
      <c r="E86" s="41">
        <f t="shared" si="23"/>
        <v>137172816</v>
      </c>
      <c r="F86" s="41">
        <v>137172816</v>
      </c>
      <c r="G86" s="41">
        <f t="shared" si="24"/>
        <v>0</v>
      </c>
      <c r="H86" s="41"/>
      <c r="I86" s="125"/>
      <c r="J86" s="109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</row>
    <row r="87" spans="1:21" ht="15">
      <c r="A87" s="85">
        <v>1241404</v>
      </c>
      <c r="B87" s="84" t="s">
        <v>517</v>
      </c>
      <c r="C87" s="41"/>
      <c r="D87" s="41">
        <v>57800372</v>
      </c>
      <c r="E87" s="41">
        <f t="shared" si="23"/>
        <v>57800372</v>
      </c>
      <c r="F87" s="41">
        <v>57800372</v>
      </c>
      <c r="G87" s="41">
        <f t="shared" si="24"/>
        <v>0</v>
      </c>
      <c r="H87" s="41"/>
      <c r="I87" s="125"/>
      <c r="J87" s="109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</row>
    <row r="88" spans="1:21" ht="15">
      <c r="A88" s="85">
        <v>1241405</v>
      </c>
      <c r="B88" s="84" t="s">
        <v>518</v>
      </c>
      <c r="C88" s="41">
        <v>1680000</v>
      </c>
      <c r="D88" s="41">
        <v>1680000</v>
      </c>
      <c r="E88" s="41">
        <f t="shared" si="23"/>
        <v>3360000</v>
      </c>
      <c r="F88" s="41">
        <v>3360000</v>
      </c>
      <c r="G88" s="41">
        <f t="shared" si="24"/>
        <v>0</v>
      </c>
      <c r="H88" s="41"/>
      <c r="I88" s="125"/>
      <c r="J88" s="109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</row>
    <row r="89" spans="1:21" ht="15">
      <c r="A89" s="85">
        <v>1241406</v>
      </c>
      <c r="B89" s="84" t="s">
        <v>569</v>
      </c>
      <c r="C89" s="41">
        <v>0</v>
      </c>
      <c r="D89" s="41">
        <v>150000000</v>
      </c>
      <c r="E89" s="41">
        <f t="shared" si="23"/>
        <v>150000000</v>
      </c>
      <c r="F89" s="41">
        <v>150000000</v>
      </c>
      <c r="G89" s="41">
        <f t="shared" si="24"/>
        <v>0</v>
      </c>
      <c r="H89" s="41"/>
      <c r="I89" s="125"/>
      <c r="J89" s="109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</row>
    <row r="90" spans="1:21" ht="15">
      <c r="A90" s="85">
        <v>1241407</v>
      </c>
      <c r="B90" s="84" t="s">
        <v>519</v>
      </c>
      <c r="C90" s="41"/>
      <c r="D90" s="41">
        <v>0</v>
      </c>
      <c r="E90" s="41">
        <f t="shared" si="23"/>
        <v>0</v>
      </c>
      <c r="F90" s="41">
        <v>0</v>
      </c>
      <c r="G90" s="41">
        <f t="shared" si="24"/>
        <v>0</v>
      </c>
      <c r="H90" s="41"/>
      <c r="I90" s="125"/>
      <c r="J90" s="109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</row>
    <row r="91" spans="1:21" ht="15">
      <c r="A91" s="85">
        <f>+A90+1</f>
        <v>1241408</v>
      </c>
      <c r="B91" s="84" t="s">
        <v>550</v>
      </c>
      <c r="C91" s="41">
        <v>5187252</v>
      </c>
      <c r="D91" s="41">
        <v>350000</v>
      </c>
      <c r="E91" s="41">
        <f t="shared" si="23"/>
        <v>5537252</v>
      </c>
      <c r="F91" s="128">
        <v>4000000</v>
      </c>
      <c r="G91" s="41"/>
      <c r="H91" s="128">
        <v>6000000</v>
      </c>
      <c r="I91" s="125"/>
      <c r="J91" s="109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</row>
    <row r="92" spans="1:21" ht="15.75">
      <c r="A92" s="82">
        <v>125</v>
      </c>
      <c r="B92" s="40" t="s">
        <v>232</v>
      </c>
      <c r="C92" s="39">
        <f aca="true" t="shared" si="25" ref="C92:H92">SUM(C93:C105)</f>
        <v>145801124</v>
      </c>
      <c r="D92" s="39">
        <f t="shared" si="25"/>
        <v>33639360</v>
      </c>
      <c r="E92" s="39">
        <f t="shared" si="25"/>
        <v>179440484</v>
      </c>
      <c r="F92" s="39">
        <f t="shared" si="25"/>
        <v>156710873.28</v>
      </c>
      <c r="G92" s="39">
        <f t="shared" si="25"/>
        <v>22729610.71999999</v>
      </c>
      <c r="H92" s="39">
        <f t="shared" si="25"/>
        <v>195268518.58</v>
      </c>
      <c r="I92" s="124">
        <f>SUM(I96:I96)</f>
        <v>4.499999999999996</v>
      </c>
      <c r="J92" s="109">
        <v>37971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</row>
    <row r="93" spans="1:21" ht="15">
      <c r="A93" s="85">
        <v>12501</v>
      </c>
      <c r="B93" s="79" t="s">
        <v>155</v>
      </c>
      <c r="C93" s="41">
        <v>22234351</v>
      </c>
      <c r="D93" s="41">
        <v>6000000</v>
      </c>
      <c r="E93" s="41">
        <f aca="true" t="shared" si="26" ref="E93:E103">SUM(C93:D93)</f>
        <v>28234351</v>
      </c>
      <c r="F93" s="41">
        <v>22378489.12</v>
      </c>
      <c r="G93" s="41">
        <f>+E93-F93</f>
        <v>5855861.879999999</v>
      </c>
      <c r="H93" s="41">
        <f aca="true" t="shared" si="27" ref="H93:H98">SUM(E93*4.5%)+E93</f>
        <v>29504896.795</v>
      </c>
      <c r="I93" s="125">
        <v>4</v>
      </c>
      <c r="J93" s="109" t="e">
        <f>+H92-H93-H94-H95-H96-#REF!-#REF!-#REF!+H141-H97</f>
        <v>#REF!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</row>
    <row r="94" spans="1:21" ht="15">
      <c r="A94" s="85">
        <v>12502</v>
      </c>
      <c r="B94" s="79" t="s">
        <v>156</v>
      </c>
      <c r="C94" s="41">
        <v>22234351</v>
      </c>
      <c r="D94" s="41">
        <v>6000000</v>
      </c>
      <c r="E94" s="41">
        <f t="shared" si="26"/>
        <v>28234351</v>
      </c>
      <c r="F94" s="41">
        <v>22378489.12</v>
      </c>
      <c r="G94" s="41">
        <f>+E94-F94</f>
        <v>5855861.879999999</v>
      </c>
      <c r="H94" s="41">
        <f t="shared" si="27"/>
        <v>29504896.795</v>
      </c>
      <c r="I94" s="125">
        <v>4</v>
      </c>
      <c r="J94" s="109">
        <v>0</v>
      </c>
      <c r="K94" s="137">
        <f>37629000/2</f>
        <v>18814500</v>
      </c>
      <c r="L94" s="102"/>
      <c r="M94" s="102"/>
      <c r="N94" s="102"/>
      <c r="O94" s="102"/>
      <c r="P94" s="102"/>
      <c r="Q94" s="102"/>
      <c r="R94" s="102"/>
      <c r="S94" s="102"/>
      <c r="T94" s="102"/>
      <c r="U94" s="102"/>
    </row>
    <row r="95" spans="1:21" ht="15">
      <c r="A95" s="85">
        <v>12503</v>
      </c>
      <c r="B95" s="79" t="s">
        <v>157</v>
      </c>
      <c r="C95" s="41">
        <v>18117398</v>
      </c>
      <c r="D95" s="41">
        <v>4000000</v>
      </c>
      <c r="E95" s="41">
        <f t="shared" si="26"/>
        <v>22117398</v>
      </c>
      <c r="F95" s="41">
        <v>15135768.96</v>
      </c>
      <c r="G95" s="41">
        <f aca="true" t="shared" si="28" ref="G95:G105">+E95-F95</f>
        <v>6981629.039999999</v>
      </c>
      <c r="H95" s="128">
        <f t="shared" si="27"/>
        <v>23112680.91</v>
      </c>
      <c r="I95" s="125"/>
      <c r="J95" s="109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</row>
    <row r="96" spans="1:21" ht="18">
      <c r="A96" s="85">
        <v>12504</v>
      </c>
      <c r="B96" s="79" t="s">
        <v>158</v>
      </c>
      <c r="C96" s="41">
        <v>45346136</v>
      </c>
      <c r="D96" s="41">
        <v>15000000</v>
      </c>
      <c r="E96" s="41">
        <f t="shared" si="26"/>
        <v>60346136</v>
      </c>
      <c r="F96" s="41">
        <v>48889318.4</v>
      </c>
      <c r="G96" s="41">
        <f t="shared" si="28"/>
        <v>11456817.600000001</v>
      </c>
      <c r="H96" s="128">
        <f t="shared" si="27"/>
        <v>63061712.12</v>
      </c>
      <c r="I96" s="125">
        <f aca="true" t="shared" si="29" ref="I96:I101">IF(E96&lt;&gt;0,((H96-E96)/E96)*100,0)</f>
        <v>4.499999999999996</v>
      </c>
      <c r="J96" s="109"/>
      <c r="K96" s="138"/>
      <c r="L96" s="102"/>
      <c r="M96" s="102"/>
      <c r="N96" s="102"/>
      <c r="O96" s="102"/>
      <c r="P96" s="102"/>
      <c r="Q96" s="102"/>
      <c r="R96" s="102"/>
      <c r="S96" s="102"/>
      <c r="T96" s="102"/>
      <c r="U96" s="102"/>
    </row>
    <row r="97" spans="1:21" ht="18">
      <c r="A97" s="85">
        <v>12506</v>
      </c>
      <c r="B97" s="79" t="s">
        <v>269</v>
      </c>
      <c r="C97" s="41">
        <v>13568880</v>
      </c>
      <c r="D97" s="41">
        <v>1000000</v>
      </c>
      <c r="E97" s="41">
        <f t="shared" si="26"/>
        <v>14568880</v>
      </c>
      <c r="F97" s="41">
        <v>14418281.28</v>
      </c>
      <c r="G97" s="41">
        <f t="shared" si="28"/>
        <v>150598.72000000067</v>
      </c>
      <c r="H97" s="128">
        <f t="shared" si="27"/>
        <v>15224479.6</v>
      </c>
      <c r="I97" s="125">
        <f t="shared" si="29"/>
        <v>4.499999999999997</v>
      </c>
      <c r="J97" s="109" t="e">
        <f>+H97+#REF!</f>
        <v>#REF!</v>
      </c>
      <c r="K97" s="138"/>
      <c r="L97" s="102"/>
      <c r="M97" s="102"/>
      <c r="N97" s="102"/>
      <c r="O97" s="102"/>
      <c r="P97" s="102"/>
      <c r="Q97" s="102"/>
      <c r="R97" s="102"/>
      <c r="S97" s="102"/>
      <c r="T97" s="102"/>
      <c r="U97" s="102"/>
    </row>
    <row r="98" spans="1:21" ht="18">
      <c r="A98" s="85">
        <v>12507</v>
      </c>
      <c r="B98" s="79" t="s">
        <v>222</v>
      </c>
      <c r="C98" s="41">
        <v>8020802</v>
      </c>
      <c r="D98" s="41">
        <v>600000</v>
      </c>
      <c r="E98" s="41">
        <f t="shared" si="26"/>
        <v>8620802</v>
      </c>
      <c r="F98" s="41">
        <v>6403716.8</v>
      </c>
      <c r="G98" s="41">
        <f t="shared" si="28"/>
        <v>2217085.2</v>
      </c>
      <c r="H98" s="128">
        <f t="shared" si="27"/>
        <v>9008738.09</v>
      </c>
      <c r="I98" s="125">
        <f t="shared" si="29"/>
        <v>4.499999999999998</v>
      </c>
      <c r="J98" s="109">
        <f>+H98+H100+H104</f>
        <v>15008738.09</v>
      </c>
      <c r="K98" s="139">
        <f>+H95</f>
        <v>23112680.91</v>
      </c>
      <c r="L98" s="102"/>
      <c r="M98" s="102"/>
      <c r="N98" s="102"/>
      <c r="O98" s="102"/>
      <c r="P98" s="102"/>
      <c r="Q98" s="102"/>
      <c r="R98" s="102"/>
      <c r="S98" s="102"/>
      <c r="T98" s="102"/>
      <c r="U98" s="102"/>
    </row>
    <row r="99" spans="1:21" ht="18">
      <c r="A99" s="85">
        <v>12508</v>
      </c>
      <c r="B99" s="79" t="s">
        <v>223</v>
      </c>
      <c r="C99" s="41">
        <v>0</v>
      </c>
      <c r="D99" s="41">
        <v>0</v>
      </c>
      <c r="E99" s="41">
        <f t="shared" si="26"/>
        <v>0</v>
      </c>
      <c r="F99" s="41">
        <v>0</v>
      </c>
      <c r="G99" s="41">
        <f t="shared" si="28"/>
        <v>0</v>
      </c>
      <c r="H99" s="128">
        <f>SUM(E99*4%)+E99</f>
        <v>0</v>
      </c>
      <c r="I99" s="125">
        <f t="shared" si="29"/>
        <v>0</v>
      </c>
      <c r="J99" s="109">
        <f>+H97*80%</f>
        <v>12179583.68</v>
      </c>
      <c r="K99" s="139">
        <f>8299559-K98</f>
        <v>-14813121.91</v>
      </c>
      <c r="L99" s="102"/>
      <c r="M99" s="102"/>
      <c r="N99" s="102"/>
      <c r="O99" s="102"/>
      <c r="P99" s="102"/>
      <c r="Q99" s="102"/>
      <c r="R99" s="102"/>
      <c r="S99" s="102"/>
      <c r="T99" s="102"/>
      <c r="U99" s="102"/>
    </row>
    <row r="100" spans="1:21" ht="18">
      <c r="A100" s="85">
        <v>12509</v>
      </c>
      <c r="B100" s="79" t="s">
        <v>224</v>
      </c>
      <c r="C100" s="41">
        <v>0</v>
      </c>
      <c r="D100" s="41">
        <v>0</v>
      </c>
      <c r="E100" s="41">
        <f t="shared" si="26"/>
        <v>0</v>
      </c>
      <c r="F100" s="41">
        <v>0</v>
      </c>
      <c r="G100" s="41">
        <f t="shared" si="28"/>
        <v>0</v>
      </c>
      <c r="H100" s="128">
        <f>SUM(E100*4%)+E100</f>
        <v>0</v>
      </c>
      <c r="I100" s="125">
        <f t="shared" si="29"/>
        <v>0</v>
      </c>
      <c r="J100" s="109">
        <f>+H97*20%</f>
        <v>3044895.92</v>
      </c>
      <c r="K100" s="139">
        <f>+H103*20%</f>
        <v>552244.88</v>
      </c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</row>
    <row r="101" spans="1:21" ht="18">
      <c r="A101" s="85">
        <v>12510</v>
      </c>
      <c r="B101" s="60" t="s">
        <v>225</v>
      </c>
      <c r="C101" s="41">
        <v>0</v>
      </c>
      <c r="D101" s="41">
        <v>0</v>
      </c>
      <c r="E101" s="41">
        <f t="shared" si="26"/>
        <v>0</v>
      </c>
      <c r="F101" s="41">
        <v>0</v>
      </c>
      <c r="G101" s="41">
        <f t="shared" si="28"/>
        <v>0</v>
      </c>
      <c r="H101" s="128">
        <v>2000000</v>
      </c>
      <c r="I101" s="125">
        <f t="shared" si="29"/>
        <v>0</v>
      </c>
      <c r="J101" s="109"/>
      <c r="K101" s="138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</row>
    <row r="102" spans="1:21" ht="18">
      <c r="A102" s="85">
        <v>12511</v>
      </c>
      <c r="B102" s="60" t="s">
        <v>226</v>
      </c>
      <c r="C102" s="41">
        <v>13640086</v>
      </c>
      <c r="D102" s="41">
        <f>400000*2</f>
        <v>800000</v>
      </c>
      <c r="E102" s="41">
        <f t="shared" si="26"/>
        <v>14440086</v>
      </c>
      <c r="F102" s="41">
        <v>4566120</v>
      </c>
      <c r="G102" s="41">
        <f t="shared" si="28"/>
        <v>9873966</v>
      </c>
      <c r="H102" s="128">
        <f>SUM(E102*4.5%)+E102</f>
        <v>15089889.87</v>
      </c>
      <c r="I102" s="125"/>
      <c r="J102" s="109">
        <f>+J100+H95</f>
        <v>26157576.83</v>
      </c>
      <c r="K102" s="138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</row>
    <row r="103" spans="1:21" ht="27.75" customHeight="1">
      <c r="A103" s="85">
        <v>12512</v>
      </c>
      <c r="B103" s="105" t="s">
        <v>268</v>
      </c>
      <c r="C103" s="41">
        <v>2442320</v>
      </c>
      <c r="D103" s="41">
        <v>200000</v>
      </c>
      <c r="E103" s="41">
        <f t="shared" si="26"/>
        <v>2642320</v>
      </c>
      <c r="F103" s="41">
        <v>9204561.6</v>
      </c>
      <c r="G103" s="41">
        <f t="shared" si="28"/>
        <v>-6562241.6</v>
      </c>
      <c r="H103" s="128">
        <f>SUM(E103*4.5%)+E103</f>
        <v>2761224.4</v>
      </c>
      <c r="I103" s="125"/>
      <c r="J103" s="109">
        <v>5021621</v>
      </c>
      <c r="K103" s="138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</row>
    <row r="104" spans="1:21" ht="15">
      <c r="A104" s="85">
        <v>12513</v>
      </c>
      <c r="B104" s="60" t="s">
        <v>273</v>
      </c>
      <c r="C104" s="41">
        <v>196800</v>
      </c>
      <c r="D104" s="41">
        <f>+C104/10*2</f>
        <v>39360</v>
      </c>
      <c r="E104" s="41">
        <f>SUM(C104:D104)</f>
        <v>236160</v>
      </c>
      <c r="F104" s="41">
        <v>13336128</v>
      </c>
      <c r="G104" s="41">
        <f t="shared" si="28"/>
        <v>-13099968</v>
      </c>
      <c r="H104" s="128">
        <v>6000000</v>
      </c>
      <c r="I104" s="125"/>
      <c r="J104" s="109">
        <f>+H103-J103</f>
        <v>-2260396.6</v>
      </c>
      <c r="K104" s="134">
        <f>6665167-J104:J105</f>
        <v>8925563.6</v>
      </c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</row>
    <row r="105" spans="1:21" ht="15">
      <c r="A105" s="86"/>
      <c r="B105" s="60"/>
      <c r="C105" s="41"/>
      <c r="D105" s="41"/>
      <c r="E105" s="41"/>
      <c r="F105" s="41"/>
      <c r="G105" s="41">
        <f t="shared" si="28"/>
        <v>0</v>
      </c>
      <c r="H105" s="128"/>
      <c r="I105" s="125"/>
      <c r="J105" s="109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</row>
    <row r="106" spans="1:21" ht="15.75">
      <c r="A106" s="89">
        <v>126</v>
      </c>
      <c r="B106" s="40" t="s">
        <v>49</v>
      </c>
      <c r="C106" s="39">
        <f aca="true" t="shared" si="30" ref="C106:H106">+C108+C113</f>
        <v>2433888522</v>
      </c>
      <c r="D106" s="39">
        <f t="shared" si="30"/>
        <v>27776154</v>
      </c>
      <c r="E106" s="39">
        <f t="shared" si="30"/>
        <v>2461664676</v>
      </c>
      <c r="F106" s="39">
        <f t="shared" si="30"/>
        <v>2427371914.6400003</v>
      </c>
      <c r="G106" s="39">
        <f>+G108+G113</f>
        <v>46041988.64</v>
      </c>
      <c r="H106" s="129">
        <f t="shared" si="30"/>
        <v>224519121.52999997</v>
      </c>
      <c r="I106" s="125">
        <f>IF(E106&lt;&gt;0,((H106-E106)/E106)*100,0)</f>
        <v>-90.87937834429893</v>
      </c>
      <c r="J106" s="109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</row>
    <row r="107" spans="1:21" ht="15.75" hidden="1">
      <c r="A107" s="168"/>
      <c r="B107" s="80"/>
      <c r="C107" s="39"/>
      <c r="D107" s="39"/>
      <c r="E107" s="39"/>
      <c r="F107" s="39"/>
      <c r="G107" s="39"/>
      <c r="H107" s="129"/>
      <c r="I107" s="124"/>
      <c r="J107" s="109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</row>
    <row r="108" spans="1:21" ht="15.75" hidden="1">
      <c r="A108" s="89">
        <v>1261</v>
      </c>
      <c r="B108" s="40" t="s">
        <v>48</v>
      </c>
      <c r="C108" s="39">
        <f aca="true" t="shared" si="31" ref="C108:H108">SUM(C110:C112)</f>
        <v>0</v>
      </c>
      <c r="D108" s="39">
        <f t="shared" si="31"/>
        <v>0</v>
      </c>
      <c r="E108" s="39">
        <f t="shared" si="31"/>
        <v>0</v>
      </c>
      <c r="F108" s="39">
        <v>0</v>
      </c>
      <c r="G108" s="39">
        <f t="shared" si="31"/>
        <v>0</v>
      </c>
      <c r="H108" s="129">
        <f t="shared" si="31"/>
        <v>0</v>
      </c>
      <c r="I108" s="124" t="str">
        <f>IF(E108&lt;&gt;0,((H108/E108)-1)*100,"  ")</f>
        <v>  </v>
      </c>
      <c r="J108" s="109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</row>
    <row r="109" spans="1:21" ht="15" hidden="1">
      <c r="A109" s="86"/>
      <c r="B109" s="60"/>
      <c r="C109" s="41"/>
      <c r="D109" s="41"/>
      <c r="E109" s="41"/>
      <c r="F109" s="41"/>
      <c r="G109" s="41"/>
      <c r="H109" s="128"/>
      <c r="I109" s="125"/>
      <c r="J109" s="109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</row>
    <row r="110" spans="1:21" ht="15" hidden="1">
      <c r="A110" s="85">
        <v>1</v>
      </c>
      <c r="B110" s="79" t="s">
        <v>50</v>
      </c>
      <c r="C110" s="41"/>
      <c r="D110" s="41">
        <f>IF(C110&gt;0,C110/#REF!*(100-#REF!),0)</f>
        <v>0</v>
      </c>
      <c r="E110" s="41">
        <f>SUM(C110:D110)</f>
        <v>0</v>
      </c>
      <c r="F110" s="41">
        <v>0</v>
      </c>
      <c r="G110" s="41">
        <f>+E110-F110</f>
        <v>0</v>
      </c>
      <c r="H110" s="128">
        <f>+E110*1.1</f>
        <v>0</v>
      </c>
      <c r="I110" s="125">
        <f>IF(E110&lt;&gt;0,((H110-E110)/E110)*100,0)</f>
        <v>0</v>
      </c>
      <c r="J110" s="109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</row>
    <row r="111" spans="1:21" ht="15" hidden="1">
      <c r="A111" s="85">
        <v>12611</v>
      </c>
      <c r="B111" s="79" t="s">
        <v>51</v>
      </c>
      <c r="C111" s="41"/>
      <c r="D111" s="41">
        <v>0</v>
      </c>
      <c r="E111" s="41">
        <f>SUM(C111:D111)</f>
        <v>0</v>
      </c>
      <c r="F111" s="41">
        <v>0</v>
      </c>
      <c r="G111" s="41">
        <f>+E111-F111</f>
        <v>0</v>
      </c>
      <c r="H111" s="128">
        <v>0</v>
      </c>
      <c r="I111" s="125">
        <f>IF(E111&lt;&gt;0,((H111-E111)/E111)*100,0)</f>
        <v>0</v>
      </c>
      <c r="J111" s="109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</row>
    <row r="112" spans="1:21" ht="15.75">
      <c r="A112" s="89"/>
      <c r="B112" s="79"/>
      <c r="C112" s="41">
        <v>0</v>
      </c>
      <c r="D112" s="41"/>
      <c r="E112" s="41"/>
      <c r="F112" s="41"/>
      <c r="G112" s="41"/>
      <c r="H112" s="128"/>
      <c r="I112" s="125"/>
      <c r="J112" s="109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</row>
    <row r="113" spans="1:21" ht="15.75">
      <c r="A113" s="89">
        <v>1262</v>
      </c>
      <c r="B113" s="40" t="s">
        <v>52</v>
      </c>
      <c r="C113" s="39">
        <f>+C115+C126+C127+C128</f>
        <v>2433888522</v>
      </c>
      <c r="D113" s="39">
        <f>+D115+D126+D127+D128</f>
        <v>27776154</v>
      </c>
      <c r="E113" s="39">
        <f>+E115+E126+E127+E128</f>
        <v>2461664676</v>
      </c>
      <c r="F113" s="39">
        <f>+F115+F126+F127+F128</f>
        <v>2427371914.6400003</v>
      </c>
      <c r="G113" s="39">
        <f>SUM(G115:G128)</f>
        <v>46041988.64</v>
      </c>
      <c r="H113" s="129">
        <f>+H115+H128</f>
        <v>224519121.52999997</v>
      </c>
      <c r="I113" s="124">
        <f>SUM(I115:I128)</f>
        <v>-191</v>
      </c>
      <c r="J113" s="109">
        <f>3020736271-F113</f>
        <v>593364356.3599997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</row>
    <row r="114" spans="1:21" ht="15">
      <c r="A114" s="86"/>
      <c r="B114" s="60"/>
      <c r="C114" s="88"/>
      <c r="D114" s="88"/>
      <c r="E114" s="88"/>
      <c r="F114" s="61"/>
      <c r="G114" s="88"/>
      <c r="H114" s="128"/>
      <c r="I114" s="126"/>
      <c r="J114" s="109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</row>
    <row r="115" spans="1:21" ht="15.75">
      <c r="A115" s="89">
        <v>12621</v>
      </c>
      <c r="B115" s="141" t="s">
        <v>521</v>
      </c>
      <c r="C115" s="39">
        <f>SUM(C116:C125)</f>
        <v>102618468</v>
      </c>
      <c r="D115" s="39">
        <f>SUM(D116:D125)</f>
        <v>22776154</v>
      </c>
      <c r="E115" s="39">
        <f>SUM(E116:E125)</f>
        <v>125394622</v>
      </c>
      <c r="F115" s="39">
        <f>SUM(F116:F125)</f>
        <v>113645394.72000001</v>
      </c>
      <c r="G115" s="129">
        <f>SUM(G117:G126)</f>
        <v>11749227.280000001</v>
      </c>
      <c r="H115" s="129">
        <f>SUM(H117:H126)</f>
        <v>131037379.98999998</v>
      </c>
      <c r="I115" s="125">
        <f>IF(E115&lt;&gt;0,((H115-E115)/E115)*100,0)</f>
        <v>4.499999999999984</v>
      </c>
      <c r="J115" s="109"/>
      <c r="K115" s="102"/>
      <c r="L115" s="137">
        <v>4788000</v>
      </c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1:21" ht="15">
      <c r="A116" s="85">
        <v>1262101</v>
      </c>
      <c r="B116" s="121" t="s">
        <v>508</v>
      </c>
      <c r="C116" s="41"/>
      <c r="D116" s="41"/>
      <c r="E116" s="41"/>
      <c r="F116" s="41"/>
      <c r="G116" s="41"/>
      <c r="H116" s="128"/>
      <c r="I116" s="125"/>
      <c r="J116" s="109"/>
      <c r="K116" s="102"/>
      <c r="L116" s="137">
        <v>18493422</v>
      </c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1" ht="15">
      <c r="A117" s="85">
        <f>+A116+1</f>
        <v>1262102</v>
      </c>
      <c r="B117" s="121" t="s">
        <v>509</v>
      </c>
      <c r="C117" s="41">
        <v>125775</v>
      </c>
      <c r="D117" s="41">
        <v>0</v>
      </c>
      <c r="E117" s="41">
        <f aca="true" t="shared" si="32" ref="E117:E125">+C117+D117</f>
        <v>125775</v>
      </c>
      <c r="F117" s="41">
        <v>4228574.688</v>
      </c>
      <c r="G117" s="41">
        <f aca="true" t="shared" si="33" ref="G117:G126">+E117-F117</f>
        <v>-4102799.688</v>
      </c>
      <c r="H117" s="128">
        <f aca="true" t="shared" si="34" ref="H117:H125">SUM(E117*4.5%)+E117</f>
        <v>131434.875</v>
      </c>
      <c r="I117" s="125"/>
      <c r="J117" s="109"/>
      <c r="K117" s="102"/>
      <c r="L117" s="137">
        <v>6357390</v>
      </c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1:21" ht="15">
      <c r="A118" s="85">
        <f aca="true" t="shared" si="35" ref="A118:A124">+A117+1</f>
        <v>1262103</v>
      </c>
      <c r="B118" s="121" t="s">
        <v>513</v>
      </c>
      <c r="C118" s="41">
        <v>17345061</v>
      </c>
      <c r="D118" s="41">
        <f>+C118/9*2</f>
        <v>3854458</v>
      </c>
      <c r="E118" s="41">
        <f t="shared" si="32"/>
        <v>21199519</v>
      </c>
      <c r="F118" s="41">
        <v>18194121.504</v>
      </c>
      <c r="G118" s="41">
        <f t="shared" si="33"/>
        <v>3005397.4959999993</v>
      </c>
      <c r="H118" s="128">
        <f t="shared" si="34"/>
        <v>22153497.355</v>
      </c>
      <c r="I118" s="125"/>
      <c r="J118" s="109"/>
      <c r="K118" s="102"/>
      <c r="L118" s="137">
        <v>1647832</v>
      </c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1:21" ht="15">
      <c r="A119" s="85">
        <f>+A118+1</f>
        <v>1262104</v>
      </c>
      <c r="B119" s="121" t="s">
        <v>522</v>
      </c>
      <c r="C119" s="41">
        <v>289507</v>
      </c>
      <c r="D119" s="41">
        <f>+C119/9*2</f>
        <v>64334.88888888889</v>
      </c>
      <c r="E119" s="41">
        <f t="shared" si="32"/>
        <v>353841.8888888889</v>
      </c>
      <c r="F119" s="41">
        <v>119746.848</v>
      </c>
      <c r="G119" s="41">
        <f t="shared" si="33"/>
        <v>234095.04088888888</v>
      </c>
      <c r="H119" s="128">
        <f t="shared" si="34"/>
        <v>369764.7738888889</v>
      </c>
      <c r="I119" s="125"/>
      <c r="J119" s="109"/>
      <c r="K119" s="102"/>
      <c r="L119" s="137">
        <v>1198300</v>
      </c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1:21" ht="15">
      <c r="A120" s="85">
        <f>+A119+1</f>
        <v>1262105</v>
      </c>
      <c r="B120" s="121" t="s">
        <v>510</v>
      </c>
      <c r="C120" s="41">
        <v>6119411</v>
      </c>
      <c r="D120" s="41">
        <f>+C120/9*2</f>
        <v>1359869.111111111</v>
      </c>
      <c r="E120" s="41">
        <f t="shared" si="32"/>
        <v>7479280.111111111</v>
      </c>
      <c r="F120" s="41">
        <v>5459782.848</v>
      </c>
      <c r="G120" s="41">
        <f t="shared" si="33"/>
        <v>2019497.2631111108</v>
      </c>
      <c r="H120" s="128">
        <f t="shared" si="34"/>
        <v>7815847.7161111105</v>
      </c>
      <c r="I120" s="125"/>
      <c r="J120" s="109"/>
      <c r="K120" s="102"/>
      <c r="L120" s="137">
        <v>10140000</v>
      </c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1:21" ht="15">
      <c r="A121" s="85">
        <f t="shared" si="35"/>
        <v>1262106</v>
      </c>
      <c r="B121" s="121" t="s">
        <v>511</v>
      </c>
      <c r="C121" s="41"/>
      <c r="D121" s="41">
        <f>+C121/10*2</f>
        <v>0</v>
      </c>
      <c r="E121" s="41">
        <f t="shared" si="32"/>
        <v>0</v>
      </c>
      <c r="F121" s="41">
        <v>0</v>
      </c>
      <c r="G121" s="41">
        <f t="shared" si="33"/>
        <v>0</v>
      </c>
      <c r="H121" s="128">
        <f t="shared" si="34"/>
        <v>0</v>
      </c>
      <c r="I121" s="125"/>
      <c r="J121" s="109"/>
      <c r="K121" s="102"/>
      <c r="L121" s="137">
        <v>10100000</v>
      </c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1:21" ht="15">
      <c r="A122" s="85">
        <f t="shared" si="35"/>
        <v>1262107</v>
      </c>
      <c r="B122" s="121" t="s">
        <v>512</v>
      </c>
      <c r="C122" s="41">
        <v>4182578</v>
      </c>
      <c r="D122" s="41">
        <f>+C122/9*2</f>
        <v>929461.7777777778</v>
      </c>
      <c r="E122" s="41">
        <f t="shared" si="32"/>
        <v>5112039.777777778</v>
      </c>
      <c r="F122" s="41">
        <v>5514912</v>
      </c>
      <c r="G122" s="41">
        <f t="shared" si="33"/>
        <v>-402872.222222222</v>
      </c>
      <c r="H122" s="128">
        <f t="shared" si="34"/>
        <v>5342081.567777778</v>
      </c>
      <c r="I122" s="125"/>
      <c r="J122" s="109"/>
      <c r="K122" s="102"/>
      <c r="L122" s="137">
        <v>4520000</v>
      </c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1:21" ht="15">
      <c r="A123" s="85">
        <f t="shared" si="35"/>
        <v>1262108</v>
      </c>
      <c r="B123" s="121" t="s">
        <v>514</v>
      </c>
      <c r="C123" s="41">
        <v>34845854</v>
      </c>
      <c r="D123" s="41">
        <f>+C123/9*2</f>
        <v>7743523.111111111</v>
      </c>
      <c r="E123" s="41">
        <f t="shared" si="32"/>
        <v>42589377.11111111</v>
      </c>
      <c r="F123" s="41">
        <v>48030032.544</v>
      </c>
      <c r="G123" s="41">
        <f t="shared" si="33"/>
        <v>-5440655.432888888</v>
      </c>
      <c r="H123" s="128">
        <f t="shared" si="34"/>
        <v>44505899.08111111</v>
      </c>
      <c r="I123" s="125"/>
      <c r="J123" s="109"/>
      <c r="K123" s="102"/>
      <c r="L123" s="137">
        <v>14460279</v>
      </c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1:21" ht="15">
      <c r="A124" s="85">
        <f t="shared" si="35"/>
        <v>1262109</v>
      </c>
      <c r="B124" s="121" t="s">
        <v>515</v>
      </c>
      <c r="C124" s="41">
        <v>7178203</v>
      </c>
      <c r="D124" s="41">
        <f>+C124/9*2</f>
        <v>1595156.2222222222</v>
      </c>
      <c r="E124" s="41">
        <f t="shared" si="32"/>
        <v>8773359.222222222</v>
      </c>
      <c r="F124" s="41">
        <v>17469135.84</v>
      </c>
      <c r="G124" s="41">
        <f t="shared" si="33"/>
        <v>-8695776.617777778</v>
      </c>
      <c r="H124" s="128">
        <f>SUM(E124*4.5%)+E124</f>
        <v>9168160.387222221</v>
      </c>
      <c r="I124" s="125"/>
      <c r="J124" s="109"/>
      <c r="K124" s="102"/>
      <c r="L124" s="137">
        <v>31800000</v>
      </c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1:21" ht="15">
      <c r="A125" s="85">
        <f>+A124+1</f>
        <v>1262110</v>
      </c>
      <c r="B125" s="121" t="s">
        <v>520</v>
      </c>
      <c r="C125" s="41">
        <v>32532079</v>
      </c>
      <c r="D125" s="41">
        <f>+C125/9*2</f>
        <v>7229350.888888889</v>
      </c>
      <c r="E125" s="41">
        <f t="shared" si="32"/>
        <v>39761429.88888889</v>
      </c>
      <c r="F125" s="41">
        <v>14629088.447999999</v>
      </c>
      <c r="G125" s="41">
        <f t="shared" si="33"/>
        <v>25132341.44088889</v>
      </c>
      <c r="H125" s="128">
        <f t="shared" si="34"/>
        <v>41550694.23388889</v>
      </c>
      <c r="I125" s="125"/>
      <c r="J125" s="109"/>
      <c r="K125" s="102"/>
      <c r="L125" s="137">
        <v>149969088</v>
      </c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1:21" ht="15">
      <c r="A126" s="85">
        <v>1263</v>
      </c>
      <c r="B126" s="79" t="s">
        <v>292</v>
      </c>
      <c r="C126" s="41">
        <v>1987646136</v>
      </c>
      <c r="D126" s="41">
        <v>0</v>
      </c>
      <c r="E126" s="41">
        <f>SUM(C126:D126)</f>
        <v>1987646136</v>
      </c>
      <c r="F126" s="41">
        <v>1987646136</v>
      </c>
      <c r="G126" s="41">
        <f t="shared" si="33"/>
        <v>0</v>
      </c>
      <c r="H126" s="128"/>
      <c r="I126" s="125">
        <f>IF(E126&lt;&gt;0,((H126-E126)/E126)*100,0)</f>
        <v>-100</v>
      </c>
      <c r="J126" s="109"/>
      <c r="K126" s="102"/>
      <c r="L126" s="137">
        <v>43543399</v>
      </c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1:21" ht="15">
      <c r="A127" s="85">
        <v>1264</v>
      </c>
      <c r="B127" s="79" t="s">
        <v>570</v>
      </c>
      <c r="C127" s="41">
        <v>259167706</v>
      </c>
      <c r="D127" s="41">
        <v>0</v>
      </c>
      <c r="E127" s="41">
        <f>SUM(C127:D127)</f>
        <v>259167706</v>
      </c>
      <c r="F127" s="61">
        <v>259167706</v>
      </c>
      <c r="G127" s="41">
        <f>+E127-F127</f>
        <v>0</v>
      </c>
      <c r="H127" s="128"/>
      <c r="I127" s="125">
        <f>IF(E127&lt;&gt;0,((H127-E127)/E127)*100,0)</f>
        <v>-100</v>
      </c>
      <c r="J127" s="109">
        <f>197772-197541</f>
        <v>231</v>
      </c>
      <c r="K127" s="102"/>
      <c r="L127" s="137">
        <v>30748961</v>
      </c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1:21" ht="15.75">
      <c r="A128" s="85">
        <v>1265</v>
      </c>
      <c r="B128" s="79" t="s">
        <v>53</v>
      </c>
      <c r="C128" s="39">
        <f aca="true" t="shared" si="36" ref="C128:H128">SUM(C129:C135)</f>
        <v>84456212</v>
      </c>
      <c r="D128" s="39">
        <f t="shared" si="36"/>
        <v>5000000</v>
      </c>
      <c r="E128" s="39">
        <f t="shared" si="36"/>
        <v>89456212</v>
      </c>
      <c r="F128" s="39">
        <f t="shared" si="36"/>
        <v>66912677.92</v>
      </c>
      <c r="G128" s="129">
        <f t="shared" si="36"/>
        <v>22543534.08</v>
      </c>
      <c r="H128" s="129">
        <f t="shared" si="36"/>
        <v>93481741.54</v>
      </c>
      <c r="I128" s="125">
        <f>IF(E128&lt;&gt;0,((H128-E128)/E128)*100,0)</f>
        <v>4.500000000000007</v>
      </c>
      <c r="J128" s="109">
        <f>+H19+H128</f>
        <v>320481741.54</v>
      </c>
      <c r="K128" s="102"/>
      <c r="L128" s="137">
        <v>23989256</v>
      </c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1:21" ht="15">
      <c r="A129" s="85">
        <v>126501</v>
      </c>
      <c r="B129" s="79" t="s">
        <v>220</v>
      </c>
      <c r="C129" s="41">
        <v>0</v>
      </c>
      <c r="D129" s="41">
        <v>0</v>
      </c>
      <c r="E129" s="41">
        <f>SUM(C129:D129)</f>
        <v>0</v>
      </c>
      <c r="F129" s="41">
        <v>7568218.72</v>
      </c>
      <c r="G129" s="41">
        <f>+E129-F129</f>
        <v>-7568218.72</v>
      </c>
      <c r="H129" s="128">
        <v>0</v>
      </c>
      <c r="I129" s="125">
        <f>IF(E129&lt;&gt;0,((H129-E129)/E129)*100,0)</f>
        <v>0</v>
      </c>
      <c r="J129" s="109">
        <f>+H128/J128</f>
        <v>0.2916913178604041</v>
      </c>
      <c r="K129" s="102"/>
      <c r="L129" s="137">
        <v>73904271</v>
      </c>
      <c r="M129" s="102">
        <f>530000000*1.5%</f>
        <v>7950000</v>
      </c>
      <c r="N129" s="102"/>
      <c r="O129" s="102"/>
      <c r="P129" s="102"/>
      <c r="Q129" s="102"/>
      <c r="R129" s="102"/>
      <c r="S129" s="102"/>
      <c r="T129" s="102"/>
      <c r="U129" s="102"/>
    </row>
    <row r="130" spans="1:21" ht="15">
      <c r="A130" s="85">
        <f>+A129+1</f>
        <v>126502</v>
      </c>
      <c r="B130" s="79" t="s">
        <v>221</v>
      </c>
      <c r="C130" s="41">
        <v>0</v>
      </c>
      <c r="D130" s="41">
        <v>0</v>
      </c>
      <c r="E130" s="41">
        <f>SUM(C130:D130)</f>
        <v>0</v>
      </c>
      <c r="F130" s="41">
        <v>1317056</v>
      </c>
      <c r="G130" s="41">
        <f>+E130-F130</f>
        <v>-1317056</v>
      </c>
      <c r="H130" s="128">
        <f>SUM(E130*4%)+E130</f>
        <v>0</v>
      </c>
      <c r="I130" s="125">
        <f>IF(E130&lt;&gt;0,((H130-E130)/E130)*100,0)</f>
        <v>0</v>
      </c>
      <c r="J130" s="109">
        <f>100-27</f>
        <v>73</v>
      </c>
      <c r="K130" s="102"/>
      <c r="L130" s="142">
        <f>SUM(L115:L129)</f>
        <v>425660198</v>
      </c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1:21" ht="15">
      <c r="A131" s="85">
        <f>+A130+1</f>
        <v>126503</v>
      </c>
      <c r="B131" s="79" t="s">
        <v>230</v>
      </c>
      <c r="C131" s="41">
        <v>84456212</v>
      </c>
      <c r="D131" s="41">
        <v>5000000</v>
      </c>
      <c r="E131" s="41">
        <f>SUM(C131:D131)</f>
        <v>89456212</v>
      </c>
      <c r="F131" s="41">
        <v>58027403.2</v>
      </c>
      <c r="G131" s="41">
        <f>+E131-F131</f>
        <v>31428808.799999997</v>
      </c>
      <c r="H131" s="128">
        <f>SUM(E131*4.5%)+E131</f>
        <v>93481741.54</v>
      </c>
      <c r="I131" s="125"/>
      <c r="J131" s="109"/>
      <c r="K131" s="102"/>
      <c r="L131" s="142">
        <f>+L130*1.5%</f>
        <v>6384902.97</v>
      </c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1:21" ht="15">
      <c r="A132" s="85"/>
      <c r="B132" s="79"/>
      <c r="C132" s="41"/>
      <c r="D132" s="41"/>
      <c r="E132" s="41"/>
      <c r="F132" s="41"/>
      <c r="G132" s="41"/>
      <c r="H132" s="128"/>
      <c r="I132" s="125">
        <f>IF(E132&lt;&gt;0,((H132-E132)/E132)*100,0)</f>
        <v>0</v>
      </c>
      <c r="J132" s="109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1:21" ht="15">
      <c r="A133" s="85"/>
      <c r="B133" s="79"/>
      <c r="C133" s="41"/>
      <c r="D133" s="41"/>
      <c r="E133" s="41"/>
      <c r="F133" s="41"/>
      <c r="G133" s="41"/>
      <c r="H133" s="128"/>
      <c r="I133" s="125">
        <f>IF(E133&lt;&gt;0,((H133-E133)/E133)*100,0)</f>
        <v>0</v>
      </c>
      <c r="J133" s="109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1:21" ht="15">
      <c r="A134" s="85"/>
      <c r="B134" s="79"/>
      <c r="C134" s="41"/>
      <c r="D134" s="41"/>
      <c r="E134" s="41"/>
      <c r="F134" s="41"/>
      <c r="G134" s="41"/>
      <c r="H134" s="128"/>
      <c r="I134" s="125"/>
      <c r="J134" s="109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1:21" ht="15">
      <c r="A135" s="85"/>
      <c r="B135" s="79"/>
      <c r="C135" s="41"/>
      <c r="D135" s="41"/>
      <c r="E135" s="41"/>
      <c r="F135" s="41"/>
      <c r="G135" s="41"/>
      <c r="H135" s="128"/>
      <c r="I135" s="125"/>
      <c r="J135" s="109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1:21" ht="15.75">
      <c r="A136" s="140">
        <v>127</v>
      </c>
      <c r="B136" s="40" t="s">
        <v>170</v>
      </c>
      <c r="C136" s="39">
        <f aca="true" t="shared" si="37" ref="C136:I136">+C137+C140+C142</f>
        <v>2292436578</v>
      </c>
      <c r="D136" s="39">
        <f t="shared" si="37"/>
        <v>1625438927.1111112</v>
      </c>
      <c r="E136" s="39">
        <f t="shared" si="37"/>
        <v>3917875505.111111</v>
      </c>
      <c r="F136" s="39">
        <f>+F137+F140+F142</f>
        <v>3917939651.056</v>
      </c>
      <c r="G136" s="39">
        <f t="shared" si="37"/>
        <v>13462572.71111111</v>
      </c>
      <c r="H136" s="129">
        <f t="shared" si="37"/>
        <v>3455305872.1211104</v>
      </c>
      <c r="I136" s="125">
        <f t="shared" si="37"/>
        <v>4.0000000000000036</v>
      </c>
      <c r="J136" s="109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1:10" ht="15.75">
      <c r="A137" s="82">
        <v>1271</v>
      </c>
      <c r="B137" s="40" t="s">
        <v>169</v>
      </c>
      <c r="C137" s="39">
        <f>+C138</f>
        <v>0</v>
      </c>
      <c r="D137" s="39">
        <f aca="true" t="shared" si="38" ref="D137:I137">+D138</f>
        <v>0</v>
      </c>
      <c r="E137" s="39">
        <f t="shared" si="38"/>
        <v>0</v>
      </c>
      <c r="F137" s="39">
        <v>0</v>
      </c>
      <c r="G137" s="39">
        <f t="shared" si="38"/>
        <v>0</v>
      </c>
      <c r="H137" s="129">
        <f t="shared" si="38"/>
        <v>0</v>
      </c>
      <c r="I137" s="124">
        <f t="shared" si="38"/>
        <v>0</v>
      </c>
      <c r="J137" s="183"/>
    </row>
    <row r="138" spans="1:10" ht="15">
      <c r="A138" s="85">
        <v>127101</v>
      </c>
      <c r="B138" s="79" t="s">
        <v>168</v>
      </c>
      <c r="C138" s="41">
        <v>0</v>
      </c>
      <c r="D138" s="41"/>
      <c r="E138" s="41">
        <f>+C138</f>
        <v>0</v>
      </c>
      <c r="F138" s="41">
        <v>0</v>
      </c>
      <c r="G138" s="41">
        <f>+E138-F138</f>
        <v>0</v>
      </c>
      <c r="H138" s="128">
        <f>SUM(E138*4%)+E138</f>
        <v>0</v>
      </c>
      <c r="I138" s="125"/>
      <c r="J138" s="183"/>
    </row>
    <row r="139" spans="1:10" ht="15">
      <c r="A139" s="85"/>
      <c r="B139" s="79"/>
      <c r="C139" s="41"/>
      <c r="D139" s="41"/>
      <c r="E139" s="41"/>
      <c r="F139" s="41"/>
      <c r="G139" s="41"/>
      <c r="H139" s="128"/>
      <c r="I139" s="125"/>
      <c r="J139" s="183"/>
    </row>
    <row r="140" spans="1:10" ht="15.75">
      <c r="A140" s="82">
        <v>1272</v>
      </c>
      <c r="B140" s="40" t="s">
        <v>139</v>
      </c>
      <c r="C140" s="39">
        <f aca="true" t="shared" si="39" ref="C140:H140">+C141</f>
        <v>24966980</v>
      </c>
      <c r="D140" s="39">
        <f t="shared" si="39"/>
        <v>1000000</v>
      </c>
      <c r="E140" s="39">
        <f t="shared" si="39"/>
        <v>25966980</v>
      </c>
      <c r="F140" s="39">
        <f t="shared" si="39"/>
        <v>18354960</v>
      </c>
      <c r="G140" s="39">
        <f t="shared" si="39"/>
        <v>7612020</v>
      </c>
      <c r="H140" s="129">
        <f t="shared" si="39"/>
        <v>27005659.2</v>
      </c>
      <c r="I140" s="124">
        <f>IF(E140&lt;&gt;0,((H140/E140)-1)*100,"  ")</f>
        <v>4.0000000000000036</v>
      </c>
      <c r="J140" s="183"/>
    </row>
    <row r="141" spans="1:10" ht="15">
      <c r="A141" s="85">
        <v>127201</v>
      </c>
      <c r="B141" s="79" t="s">
        <v>161</v>
      </c>
      <c r="C141" s="41">
        <v>24966980</v>
      </c>
      <c r="D141" s="41">
        <v>1000000</v>
      </c>
      <c r="E141" s="41">
        <f>SUM(C141:D141)</f>
        <v>25966980</v>
      </c>
      <c r="F141" s="41">
        <v>18354960</v>
      </c>
      <c r="G141" s="41">
        <f>+E141-F141</f>
        <v>7612020</v>
      </c>
      <c r="H141" s="128">
        <f>SUM(E141*4%)+E141</f>
        <v>27005659.2</v>
      </c>
      <c r="I141" s="125">
        <f>IF(E141&lt;&gt;0,((H141-E141)/E141)*100,0)</f>
        <v>3.9999999999999973</v>
      </c>
      <c r="J141" s="183"/>
    </row>
    <row r="142" spans="1:10" ht="15.75">
      <c r="A142" s="82">
        <v>1273</v>
      </c>
      <c r="B142" s="58" t="s">
        <v>282</v>
      </c>
      <c r="C142" s="39">
        <f aca="true" t="shared" si="40" ref="C142:H142">+C143+C147+C150+C154+C156</f>
        <v>2267469598</v>
      </c>
      <c r="D142" s="39">
        <f t="shared" si="40"/>
        <v>1624438927.1111112</v>
      </c>
      <c r="E142" s="39">
        <f t="shared" si="40"/>
        <v>3891908525.111111</v>
      </c>
      <c r="F142" s="39">
        <f t="shared" si="40"/>
        <v>3899584691.056</v>
      </c>
      <c r="G142" s="39">
        <f t="shared" si="40"/>
        <v>5850552.711111111</v>
      </c>
      <c r="H142" s="39">
        <f t="shared" si="40"/>
        <v>3428300212.9211106</v>
      </c>
      <c r="I142" s="124">
        <f>+I143</f>
        <v>0</v>
      </c>
      <c r="J142" s="183">
        <v>150115</v>
      </c>
    </row>
    <row r="143" spans="1:10" ht="15.75">
      <c r="A143" s="89">
        <v>12731</v>
      </c>
      <c r="B143" s="120" t="s">
        <v>283</v>
      </c>
      <c r="C143" s="39">
        <f>SUM(C144:C146)</f>
        <v>1697129423</v>
      </c>
      <c r="D143" s="39">
        <f>SUM(D144:D146)</f>
        <v>339431775</v>
      </c>
      <c r="E143" s="39">
        <f>SUM(E144:E146)</f>
        <v>2036561198</v>
      </c>
      <c r="F143" s="39">
        <f>SUM(F144:F146)</f>
        <v>2036561198</v>
      </c>
      <c r="G143" s="39">
        <f>+E143-F143</f>
        <v>0</v>
      </c>
      <c r="H143" s="129">
        <f>SUM(H144:H146)</f>
        <v>2036590605</v>
      </c>
      <c r="I143" s="125"/>
      <c r="J143" s="183" t="s">
        <v>280</v>
      </c>
    </row>
    <row r="144" spans="1:10" ht="15">
      <c r="A144" s="85">
        <v>1273101</v>
      </c>
      <c r="B144" s="79" t="s">
        <v>284</v>
      </c>
      <c r="C144" s="41">
        <v>1571664201</v>
      </c>
      <c r="D144" s="41">
        <v>314791558</v>
      </c>
      <c r="E144" s="41">
        <f>+C144+D144</f>
        <v>1886455759</v>
      </c>
      <c r="F144" s="41">
        <v>1886455759</v>
      </c>
      <c r="G144" s="41">
        <f>+F144-E144</f>
        <v>0</v>
      </c>
      <c r="H144" s="41">
        <v>1888749328</v>
      </c>
      <c r="I144" s="125"/>
      <c r="J144" s="183"/>
    </row>
    <row r="145" spans="1:10" ht="15">
      <c r="A145" s="85">
        <f>+A144+1</f>
        <v>1273102</v>
      </c>
      <c r="B145" s="79" t="s">
        <v>285</v>
      </c>
      <c r="C145" s="41">
        <v>4373221</v>
      </c>
      <c r="D145" s="41">
        <v>0</v>
      </c>
      <c r="E145" s="41">
        <f>+C145+D145</f>
        <v>4373221</v>
      </c>
      <c r="F145" s="41">
        <v>4373221</v>
      </c>
      <c r="G145" s="41">
        <f>+F145-E145</f>
        <v>0</v>
      </c>
      <c r="H145" s="41">
        <v>0</v>
      </c>
      <c r="I145" s="125"/>
      <c r="J145" s="183"/>
    </row>
    <row r="146" spans="1:10" ht="15">
      <c r="A146" s="85">
        <f>+A145+1</f>
        <v>1273103</v>
      </c>
      <c r="B146" s="79" t="s">
        <v>286</v>
      </c>
      <c r="C146" s="41">
        <v>121092001</v>
      </c>
      <c r="D146" s="41">
        <v>24640217</v>
      </c>
      <c r="E146" s="41">
        <f>+C146+D146</f>
        <v>145732218</v>
      </c>
      <c r="F146" s="41">
        <v>145732218</v>
      </c>
      <c r="G146" s="41">
        <f>+F146-E146</f>
        <v>0</v>
      </c>
      <c r="H146" s="41">
        <v>147841277</v>
      </c>
      <c r="I146" s="125"/>
      <c r="J146" s="183"/>
    </row>
    <row r="147" spans="1:10" ht="15.75">
      <c r="A147" s="89">
        <v>12732</v>
      </c>
      <c r="B147" s="120" t="s">
        <v>287</v>
      </c>
      <c r="C147" s="39">
        <f>SUM(C148)</f>
        <v>377474773</v>
      </c>
      <c r="D147" s="39">
        <f>SUM(D148:D149)</f>
        <v>875879257</v>
      </c>
      <c r="E147" s="39">
        <f>SUM(E148:E149)</f>
        <v>1253354030</v>
      </c>
      <c r="F147" s="39">
        <f>SUM(F148:F149)</f>
        <v>1253354030</v>
      </c>
      <c r="G147" s="39">
        <f>SUM(G148:G149)</f>
        <v>0</v>
      </c>
      <c r="H147" s="39">
        <f>SUM(H148:H149)</f>
        <v>1199191744.905</v>
      </c>
      <c r="I147" s="125"/>
      <c r="J147" s="183"/>
    </row>
    <row r="148" spans="1:10" ht="15">
      <c r="A148" s="85">
        <v>1273201</v>
      </c>
      <c r="B148" s="84" t="s">
        <v>185</v>
      </c>
      <c r="C148" s="41">
        <v>377474773</v>
      </c>
      <c r="D148" s="41">
        <v>770077136</v>
      </c>
      <c r="E148" s="41">
        <f>SUM(C148:D148)</f>
        <v>1147551909</v>
      </c>
      <c r="F148" s="41">
        <v>1147551909</v>
      </c>
      <c r="G148" s="41">
        <f>+E148-F148</f>
        <v>0</v>
      </c>
      <c r="H148" s="128">
        <f>SUM(E148*4.5%)+E148</f>
        <v>1199191744.905</v>
      </c>
      <c r="I148" s="125"/>
      <c r="J148" s="183"/>
    </row>
    <row r="149" spans="1:10" ht="30">
      <c r="A149" s="85">
        <v>1273202</v>
      </c>
      <c r="B149" s="84" t="s">
        <v>572</v>
      </c>
      <c r="C149" s="41"/>
      <c r="D149" s="41">
        <v>105802121</v>
      </c>
      <c r="E149" s="41">
        <f>SUM(C149:D149)</f>
        <v>105802121</v>
      </c>
      <c r="F149" s="41">
        <f>1253354030-1147551909</f>
        <v>105802121</v>
      </c>
      <c r="G149" s="41">
        <f>+E149-F149</f>
        <v>0</v>
      </c>
      <c r="H149" s="128">
        <v>0</v>
      </c>
      <c r="I149" s="125"/>
      <c r="J149" s="183">
        <f>+H147+H150+H154+H156+H92+H91+H115-H125-H124</f>
        <v>1673296651.87</v>
      </c>
    </row>
    <row r="150" spans="1:10" ht="15.75">
      <c r="A150" s="89">
        <v>12733</v>
      </c>
      <c r="B150" s="120" t="s">
        <v>288</v>
      </c>
      <c r="C150" s="39">
        <f aca="true" t="shared" si="41" ref="C150:H150">SUM(C151:C153)</f>
        <v>183855002</v>
      </c>
      <c r="D150" s="39">
        <f t="shared" si="41"/>
        <v>395571135</v>
      </c>
      <c r="E150" s="39">
        <f t="shared" si="41"/>
        <v>579426137</v>
      </c>
      <c r="F150" s="39">
        <f t="shared" si="41"/>
        <v>592952855.656</v>
      </c>
      <c r="G150" s="39">
        <f t="shared" si="41"/>
        <v>0</v>
      </c>
      <c r="H150" s="39">
        <f t="shared" si="41"/>
        <v>168935180.7</v>
      </c>
      <c r="I150" s="125"/>
      <c r="J150" s="183">
        <v>1673296651.87</v>
      </c>
    </row>
    <row r="151" spans="1:10" ht="15">
      <c r="A151" s="85">
        <v>1273301</v>
      </c>
      <c r="B151" s="84" t="s">
        <v>289</v>
      </c>
      <c r="C151" s="41">
        <v>0</v>
      </c>
      <c r="D151" s="41">
        <v>83357408</v>
      </c>
      <c r="E151" s="41">
        <f>SUM(C151:D151)</f>
        <v>83357408</v>
      </c>
      <c r="F151" s="41">
        <v>83357408</v>
      </c>
      <c r="G151" s="41">
        <f>+E151-F151</f>
        <v>0</v>
      </c>
      <c r="H151" s="128">
        <f>SUM(E151*4.5%)+E151</f>
        <v>87108491.36</v>
      </c>
      <c r="I151" s="125"/>
      <c r="J151" s="186">
        <f>+J150-J149</f>
        <v>0</v>
      </c>
    </row>
    <row r="152" spans="1:10" ht="30">
      <c r="A152" s="85">
        <v>1273302</v>
      </c>
      <c r="B152" s="84" t="s">
        <v>571</v>
      </c>
      <c r="C152" s="41">
        <v>125127713</v>
      </c>
      <c r="D152" s="41">
        <v>292637964</v>
      </c>
      <c r="E152" s="41">
        <f>SUM(C152:D152)</f>
        <v>417765677</v>
      </c>
      <c r="F152" s="41">
        <f>501123085-83357408</f>
        <v>417765677</v>
      </c>
      <c r="G152" s="41">
        <f>+E152-F152</f>
        <v>0</v>
      </c>
      <c r="H152" s="128">
        <v>0</v>
      </c>
      <c r="I152" s="125"/>
      <c r="J152" s="186"/>
    </row>
    <row r="153" spans="1:10" ht="15">
      <c r="A153" s="85">
        <v>1273303</v>
      </c>
      <c r="B153" s="84" t="s">
        <v>187</v>
      </c>
      <c r="C153" s="41">
        <v>58727289</v>
      </c>
      <c r="D153" s="41">
        <f>+C153/9*3</f>
        <v>19575763</v>
      </c>
      <c r="E153" s="41">
        <f>SUM(C153:D153)</f>
        <v>78303052</v>
      </c>
      <c r="F153" s="41">
        <v>91829770.656</v>
      </c>
      <c r="G153" s="41"/>
      <c r="H153" s="128">
        <f>SUM(E153*4.5%)+E153</f>
        <v>81826689.34</v>
      </c>
      <c r="I153" s="125"/>
      <c r="J153" s="187">
        <f>+H153+H156</f>
        <v>93334972.45111111</v>
      </c>
    </row>
    <row r="154" spans="1:10" ht="15.75">
      <c r="A154" s="89">
        <v>12734</v>
      </c>
      <c r="B154" s="120" t="s">
        <v>290</v>
      </c>
      <c r="C154" s="39">
        <f aca="true" t="shared" si="42" ref="C154:H154">+C155</f>
        <v>0</v>
      </c>
      <c r="D154" s="39">
        <f t="shared" si="42"/>
        <v>11554449</v>
      </c>
      <c r="E154" s="39">
        <f t="shared" si="42"/>
        <v>11554449</v>
      </c>
      <c r="F154" s="39">
        <f t="shared" si="42"/>
        <v>11554449</v>
      </c>
      <c r="G154" s="39">
        <f t="shared" si="42"/>
        <v>0</v>
      </c>
      <c r="H154" s="129">
        <f t="shared" si="42"/>
        <v>12074399.205</v>
      </c>
      <c r="I154" s="125"/>
      <c r="J154" s="183"/>
    </row>
    <row r="155" spans="1:10" ht="15">
      <c r="A155" s="85">
        <v>1273401</v>
      </c>
      <c r="B155" s="79" t="s">
        <v>267</v>
      </c>
      <c r="C155" s="41">
        <v>0</v>
      </c>
      <c r="D155" s="41">
        <v>11554449</v>
      </c>
      <c r="E155" s="41">
        <f>SUM(C155:D155)</f>
        <v>11554449</v>
      </c>
      <c r="F155" s="41">
        <v>11554449</v>
      </c>
      <c r="G155" s="41">
        <v>0</v>
      </c>
      <c r="H155" s="128">
        <f>SUM(E155*4.5%)+E155</f>
        <v>12074399.205</v>
      </c>
      <c r="I155" s="125">
        <f>IF(E155&lt;&gt;0,((H155-E155)/E155)*100,0)</f>
        <v>4.500000000000001</v>
      </c>
      <c r="J155" s="183">
        <v>12412750</v>
      </c>
    </row>
    <row r="156" spans="1:10" ht="15.75">
      <c r="A156" s="89">
        <v>12735</v>
      </c>
      <c r="B156" s="120" t="s">
        <v>291</v>
      </c>
      <c r="C156" s="39">
        <f aca="true" t="shared" si="43" ref="C156:H156">+C157+C158</f>
        <v>9010400</v>
      </c>
      <c r="D156" s="39">
        <f t="shared" si="43"/>
        <v>2002311.111111111</v>
      </c>
      <c r="E156" s="39">
        <f t="shared" si="43"/>
        <v>11012711.11111111</v>
      </c>
      <c r="F156" s="39">
        <f t="shared" si="43"/>
        <v>5162158.4</v>
      </c>
      <c r="G156" s="39">
        <f t="shared" si="43"/>
        <v>5850552.711111111</v>
      </c>
      <c r="H156" s="129">
        <f t="shared" si="43"/>
        <v>11508283.11111111</v>
      </c>
      <c r="I156" s="125"/>
      <c r="J156" s="109">
        <f>+H156+H154+H150+H147</f>
        <v>1391709607.921111</v>
      </c>
    </row>
    <row r="157" spans="1:10" ht="15">
      <c r="A157" s="85">
        <v>1273501</v>
      </c>
      <c r="B157" s="79" t="s">
        <v>153</v>
      </c>
      <c r="C157" s="41">
        <v>6140000</v>
      </c>
      <c r="D157" s="41">
        <f>+C157/9*2</f>
        <v>1364444.4444444445</v>
      </c>
      <c r="E157" s="41">
        <f>SUM(C157:D157)</f>
        <v>7504444.444444444</v>
      </c>
      <c r="F157" s="41">
        <v>1311080</v>
      </c>
      <c r="G157" s="41">
        <f>+E157-F157</f>
        <v>6193364.444444444</v>
      </c>
      <c r="H157" s="128">
        <f>SUM(E157*4.5%)+E157</f>
        <v>7842144.444444444</v>
      </c>
      <c r="I157" s="125">
        <f>IF(E157&lt;&gt;0,((H157-E157)/E157)*100,0)</f>
        <v>4.500000000000001</v>
      </c>
      <c r="J157" s="183"/>
    </row>
    <row r="158" spans="1:10" ht="15">
      <c r="A158" s="85">
        <v>1273502</v>
      </c>
      <c r="B158" s="79" t="s">
        <v>154</v>
      </c>
      <c r="C158" s="41">
        <v>2870400</v>
      </c>
      <c r="D158" s="41">
        <f>+C158/9*2</f>
        <v>637866.6666666666</v>
      </c>
      <c r="E158" s="41">
        <f>SUM(C158:D158)</f>
        <v>3508266.6666666665</v>
      </c>
      <c r="F158" s="41">
        <v>3851078.4</v>
      </c>
      <c r="G158" s="41">
        <f>+E158-F158</f>
        <v>-342811.7333333334</v>
      </c>
      <c r="H158" s="128">
        <f>SUM(E158*4.5%)+E158</f>
        <v>3666138.6666666665</v>
      </c>
      <c r="I158" s="125">
        <f>IF(E158&lt;&gt;0,((H158-E158)/E158)*100,0)</f>
        <v>4.500000000000001</v>
      </c>
      <c r="J158" s="183"/>
    </row>
    <row r="159" spans="1:10" s="21" customFormat="1" ht="15.75">
      <c r="A159" s="87"/>
      <c r="B159" s="40" t="s">
        <v>54</v>
      </c>
      <c r="C159" s="39">
        <f aca="true" t="shared" si="44" ref="C159:H159">C12+C106+C136</f>
        <v>9287431215.36</v>
      </c>
      <c r="D159" s="39">
        <f t="shared" si="44"/>
        <v>2900053963.111111</v>
      </c>
      <c r="E159" s="39">
        <f t="shared" si="44"/>
        <v>12187485178.471111</v>
      </c>
      <c r="F159" s="39">
        <f t="shared" si="44"/>
        <v>11914722391.936</v>
      </c>
      <c r="G159" s="39">
        <f t="shared" si="44"/>
        <v>288390211.9111111</v>
      </c>
      <c r="H159" s="129">
        <f t="shared" si="44"/>
        <v>8716925169.55429</v>
      </c>
      <c r="I159" s="124"/>
      <c r="J159" s="109">
        <f>+'[2]Ingresos Proyecciones'!$G$24-150115</f>
        <v>6333778.659999999</v>
      </c>
    </row>
    <row r="160" spans="1:10" ht="16.5" thickBot="1">
      <c r="A160" s="170"/>
      <c r="B160" s="130"/>
      <c r="C160" s="131"/>
      <c r="D160" s="131"/>
      <c r="E160" s="131"/>
      <c r="F160" s="131"/>
      <c r="G160" s="131"/>
      <c r="H160" s="132"/>
      <c r="I160" s="124"/>
      <c r="J160" s="109">
        <f>+J159-6333778</f>
        <v>0.659999999217689</v>
      </c>
    </row>
    <row r="161" spans="1:10" ht="15.75">
      <c r="A161" s="308" t="s">
        <v>305</v>
      </c>
      <c r="B161" s="309"/>
      <c r="C161" s="309"/>
      <c r="D161" s="310"/>
      <c r="E161" s="127"/>
      <c r="F161" s="127"/>
      <c r="G161" s="127"/>
      <c r="H161" s="127">
        <v>0</v>
      </c>
      <c r="I161" s="39" t="str">
        <f>IF(E161&lt;&gt;0,((H161/E161)-1)*100,"  ")</f>
        <v>  </v>
      </c>
      <c r="J161" s="109"/>
    </row>
    <row r="162" spans="1:10" ht="15.75">
      <c r="A162" s="168"/>
      <c r="B162" s="80"/>
      <c r="C162" s="39"/>
      <c r="D162" s="39"/>
      <c r="E162" s="39"/>
      <c r="F162" s="39"/>
      <c r="G162" s="39"/>
      <c r="H162" s="39"/>
      <c r="I162" s="39" t="str">
        <f>IF(E162&lt;&gt;0,((H162/E162)-1)*100,"  ")</f>
        <v>  </v>
      </c>
      <c r="J162" s="109"/>
    </row>
    <row r="163" spans="1:10" ht="15.75">
      <c r="A163" s="87" t="s">
        <v>32</v>
      </c>
      <c r="B163" s="40" t="s">
        <v>55</v>
      </c>
      <c r="C163" s="39">
        <f aca="true" t="shared" si="45" ref="C163:H163">C165</f>
        <v>108927250</v>
      </c>
      <c r="D163" s="39">
        <f t="shared" si="45"/>
        <v>17060353</v>
      </c>
      <c r="E163" s="39">
        <f t="shared" si="45"/>
        <v>125987603</v>
      </c>
      <c r="F163" s="39">
        <v>17894980</v>
      </c>
      <c r="G163" s="39">
        <f t="shared" si="45"/>
        <v>-43727881</v>
      </c>
      <c r="H163" s="39">
        <f t="shared" si="45"/>
        <v>12796720</v>
      </c>
      <c r="I163" s="39">
        <f>IF(E163&lt;&gt;0,((H163/E163)-1)*100,"  ")</f>
        <v>-89.84287366749885</v>
      </c>
      <c r="J163" s="109"/>
    </row>
    <row r="164" spans="1:10" ht="15.75">
      <c r="A164" s="168"/>
      <c r="B164" s="80"/>
      <c r="C164" s="39"/>
      <c r="D164" s="39"/>
      <c r="E164" s="39"/>
      <c r="F164" s="39"/>
      <c r="G164" s="39"/>
      <c r="H164" s="39"/>
      <c r="I164" s="39"/>
      <c r="J164" s="23"/>
    </row>
    <row r="165" spans="1:10" ht="15.75">
      <c r="A165" s="87" t="s">
        <v>33</v>
      </c>
      <c r="B165" s="40" t="s">
        <v>56</v>
      </c>
      <c r="C165" s="39">
        <f aca="true" t="shared" si="46" ref="C165:H165">C167+C171</f>
        <v>108927250</v>
      </c>
      <c r="D165" s="39">
        <f t="shared" si="46"/>
        <v>17060353</v>
      </c>
      <c r="E165" s="39">
        <f t="shared" si="46"/>
        <v>125987603</v>
      </c>
      <c r="F165" s="39">
        <v>17894980</v>
      </c>
      <c r="G165" s="39">
        <f t="shared" si="46"/>
        <v>-43727881</v>
      </c>
      <c r="H165" s="39">
        <f t="shared" si="46"/>
        <v>12796720</v>
      </c>
      <c r="I165" s="39">
        <f>IF(E165&lt;&gt;0,((H165/E165)-1)*100,"  ")</f>
        <v>-89.84287366749885</v>
      </c>
      <c r="J165" s="23"/>
    </row>
    <row r="166" spans="1:10" ht="15">
      <c r="A166" s="86"/>
      <c r="B166" s="60"/>
      <c r="C166" s="41"/>
      <c r="D166" s="41"/>
      <c r="E166" s="41"/>
      <c r="F166" s="41"/>
      <c r="G166" s="41"/>
      <c r="H166" s="41"/>
      <c r="I166" s="41"/>
      <c r="J166" s="23"/>
    </row>
    <row r="167" spans="1:10" ht="15.75">
      <c r="A167" s="89" t="s">
        <v>34</v>
      </c>
      <c r="B167" s="40" t="s">
        <v>57</v>
      </c>
      <c r="C167" s="39">
        <f aca="true" t="shared" si="47" ref="C167:I167">+C168+C169+C170</f>
        <v>97839250</v>
      </c>
      <c r="D167" s="39">
        <f t="shared" si="47"/>
        <v>16305353</v>
      </c>
      <c r="E167" s="39">
        <f t="shared" si="47"/>
        <v>114144603</v>
      </c>
      <c r="F167" s="39">
        <v>0</v>
      </c>
      <c r="G167" s="39">
        <f t="shared" si="47"/>
        <v>-37675901</v>
      </c>
      <c r="H167" s="39">
        <f t="shared" si="47"/>
        <v>0</v>
      </c>
      <c r="I167" s="39">
        <f t="shared" si="47"/>
        <v>-100</v>
      </c>
      <c r="J167" s="23"/>
    </row>
    <row r="168" spans="1:10" ht="15">
      <c r="A168" s="85" t="s">
        <v>31</v>
      </c>
      <c r="B168" s="79" t="s">
        <v>302</v>
      </c>
      <c r="C168" s="41">
        <v>55604899</v>
      </c>
      <c r="D168" s="41">
        <v>10305353</v>
      </c>
      <c r="E168" s="41">
        <f>SUM(C168:D168)</f>
        <v>65910252</v>
      </c>
      <c r="F168" s="41"/>
      <c r="G168" s="41">
        <f>+F168-E168</f>
        <v>-65910252</v>
      </c>
      <c r="H168" s="128">
        <v>0</v>
      </c>
      <c r="I168" s="41">
        <f>IF(E168&lt;&gt;0,((H168-E168)/E168)*100,0)</f>
        <v>-100</v>
      </c>
      <c r="J168" s="23"/>
    </row>
    <row r="169" spans="1:10" ht="15">
      <c r="A169" s="85">
        <v>1.2</v>
      </c>
      <c r="B169" s="79" t="s">
        <v>270</v>
      </c>
      <c r="C169" s="41">
        <v>22234351</v>
      </c>
      <c r="D169" s="41">
        <v>6000000</v>
      </c>
      <c r="E169" s="41">
        <f>SUM(C169:D169)</f>
        <v>28234351</v>
      </c>
      <c r="F169" s="41"/>
      <c r="G169" s="41">
        <f>+E169-F169</f>
        <v>28234351</v>
      </c>
      <c r="H169" s="128">
        <v>0</v>
      </c>
      <c r="I169" s="41"/>
      <c r="J169" s="23"/>
    </row>
    <row r="170" spans="1:10" ht="15">
      <c r="A170" s="85">
        <v>1.3</v>
      </c>
      <c r="B170" s="79" t="s">
        <v>573</v>
      </c>
      <c r="C170" s="41">
        <v>20000000</v>
      </c>
      <c r="D170" s="41">
        <v>0</v>
      </c>
      <c r="E170" s="41">
        <f>SUM(C170:D170)</f>
        <v>20000000</v>
      </c>
      <c r="F170" s="41"/>
      <c r="G170" s="41"/>
      <c r="H170" s="128">
        <v>0</v>
      </c>
      <c r="I170" s="41"/>
      <c r="J170" s="23"/>
    </row>
    <row r="171" spans="1:10" ht="15.75">
      <c r="A171" s="89" t="s">
        <v>35</v>
      </c>
      <c r="B171" s="40" t="s">
        <v>45</v>
      </c>
      <c r="C171" s="39">
        <f aca="true" t="shared" si="48" ref="C171:H171">SUM(C173:C176)</f>
        <v>11088000</v>
      </c>
      <c r="D171" s="39">
        <f t="shared" si="48"/>
        <v>755000</v>
      </c>
      <c r="E171" s="39">
        <f t="shared" si="48"/>
        <v>11843000</v>
      </c>
      <c r="F171" s="39">
        <v>17894980</v>
      </c>
      <c r="G171" s="39">
        <f t="shared" si="48"/>
        <v>-6051980</v>
      </c>
      <c r="H171" s="39">
        <f t="shared" si="48"/>
        <v>12796720</v>
      </c>
      <c r="I171" s="39">
        <f>IF(E171&lt;&gt;0,((H171/E171)-1)*100,"  ")</f>
        <v>8.05302710461877</v>
      </c>
      <c r="J171" s="23"/>
    </row>
    <row r="172" spans="1:10" ht="15">
      <c r="A172" s="86"/>
      <c r="B172" s="60"/>
      <c r="C172" s="41"/>
      <c r="D172" s="41"/>
      <c r="E172" s="41"/>
      <c r="F172" s="41"/>
      <c r="G172" s="41"/>
      <c r="H172" s="41"/>
      <c r="I172" s="41"/>
      <c r="J172" s="23"/>
    </row>
    <row r="173" spans="1:10" ht="15">
      <c r="A173" s="85">
        <v>2.1</v>
      </c>
      <c r="B173" s="79" t="s">
        <v>60</v>
      </c>
      <c r="C173" s="41">
        <v>3441000</v>
      </c>
      <c r="D173" s="41">
        <v>155000</v>
      </c>
      <c r="E173" s="41">
        <f>SUM(C173:D173)</f>
        <v>3596000</v>
      </c>
      <c r="F173" s="41">
        <v>1374880</v>
      </c>
      <c r="G173" s="41">
        <f>+E173-F173</f>
        <v>2221120</v>
      </c>
      <c r="H173" s="41">
        <f>SUM(E173*4%)+E173</f>
        <v>3739840</v>
      </c>
      <c r="I173" s="41">
        <f>IF(E173&lt;&gt;0,((H173-E173)/E173)*100,0)</f>
        <v>4</v>
      </c>
      <c r="J173" s="23"/>
    </row>
    <row r="174" spans="1:10" ht="15">
      <c r="A174" s="85">
        <v>2.2</v>
      </c>
      <c r="B174" s="79" t="s">
        <v>271</v>
      </c>
      <c r="C174" s="41">
        <v>7147000</v>
      </c>
      <c r="D174" s="41">
        <v>600000</v>
      </c>
      <c r="E174" s="41">
        <f>SUM(C174:D174)</f>
        <v>7747000</v>
      </c>
      <c r="F174" s="41">
        <v>13603200</v>
      </c>
      <c r="G174" s="41">
        <f>+E174-F174</f>
        <v>-5856200</v>
      </c>
      <c r="H174" s="41">
        <f>SUM(E174*4%)+E174</f>
        <v>8056880</v>
      </c>
      <c r="I174" s="41">
        <f>IF(E174&lt;&gt;0,((H174-E174)/E174)*100,0)</f>
        <v>4</v>
      </c>
      <c r="J174" s="23"/>
    </row>
    <row r="175" spans="1:10" ht="15">
      <c r="A175" s="85">
        <v>2.3</v>
      </c>
      <c r="B175" s="79" t="s">
        <v>194</v>
      </c>
      <c r="C175" s="41">
        <v>500000</v>
      </c>
      <c r="D175" s="41">
        <v>0</v>
      </c>
      <c r="E175" s="41">
        <f>SUM(C175:D175)</f>
        <v>500000</v>
      </c>
      <c r="F175" s="41">
        <v>2916900</v>
      </c>
      <c r="G175" s="41">
        <f>+E175-F175</f>
        <v>-2416900</v>
      </c>
      <c r="H175" s="41">
        <v>1000000</v>
      </c>
      <c r="I175" s="41">
        <f>IF(E175&lt;&gt;0,((H175-E175)/E175)*100,0)</f>
        <v>100</v>
      </c>
      <c r="J175" s="23"/>
    </row>
    <row r="176" spans="1:10" ht="15">
      <c r="A176" s="85"/>
      <c r="B176" s="79"/>
      <c r="C176" s="41"/>
      <c r="D176" s="41"/>
      <c r="E176" s="41"/>
      <c r="F176" s="41"/>
      <c r="G176" s="41"/>
      <c r="H176" s="41"/>
      <c r="I176" s="41"/>
      <c r="J176" s="23"/>
    </row>
    <row r="177" spans="1:10" ht="15">
      <c r="A177" s="86"/>
      <c r="B177" s="60"/>
      <c r="C177" s="41"/>
      <c r="D177" s="41"/>
      <c r="E177" s="41"/>
      <c r="F177" s="41"/>
      <c r="G177" s="41"/>
      <c r="H177" s="41"/>
      <c r="I177" s="41"/>
      <c r="J177" s="23"/>
    </row>
    <row r="178" spans="1:10" ht="15.75">
      <c r="A178" s="87" t="s">
        <v>30</v>
      </c>
      <c r="B178" s="40" t="s">
        <v>47</v>
      </c>
      <c r="C178" s="39">
        <f aca="true" t="shared" si="49" ref="C178:H178">C180</f>
        <v>136830</v>
      </c>
      <c r="D178" s="39">
        <f t="shared" si="49"/>
        <v>15000</v>
      </c>
      <c r="E178" s="39">
        <f t="shared" si="49"/>
        <v>151830</v>
      </c>
      <c r="F178" s="39">
        <v>195787.28</v>
      </c>
      <c r="G178" s="39">
        <f t="shared" si="49"/>
        <v>-43957.28</v>
      </c>
      <c r="H178" s="39">
        <f t="shared" si="49"/>
        <v>157903.2</v>
      </c>
      <c r="I178" s="39">
        <f>IF(E178&lt;&gt;0,((H178/E178)-1)*100,"  ")</f>
        <v>4.0000000000000036</v>
      </c>
      <c r="J178" s="23"/>
    </row>
    <row r="179" spans="1:10" ht="15">
      <c r="A179" s="86"/>
      <c r="B179" s="60"/>
      <c r="C179" s="41"/>
      <c r="D179" s="41"/>
      <c r="E179" s="41"/>
      <c r="F179" s="41"/>
      <c r="G179" s="41"/>
      <c r="H179" s="41"/>
      <c r="I179" s="41"/>
      <c r="J179" s="23"/>
    </row>
    <row r="180" spans="1:10" ht="15.75">
      <c r="A180" s="89" t="s">
        <v>34</v>
      </c>
      <c r="B180" s="79" t="s">
        <v>58</v>
      </c>
      <c r="C180" s="41">
        <v>136830</v>
      </c>
      <c r="D180" s="41">
        <v>15000</v>
      </c>
      <c r="E180" s="41">
        <f>SUM(C180:D180)</f>
        <v>151830</v>
      </c>
      <c r="F180" s="41">
        <v>195787.28</v>
      </c>
      <c r="G180" s="41">
        <f>+E180-F180</f>
        <v>-43957.28</v>
      </c>
      <c r="H180" s="41">
        <f>SUM(E180*4%)+E180</f>
        <v>157903.2</v>
      </c>
      <c r="I180" s="41">
        <f>IF(E180&lt;&gt;0,((H180-E180)/E180)*100,0)</f>
        <v>4.000000000000008</v>
      </c>
      <c r="J180" s="23"/>
    </row>
    <row r="181" spans="1:10" ht="15.75">
      <c r="A181" s="89"/>
      <c r="B181" s="79"/>
      <c r="C181" s="41">
        <v>0</v>
      </c>
      <c r="D181" s="41"/>
      <c r="E181" s="41">
        <v>0</v>
      </c>
      <c r="F181" s="41"/>
      <c r="G181" s="41"/>
      <c r="H181" s="41"/>
      <c r="I181" s="41"/>
      <c r="J181" s="23"/>
    </row>
    <row r="182" spans="1:10" ht="31.5">
      <c r="A182" s="87"/>
      <c r="B182" s="196" t="s">
        <v>272</v>
      </c>
      <c r="C182" s="39">
        <f aca="true" t="shared" si="50" ref="C182:H182">C163+C178</f>
        <v>109064080</v>
      </c>
      <c r="D182" s="39">
        <f t="shared" si="50"/>
        <v>17075353</v>
      </c>
      <c r="E182" s="39">
        <f t="shared" si="50"/>
        <v>126139433</v>
      </c>
      <c r="F182" s="39">
        <v>18090767.28</v>
      </c>
      <c r="G182" s="39">
        <f t="shared" si="50"/>
        <v>-43771838.28</v>
      </c>
      <c r="H182" s="39">
        <f t="shared" si="50"/>
        <v>12954623.2</v>
      </c>
      <c r="I182" s="39">
        <f>IF(E182&lt;&gt;0,((H182/E182)-1)*100,"  ")</f>
        <v>-89.72991800272322</v>
      </c>
      <c r="J182" s="23"/>
    </row>
    <row r="183" spans="1:10" ht="15">
      <c r="A183" s="79"/>
      <c r="B183" s="81"/>
      <c r="C183" s="41"/>
      <c r="D183" s="41"/>
      <c r="E183" s="41"/>
      <c r="F183" s="41"/>
      <c r="G183" s="41"/>
      <c r="H183" s="41"/>
      <c r="I183" s="41"/>
      <c r="J183" s="23"/>
    </row>
    <row r="184" spans="1:10" ht="31.5">
      <c r="A184" s="87"/>
      <c r="B184" s="196" t="s">
        <v>59</v>
      </c>
      <c r="C184" s="39">
        <f aca="true" t="shared" si="51" ref="C184:H184">C159+C182</f>
        <v>9396495295.36</v>
      </c>
      <c r="D184" s="39">
        <f t="shared" si="51"/>
        <v>2917129316.111111</v>
      </c>
      <c r="E184" s="39">
        <f t="shared" si="51"/>
        <v>12313624611.471111</v>
      </c>
      <c r="F184" s="39">
        <f t="shared" si="51"/>
        <v>11932813159.216002</v>
      </c>
      <c r="G184" s="39">
        <f t="shared" si="51"/>
        <v>244618373.63111112</v>
      </c>
      <c r="H184" s="39">
        <f t="shared" si="51"/>
        <v>8729879792.754292</v>
      </c>
      <c r="I184" s="39">
        <f>IF(E184&lt;&gt;0,((H184/E184)-1)*100,"  ")</f>
        <v>-29.103898582211762</v>
      </c>
      <c r="J184" s="23"/>
    </row>
    <row r="185" spans="1:10" ht="15.75">
      <c r="A185" s="171"/>
      <c r="B185" s="32"/>
      <c r="C185" s="133"/>
      <c r="D185" s="133"/>
      <c r="E185" s="133"/>
      <c r="F185" s="133"/>
      <c r="G185" s="133"/>
      <c r="H185" s="133"/>
      <c r="I185" s="133"/>
      <c r="J185" s="188"/>
    </row>
    <row r="186" spans="1:10" ht="15">
      <c r="A186" s="172"/>
      <c r="B186" s="301" t="s">
        <v>303</v>
      </c>
      <c r="C186" s="301"/>
      <c r="D186" s="301"/>
      <c r="E186" s="301"/>
      <c r="F186" s="301"/>
      <c r="G186" s="301"/>
      <c r="H186" s="301"/>
      <c r="I186" s="301"/>
      <c r="J186" s="188"/>
    </row>
    <row r="187" spans="1:10" ht="18">
      <c r="A187" s="172"/>
      <c r="B187" s="313" t="s">
        <v>304</v>
      </c>
      <c r="C187" s="313"/>
      <c r="D187" s="313"/>
      <c r="E187" s="313"/>
      <c r="F187" s="313"/>
      <c r="G187" s="313"/>
      <c r="H187" s="313"/>
      <c r="I187" s="313"/>
      <c r="J187" s="188"/>
    </row>
    <row r="188" spans="1:10" ht="15.75">
      <c r="A188" s="173"/>
      <c r="B188" s="43" t="s">
        <v>1</v>
      </c>
      <c r="C188" s="44" t="s">
        <v>2</v>
      </c>
      <c r="D188" s="45" t="s">
        <v>7</v>
      </c>
      <c r="E188" s="44" t="s">
        <v>3</v>
      </c>
      <c r="F188" s="46" t="s">
        <v>4</v>
      </c>
      <c r="G188" s="44" t="s">
        <v>5</v>
      </c>
      <c r="H188" s="152" t="s">
        <v>2</v>
      </c>
      <c r="I188" s="47" t="s">
        <v>6</v>
      </c>
      <c r="J188" s="23"/>
    </row>
    <row r="189" spans="1:10" ht="15.75">
      <c r="A189" s="174"/>
      <c r="B189" s="48"/>
      <c r="C189" s="49" t="s">
        <v>277</v>
      </c>
      <c r="D189" s="50" t="s">
        <v>278</v>
      </c>
      <c r="E189" s="49" t="s">
        <v>7</v>
      </c>
      <c r="F189" s="50" t="s">
        <v>8</v>
      </c>
      <c r="G189" s="51" t="s">
        <v>9</v>
      </c>
      <c r="H189" s="153" t="s">
        <v>10</v>
      </c>
      <c r="I189" s="52" t="s">
        <v>614</v>
      </c>
      <c r="J189" s="23"/>
    </row>
    <row r="190" spans="1:10" ht="15.75">
      <c r="A190" s="174"/>
      <c r="B190" s="48"/>
      <c r="C190" s="53">
        <v>2007</v>
      </c>
      <c r="D190" s="53">
        <v>2007</v>
      </c>
      <c r="E190" s="53">
        <v>2007</v>
      </c>
      <c r="F190" s="53">
        <v>2007</v>
      </c>
      <c r="G190" s="53">
        <v>2007</v>
      </c>
      <c r="H190" s="154">
        <v>2008</v>
      </c>
      <c r="I190" s="54"/>
      <c r="J190" s="23"/>
    </row>
    <row r="191" spans="1:10" ht="15">
      <c r="A191" s="175"/>
      <c r="B191" s="37"/>
      <c r="C191" s="55" t="s">
        <v>62</v>
      </c>
      <c r="D191" s="56" t="s">
        <v>63</v>
      </c>
      <c r="E191" s="55" t="s">
        <v>150</v>
      </c>
      <c r="F191" s="56" t="s">
        <v>151</v>
      </c>
      <c r="G191" s="55" t="s">
        <v>152</v>
      </c>
      <c r="H191" s="155" t="s">
        <v>575</v>
      </c>
      <c r="I191" s="57"/>
      <c r="J191" s="293">
        <f>+H192/F192-1</f>
        <v>0.0956415497549401</v>
      </c>
    </row>
    <row r="192" spans="1:11" s="195" customFormat="1" ht="31.5">
      <c r="A192" s="189"/>
      <c r="B192" s="190" t="s">
        <v>195</v>
      </c>
      <c r="C192" s="191">
        <f aca="true" t="shared" si="52" ref="C192:H192">+C14+C31+C52+C55+C66+C73+C72</f>
        <v>2457696495.63</v>
      </c>
      <c r="D192" s="191">
        <f t="shared" si="52"/>
        <v>396366770</v>
      </c>
      <c r="E192" s="191">
        <f t="shared" si="52"/>
        <v>2854063265.63</v>
      </c>
      <c r="F192" s="191">
        <f t="shared" si="52"/>
        <v>2637194426.96</v>
      </c>
      <c r="G192" s="191">
        <f t="shared" si="52"/>
        <v>208757570.10999998</v>
      </c>
      <c r="H192" s="191">
        <f t="shared" si="52"/>
        <v>2889419788.9595456</v>
      </c>
      <c r="I192" s="192"/>
      <c r="J192" s="193">
        <f>+'[3]Ley 617'!$U$86</f>
        <v>2647973.88</v>
      </c>
      <c r="K192" s="194"/>
    </row>
    <row r="193" spans="1:10" ht="15">
      <c r="A193" s="176"/>
      <c r="B193" s="60"/>
      <c r="C193" s="61"/>
      <c r="D193" s="61"/>
      <c r="E193" s="61">
        <v>0</v>
      </c>
      <c r="F193" s="61"/>
      <c r="G193" s="61"/>
      <c r="H193" s="61"/>
      <c r="I193" s="42"/>
      <c r="J193" s="117">
        <f>2659621-J192</f>
        <v>11647.120000000112</v>
      </c>
    </row>
    <row r="194" spans="1:10" ht="15">
      <c r="A194" s="176"/>
      <c r="B194" s="60"/>
      <c r="C194" s="61"/>
      <c r="D194" s="61"/>
      <c r="E194" s="61"/>
      <c r="F194" s="61"/>
      <c r="G194" s="61"/>
      <c r="H194" s="61"/>
      <c r="I194" s="42"/>
      <c r="J194" s="117">
        <f>+H192*1.5%</f>
        <v>43341296.83439318</v>
      </c>
    </row>
    <row r="195" spans="1:26" ht="15.75">
      <c r="A195" s="177"/>
      <c r="B195" s="196" t="s">
        <v>179</v>
      </c>
      <c r="C195" s="59">
        <f aca="true" t="shared" si="53" ref="C195:H195">SUM(C196:C208)</f>
        <v>6938798799.73</v>
      </c>
      <c r="D195" s="59">
        <f>SUM(D196:D208)</f>
        <v>2520762546.111111</v>
      </c>
      <c r="E195" s="59">
        <f t="shared" si="53"/>
        <v>9459561345.84111</v>
      </c>
      <c r="F195" s="59">
        <f>SUM(F196:F208)</f>
        <v>9295618732.256</v>
      </c>
      <c r="G195" s="59">
        <f>SUM(G196:G208)</f>
        <v>35860803.521111116</v>
      </c>
      <c r="H195" s="59">
        <f t="shared" si="53"/>
        <v>5840460003.794745</v>
      </c>
      <c r="I195" s="42"/>
      <c r="J195" s="117">
        <v>0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178"/>
      <c r="B196" s="197" t="str">
        <f aca="true" t="shared" si="54" ref="B196:G196">+B62</f>
        <v>SISTEMA GENERAL DE PARTICIPACION</v>
      </c>
      <c r="C196" s="62">
        <f t="shared" si="54"/>
        <v>388936296</v>
      </c>
      <c r="D196" s="62">
        <f t="shared" si="54"/>
        <v>76902709</v>
      </c>
      <c r="E196" s="62">
        <f t="shared" si="54"/>
        <v>465839005</v>
      </c>
      <c r="F196" s="62">
        <f t="shared" si="54"/>
        <v>465839005</v>
      </c>
      <c r="G196" s="62">
        <f t="shared" si="54"/>
        <v>0</v>
      </c>
      <c r="H196" s="62">
        <f>+H62</f>
        <v>465881589.0909091</v>
      </c>
      <c r="I196" s="42"/>
      <c r="J196" s="117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178"/>
      <c r="B197" s="198" t="str">
        <f>+B65</f>
        <v>PROPOSITOS GENERALES</v>
      </c>
      <c r="C197" s="62">
        <f aca="true" t="shared" si="55" ref="C197:H197">+C65-C66</f>
        <v>1251174657.73</v>
      </c>
      <c r="D197" s="62">
        <f t="shared" si="55"/>
        <v>231806015</v>
      </c>
      <c r="E197" s="62">
        <f t="shared" si="55"/>
        <v>1482980672.73</v>
      </c>
      <c r="F197" s="62">
        <f t="shared" si="55"/>
        <v>1482980673</v>
      </c>
      <c r="G197" s="62">
        <f t="shared" si="55"/>
        <v>-0.26999998092651367</v>
      </c>
      <c r="H197" s="62">
        <f t="shared" si="55"/>
        <v>1480530279.272727</v>
      </c>
      <c r="I197" s="42"/>
      <c r="J197" s="117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164"/>
      <c r="B198" s="199" t="str">
        <f>+B79</f>
        <v>COFINANCIACION</v>
      </c>
      <c r="C198" s="123">
        <f aca="true" t="shared" si="56" ref="C198:H198">+C79</f>
        <v>317497542</v>
      </c>
      <c r="D198" s="123">
        <f t="shared" si="56"/>
        <v>508124028</v>
      </c>
      <c r="E198" s="123">
        <f t="shared" si="56"/>
        <v>825621570</v>
      </c>
      <c r="F198" s="123">
        <f t="shared" si="56"/>
        <v>826685848</v>
      </c>
      <c r="G198" s="123">
        <f t="shared" si="56"/>
        <v>-2601530</v>
      </c>
      <c r="H198" s="156">
        <f t="shared" si="56"/>
        <v>6000000</v>
      </c>
      <c r="I198" s="63"/>
      <c r="J198" s="11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0">
      <c r="A199" s="164"/>
      <c r="B199" s="200" t="str">
        <f>+B92</f>
        <v>CONCEPTOS CON DESTINACION ESPECIFICA</v>
      </c>
      <c r="C199" s="123">
        <f aca="true" t="shared" si="57" ref="C199:H199">+C92</f>
        <v>145801124</v>
      </c>
      <c r="D199" s="123">
        <f t="shared" si="57"/>
        <v>33639360</v>
      </c>
      <c r="E199" s="123">
        <f t="shared" si="57"/>
        <v>179440484</v>
      </c>
      <c r="F199" s="123">
        <f t="shared" si="57"/>
        <v>156710873.28</v>
      </c>
      <c r="G199" s="123">
        <f t="shared" si="57"/>
        <v>22729610.71999999</v>
      </c>
      <c r="H199" s="156">
        <f t="shared" si="57"/>
        <v>195268518.58</v>
      </c>
      <c r="I199" s="63"/>
      <c r="J199" s="11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164"/>
      <c r="B200" s="158" t="str">
        <f>+B108</f>
        <v>    CREDITO INTERNO</v>
      </c>
      <c r="C200" s="123">
        <f aca="true" t="shared" si="58" ref="C200:H200">+C108</f>
        <v>0</v>
      </c>
      <c r="D200" s="123">
        <f t="shared" si="58"/>
        <v>0</v>
      </c>
      <c r="E200" s="123">
        <f t="shared" si="58"/>
        <v>0</v>
      </c>
      <c r="F200" s="123">
        <f t="shared" si="58"/>
        <v>0</v>
      </c>
      <c r="G200" s="123">
        <f t="shared" si="58"/>
        <v>0</v>
      </c>
      <c r="H200" s="156">
        <f t="shared" si="58"/>
        <v>0</v>
      </c>
      <c r="I200" s="63"/>
      <c r="J200" s="11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">
      <c r="A201" s="164"/>
      <c r="B201" s="200" t="s">
        <v>574</v>
      </c>
      <c r="C201" s="123">
        <f>+C106</f>
        <v>2433888522</v>
      </c>
      <c r="D201" s="123">
        <f>+D106</f>
        <v>27776154</v>
      </c>
      <c r="E201" s="123">
        <f>+E106</f>
        <v>2461664676</v>
      </c>
      <c r="F201" s="123">
        <f>+F106</f>
        <v>2427371914.6400003</v>
      </c>
      <c r="G201" s="123">
        <f>+G106</f>
        <v>46041988.64</v>
      </c>
      <c r="H201" s="156">
        <f>+H115</f>
        <v>131037379.98999998</v>
      </c>
      <c r="I201" s="63"/>
      <c r="J201" s="2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0">
      <c r="A202" s="164"/>
      <c r="B202" s="201" t="str">
        <f>+B126</f>
        <v>SALDOS A 31 DE DICIEMBRE VIGENCIA ANTERIOR</v>
      </c>
      <c r="C202" s="65">
        <v>0</v>
      </c>
      <c r="D202" s="65">
        <f>+D126</f>
        <v>0</v>
      </c>
      <c r="E202" s="65">
        <v>0</v>
      </c>
      <c r="F202" s="65">
        <v>0</v>
      </c>
      <c r="G202" s="65">
        <f>+G126</f>
        <v>0</v>
      </c>
      <c r="H202" s="61">
        <f>+H126</f>
        <v>0</v>
      </c>
      <c r="I202" s="63"/>
      <c r="J202" s="2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">
      <c r="A203" s="164"/>
      <c r="B203" s="199" t="str">
        <f>+B127</f>
        <v>SUPERAVIT EJERCICIO ANTERIOR</v>
      </c>
      <c r="C203" s="123">
        <v>0</v>
      </c>
      <c r="D203" s="123">
        <f>+D127</f>
        <v>0</v>
      </c>
      <c r="E203" s="123">
        <v>0</v>
      </c>
      <c r="F203" s="123">
        <v>0</v>
      </c>
      <c r="G203" s="123">
        <f>+G127</f>
        <v>0</v>
      </c>
      <c r="H203" s="156">
        <f>+H127</f>
        <v>0</v>
      </c>
      <c r="I203" s="63"/>
      <c r="J203" s="2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">
      <c r="A204" s="164"/>
      <c r="B204" s="199" t="str">
        <f>+B128</f>
        <v>RECUPERACION DE CARTERA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56">
        <f>+H128</f>
        <v>93481741.54</v>
      </c>
      <c r="I204" s="63"/>
      <c r="J204" s="2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">
      <c r="A205" s="164"/>
      <c r="B205" s="200" t="str">
        <f>+B137</f>
        <v>FONDO TERRITORIAL DE PENSIONES</v>
      </c>
      <c r="C205" s="123">
        <f aca="true" t="shared" si="59" ref="C205:H205">+C137</f>
        <v>0</v>
      </c>
      <c r="D205" s="123">
        <f t="shared" si="59"/>
        <v>0</v>
      </c>
      <c r="E205" s="123">
        <f t="shared" si="59"/>
        <v>0</v>
      </c>
      <c r="F205" s="123">
        <f t="shared" si="59"/>
        <v>0</v>
      </c>
      <c r="G205" s="123">
        <f t="shared" si="59"/>
        <v>0</v>
      </c>
      <c r="H205" s="156">
        <f t="shared" si="59"/>
        <v>0</v>
      </c>
      <c r="I205" s="63"/>
      <c r="J205" s="2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">
      <c r="A206" s="164"/>
      <c r="B206" s="200" t="str">
        <f>+B140</f>
        <v>FONDO DE MAQUINARIA</v>
      </c>
      <c r="C206" s="123">
        <f aca="true" t="shared" si="60" ref="C206:H206">+C140</f>
        <v>24966980</v>
      </c>
      <c r="D206" s="123">
        <f t="shared" si="60"/>
        <v>1000000</v>
      </c>
      <c r="E206" s="123">
        <f t="shared" si="60"/>
        <v>25966980</v>
      </c>
      <c r="F206" s="123">
        <f t="shared" si="60"/>
        <v>18354960</v>
      </c>
      <c r="G206" s="123">
        <f t="shared" si="60"/>
        <v>7612020</v>
      </c>
      <c r="H206" s="156">
        <f t="shared" si="60"/>
        <v>27005659.2</v>
      </c>
      <c r="I206" s="63"/>
      <c r="J206" s="2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">
      <c r="A207" s="164"/>
      <c r="B207" s="202" t="str">
        <f>+B142</f>
        <v>FONDO LOCAL DE SALUD</v>
      </c>
      <c r="C207" s="65">
        <f aca="true" t="shared" si="61" ref="C207:H207">+C142</f>
        <v>2267469598</v>
      </c>
      <c r="D207" s="65">
        <f t="shared" si="61"/>
        <v>1624438927.1111112</v>
      </c>
      <c r="E207" s="65">
        <f t="shared" si="61"/>
        <v>3891908525.111111</v>
      </c>
      <c r="F207" s="65">
        <f t="shared" si="61"/>
        <v>3899584691.056</v>
      </c>
      <c r="G207" s="65">
        <f t="shared" si="61"/>
        <v>5850552.711111111</v>
      </c>
      <c r="H207" s="61">
        <f t="shared" si="61"/>
        <v>3428300212.9211106</v>
      </c>
      <c r="I207" s="63"/>
      <c r="J207" s="2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0">
      <c r="A208" s="164"/>
      <c r="B208" s="203" t="str">
        <f>+B182</f>
        <v>TOTAL INGRESOS INSTITUTO MUNICIPAL DE DEPORTES</v>
      </c>
      <c r="C208" s="122">
        <f aca="true" t="shared" si="62" ref="C208:H208">+C182</f>
        <v>109064080</v>
      </c>
      <c r="D208" s="122">
        <f t="shared" si="62"/>
        <v>17075353</v>
      </c>
      <c r="E208" s="122">
        <f t="shared" si="62"/>
        <v>126139433</v>
      </c>
      <c r="F208" s="122">
        <f t="shared" si="62"/>
        <v>18090767.28</v>
      </c>
      <c r="G208" s="122">
        <f t="shared" si="62"/>
        <v>-43771838.28</v>
      </c>
      <c r="H208" s="157">
        <f t="shared" si="62"/>
        <v>12954623.2</v>
      </c>
      <c r="I208" s="63"/>
      <c r="J208" s="2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thickBot="1">
      <c r="A209" s="179"/>
      <c r="B209" s="204" t="s">
        <v>196</v>
      </c>
      <c r="C209" s="66">
        <f aca="true" t="shared" si="63" ref="C209:H209">+C195+C192</f>
        <v>9396495295.36</v>
      </c>
      <c r="D209" s="66">
        <f t="shared" si="63"/>
        <v>2917129316.111111</v>
      </c>
      <c r="E209" s="66">
        <f t="shared" si="63"/>
        <v>12313624611.471111</v>
      </c>
      <c r="F209" s="66">
        <f>+F195+F192</f>
        <v>11932813159.216</v>
      </c>
      <c r="G209" s="66">
        <f>+G195+G192</f>
        <v>244618373.6311111</v>
      </c>
      <c r="H209" s="66">
        <f t="shared" si="63"/>
        <v>8729879792.754292</v>
      </c>
      <c r="I209" s="67"/>
      <c r="J209" s="2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9" ht="15">
      <c r="A210" s="180"/>
      <c r="B210" s="68"/>
      <c r="C210" s="69"/>
      <c r="D210" s="69"/>
      <c r="E210" s="69"/>
      <c r="F210" s="69"/>
      <c r="G210" s="69"/>
      <c r="H210" s="110"/>
      <c r="I210" s="68"/>
    </row>
    <row r="211" spans="1:9" ht="15">
      <c r="A211" s="180"/>
      <c r="B211" s="68"/>
      <c r="C211" s="118"/>
      <c r="D211" s="118"/>
      <c r="E211" s="118"/>
      <c r="F211" s="118"/>
      <c r="G211" s="118"/>
      <c r="H211" s="117"/>
      <c r="I211" s="68"/>
    </row>
    <row r="212" spans="1:9" ht="15">
      <c r="A212" s="180"/>
      <c r="B212" s="68"/>
      <c r="C212" s="119"/>
      <c r="D212" s="119"/>
      <c r="E212" s="119"/>
      <c r="F212" s="119"/>
      <c r="G212" s="119"/>
      <c r="H212" s="119"/>
      <c r="I212" s="68"/>
    </row>
    <row r="213" spans="1:9" ht="15">
      <c r="A213" s="180"/>
      <c r="B213" s="68"/>
      <c r="C213" s="68"/>
      <c r="D213" s="68"/>
      <c r="E213" s="68"/>
      <c r="F213" s="69"/>
      <c r="G213" s="68"/>
      <c r="H213" s="70"/>
      <c r="I213" s="68"/>
    </row>
    <row r="214" spans="1:9" ht="15">
      <c r="A214" s="180"/>
      <c r="B214" s="68"/>
      <c r="C214" s="68"/>
      <c r="D214" s="68"/>
      <c r="E214" s="68"/>
      <c r="F214" s="69"/>
      <c r="G214" s="68"/>
      <c r="H214" s="70"/>
      <c r="I214" s="68"/>
    </row>
    <row r="215" spans="1:9" ht="15">
      <c r="A215" s="180"/>
      <c r="B215" s="68"/>
      <c r="C215" s="68"/>
      <c r="D215" s="68"/>
      <c r="E215" s="68"/>
      <c r="F215" s="69"/>
      <c r="G215" s="68"/>
      <c r="H215" s="70"/>
      <c r="I215" s="68"/>
    </row>
    <row r="216" spans="1:9" ht="15.75">
      <c r="A216" s="180"/>
      <c r="B216" s="106"/>
      <c r="C216" s="68"/>
      <c r="D216" s="68"/>
      <c r="E216" s="68"/>
      <c r="F216" s="69"/>
      <c r="G216" s="68"/>
      <c r="H216" s="70"/>
      <c r="I216" s="68"/>
    </row>
    <row r="217" spans="1:9" ht="15.75">
      <c r="A217" s="180"/>
      <c r="B217" s="106"/>
      <c r="C217" s="68"/>
      <c r="D217" s="68"/>
      <c r="E217" s="68"/>
      <c r="F217" s="69"/>
      <c r="G217" s="68"/>
      <c r="H217" s="70"/>
      <c r="I217" s="68"/>
    </row>
    <row r="218" spans="1:9" ht="15">
      <c r="A218" s="180"/>
      <c r="B218" s="68"/>
      <c r="C218" s="68"/>
      <c r="D218" s="68"/>
      <c r="E218" s="68"/>
      <c r="F218" s="69"/>
      <c r="G218" s="68"/>
      <c r="H218" s="70"/>
      <c r="I218" s="68"/>
    </row>
    <row r="219" spans="1:9" ht="15">
      <c r="A219" s="180"/>
      <c r="B219" s="68"/>
      <c r="C219" s="68"/>
      <c r="D219" s="68"/>
      <c r="E219" s="68"/>
      <c r="F219" s="69"/>
      <c r="G219" s="69"/>
      <c r="H219" s="70"/>
      <c r="I219" s="68"/>
    </row>
    <row r="220" spans="1:9" ht="15">
      <c r="A220" s="180"/>
      <c r="B220" s="5"/>
      <c r="C220" s="68"/>
      <c r="D220" s="68"/>
      <c r="E220" s="68"/>
      <c r="F220" s="68"/>
      <c r="G220" s="68"/>
      <c r="H220" s="70"/>
      <c r="I220" s="68"/>
    </row>
    <row r="221" spans="1:9" ht="15">
      <c r="A221" s="180"/>
      <c r="B221" s="68"/>
      <c r="C221" s="68"/>
      <c r="D221" s="68"/>
      <c r="E221" s="68"/>
      <c r="F221" s="68"/>
      <c r="G221" s="68"/>
      <c r="H221" s="70"/>
      <c r="I221" s="68"/>
    </row>
    <row r="222" spans="1:9" ht="15">
      <c r="A222" s="180"/>
      <c r="B222" s="68"/>
      <c r="C222" s="68"/>
      <c r="D222" s="68"/>
      <c r="E222" s="68"/>
      <c r="F222" s="68"/>
      <c r="G222" s="68"/>
      <c r="H222" s="70"/>
      <c r="I222" s="68"/>
    </row>
    <row r="223" spans="1:9" ht="15">
      <c r="A223" s="180"/>
      <c r="B223" s="68"/>
      <c r="C223" s="68"/>
      <c r="D223" s="68"/>
      <c r="E223" s="68"/>
      <c r="F223" s="68"/>
      <c r="G223" s="68"/>
      <c r="H223" s="70"/>
      <c r="I223" s="68"/>
    </row>
    <row r="224" spans="1:9" ht="15">
      <c r="A224" s="180"/>
      <c r="B224" s="68"/>
      <c r="C224" s="68"/>
      <c r="D224" s="68"/>
      <c r="E224" s="68"/>
      <c r="F224" s="68"/>
      <c r="G224" s="68"/>
      <c r="H224" s="70"/>
      <c r="I224" s="68"/>
    </row>
    <row r="225" spans="13:17" ht="12.75">
      <c r="M225" s="287">
        <v>1</v>
      </c>
      <c r="N225" s="316" t="s">
        <v>617</v>
      </c>
      <c r="O225" s="316"/>
      <c r="P225" s="294" t="s">
        <v>618</v>
      </c>
      <c r="Q225" s="294"/>
    </row>
    <row r="226" spans="13:17" ht="12.75">
      <c r="M226" s="287">
        <v>2</v>
      </c>
      <c r="N226" s="296" t="s">
        <v>619</v>
      </c>
      <c r="O226" s="296"/>
      <c r="P226" s="298">
        <v>180558073</v>
      </c>
      <c r="Q226" s="298"/>
    </row>
    <row r="227" spans="13:17" ht="12.75">
      <c r="M227" s="287">
        <v>3</v>
      </c>
      <c r="N227" s="296" t="s">
        <v>620</v>
      </c>
      <c r="O227" s="296"/>
      <c r="P227" s="298">
        <v>3214079100</v>
      </c>
      <c r="Q227" s="298"/>
    </row>
    <row r="228" spans="13:17" ht="12.75">
      <c r="M228" s="287">
        <v>4</v>
      </c>
      <c r="N228" s="292" t="s">
        <v>621</v>
      </c>
      <c r="O228" s="292"/>
      <c r="P228" s="298">
        <v>18090767</v>
      </c>
      <c r="Q228" s="298"/>
    </row>
    <row r="229" spans="16:17" ht="12.75">
      <c r="P229" s="297">
        <f>SUM(P225:Q228)</f>
        <v>3412727940</v>
      </c>
      <c r="Q229" s="297"/>
    </row>
    <row r="245" spans="5:6" ht="12.75">
      <c r="E245" t="s">
        <v>613</v>
      </c>
      <c r="F245">
        <v>3213695906.461708</v>
      </c>
    </row>
    <row r="246" ht="12.75">
      <c r="E246" t="s">
        <v>612</v>
      </c>
    </row>
    <row r="247" spans="5:6" ht="12.75">
      <c r="E247" t="s">
        <v>608</v>
      </c>
      <c r="F247">
        <v>1987646136</v>
      </c>
    </row>
    <row r="248" spans="5:6" ht="12.75">
      <c r="E248" t="s">
        <v>609</v>
      </c>
      <c r="F248">
        <v>259167706</v>
      </c>
    </row>
    <row r="249" spans="5:6" ht="12.75">
      <c r="E249" t="s">
        <v>610</v>
      </c>
      <c r="F249">
        <v>826685848</v>
      </c>
    </row>
    <row r="250" spans="5:6" ht="12.75">
      <c r="E250" t="s">
        <v>611</v>
      </c>
      <c r="F250">
        <v>417765677</v>
      </c>
    </row>
    <row r="251" spans="5:6" ht="12.75">
      <c r="E251" t="s">
        <v>611</v>
      </c>
      <c r="F251">
        <v>105802121</v>
      </c>
    </row>
    <row r="252" ht="12.75">
      <c r="F252">
        <v>3597067488</v>
      </c>
    </row>
    <row r="253" spans="6:7" ht="12.75">
      <c r="F253">
        <v>8328434503.936001</v>
      </c>
      <c r="G253">
        <v>8703214056.613121</v>
      </c>
    </row>
  </sheetData>
  <mergeCells count="25">
    <mergeCell ref="N227:O227"/>
    <mergeCell ref="B187:I187"/>
    <mergeCell ref="B59:B60"/>
    <mergeCell ref="C59:C60"/>
    <mergeCell ref="G59:G60"/>
    <mergeCell ref="H59:H60"/>
    <mergeCell ref="N225:O225"/>
    <mergeCell ref="A59:A60"/>
    <mergeCell ref="B186:I186"/>
    <mergeCell ref="N226:O226"/>
    <mergeCell ref="A1:I1"/>
    <mergeCell ref="A2:I2"/>
    <mergeCell ref="A3:I3"/>
    <mergeCell ref="A161:D161"/>
    <mergeCell ref="D59:D60"/>
    <mergeCell ref="E59:E60"/>
    <mergeCell ref="F59:F60"/>
    <mergeCell ref="S2:T2"/>
    <mergeCell ref="S3:T3"/>
    <mergeCell ref="S4:U4"/>
    <mergeCell ref="P229:Q229"/>
    <mergeCell ref="P227:Q227"/>
    <mergeCell ref="P228:Q228"/>
    <mergeCell ref="P225:Q225"/>
    <mergeCell ref="P226:Q226"/>
  </mergeCells>
  <printOptions horizontalCentered="1" verticalCentered="1"/>
  <pageMargins left="0.3937007874015748" right="0.3937007874015748" top="1" bottom="1" header="0" footer="0"/>
  <pageSetup horizontalDpi="300" verticalDpi="300" orientation="portrait" scale="52" r:id="rId1"/>
  <rowBreaks count="2" manualBreakCount="2">
    <brk id="89" max="8" man="1"/>
    <brk id="1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67"/>
  <sheetViews>
    <sheetView tabSelected="1" view="pageBreakPreview" zoomScale="60" zoomScaleNormal="75" workbookViewId="0" topLeftCell="A181">
      <selection activeCell="B186" sqref="B186"/>
    </sheetView>
  </sheetViews>
  <sheetFormatPr defaultColWidth="11.421875" defaultRowHeight="12.75"/>
  <cols>
    <col min="1" max="1" width="18.57421875" style="21" customWidth="1"/>
    <col min="2" max="2" width="64.8515625" style="21" customWidth="1"/>
    <col min="3" max="3" width="13.7109375" style="21" hidden="1" customWidth="1"/>
    <col min="4" max="4" width="13.140625" style="21" hidden="1" customWidth="1"/>
    <col min="5" max="5" width="13.421875" style="21" hidden="1" customWidth="1"/>
    <col min="6" max="6" width="13.7109375" style="21" hidden="1" customWidth="1"/>
    <col min="7" max="7" width="10.8515625" style="21" hidden="1" customWidth="1"/>
    <col min="8" max="8" width="23.140625" style="21" customWidth="1"/>
    <col min="9" max="9" width="27.140625" style="23" customWidth="1"/>
    <col min="10" max="10" width="25.140625" style="70" customWidth="1"/>
    <col min="11" max="11" width="24.140625" style="117" customWidth="1"/>
    <col min="12" max="12" width="21.57421875" style="23" customWidth="1"/>
    <col min="13" max="13" width="20.421875" style="23" customWidth="1"/>
    <col min="14" max="14" width="18.421875" style="21" customWidth="1"/>
    <col min="15" max="15" width="19.140625" style="21" customWidth="1"/>
    <col min="16" max="18" width="9.140625" style="21" customWidth="1"/>
    <col min="19" max="19" width="12.7109375" style="21" customWidth="1"/>
    <col min="20" max="20" width="0.13671875" style="21" customWidth="1"/>
    <col min="21" max="21" width="5.8515625" style="21" customWidth="1"/>
    <col min="22" max="22" width="23.7109375" style="21" customWidth="1"/>
    <col min="23" max="16384" width="9.140625" style="21" customWidth="1"/>
  </cols>
  <sheetData>
    <row r="1" spans="1:8" ht="16.5" customHeight="1" thickBot="1">
      <c r="A1" s="205"/>
      <c r="B1" s="206" t="s">
        <v>0</v>
      </c>
      <c r="C1" s="206"/>
      <c r="D1" s="206"/>
      <c r="E1" s="206"/>
      <c r="F1" s="206"/>
      <c r="G1" s="206"/>
      <c r="H1" s="206"/>
    </row>
    <row r="2" spans="1:15" ht="18.75" customHeight="1" thickBot="1">
      <c r="A2" s="205"/>
      <c r="B2" s="206" t="s">
        <v>565</v>
      </c>
      <c r="C2" s="206"/>
      <c r="D2" s="206"/>
      <c r="E2" s="206"/>
      <c r="F2" s="206"/>
      <c r="G2" s="206"/>
      <c r="H2" s="206"/>
      <c r="K2" s="207">
        <v>5</v>
      </c>
      <c r="L2" s="208" t="s">
        <v>232</v>
      </c>
      <c r="M2" s="208" t="s">
        <v>247</v>
      </c>
      <c r="N2" s="209" t="s">
        <v>248</v>
      </c>
      <c r="O2" s="209" t="s">
        <v>250</v>
      </c>
    </row>
    <row r="3" spans="1:15" ht="20.25" customHeight="1" thickBot="1">
      <c r="A3" s="205"/>
      <c r="B3" s="206" t="s">
        <v>218</v>
      </c>
      <c r="C3" s="206"/>
      <c r="D3" s="206"/>
      <c r="E3" s="206"/>
      <c r="F3" s="206"/>
      <c r="G3" s="206"/>
      <c r="H3" s="206"/>
      <c r="K3" s="210">
        <v>5.1</v>
      </c>
      <c r="L3" s="211" t="s">
        <v>27</v>
      </c>
      <c r="M3" s="143" t="e">
        <f>+ingresos2008!#REF!</f>
        <v>#REF!</v>
      </c>
      <c r="N3" s="212" t="s">
        <v>249</v>
      </c>
      <c r="O3" s="213" t="s">
        <v>257</v>
      </c>
    </row>
    <row r="4" spans="1:15" ht="26.25" thickBot="1">
      <c r="A4" s="317" t="s">
        <v>69</v>
      </c>
      <c r="B4" s="320" t="s">
        <v>64</v>
      </c>
      <c r="C4" s="214" t="s">
        <v>65</v>
      </c>
      <c r="D4" s="215" t="s">
        <v>66</v>
      </c>
      <c r="E4" s="214" t="s">
        <v>67</v>
      </c>
      <c r="F4" s="215" t="s">
        <v>4</v>
      </c>
      <c r="G4" s="214" t="s">
        <v>68</v>
      </c>
      <c r="H4" s="214" t="s">
        <v>4</v>
      </c>
      <c r="K4" s="210">
        <v>5.2</v>
      </c>
      <c r="L4" s="211" t="s">
        <v>155</v>
      </c>
      <c r="M4" s="143">
        <v>25000000</v>
      </c>
      <c r="N4" s="212" t="s">
        <v>251</v>
      </c>
      <c r="O4" s="213" t="s">
        <v>258</v>
      </c>
    </row>
    <row r="5" spans="1:15" ht="15" customHeight="1" thickBot="1">
      <c r="A5" s="318"/>
      <c r="B5" s="321"/>
      <c r="C5" s="216" t="s">
        <v>172</v>
      </c>
      <c r="D5" s="217" t="s">
        <v>173</v>
      </c>
      <c r="E5" s="218" t="s">
        <v>171</v>
      </c>
      <c r="F5" s="219" t="s">
        <v>174</v>
      </c>
      <c r="G5" s="216"/>
      <c r="H5" s="218" t="s">
        <v>566</v>
      </c>
      <c r="K5" s="210">
        <v>5.3</v>
      </c>
      <c r="L5" s="211" t="s">
        <v>156</v>
      </c>
      <c r="M5" s="143">
        <v>25000000</v>
      </c>
      <c r="N5" s="212" t="s">
        <v>252</v>
      </c>
      <c r="O5" s="213" t="str">
        <f>+O4</f>
        <v>ACUERDO 018  DE 2003</v>
      </c>
    </row>
    <row r="6" spans="1:15" ht="9" customHeight="1" thickBot="1">
      <c r="A6" s="319"/>
      <c r="B6" s="322"/>
      <c r="C6" s="220" t="s">
        <v>63</v>
      </c>
      <c r="D6" s="221" t="s">
        <v>11</v>
      </c>
      <c r="E6" s="220" t="s">
        <v>12</v>
      </c>
      <c r="F6" s="221"/>
      <c r="G6" s="220"/>
      <c r="H6" s="220"/>
      <c r="K6" s="210">
        <v>5.4</v>
      </c>
      <c r="L6" s="211" t="s">
        <v>157</v>
      </c>
      <c r="M6" s="143">
        <v>5000000</v>
      </c>
      <c r="N6" s="212" t="s">
        <v>253</v>
      </c>
      <c r="O6" s="213" t="s">
        <v>259</v>
      </c>
    </row>
    <row r="7" spans="1:21" ht="21" customHeight="1" thickBot="1">
      <c r="A7" s="222">
        <v>211</v>
      </c>
      <c r="B7" s="222" t="s">
        <v>306</v>
      </c>
      <c r="C7" s="223"/>
      <c r="D7" s="223"/>
      <c r="E7" s="223"/>
      <c r="F7" s="223"/>
      <c r="G7" s="223"/>
      <c r="H7" s="223"/>
      <c r="K7" s="210">
        <v>5.6</v>
      </c>
      <c r="L7" s="211" t="s">
        <v>153</v>
      </c>
      <c r="M7" s="143" t="e">
        <f>+ingresos2008!#REF!</f>
        <v>#REF!</v>
      </c>
      <c r="N7" s="212" t="s">
        <v>254</v>
      </c>
      <c r="O7" s="213" t="s">
        <v>260</v>
      </c>
      <c r="R7" s="224"/>
      <c r="S7" s="224"/>
      <c r="T7" s="224"/>
      <c r="U7" s="224"/>
    </row>
    <row r="8" spans="1:21" ht="19.5" customHeight="1" thickBot="1">
      <c r="A8" s="223"/>
      <c r="B8" s="223"/>
      <c r="C8" s="223"/>
      <c r="D8" s="223"/>
      <c r="E8" s="223"/>
      <c r="F8" s="223"/>
      <c r="G8" s="223"/>
      <c r="H8" s="223"/>
      <c r="K8" s="210">
        <v>5.7</v>
      </c>
      <c r="L8" s="211" t="s">
        <v>154</v>
      </c>
      <c r="M8" s="143" t="e">
        <f>+ingresos2008!#REF!</f>
        <v>#REF!</v>
      </c>
      <c r="N8" s="212" t="s">
        <v>254</v>
      </c>
      <c r="O8" s="213" t="s">
        <v>260</v>
      </c>
      <c r="R8" s="224"/>
      <c r="S8" s="224"/>
      <c r="T8" s="224"/>
      <c r="U8" s="224"/>
    </row>
    <row r="9" spans="1:21" ht="19.5" customHeight="1" thickBot="1">
      <c r="A9" s="225">
        <v>2111</v>
      </c>
      <c r="B9" s="226" t="s">
        <v>307</v>
      </c>
      <c r="C9" s="227">
        <f aca="true" t="shared" si="0" ref="C9:H9">+C10</f>
        <v>67819936</v>
      </c>
      <c r="D9" s="92">
        <f t="shared" si="0"/>
        <v>45481064.497719996</v>
      </c>
      <c r="E9" s="92">
        <f t="shared" si="0"/>
        <v>113301000.49772</v>
      </c>
      <c r="F9" s="92">
        <f t="shared" si="0"/>
        <v>113301000.49772</v>
      </c>
      <c r="G9" s="92">
        <f t="shared" si="0"/>
        <v>0</v>
      </c>
      <c r="H9" s="92">
        <f t="shared" si="0"/>
        <v>113613259.3</v>
      </c>
      <c r="K9" s="210">
        <v>5.8</v>
      </c>
      <c r="L9" s="211" t="s">
        <v>227</v>
      </c>
      <c r="M9" s="143">
        <f>+ingresos2008!H97</f>
        <v>15224479.6</v>
      </c>
      <c r="N9" s="212" t="s">
        <v>253</v>
      </c>
      <c r="O9" s="213" t="s">
        <v>261</v>
      </c>
      <c r="R9" s="224"/>
      <c r="S9" s="224"/>
      <c r="T9" s="224"/>
      <c r="U9" s="224"/>
    </row>
    <row r="10" spans="1:21" ht="19.5" customHeight="1" thickBot="1">
      <c r="A10" s="225"/>
      <c r="B10" s="226" t="s">
        <v>71</v>
      </c>
      <c r="C10" s="92">
        <f>+C11+C22+C25+C30</f>
        <v>67819936</v>
      </c>
      <c r="D10" s="92">
        <f>+D11+D22+D25+D30</f>
        <v>45481064.497719996</v>
      </c>
      <c r="E10" s="92">
        <f>+E11+E22+E25+E30</f>
        <v>113301000.49772</v>
      </c>
      <c r="F10" s="92">
        <f>+F11+F22+F25+F30</f>
        <v>113301000.49772</v>
      </c>
      <c r="G10" s="92">
        <f>+G11+G22+G25+G30</f>
        <v>0</v>
      </c>
      <c r="H10" s="92">
        <f>+H11+H18+H25+H30</f>
        <v>113613259.3</v>
      </c>
      <c r="K10" s="210">
        <v>5.9</v>
      </c>
      <c r="L10" s="211" t="s">
        <v>44</v>
      </c>
      <c r="M10" s="143">
        <f>+ingresos2008!H97</f>
        <v>15224479.6</v>
      </c>
      <c r="N10" s="212"/>
      <c r="O10" s="213"/>
      <c r="R10" s="224"/>
      <c r="S10" s="224"/>
      <c r="T10" s="224"/>
      <c r="U10" s="224"/>
    </row>
    <row r="11" spans="1:21" ht="19.5" customHeight="1" thickBot="1">
      <c r="A11" s="225">
        <v>21111</v>
      </c>
      <c r="B11" s="226" t="s">
        <v>72</v>
      </c>
      <c r="C11" s="91">
        <f>SUM(C12:C15)</f>
        <v>8055000</v>
      </c>
      <c r="D11" s="91">
        <f>SUM(D12:D15)</f>
        <v>11091699</v>
      </c>
      <c r="E11" s="91">
        <f>SUM(E12:E15)</f>
        <v>19146699</v>
      </c>
      <c r="F11" s="91">
        <f>SUM(F12:F15)</f>
        <v>19146699</v>
      </c>
      <c r="G11" s="91">
        <f>SUM(G12:G15)</f>
        <v>0</v>
      </c>
      <c r="H11" s="91">
        <f>SUM(H12:H17)</f>
        <v>14373715</v>
      </c>
      <c r="K11" s="210">
        <v>5.1</v>
      </c>
      <c r="L11" s="211" t="s">
        <v>222</v>
      </c>
      <c r="M11" s="143" t="e">
        <f>+ingresos2008!#REF!</f>
        <v>#REF!</v>
      </c>
      <c r="N11" s="212" t="s">
        <v>255</v>
      </c>
      <c r="O11" s="228" t="s">
        <v>262</v>
      </c>
      <c r="R11" s="224"/>
      <c r="S11" s="224"/>
      <c r="T11" s="224"/>
      <c r="U11" s="224"/>
    </row>
    <row r="12" spans="1:21" ht="19.5" customHeight="1" thickBot="1">
      <c r="A12" s="229" t="s">
        <v>308</v>
      </c>
      <c r="B12" s="61" t="s">
        <v>74</v>
      </c>
      <c r="C12" s="230">
        <v>7980000</v>
      </c>
      <c r="D12" s="62">
        <f>+F12-C12</f>
        <v>9693876</v>
      </c>
      <c r="E12" s="62">
        <f>SUM(C12:D12)</f>
        <v>17673876</v>
      </c>
      <c r="F12" s="62">
        <f>+'[1]PRESUPUESTO'!$L$9</f>
        <v>17673876</v>
      </c>
      <c r="G12" s="100">
        <f>+F12-E12</f>
        <v>0</v>
      </c>
      <c r="H12" s="62">
        <v>11955060</v>
      </c>
      <c r="K12" s="210">
        <v>5.11</v>
      </c>
      <c r="L12" s="211" t="s">
        <v>223</v>
      </c>
      <c r="M12" s="143">
        <f>+ingresos2008!H98</f>
        <v>9008738.09</v>
      </c>
      <c r="N12" s="212" t="s">
        <v>255</v>
      </c>
      <c r="O12" s="228"/>
      <c r="R12" s="224"/>
      <c r="S12" s="224"/>
      <c r="T12" s="224"/>
      <c r="U12" s="224"/>
    </row>
    <row r="13" spans="1:21" ht="16.5" customHeight="1" thickBot="1">
      <c r="A13" s="229" t="s">
        <v>309</v>
      </c>
      <c r="B13" s="61" t="s">
        <v>77</v>
      </c>
      <c r="C13" s="62">
        <v>75000</v>
      </c>
      <c r="D13" s="62">
        <f>+F13-C13</f>
        <v>-75000</v>
      </c>
      <c r="E13" s="62">
        <f>SUM(C13:D13)</f>
        <v>0</v>
      </c>
      <c r="F13" s="62"/>
      <c r="G13" s="100">
        <f>+F13-E13</f>
        <v>0</v>
      </c>
      <c r="H13" s="62">
        <v>0</v>
      </c>
      <c r="K13" s="210">
        <v>5.12</v>
      </c>
      <c r="L13" s="211" t="s">
        <v>224</v>
      </c>
      <c r="M13" s="143">
        <f>+ingresos2008!H99</f>
        <v>0</v>
      </c>
      <c r="N13" s="212"/>
      <c r="O13" s="228"/>
      <c r="R13" s="224"/>
      <c r="S13" s="224"/>
      <c r="T13" s="224"/>
      <c r="U13" s="224"/>
    </row>
    <row r="14" spans="1:21" ht="16.5" customHeight="1" thickBot="1">
      <c r="A14" s="229" t="s">
        <v>310</v>
      </c>
      <c r="B14" s="61" t="s">
        <v>78</v>
      </c>
      <c r="C14" s="62">
        <v>0</v>
      </c>
      <c r="D14" s="62">
        <f>+F14-C14</f>
        <v>1472823</v>
      </c>
      <c r="E14" s="62">
        <f>SUM(C14:D14)</f>
        <v>1472823</v>
      </c>
      <c r="F14" s="62">
        <f>+'[1]PRESUPUESTO'!$K$9</f>
        <v>1472823</v>
      </c>
      <c r="G14" s="100">
        <f>+F14-E14</f>
        <v>0</v>
      </c>
      <c r="H14" s="62">
        <v>996255</v>
      </c>
      <c r="K14" s="210">
        <v>5.13</v>
      </c>
      <c r="L14" s="211" t="s">
        <v>225</v>
      </c>
      <c r="M14" s="143">
        <f>+ingresos2008!H100</f>
        <v>0</v>
      </c>
      <c r="N14" s="212" t="s">
        <v>255</v>
      </c>
      <c r="O14" s="228"/>
      <c r="R14" s="224"/>
      <c r="S14" s="224"/>
      <c r="T14" s="224"/>
      <c r="U14" s="224"/>
    </row>
    <row r="15" spans="1:21" ht="17.25" customHeight="1" thickBot="1">
      <c r="A15" s="229" t="s">
        <v>311</v>
      </c>
      <c r="B15" s="61" t="s">
        <v>197</v>
      </c>
      <c r="C15" s="62"/>
      <c r="D15" s="62">
        <f>+F15-C15</f>
        <v>0</v>
      </c>
      <c r="E15" s="62">
        <f>SUM(C15:D15)</f>
        <v>0</v>
      </c>
      <c r="F15" s="62">
        <f>+C15*1.1</f>
        <v>0</v>
      </c>
      <c r="G15" s="100">
        <f>+F15-E15</f>
        <v>0</v>
      </c>
      <c r="H15" s="62">
        <v>498128</v>
      </c>
      <c r="K15" s="210">
        <v>5.14</v>
      </c>
      <c r="L15" s="211" t="s">
        <v>226</v>
      </c>
      <c r="M15" s="143">
        <v>20400000</v>
      </c>
      <c r="N15" s="212" t="s">
        <v>256</v>
      </c>
      <c r="O15" s="228"/>
      <c r="R15" s="224"/>
      <c r="S15" s="224"/>
      <c r="T15" s="224"/>
      <c r="U15" s="224"/>
    </row>
    <row r="16" spans="1:21" ht="17.25" customHeight="1" thickBot="1">
      <c r="A16" s="229" t="s">
        <v>502</v>
      </c>
      <c r="B16" s="61" t="s">
        <v>503</v>
      </c>
      <c r="C16" s="62"/>
      <c r="D16" s="62"/>
      <c r="E16" s="62"/>
      <c r="F16" s="62"/>
      <c r="G16" s="100"/>
      <c r="H16" s="62">
        <v>498128</v>
      </c>
      <c r="K16" s="210"/>
      <c r="L16" s="211"/>
      <c r="M16" s="144"/>
      <c r="N16" s="212"/>
      <c r="O16" s="231"/>
      <c r="R16" s="224"/>
      <c r="S16" s="224"/>
      <c r="T16" s="224"/>
      <c r="U16" s="224"/>
    </row>
    <row r="17" spans="1:21" ht="17.25" customHeight="1" thickBot="1">
      <c r="A17" s="229" t="s">
        <v>615</v>
      </c>
      <c r="B17" s="61" t="s">
        <v>577</v>
      </c>
      <c r="C17" s="62"/>
      <c r="D17" s="62"/>
      <c r="E17" s="62"/>
      <c r="F17" s="62"/>
      <c r="G17" s="100"/>
      <c r="H17" s="62">
        <v>426144</v>
      </c>
      <c r="K17" s="210"/>
      <c r="L17" s="211"/>
      <c r="M17" s="144"/>
      <c r="N17" s="212"/>
      <c r="O17" s="231"/>
      <c r="R17" s="224"/>
      <c r="S17" s="224"/>
      <c r="T17" s="224"/>
      <c r="U17" s="224"/>
    </row>
    <row r="18" spans="1:21" ht="16.5" thickBot="1">
      <c r="A18" s="225" t="s">
        <v>313</v>
      </c>
      <c r="B18" s="59" t="s">
        <v>237</v>
      </c>
      <c r="C18" s="62"/>
      <c r="D18" s="62"/>
      <c r="E18" s="62"/>
      <c r="F18" s="62"/>
      <c r="G18" s="100"/>
      <c r="H18" s="91">
        <f>+H20</f>
        <v>85437288.3</v>
      </c>
      <c r="K18" s="210"/>
      <c r="L18" s="211" t="s">
        <v>3</v>
      </c>
      <c r="M18" s="232" t="e">
        <f>SUM(M3:M15)</f>
        <v>#REF!</v>
      </c>
      <c r="N18" s="212"/>
      <c r="O18" s="213"/>
      <c r="R18" s="224"/>
      <c r="S18" s="224"/>
      <c r="T18" s="224"/>
      <c r="U18" s="224"/>
    </row>
    <row r="19" spans="1:21" ht="10.5" customHeight="1">
      <c r="A19" s="225"/>
      <c r="B19" s="59"/>
      <c r="C19" s="62"/>
      <c r="D19" s="62"/>
      <c r="E19" s="62"/>
      <c r="F19" s="62"/>
      <c r="G19" s="100"/>
      <c r="H19" s="91"/>
      <c r="K19" s="233"/>
      <c r="L19" s="234"/>
      <c r="M19" s="235"/>
      <c r="N19" s="236"/>
      <c r="O19" s="213"/>
      <c r="R19" s="224"/>
      <c r="S19" s="224"/>
      <c r="T19" s="224"/>
      <c r="U19" s="224"/>
    </row>
    <row r="20" spans="1:21" ht="15">
      <c r="A20" s="229" t="s">
        <v>314</v>
      </c>
      <c r="B20" s="61" t="s">
        <v>82</v>
      </c>
      <c r="C20" s="62"/>
      <c r="D20" s="62"/>
      <c r="E20" s="62"/>
      <c r="F20" s="62"/>
      <c r="G20" s="100"/>
      <c r="H20" s="62">
        <f>+M72</f>
        <v>85437288.3</v>
      </c>
      <c r="M20" s="237"/>
      <c r="O20" s="213"/>
      <c r="R20" s="224"/>
      <c r="S20" s="224"/>
      <c r="T20" s="224"/>
      <c r="U20" s="224"/>
    </row>
    <row r="21" spans="1:21" ht="15" hidden="1">
      <c r="A21" s="238"/>
      <c r="B21" s="61"/>
      <c r="C21" s="62"/>
      <c r="D21" s="62"/>
      <c r="E21" s="62"/>
      <c r="F21" s="62"/>
      <c r="G21" s="62"/>
      <c r="H21" s="62"/>
      <c r="J21" s="239"/>
      <c r="M21" s="237"/>
      <c r="O21" s="213"/>
      <c r="R21" s="224"/>
      <c r="S21" s="224"/>
      <c r="T21" s="224"/>
      <c r="U21" s="224"/>
    </row>
    <row r="22" spans="1:21" ht="15.75" hidden="1">
      <c r="A22" s="225"/>
      <c r="B22" s="226" t="s">
        <v>80</v>
      </c>
      <c r="C22" s="91">
        <f aca="true" t="shared" si="1" ref="C22:H22">SUM(C23:C24)</f>
        <v>50226987</v>
      </c>
      <c r="D22" s="91">
        <f t="shared" si="1"/>
        <v>37568195</v>
      </c>
      <c r="E22" s="91">
        <f t="shared" si="1"/>
        <v>87795182</v>
      </c>
      <c r="F22" s="91">
        <f t="shared" si="1"/>
        <v>87795182</v>
      </c>
      <c r="G22" s="91">
        <f t="shared" si="1"/>
        <v>0</v>
      </c>
      <c r="H22" s="91">
        <f t="shared" si="1"/>
        <v>0</v>
      </c>
      <c r="M22" s="237"/>
      <c r="O22" s="213"/>
      <c r="R22" s="224"/>
      <c r="S22" s="224"/>
      <c r="T22" s="224"/>
      <c r="U22" s="224"/>
    </row>
    <row r="23" spans="1:21" ht="15" hidden="1">
      <c r="A23" s="238">
        <v>2</v>
      </c>
      <c r="B23" s="61" t="s">
        <v>82</v>
      </c>
      <c r="C23" s="62">
        <v>50226987</v>
      </c>
      <c r="D23" s="62">
        <f>+F23-C23</f>
        <v>37568195</v>
      </c>
      <c r="E23" s="62">
        <f>SUM(C23:D23)</f>
        <v>87795182</v>
      </c>
      <c r="F23" s="62">
        <v>87795182</v>
      </c>
      <c r="G23" s="100">
        <f>+F23-E23</f>
        <v>0</v>
      </c>
      <c r="H23" s="62">
        <v>0</v>
      </c>
      <c r="J23" s="110"/>
      <c r="M23" s="237"/>
      <c r="O23" s="213"/>
      <c r="R23" s="224"/>
      <c r="S23" s="224"/>
      <c r="T23" s="224"/>
      <c r="U23" s="224"/>
    </row>
    <row r="24" spans="1:21" ht="15" hidden="1">
      <c r="A24" s="238">
        <v>3</v>
      </c>
      <c r="B24" s="61" t="s">
        <v>83</v>
      </c>
      <c r="C24" s="100"/>
      <c r="D24" s="62">
        <f>+F24-C24</f>
        <v>0</v>
      </c>
      <c r="E24" s="62">
        <f>SUM(C24:D24)</f>
        <v>0</v>
      </c>
      <c r="F24" s="62">
        <f>+C24*1.1</f>
        <v>0</v>
      </c>
      <c r="G24" s="100">
        <f>+F24-E24</f>
        <v>0</v>
      </c>
      <c r="H24" s="62">
        <f>+E24*1.1</f>
        <v>0</v>
      </c>
      <c r="M24" s="237"/>
      <c r="O24" s="213"/>
      <c r="R24" s="224"/>
      <c r="S24" s="224"/>
      <c r="T24" s="224"/>
      <c r="U24" s="224"/>
    </row>
    <row r="25" spans="1:21" ht="15.75">
      <c r="A25" s="225" t="s">
        <v>315</v>
      </c>
      <c r="B25" s="240" t="s">
        <v>85</v>
      </c>
      <c r="C25" s="91">
        <f aca="true" t="shared" si="2" ref="C25:H25">SUM(C26:C29)</f>
        <v>8472001</v>
      </c>
      <c r="D25" s="91">
        <f t="shared" si="2"/>
        <v>-4561655.935</v>
      </c>
      <c r="E25" s="91">
        <f t="shared" si="2"/>
        <v>3910345.0650000004</v>
      </c>
      <c r="F25" s="91">
        <f>SUM(F26:F29)</f>
        <v>3910345.0650000004</v>
      </c>
      <c r="G25" s="91">
        <f t="shared" si="2"/>
        <v>0</v>
      </c>
      <c r="H25" s="91">
        <f t="shared" si="2"/>
        <v>11933309</v>
      </c>
      <c r="I25" s="23">
        <f>+H25</f>
        <v>11933309</v>
      </c>
      <c r="J25" s="239"/>
      <c r="M25" s="237"/>
      <c r="O25" s="213"/>
      <c r="R25" s="224"/>
      <c r="S25" s="224"/>
      <c r="T25" s="224"/>
      <c r="U25" s="224"/>
    </row>
    <row r="26" spans="1:21" ht="15">
      <c r="A26" s="229" t="s">
        <v>316</v>
      </c>
      <c r="B26" s="61" t="s">
        <v>86</v>
      </c>
      <c r="C26" s="62">
        <v>343200</v>
      </c>
      <c r="D26" s="62">
        <f>+F26-C26</f>
        <v>363755.04000000004</v>
      </c>
      <c r="E26" s="62">
        <f>SUM(C26:D26)</f>
        <v>706955.04</v>
      </c>
      <c r="F26" s="62">
        <f>+'[1]PARAFISCALES'!$B$4</f>
        <v>706955.04</v>
      </c>
      <c r="G26" s="100">
        <f>+F26-E26</f>
        <v>0</v>
      </c>
      <c r="H26" s="62">
        <v>478202</v>
      </c>
      <c r="J26" s="239"/>
      <c r="M26" s="237"/>
      <c r="O26" s="213"/>
      <c r="R26" s="224"/>
      <c r="S26" s="224"/>
      <c r="T26" s="224"/>
      <c r="U26" s="224"/>
    </row>
    <row r="27" spans="1:21" ht="15">
      <c r="A27" s="229" t="s">
        <v>317</v>
      </c>
      <c r="B27" s="61" t="s">
        <v>87</v>
      </c>
      <c r="C27" s="62">
        <v>7259647</v>
      </c>
      <c r="D27" s="62">
        <f>+F27-C27</f>
        <v>-5845736.92</v>
      </c>
      <c r="E27" s="62">
        <f>SUM(C27:D27)</f>
        <v>1413910.08</v>
      </c>
      <c r="F27" s="62">
        <f>+'[1]PARAFISCALES'!$B$5</f>
        <v>1413910.08</v>
      </c>
      <c r="G27" s="100">
        <f>+F27-E27</f>
        <v>0</v>
      </c>
      <c r="H27" s="62">
        <v>10065331</v>
      </c>
      <c r="O27" s="213"/>
      <c r="R27" s="224"/>
      <c r="S27" s="224"/>
      <c r="T27" s="224"/>
      <c r="U27" s="224"/>
    </row>
    <row r="28" spans="1:21" ht="15">
      <c r="A28" s="229" t="s">
        <v>318</v>
      </c>
      <c r="B28" s="61" t="s">
        <v>88</v>
      </c>
      <c r="C28" s="62">
        <v>869154</v>
      </c>
      <c r="D28" s="62">
        <f>+F28-C28</f>
        <v>920325.9450000001</v>
      </c>
      <c r="E28" s="62">
        <f>SUM(C28:D28)</f>
        <v>1789479.945</v>
      </c>
      <c r="F28" s="62">
        <f>+'[1]PARAFISCALES'!$B$6</f>
        <v>1789479.945</v>
      </c>
      <c r="G28" s="100">
        <f>+F28-E28</f>
        <v>0</v>
      </c>
      <c r="H28" s="62">
        <v>1389776</v>
      </c>
      <c r="O28" s="213"/>
      <c r="R28" s="224"/>
      <c r="S28" s="224"/>
      <c r="T28" s="224"/>
      <c r="U28" s="224"/>
    </row>
    <row r="29" spans="1:21" ht="15">
      <c r="A29" s="238"/>
      <c r="B29" s="61"/>
      <c r="C29" s="62"/>
      <c r="D29" s="62">
        <f>+F29-C29</f>
        <v>0</v>
      </c>
      <c r="E29" s="62">
        <f>SUM(C29:D29)</f>
        <v>0</v>
      </c>
      <c r="F29" s="62">
        <f>+C29*1.1</f>
        <v>0</v>
      </c>
      <c r="G29" s="100">
        <f>+F29-E29</f>
        <v>0</v>
      </c>
      <c r="H29" s="62">
        <f>+E29*1.1</f>
        <v>0</v>
      </c>
      <c r="O29" s="213"/>
      <c r="R29" s="224"/>
      <c r="S29" s="224"/>
      <c r="T29" s="224"/>
      <c r="U29" s="224"/>
    </row>
    <row r="30" spans="1:21" ht="15.75">
      <c r="A30" s="225" t="s">
        <v>319</v>
      </c>
      <c r="B30" s="240" t="s">
        <v>89</v>
      </c>
      <c r="C30" s="91">
        <f aca="true" t="shared" si="3" ref="C30:H30">SUM(C31:C37)</f>
        <v>1065948</v>
      </c>
      <c r="D30" s="91">
        <f t="shared" si="3"/>
        <v>1382826.43272</v>
      </c>
      <c r="E30" s="91">
        <f t="shared" si="3"/>
        <v>2448774.43272</v>
      </c>
      <c r="F30" s="91">
        <f t="shared" si="3"/>
        <v>2448774.43272</v>
      </c>
      <c r="G30" s="91">
        <f t="shared" si="3"/>
        <v>0</v>
      </c>
      <c r="H30" s="91">
        <f t="shared" si="3"/>
        <v>1868947</v>
      </c>
      <c r="R30" s="224"/>
      <c r="S30" s="224"/>
      <c r="T30" s="224"/>
      <c r="U30" s="224"/>
    </row>
    <row r="31" spans="1:21" ht="15">
      <c r="A31" s="229" t="s">
        <v>320</v>
      </c>
      <c r="B31" s="61" t="s">
        <v>90</v>
      </c>
      <c r="C31" s="62">
        <v>483332</v>
      </c>
      <c r="D31" s="62">
        <f aca="true" t="shared" si="4" ref="D31:D37">+F31-C31</f>
        <v>989491</v>
      </c>
      <c r="E31" s="62">
        <f aca="true" t="shared" si="5" ref="E31:E37">SUM(C31:D31)</f>
        <v>1472823</v>
      </c>
      <c r="F31" s="62">
        <f>+F14</f>
        <v>1472823</v>
      </c>
      <c r="G31" s="100">
        <f aca="true" t="shared" si="6" ref="G31:G37">+F31-E31</f>
        <v>0</v>
      </c>
      <c r="H31" s="62">
        <v>1079276</v>
      </c>
      <c r="R31" s="224"/>
      <c r="S31" s="224"/>
      <c r="T31" s="224"/>
      <c r="U31" s="224"/>
    </row>
    <row r="32" spans="1:21" ht="15">
      <c r="A32" s="229" t="s">
        <v>321</v>
      </c>
      <c r="B32" s="61" t="s">
        <v>198</v>
      </c>
      <c r="C32" s="62"/>
      <c r="D32" s="62"/>
      <c r="E32" s="62"/>
      <c r="F32" s="62"/>
      <c r="G32" s="100"/>
      <c r="H32" s="62">
        <v>129513</v>
      </c>
      <c r="R32" s="224"/>
      <c r="S32" s="224"/>
      <c r="T32" s="224"/>
      <c r="U32" s="224"/>
    </row>
    <row r="33" spans="1:21" ht="15">
      <c r="A33" s="229" t="s">
        <v>322</v>
      </c>
      <c r="B33" s="61" t="s">
        <v>91</v>
      </c>
      <c r="C33" s="62">
        <v>260400</v>
      </c>
      <c r="D33" s="62">
        <f t="shared" si="4"/>
        <v>269816.28</v>
      </c>
      <c r="E33" s="62">
        <f t="shared" si="5"/>
        <v>530216.28</v>
      </c>
      <c r="F33" s="62">
        <f>+'[1]PARAFISCALES'!$B$12</f>
        <v>530216.28</v>
      </c>
      <c r="G33" s="100">
        <f t="shared" si="6"/>
        <v>0</v>
      </c>
      <c r="H33" s="62">
        <v>358652</v>
      </c>
      <c r="R33" s="224"/>
      <c r="S33" s="224"/>
      <c r="T33" s="224"/>
      <c r="U33" s="224"/>
    </row>
    <row r="34" spans="1:21" ht="15">
      <c r="A34" s="229" t="s">
        <v>323</v>
      </c>
      <c r="B34" s="61" t="s">
        <v>92</v>
      </c>
      <c r="C34" s="62">
        <v>86200</v>
      </c>
      <c r="D34" s="62">
        <f t="shared" si="4"/>
        <v>90538.76000000001</v>
      </c>
      <c r="E34" s="62">
        <f t="shared" si="5"/>
        <v>176738.76</v>
      </c>
      <c r="F34" s="62">
        <f>+'[1]PARAFISCALES'!$B$13</f>
        <v>176738.76</v>
      </c>
      <c r="G34" s="100">
        <f t="shared" si="6"/>
        <v>0</v>
      </c>
      <c r="H34" s="62">
        <v>119551</v>
      </c>
      <c r="R34" s="224"/>
      <c r="S34" s="224"/>
      <c r="T34" s="224"/>
      <c r="U34" s="224"/>
    </row>
    <row r="35" spans="1:21" ht="15">
      <c r="A35" s="229" t="s">
        <v>324</v>
      </c>
      <c r="B35" s="61" t="s">
        <v>93</v>
      </c>
      <c r="C35" s="62">
        <v>41400</v>
      </c>
      <c r="D35" s="62">
        <f t="shared" si="4"/>
        <v>46969.380000000005</v>
      </c>
      <c r="E35" s="62">
        <f t="shared" si="5"/>
        <v>88369.38</v>
      </c>
      <c r="F35" s="62">
        <f>+'[1]PARAFISCALES'!$B$14</f>
        <v>88369.38</v>
      </c>
      <c r="G35" s="100">
        <f t="shared" si="6"/>
        <v>0</v>
      </c>
      <c r="H35" s="62">
        <v>59775</v>
      </c>
      <c r="R35" s="224"/>
      <c r="S35" s="224"/>
      <c r="T35" s="224"/>
      <c r="U35" s="224"/>
    </row>
    <row r="36" spans="1:21" ht="15">
      <c r="A36" s="229" t="s">
        <v>325</v>
      </c>
      <c r="B36" s="61" t="s">
        <v>94</v>
      </c>
      <c r="C36" s="62">
        <v>41400</v>
      </c>
      <c r="D36" s="62">
        <f t="shared" si="4"/>
        <v>46969.380000000005</v>
      </c>
      <c r="E36" s="62">
        <f t="shared" si="5"/>
        <v>88369.38</v>
      </c>
      <c r="F36" s="62">
        <f>+'[1]PARAFISCALES'!$B$15</f>
        <v>88369.38</v>
      </c>
      <c r="G36" s="100">
        <f t="shared" si="6"/>
        <v>0</v>
      </c>
      <c r="H36" s="62">
        <v>59775</v>
      </c>
      <c r="R36" s="224"/>
      <c r="S36" s="224"/>
      <c r="T36" s="224"/>
      <c r="U36" s="224"/>
    </row>
    <row r="37" spans="1:21" ht="15">
      <c r="A37" s="229" t="s">
        <v>326</v>
      </c>
      <c r="B37" s="61" t="s">
        <v>95</v>
      </c>
      <c r="C37" s="62">
        <v>153216</v>
      </c>
      <c r="D37" s="62">
        <f t="shared" si="4"/>
        <v>-60958.367280000006</v>
      </c>
      <c r="E37" s="62">
        <f t="shared" si="5"/>
        <v>92257.63272</v>
      </c>
      <c r="F37" s="62">
        <f>+'[1]PARAFISCALES'!$B$7</f>
        <v>92257.63272</v>
      </c>
      <c r="G37" s="100">
        <f t="shared" si="6"/>
        <v>0</v>
      </c>
      <c r="H37" s="62">
        <v>62405</v>
      </c>
      <c r="R37" s="224"/>
      <c r="S37" s="224"/>
      <c r="T37" s="224"/>
      <c r="U37" s="224"/>
    </row>
    <row r="38" spans="1:21" ht="15.75">
      <c r="A38" s="225" t="s">
        <v>312</v>
      </c>
      <c r="B38" s="59" t="s">
        <v>96</v>
      </c>
      <c r="C38" s="92">
        <f aca="true" t="shared" si="7" ref="C38:H38">+C39</f>
        <v>17406959</v>
      </c>
      <c r="D38" s="92">
        <f t="shared" si="7"/>
        <v>-17406959</v>
      </c>
      <c r="E38" s="92">
        <f t="shared" si="7"/>
        <v>0</v>
      </c>
      <c r="F38" s="92">
        <f t="shared" si="7"/>
        <v>0</v>
      </c>
      <c r="G38" s="92">
        <f t="shared" si="7"/>
        <v>0</v>
      </c>
      <c r="H38" s="92">
        <f t="shared" si="7"/>
        <v>15165236</v>
      </c>
      <c r="R38" s="224"/>
      <c r="S38" s="224"/>
      <c r="T38" s="224"/>
      <c r="U38" s="224"/>
    </row>
    <row r="39" spans="1:21" ht="15.75">
      <c r="A39" s="225"/>
      <c r="B39" s="226" t="s">
        <v>71</v>
      </c>
      <c r="C39" s="92">
        <f>+C40+C43+C54</f>
        <v>17406959</v>
      </c>
      <c r="D39" s="92">
        <f>+D40+D43+D54</f>
        <v>-17406959</v>
      </c>
      <c r="E39" s="92">
        <f>+E40+E43+E54</f>
        <v>0</v>
      </c>
      <c r="F39" s="92">
        <f>+F40+F43+F54</f>
        <v>0</v>
      </c>
      <c r="G39" s="92">
        <f>+G40+G43+G54</f>
        <v>0</v>
      </c>
      <c r="H39" s="92">
        <f>+H40+H43+H54+H66</f>
        <v>15165236</v>
      </c>
      <c r="R39" s="224"/>
      <c r="S39" s="224"/>
      <c r="T39" s="224"/>
      <c r="U39" s="224"/>
    </row>
    <row r="40" spans="1:21" ht="15.75">
      <c r="A40" s="225" t="s">
        <v>327</v>
      </c>
      <c r="B40" s="59" t="s">
        <v>97</v>
      </c>
      <c r="C40" s="91">
        <f aca="true" t="shared" si="8" ref="C40:H40">SUM(C41:C42)</f>
        <v>5218760</v>
      </c>
      <c r="D40" s="91">
        <f t="shared" si="8"/>
        <v>-5218760</v>
      </c>
      <c r="E40" s="91">
        <f t="shared" si="8"/>
        <v>0</v>
      </c>
      <c r="F40" s="91">
        <f t="shared" si="8"/>
        <v>0</v>
      </c>
      <c r="G40" s="91">
        <f t="shared" si="8"/>
        <v>0</v>
      </c>
      <c r="H40" s="91">
        <f t="shared" si="8"/>
        <v>1164236</v>
      </c>
      <c r="R40" s="224"/>
      <c r="S40" s="224"/>
      <c r="T40" s="224"/>
      <c r="U40" s="224"/>
    </row>
    <row r="41" spans="1:21" ht="15">
      <c r="A41" s="229" t="s">
        <v>328</v>
      </c>
      <c r="B41" s="61" t="s">
        <v>98</v>
      </c>
      <c r="C41" s="62">
        <v>4150668</v>
      </c>
      <c r="D41" s="62">
        <f>+F41-C41</f>
        <v>-4150668</v>
      </c>
      <c r="E41" s="62">
        <f>SUM(C41:D41)</f>
        <v>0</v>
      </c>
      <c r="F41" s="62">
        <v>0</v>
      </c>
      <c r="G41" s="100">
        <f>+F41-E41</f>
        <v>0</v>
      </c>
      <c r="H41" s="62">
        <v>0</v>
      </c>
      <c r="R41" s="224"/>
      <c r="S41" s="224"/>
      <c r="T41" s="224"/>
      <c r="U41" s="224"/>
    </row>
    <row r="42" spans="1:21" ht="15">
      <c r="A42" s="229" t="s">
        <v>329</v>
      </c>
      <c r="B42" s="61" t="s">
        <v>99</v>
      </c>
      <c r="C42" s="62">
        <v>1068092</v>
      </c>
      <c r="D42" s="62">
        <f>+F42-C42</f>
        <v>-1068092</v>
      </c>
      <c r="E42" s="62">
        <f>SUM(C42:D42)</f>
        <v>0</v>
      </c>
      <c r="F42" s="62">
        <v>0</v>
      </c>
      <c r="G42" s="100">
        <f>+F42-E42</f>
        <v>0</v>
      </c>
      <c r="H42" s="62">
        <v>1164236</v>
      </c>
      <c r="R42" s="224"/>
      <c r="S42" s="224"/>
      <c r="T42" s="224"/>
      <c r="U42" s="224"/>
    </row>
    <row r="43" spans="1:21" ht="15.75">
      <c r="A43" s="225" t="s">
        <v>330</v>
      </c>
      <c r="B43" s="240" t="s">
        <v>102</v>
      </c>
      <c r="C43" s="91">
        <f aca="true" t="shared" si="9" ref="C43:H43">SUM(C44:C53)</f>
        <v>12188199</v>
      </c>
      <c r="D43" s="91">
        <f t="shared" si="9"/>
        <v>-12188199</v>
      </c>
      <c r="E43" s="91">
        <f t="shared" si="9"/>
        <v>0</v>
      </c>
      <c r="F43" s="91">
        <f>SUM(F44:F53)</f>
        <v>0</v>
      </c>
      <c r="G43" s="91">
        <f t="shared" si="9"/>
        <v>0</v>
      </c>
      <c r="H43" s="91">
        <f t="shared" si="9"/>
        <v>13801000</v>
      </c>
      <c r="R43" s="224"/>
      <c r="S43" s="224"/>
      <c r="T43" s="224"/>
      <c r="U43" s="224"/>
    </row>
    <row r="44" spans="1:21" ht="15">
      <c r="A44" s="229" t="s">
        <v>331</v>
      </c>
      <c r="B44" s="61" t="s">
        <v>103</v>
      </c>
      <c r="C44" s="62">
        <v>656000</v>
      </c>
      <c r="D44" s="62">
        <f aca="true" t="shared" si="10" ref="D44:D53">+F44-C44</f>
        <v>-656000</v>
      </c>
      <c r="E44" s="62">
        <f aca="true" t="shared" si="11" ref="E44:E53">SUM(C44:D44)</f>
        <v>0</v>
      </c>
      <c r="F44" s="62">
        <v>0</v>
      </c>
      <c r="G44" s="100">
        <f aca="true" t="shared" si="12" ref="G44:G53">+F44-E44</f>
        <v>0</v>
      </c>
      <c r="H44" s="62">
        <v>0</v>
      </c>
      <c r="R44" s="224"/>
      <c r="S44" s="224"/>
      <c r="T44" s="224"/>
      <c r="U44" s="224"/>
    </row>
    <row r="45" spans="1:21" ht="15">
      <c r="A45" s="229" t="s">
        <v>332</v>
      </c>
      <c r="B45" s="61" t="s">
        <v>104</v>
      </c>
      <c r="C45" s="62">
        <v>600000</v>
      </c>
      <c r="D45" s="62">
        <f t="shared" si="10"/>
        <v>-600000</v>
      </c>
      <c r="E45" s="62">
        <f t="shared" si="11"/>
        <v>0</v>
      </c>
      <c r="F45" s="62">
        <v>0</v>
      </c>
      <c r="G45" s="100">
        <f t="shared" si="12"/>
        <v>0</v>
      </c>
      <c r="H45" s="62">
        <v>1200000</v>
      </c>
      <c r="R45" s="224"/>
      <c r="S45" s="224"/>
      <c r="T45" s="224"/>
      <c r="U45" s="224"/>
    </row>
    <row r="46" spans="1:21" ht="15">
      <c r="A46" s="229" t="s">
        <v>333</v>
      </c>
      <c r="B46" s="61" t="s">
        <v>60</v>
      </c>
      <c r="C46" s="62"/>
      <c r="D46" s="62">
        <f t="shared" si="10"/>
        <v>0</v>
      </c>
      <c r="E46" s="62">
        <f t="shared" si="11"/>
        <v>0</v>
      </c>
      <c r="F46" s="62">
        <f>+C46*1.1</f>
        <v>0</v>
      </c>
      <c r="G46" s="100">
        <f t="shared" si="12"/>
        <v>0</v>
      </c>
      <c r="H46" s="62">
        <f>+E46*1.1</f>
        <v>0</v>
      </c>
      <c r="R46" s="224"/>
      <c r="S46" s="224"/>
      <c r="T46" s="224"/>
      <c r="U46" s="224"/>
    </row>
    <row r="47" spans="1:21" ht="15">
      <c r="A47" s="229" t="s">
        <v>334</v>
      </c>
      <c r="B47" s="241" t="s">
        <v>498</v>
      </c>
      <c r="C47" s="62">
        <v>200000</v>
      </c>
      <c r="D47" s="62">
        <f t="shared" si="10"/>
        <v>-200000</v>
      </c>
      <c r="E47" s="62">
        <f t="shared" si="11"/>
        <v>0</v>
      </c>
      <c r="F47" s="62">
        <v>0</v>
      </c>
      <c r="G47" s="100">
        <f t="shared" si="12"/>
        <v>0</v>
      </c>
      <c r="H47" s="62">
        <v>0</v>
      </c>
      <c r="R47" s="224"/>
      <c r="S47" s="224"/>
      <c r="T47" s="224"/>
      <c r="U47" s="224"/>
    </row>
    <row r="48" spans="1:21" ht="15">
      <c r="A48" s="229" t="s">
        <v>335</v>
      </c>
      <c r="B48" s="61" t="s">
        <v>100</v>
      </c>
      <c r="C48" s="62">
        <v>1100000</v>
      </c>
      <c r="D48" s="62">
        <f t="shared" si="10"/>
        <v>-1100000</v>
      </c>
      <c r="E48" s="62">
        <f t="shared" si="11"/>
        <v>0</v>
      </c>
      <c r="F48" s="62">
        <v>0</v>
      </c>
      <c r="G48" s="100">
        <f t="shared" si="12"/>
        <v>0</v>
      </c>
      <c r="H48" s="62">
        <v>700000</v>
      </c>
      <c r="R48" s="224"/>
      <c r="S48" s="224"/>
      <c r="T48" s="224"/>
      <c r="U48" s="224"/>
    </row>
    <row r="49" spans="1:21" ht="15">
      <c r="A49" s="229" t="s">
        <v>336</v>
      </c>
      <c r="B49" s="61" t="s">
        <v>106</v>
      </c>
      <c r="C49" s="62">
        <v>1675000</v>
      </c>
      <c r="D49" s="62">
        <f t="shared" si="10"/>
        <v>-1675000</v>
      </c>
      <c r="E49" s="62">
        <f t="shared" si="11"/>
        <v>0</v>
      </c>
      <c r="F49" s="62">
        <v>0</v>
      </c>
      <c r="G49" s="100">
        <f t="shared" si="12"/>
        <v>0</v>
      </c>
      <c r="H49" s="62">
        <v>0</v>
      </c>
      <c r="R49" s="224"/>
      <c r="S49" s="224"/>
      <c r="T49" s="224"/>
      <c r="U49" s="224"/>
    </row>
    <row r="50" spans="1:21" ht="15">
      <c r="A50" s="229" t="s">
        <v>337</v>
      </c>
      <c r="B50" s="61" t="s">
        <v>107</v>
      </c>
      <c r="C50" s="62">
        <v>5000000</v>
      </c>
      <c r="D50" s="62">
        <f t="shared" si="10"/>
        <v>-5000000</v>
      </c>
      <c r="E50" s="62">
        <f t="shared" si="11"/>
        <v>0</v>
      </c>
      <c r="F50" s="62">
        <v>0</v>
      </c>
      <c r="G50" s="100">
        <f t="shared" si="12"/>
        <v>0</v>
      </c>
      <c r="H50" s="62">
        <v>9661000</v>
      </c>
      <c r="R50" s="224"/>
      <c r="S50" s="224"/>
      <c r="T50" s="224"/>
      <c r="U50" s="224"/>
    </row>
    <row r="51" spans="1:21" ht="15">
      <c r="A51" s="229" t="s">
        <v>338</v>
      </c>
      <c r="B51" s="61" t="s">
        <v>109</v>
      </c>
      <c r="C51" s="62">
        <v>1411920</v>
      </c>
      <c r="D51" s="62">
        <f t="shared" si="10"/>
        <v>-1411920</v>
      </c>
      <c r="E51" s="62">
        <f t="shared" si="11"/>
        <v>0</v>
      </c>
      <c r="F51" s="62">
        <v>0</v>
      </c>
      <c r="G51" s="100">
        <f t="shared" si="12"/>
        <v>0</v>
      </c>
      <c r="H51" s="62">
        <v>0</v>
      </c>
      <c r="R51" s="224"/>
      <c r="S51" s="224"/>
      <c r="T51" s="224"/>
      <c r="U51" s="224"/>
    </row>
    <row r="52" spans="1:21" ht="15">
      <c r="A52" s="229" t="s">
        <v>339</v>
      </c>
      <c r="B52" s="61" t="s">
        <v>101</v>
      </c>
      <c r="C52" s="62">
        <v>1281279</v>
      </c>
      <c r="D52" s="62">
        <f t="shared" si="10"/>
        <v>-1281279</v>
      </c>
      <c r="E52" s="62">
        <f t="shared" si="11"/>
        <v>0</v>
      </c>
      <c r="F52" s="62">
        <v>0</v>
      </c>
      <c r="G52" s="100">
        <f t="shared" si="12"/>
        <v>0</v>
      </c>
      <c r="H52" s="62">
        <v>240000</v>
      </c>
      <c r="R52" s="224"/>
      <c r="S52" s="224"/>
      <c r="T52" s="224"/>
      <c r="U52" s="224"/>
    </row>
    <row r="53" spans="1:21" ht="15">
      <c r="A53" s="229" t="s">
        <v>340</v>
      </c>
      <c r="B53" s="61" t="s">
        <v>110</v>
      </c>
      <c r="C53" s="62">
        <v>264000</v>
      </c>
      <c r="D53" s="62">
        <f t="shared" si="10"/>
        <v>-264000</v>
      </c>
      <c r="E53" s="62">
        <f t="shared" si="11"/>
        <v>0</v>
      </c>
      <c r="F53" s="62">
        <v>0</v>
      </c>
      <c r="G53" s="100">
        <f t="shared" si="12"/>
        <v>0</v>
      </c>
      <c r="H53" s="62">
        <v>2000000</v>
      </c>
      <c r="R53" s="224"/>
      <c r="S53" s="224"/>
      <c r="T53" s="224"/>
      <c r="U53" s="224"/>
    </row>
    <row r="54" spans="1:21" ht="15.75" hidden="1">
      <c r="A54" s="229"/>
      <c r="B54" s="59" t="s">
        <v>111</v>
      </c>
      <c r="C54" s="91">
        <f aca="true" t="shared" si="13" ref="C54:H54">SUM(C55)</f>
        <v>0</v>
      </c>
      <c r="D54" s="91">
        <f t="shared" si="13"/>
        <v>0</v>
      </c>
      <c r="E54" s="91">
        <f t="shared" si="13"/>
        <v>0</v>
      </c>
      <c r="F54" s="91">
        <f t="shared" si="13"/>
        <v>0</v>
      </c>
      <c r="G54" s="91">
        <f t="shared" si="13"/>
        <v>0</v>
      </c>
      <c r="H54" s="91">
        <f t="shared" si="13"/>
        <v>0</v>
      </c>
      <c r="R54" s="224"/>
      <c r="S54" s="224"/>
      <c r="T54" s="224"/>
      <c r="U54" s="224"/>
    </row>
    <row r="55" spans="1:21" ht="15.75" hidden="1">
      <c r="A55" s="242">
        <v>1</v>
      </c>
      <c r="B55" s="243" t="s">
        <v>112</v>
      </c>
      <c r="C55" s="62"/>
      <c r="D55" s="62">
        <f>+F55-C55</f>
        <v>0</v>
      </c>
      <c r="E55" s="62">
        <f>SUM(C55:D55)</f>
        <v>0</v>
      </c>
      <c r="F55" s="62">
        <f>+C55*1.1</f>
        <v>0</v>
      </c>
      <c r="G55" s="100">
        <f>+F55-E55</f>
        <v>0</v>
      </c>
      <c r="H55" s="62">
        <f>+E55*1.1</f>
        <v>0</v>
      </c>
      <c r="R55" s="224"/>
      <c r="S55" s="224"/>
      <c r="T55" s="224"/>
      <c r="U55" s="224"/>
    </row>
    <row r="56" spans="1:21" ht="15.75" hidden="1">
      <c r="A56" s="242"/>
      <c r="B56" s="240" t="s">
        <v>113</v>
      </c>
      <c r="C56" s="93">
        <f aca="true" t="shared" si="14" ref="C56:H56">+C57+C62</f>
        <v>700000</v>
      </c>
      <c r="D56" s="93">
        <f t="shared" si="14"/>
        <v>-700000</v>
      </c>
      <c r="E56" s="93">
        <f t="shared" si="14"/>
        <v>0</v>
      </c>
      <c r="F56" s="93">
        <f>+F57+F62</f>
        <v>0</v>
      </c>
      <c r="G56" s="93">
        <f t="shared" si="14"/>
        <v>0</v>
      </c>
      <c r="H56" s="93">
        <f t="shared" si="14"/>
        <v>0</v>
      </c>
      <c r="R56" s="224"/>
      <c r="S56" s="224"/>
      <c r="T56" s="224"/>
      <c r="U56" s="224"/>
    </row>
    <row r="57" spans="1:21" ht="15.75" hidden="1">
      <c r="A57" s="225"/>
      <c r="B57" s="226" t="s">
        <v>114</v>
      </c>
      <c r="C57" s="91">
        <f aca="true" t="shared" si="15" ref="C57:H57">+C58+C60</f>
        <v>0</v>
      </c>
      <c r="D57" s="91">
        <f t="shared" si="15"/>
        <v>0</v>
      </c>
      <c r="E57" s="91">
        <f t="shared" si="15"/>
        <v>0</v>
      </c>
      <c r="F57" s="91">
        <f>+F58+F60</f>
        <v>0</v>
      </c>
      <c r="G57" s="91">
        <f t="shared" si="15"/>
        <v>0</v>
      </c>
      <c r="H57" s="91">
        <f t="shared" si="15"/>
        <v>0</v>
      </c>
      <c r="R57" s="224"/>
      <c r="S57" s="224"/>
      <c r="T57" s="224"/>
      <c r="U57" s="224"/>
    </row>
    <row r="58" spans="1:21" ht="15.75" hidden="1">
      <c r="A58" s="225"/>
      <c r="B58" s="59" t="s">
        <v>115</v>
      </c>
      <c r="C58" s="91">
        <f aca="true" t="shared" si="16" ref="C58:H58">+C59</f>
        <v>0</v>
      </c>
      <c r="D58" s="91">
        <f t="shared" si="16"/>
        <v>0</v>
      </c>
      <c r="E58" s="91">
        <f t="shared" si="16"/>
        <v>0</v>
      </c>
      <c r="F58" s="91">
        <f t="shared" si="16"/>
        <v>0</v>
      </c>
      <c r="G58" s="91">
        <f t="shared" si="16"/>
        <v>0</v>
      </c>
      <c r="H58" s="91">
        <f t="shared" si="16"/>
        <v>0</v>
      </c>
      <c r="R58" s="224"/>
      <c r="S58" s="224"/>
      <c r="T58" s="224"/>
      <c r="U58" s="224"/>
    </row>
    <row r="59" spans="1:21" ht="15" hidden="1">
      <c r="A59" s="238" t="s">
        <v>73</v>
      </c>
      <c r="B59" s="243" t="s">
        <v>116</v>
      </c>
      <c r="C59" s="62"/>
      <c r="D59" s="62">
        <f>+F59-C59</f>
        <v>0</v>
      </c>
      <c r="E59" s="62">
        <f>SUM(C59:D59)</f>
        <v>0</v>
      </c>
      <c r="F59" s="62">
        <f>+C59*1.1</f>
        <v>0</v>
      </c>
      <c r="G59" s="100">
        <f>+F59-E59</f>
        <v>0</v>
      </c>
      <c r="H59" s="62">
        <f>+E59*1.1</f>
        <v>0</v>
      </c>
      <c r="R59" s="224"/>
      <c r="S59" s="224"/>
      <c r="T59" s="224"/>
      <c r="U59" s="224"/>
    </row>
    <row r="60" spans="1:21" ht="15.75" hidden="1">
      <c r="A60" s="242"/>
      <c r="B60" s="226" t="s">
        <v>117</v>
      </c>
      <c r="C60" s="91">
        <f aca="true" t="shared" si="17" ref="C60:H60">+C61</f>
        <v>0</v>
      </c>
      <c r="D60" s="91">
        <f t="shared" si="17"/>
        <v>0</v>
      </c>
      <c r="E60" s="91">
        <f t="shared" si="17"/>
        <v>0</v>
      </c>
      <c r="F60" s="91">
        <f t="shared" si="17"/>
        <v>0</v>
      </c>
      <c r="G60" s="91">
        <f t="shared" si="17"/>
        <v>0</v>
      </c>
      <c r="H60" s="91">
        <f t="shared" si="17"/>
        <v>0</v>
      </c>
      <c r="R60" s="224"/>
      <c r="S60" s="224"/>
      <c r="T60" s="224"/>
      <c r="U60" s="224"/>
    </row>
    <row r="61" spans="1:21" ht="15" hidden="1">
      <c r="A61" s="238" t="s">
        <v>73</v>
      </c>
      <c r="B61" s="243" t="s">
        <v>117</v>
      </c>
      <c r="C61" s="62"/>
      <c r="D61" s="62">
        <f>+F61-C61</f>
        <v>0</v>
      </c>
      <c r="E61" s="62">
        <f>SUM(C61:D61)</f>
        <v>0</v>
      </c>
      <c r="F61" s="62">
        <f>+C61*1.1</f>
        <v>0</v>
      </c>
      <c r="G61" s="100">
        <f>+F61-E61</f>
        <v>0</v>
      </c>
      <c r="H61" s="62">
        <f>+E61*1.1</f>
        <v>0</v>
      </c>
      <c r="R61" s="224"/>
      <c r="S61" s="224"/>
      <c r="T61" s="224"/>
      <c r="U61" s="224"/>
    </row>
    <row r="62" spans="1:21" ht="15.75" hidden="1">
      <c r="A62" s="242"/>
      <c r="B62" s="226" t="s">
        <v>118</v>
      </c>
      <c r="C62" s="91">
        <f aca="true" t="shared" si="18" ref="C62:H62">+C63</f>
        <v>700000</v>
      </c>
      <c r="D62" s="91">
        <f t="shared" si="18"/>
        <v>-700000</v>
      </c>
      <c r="E62" s="91">
        <f t="shared" si="18"/>
        <v>0</v>
      </c>
      <c r="F62" s="91">
        <f t="shared" si="18"/>
        <v>0</v>
      </c>
      <c r="G62" s="91">
        <f t="shared" si="18"/>
        <v>0</v>
      </c>
      <c r="H62" s="91">
        <f t="shared" si="18"/>
        <v>0</v>
      </c>
      <c r="R62" s="224"/>
      <c r="S62" s="224"/>
      <c r="T62" s="224"/>
      <c r="U62" s="224"/>
    </row>
    <row r="63" spans="1:21" ht="15.75" hidden="1">
      <c r="A63" s="225"/>
      <c r="B63" s="226" t="s">
        <v>119</v>
      </c>
      <c r="C63" s="91">
        <f aca="true" t="shared" si="19" ref="C63:H63">SUM(C64:C65)</f>
        <v>700000</v>
      </c>
      <c r="D63" s="91">
        <f t="shared" si="19"/>
        <v>-700000</v>
      </c>
      <c r="E63" s="91">
        <f t="shared" si="19"/>
        <v>0</v>
      </c>
      <c r="F63" s="91">
        <f>SUM(F64:F65)</f>
        <v>0</v>
      </c>
      <c r="G63" s="91">
        <f t="shared" si="19"/>
        <v>0</v>
      </c>
      <c r="H63" s="91">
        <f t="shared" si="19"/>
        <v>0</v>
      </c>
      <c r="R63" s="224"/>
      <c r="S63" s="224"/>
      <c r="T63" s="224"/>
      <c r="U63" s="224"/>
    </row>
    <row r="64" spans="1:21" ht="15" hidden="1">
      <c r="A64" s="238" t="s">
        <v>108</v>
      </c>
      <c r="B64" s="243" t="s">
        <v>120</v>
      </c>
      <c r="C64" s="244"/>
      <c r="D64" s="62">
        <f>+F64-C64</f>
        <v>0</v>
      </c>
      <c r="E64" s="62">
        <f>SUM(C64:D64)</f>
        <v>0</v>
      </c>
      <c r="F64" s="62">
        <f>+C64*1.1</f>
        <v>0</v>
      </c>
      <c r="G64" s="100">
        <f>+F64-E64</f>
        <v>0</v>
      </c>
      <c r="H64" s="62">
        <f>+E64*1.1</f>
        <v>0</v>
      </c>
      <c r="R64" s="224"/>
      <c r="S64" s="224"/>
      <c r="T64" s="224"/>
      <c r="U64" s="224"/>
    </row>
    <row r="65" spans="1:21" ht="15" hidden="1">
      <c r="A65" s="238">
        <v>1</v>
      </c>
      <c r="B65" s="243" t="s">
        <v>121</v>
      </c>
      <c r="C65" s="100">
        <v>700000</v>
      </c>
      <c r="D65" s="62">
        <f>+F65-C65</f>
        <v>-700000</v>
      </c>
      <c r="E65" s="62">
        <f>SUM(C65:D65)</f>
        <v>0</v>
      </c>
      <c r="F65" s="62">
        <v>0</v>
      </c>
      <c r="G65" s="100">
        <f>+F65-E65</f>
        <v>0</v>
      </c>
      <c r="H65" s="62">
        <v>0</v>
      </c>
      <c r="R65" s="224"/>
      <c r="S65" s="224"/>
      <c r="T65" s="224"/>
      <c r="U65" s="224"/>
    </row>
    <row r="66" spans="1:21" ht="15.75">
      <c r="A66" s="229" t="s">
        <v>341</v>
      </c>
      <c r="B66" s="226" t="s">
        <v>213</v>
      </c>
      <c r="C66" s="100"/>
      <c r="D66" s="62"/>
      <c r="E66" s="62"/>
      <c r="F66" s="62"/>
      <c r="G66" s="100"/>
      <c r="H66" s="91">
        <f>+H67</f>
        <v>200000</v>
      </c>
      <c r="R66" s="224"/>
      <c r="S66" s="224"/>
      <c r="T66" s="224"/>
      <c r="U66" s="224"/>
    </row>
    <row r="67" spans="1:21" ht="15.75">
      <c r="A67" s="238"/>
      <c r="B67" s="226" t="s">
        <v>214</v>
      </c>
      <c r="C67" s="100"/>
      <c r="D67" s="62"/>
      <c r="E67" s="62"/>
      <c r="F67" s="62"/>
      <c r="G67" s="100"/>
      <c r="H67" s="91">
        <f>+H68</f>
        <v>200000</v>
      </c>
      <c r="R67" s="224"/>
      <c r="S67" s="224"/>
      <c r="T67" s="224"/>
      <c r="U67" s="224"/>
    </row>
    <row r="68" spans="1:21" ht="15">
      <c r="A68" s="229" t="s">
        <v>342</v>
      </c>
      <c r="B68" s="243" t="s">
        <v>121</v>
      </c>
      <c r="C68" s="100"/>
      <c r="D68" s="62"/>
      <c r="E68" s="62"/>
      <c r="F68" s="62"/>
      <c r="G68" s="100"/>
      <c r="H68" s="62">
        <v>200000</v>
      </c>
      <c r="J68" s="110"/>
      <c r="R68" s="224"/>
      <c r="S68" s="224"/>
      <c r="T68" s="224"/>
      <c r="U68" s="224"/>
    </row>
    <row r="69" spans="1:21" ht="15.75">
      <c r="A69" s="242"/>
      <c r="B69" s="226" t="s">
        <v>343</v>
      </c>
      <c r="C69" s="91">
        <f aca="true" t="shared" si="20" ref="C69:H69">+C10+C38+C56</f>
        <v>85926895</v>
      </c>
      <c r="D69" s="91">
        <f t="shared" si="20"/>
        <v>27374105.497719996</v>
      </c>
      <c r="E69" s="91">
        <f t="shared" si="20"/>
        <v>113301000.49772</v>
      </c>
      <c r="F69" s="91">
        <f t="shared" si="20"/>
        <v>113301000.49772</v>
      </c>
      <c r="G69" s="91">
        <f t="shared" si="20"/>
        <v>0</v>
      </c>
      <c r="H69" s="91">
        <f t="shared" si="20"/>
        <v>128778495.3</v>
      </c>
      <c r="I69" s="245">
        <f>+M72+J69</f>
        <v>128778585.13439319</v>
      </c>
      <c r="J69" s="246">
        <f>+ingresos2008!H192*1.5%</f>
        <v>43341296.83439318</v>
      </c>
      <c r="L69" s="117" t="s">
        <v>524</v>
      </c>
      <c r="M69" s="23">
        <v>2404426.5</v>
      </c>
      <c r="N69" s="23">
        <v>2289989</v>
      </c>
      <c r="R69" s="224"/>
      <c r="S69" s="224"/>
      <c r="T69" s="224"/>
      <c r="U69" s="224"/>
    </row>
    <row r="70" spans="1:21" ht="15.75">
      <c r="A70" s="247"/>
      <c r="B70" s="248"/>
      <c r="C70" s="94"/>
      <c r="D70" s="94"/>
      <c r="E70" s="94"/>
      <c r="F70" s="94"/>
      <c r="G70" s="94"/>
      <c r="H70" s="94"/>
      <c r="I70" s="23">
        <f>+I69-H69</f>
        <v>89.83439318835735</v>
      </c>
      <c r="J70" s="249">
        <f>+M72</f>
        <v>85437288.3</v>
      </c>
      <c r="L70" s="117">
        <f>+J70-K70</f>
        <v>85437288.3</v>
      </c>
      <c r="M70" s="23">
        <f>+M69/30</f>
        <v>80147.55</v>
      </c>
      <c r="N70" s="23">
        <f>+N69/30</f>
        <v>76332.96666666666</v>
      </c>
      <c r="R70" s="224"/>
      <c r="S70" s="224"/>
      <c r="T70" s="224"/>
      <c r="U70" s="224"/>
    </row>
    <row r="71" spans="1:21" ht="19.5" customHeight="1">
      <c r="A71" s="250" t="s">
        <v>345</v>
      </c>
      <c r="B71" s="222" t="s">
        <v>344</v>
      </c>
      <c r="C71" s="95"/>
      <c r="D71" s="95"/>
      <c r="E71" s="95"/>
      <c r="F71" s="95"/>
      <c r="G71" s="95"/>
      <c r="H71" s="95"/>
      <c r="I71" s="23">
        <v>105856296</v>
      </c>
      <c r="J71" s="251">
        <f>SUM(J69:J70)</f>
        <v>128778585.13439319</v>
      </c>
      <c r="L71" s="117"/>
      <c r="M71" s="23">
        <f>+M70*13</f>
        <v>1041918.15</v>
      </c>
      <c r="N71" s="23">
        <f>+N70*13</f>
        <v>992328.5666666665</v>
      </c>
      <c r="R71" s="224"/>
      <c r="S71" s="224"/>
      <c r="T71" s="224"/>
      <c r="U71" s="224"/>
    </row>
    <row r="72" spans="1:21" ht="19.5" customHeight="1">
      <c r="A72" s="225" t="s">
        <v>346</v>
      </c>
      <c r="B72" s="226" t="s">
        <v>70</v>
      </c>
      <c r="C72" s="92" t="e">
        <f aca="true" t="shared" si="21" ref="C72:H72">+C73</f>
        <v>#REF!</v>
      </c>
      <c r="D72" s="92" t="e">
        <f t="shared" si="21"/>
        <v>#REF!</v>
      </c>
      <c r="E72" s="92" t="e">
        <f t="shared" si="21"/>
        <v>#REF!</v>
      </c>
      <c r="F72" s="92" t="e">
        <f t="shared" si="21"/>
        <v>#REF!</v>
      </c>
      <c r="G72" s="92" t="e">
        <f t="shared" si="21"/>
        <v>#REF!</v>
      </c>
      <c r="H72" s="92">
        <f t="shared" si="21"/>
        <v>62429687</v>
      </c>
      <c r="I72" s="23">
        <f>+I71-I69</f>
        <v>-22922289.134393185</v>
      </c>
      <c r="L72" s="117"/>
      <c r="M72" s="23">
        <f>+M71*82</f>
        <v>85437288.3</v>
      </c>
      <c r="N72" s="23">
        <f>+N71*82</f>
        <v>81370942.46666665</v>
      </c>
      <c r="R72" s="224"/>
      <c r="S72" s="224"/>
      <c r="T72" s="224"/>
      <c r="U72" s="224"/>
    </row>
    <row r="73" spans="1:21" ht="19.5" customHeight="1">
      <c r="A73" s="225" t="s">
        <v>347</v>
      </c>
      <c r="B73" s="226" t="s">
        <v>71</v>
      </c>
      <c r="C73" s="92" t="e">
        <f>+C74+#REF!+C82+C86</f>
        <v>#REF!</v>
      </c>
      <c r="D73" s="92" t="e">
        <f>+D74+#REF!+D82+D86</f>
        <v>#REF!</v>
      </c>
      <c r="E73" s="92" t="e">
        <f>+E74+#REF!+E82+E86</f>
        <v>#REF!</v>
      </c>
      <c r="F73" s="92" t="e">
        <f>+F74+#REF!+F82+F86</f>
        <v>#REF!</v>
      </c>
      <c r="G73" s="92" t="e">
        <f>+G74+#REF!+G82+G86</f>
        <v>#REF!</v>
      </c>
      <c r="H73" s="92">
        <f>+H74+H82+H86</f>
        <v>62429687</v>
      </c>
      <c r="L73" s="117"/>
      <c r="R73" s="224"/>
      <c r="S73" s="224"/>
      <c r="T73" s="224"/>
      <c r="U73" s="224"/>
    </row>
    <row r="74" spans="1:21" ht="19.5" customHeight="1">
      <c r="A74" s="225" t="s">
        <v>347</v>
      </c>
      <c r="B74" s="226" t="s">
        <v>72</v>
      </c>
      <c r="C74" s="91">
        <f>SUM(C75:C80)</f>
        <v>20788432</v>
      </c>
      <c r="D74" s="91">
        <f>SUM(D75:D80)</f>
        <v>25044395.093000002</v>
      </c>
      <c r="E74" s="91">
        <f>SUM(E75:E80)</f>
        <v>45832827.093</v>
      </c>
      <c r="F74" s="91">
        <f>SUM(F75:F80)</f>
        <v>45832827.093</v>
      </c>
      <c r="G74" s="91">
        <f>SUM(G75:G80)</f>
        <v>0</v>
      </c>
      <c r="H74" s="91">
        <f>SUM(H75:H81)</f>
        <v>46960434</v>
      </c>
      <c r="R74" s="224"/>
      <c r="S74" s="224"/>
      <c r="T74" s="224"/>
      <c r="U74" s="224"/>
    </row>
    <row r="75" spans="1:21" ht="19.5" customHeight="1">
      <c r="A75" s="229" t="s">
        <v>348</v>
      </c>
      <c r="B75" s="61" t="s">
        <v>74</v>
      </c>
      <c r="C75" s="62">
        <v>20620348</v>
      </c>
      <c r="D75" s="62">
        <f>+F75-C75</f>
        <v>19335273.932000004</v>
      </c>
      <c r="E75" s="62">
        <f>SUM(C75:D75)</f>
        <v>39955621.932000004</v>
      </c>
      <c r="F75" s="62">
        <f>+'[1]PRESUPUESTO'!$L$15-391500</f>
        <v>39955621.932000004</v>
      </c>
      <c r="G75" s="100">
        <f>+F75-E75</f>
        <v>0</v>
      </c>
      <c r="H75" s="62">
        <v>38662262</v>
      </c>
      <c r="I75" s="295">
        <f>22922199+5900000+9700000</f>
        <v>38522199</v>
      </c>
      <c r="R75" s="224"/>
      <c r="S75" s="224"/>
      <c r="T75" s="224"/>
      <c r="U75" s="224"/>
    </row>
    <row r="76" spans="1:21" ht="19.5" customHeight="1">
      <c r="A76" s="229" t="s">
        <v>349</v>
      </c>
      <c r="B76" s="61" t="s">
        <v>122</v>
      </c>
      <c r="C76" s="62">
        <v>168084</v>
      </c>
      <c r="D76" s="62">
        <f>+F76-C76</f>
        <v>223416</v>
      </c>
      <c r="E76" s="62">
        <f>SUM(C76:D76)</f>
        <v>391500</v>
      </c>
      <c r="F76" s="62">
        <v>391500</v>
      </c>
      <c r="G76" s="100">
        <f>+F76-E76</f>
        <v>0</v>
      </c>
      <c r="H76" s="62">
        <v>682800</v>
      </c>
      <c r="R76" s="224"/>
      <c r="S76" s="224"/>
      <c r="T76" s="224"/>
      <c r="U76" s="224"/>
    </row>
    <row r="77" spans="1:21" ht="19.5" customHeight="1">
      <c r="A77" s="229" t="s">
        <v>350</v>
      </c>
      <c r="B77" s="61" t="s">
        <v>577</v>
      </c>
      <c r="C77" s="62"/>
      <c r="D77" s="62"/>
      <c r="E77" s="62"/>
      <c r="F77" s="62"/>
      <c r="G77" s="100"/>
      <c r="H77" s="62">
        <v>447451</v>
      </c>
      <c r="R77" s="224"/>
      <c r="S77" s="224"/>
      <c r="T77" s="224"/>
      <c r="U77" s="224"/>
    </row>
    <row r="78" spans="1:21" ht="19.5" customHeight="1">
      <c r="A78" s="229" t="s">
        <v>351</v>
      </c>
      <c r="B78" s="61" t="s">
        <v>78</v>
      </c>
      <c r="C78" s="62"/>
      <c r="D78" s="62">
        <f>+F78-C78</f>
        <v>3362260.1610000003</v>
      </c>
      <c r="E78" s="62">
        <f>SUM(C78:D78)</f>
        <v>3362260.1610000003</v>
      </c>
      <c r="F78" s="62">
        <f>+'[1]PRESUPUESTO'!$K$15</f>
        <v>3362260.1610000003</v>
      </c>
      <c r="G78" s="100">
        <f>+F78-E78</f>
        <v>0</v>
      </c>
      <c r="H78" s="62">
        <v>3316043</v>
      </c>
      <c r="R78" s="224"/>
      <c r="S78" s="224"/>
      <c r="T78" s="224"/>
      <c r="U78" s="224"/>
    </row>
    <row r="79" spans="1:21" ht="19.5" customHeight="1">
      <c r="A79" s="229" t="s">
        <v>578</v>
      </c>
      <c r="B79" s="61" t="s">
        <v>79</v>
      </c>
      <c r="C79" s="62"/>
      <c r="D79" s="62">
        <f>+F79-C79</f>
        <v>0</v>
      </c>
      <c r="E79" s="62">
        <f>SUM(C79:D79)</f>
        <v>0</v>
      </c>
      <c r="F79" s="62">
        <f>+C79*1.1</f>
        <v>0</v>
      </c>
      <c r="G79" s="100">
        <f>+F79-E79</f>
        <v>0</v>
      </c>
      <c r="H79" s="62">
        <f>2851878/2</f>
        <v>1425939</v>
      </c>
      <c r="R79" s="224"/>
      <c r="S79" s="224"/>
      <c r="T79" s="224"/>
      <c r="U79" s="224"/>
    </row>
    <row r="80" spans="1:21" ht="19.5" customHeight="1">
      <c r="A80" s="229" t="s">
        <v>579</v>
      </c>
      <c r="B80" s="61" t="s">
        <v>197</v>
      </c>
      <c r="C80" s="62"/>
      <c r="D80" s="62">
        <f>+F80-C80</f>
        <v>2123445</v>
      </c>
      <c r="E80" s="62">
        <f>SUM(C80:D80)</f>
        <v>2123445</v>
      </c>
      <c r="F80" s="62">
        <f>3137552/2+554669</f>
        <v>2123445</v>
      </c>
      <c r="G80" s="100">
        <f>+F80-E80</f>
        <v>0</v>
      </c>
      <c r="H80" s="62">
        <v>1425939</v>
      </c>
      <c r="R80" s="224"/>
      <c r="S80" s="224"/>
      <c r="T80" s="224"/>
      <c r="U80" s="224"/>
    </row>
    <row r="81" spans="1:21" ht="19.5" customHeight="1">
      <c r="A81" s="229" t="s">
        <v>580</v>
      </c>
      <c r="B81" s="61" t="s">
        <v>201</v>
      </c>
      <c r="C81" s="62"/>
      <c r="D81" s="62"/>
      <c r="E81" s="62"/>
      <c r="F81" s="62"/>
      <c r="G81" s="100"/>
      <c r="H81" s="62">
        <v>1000000</v>
      </c>
      <c r="R81" s="224"/>
      <c r="S81" s="224"/>
      <c r="T81" s="224"/>
      <c r="U81" s="224"/>
    </row>
    <row r="82" spans="1:21" ht="19.5" customHeight="1">
      <c r="A82" s="225" t="s">
        <v>352</v>
      </c>
      <c r="B82" s="252" t="s">
        <v>228</v>
      </c>
      <c r="C82" s="91">
        <f aca="true" t="shared" si="22" ref="C82:H82">SUM(C83:C85)</f>
        <v>3625016</v>
      </c>
      <c r="D82" s="91">
        <f t="shared" si="22"/>
        <v>5301784.727455001</v>
      </c>
      <c r="E82" s="91">
        <f t="shared" si="22"/>
        <v>8926800.727455001</v>
      </c>
      <c r="F82" s="91">
        <f t="shared" si="22"/>
        <v>8926800.727455001</v>
      </c>
      <c r="G82" s="91">
        <f t="shared" si="22"/>
        <v>0</v>
      </c>
      <c r="H82" s="91">
        <f t="shared" si="22"/>
        <v>9327270</v>
      </c>
      <c r="R82" s="224"/>
      <c r="S82" s="224"/>
      <c r="T82" s="224"/>
      <c r="U82" s="224"/>
    </row>
    <row r="83" spans="1:21" ht="19.5" customHeight="1">
      <c r="A83" s="229" t="s">
        <v>353</v>
      </c>
      <c r="B83" s="61" t="s">
        <v>86</v>
      </c>
      <c r="C83" s="62">
        <v>220908</v>
      </c>
      <c r="D83" s="62">
        <f>+F83-C83</f>
        <v>1392976.8772800001</v>
      </c>
      <c r="E83" s="62">
        <f>SUM(C83:D83)</f>
        <v>1613884.8772800001</v>
      </c>
      <c r="F83" s="62">
        <f>+'[1]PARAFISCALES'!$B$21</f>
        <v>1613884.8772800001</v>
      </c>
      <c r="G83" s="100">
        <f>+F83-E83</f>
        <v>0</v>
      </c>
      <c r="H83" s="62">
        <v>1546490</v>
      </c>
      <c r="R83" s="224"/>
      <c r="S83" s="224"/>
      <c r="T83" s="224"/>
      <c r="U83" s="224"/>
    </row>
    <row r="84" spans="1:21" ht="19.5" customHeight="1">
      <c r="A84" s="229" t="s">
        <v>354</v>
      </c>
      <c r="B84" s="61" t="s">
        <v>87</v>
      </c>
      <c r="C84" s="62">
        <v>1500368</v>
      </c>
      <c r="D84" s="62">
        <f>+F84-C84</f>
        <v>1727401.7545600003</v>
      </c>
      <c r="E84" s="62">
        <f>SUM(C84:D84)</f>
        <v>3227769.7545600003</v>
      </c>
      <c r="F84" s="62">
        <f>+'[1]PARAFISCALES'!$B$22</f>
        <v>3227769.7545600003</v>
      </c>
      <c r="G84" s="100">
        <f>+F84-E84</f>
        <v>0</v>
      </c>
      <c r="H84" s="62">
        <v>3286292</v>
      </c>
      <c r="R84" s="224"/>
      <c r="S84" s="224"/>
      <c r="T84" s="224"/>
      <c r="U84" s="224"/>
    </row>
    <row r="85" spans="1:21" ht="19.5" customHeight="1">
      <c r="A85" s="229" t="s">
        <v>355</v>
      </c>
      <c r="B85" s="61" t="s">
        <v>88</v>
      </c>
      <c r="C85" s="62">
        <v>1903740</v>
      </c>
      <c r="D85" s="62">
        <f>+F85-C85</f>
        <v>2181406.0956150005</v>
      </c>
      <c r="E85" s="62">
        <f>SUM(C85:D85)</f>
        <v>4085146.0956150005</v>
      </c>
      <c r="F85" s="62">
        <f>+'[1]PARAFISCALES'!$B$23</f>
        <v>4085146.0956150005</v>
      </c>
      <c r="G85" s="100">
        <f>+F85-E85</f>
        <v>0</v>
      </c>
      <c r="H85" s="62">
        <v>4494488</v>
      </c>
      <c r="R85" s="224"/>
      <c r="S85" s="224"/>
      <c r="T85" s="224"/>
      <c r="U85" s="224"/>
    </row>
    <row r="86" spans="1:21" ht="19.5" customHeight="1">
      <c r="A86" s="225" t="s">
        <v>356</v>
      </c>
      <c r="B86" s="252" t="s">
        <v>228</v>
      </c>
      <c r="C86" s="91">
        <f aca="true" t="shared" si="23" ref="C86:H86">SUM(C87:C93)</f>
        <v>589079</v>
      </c>
      <c r="D86" s="91">
        <f t="shared" si="23"/>
        <v>6804595.073085039</v>
      </c>
      <c r="E86" s="91">
        <f t="shared" si="23"/>
        <v>7393674.073085039</v>
      </c>
      <c r="F86" s="91">
        <f t="shared" si="23"/>
        <v>7393674.073085039</v>
      </c>
      <c r="G86" s="91">
        <f t="shared" si="23"/>
        <v>0</v>
      </c>
      <c r="H86" s="91">
        <f t="shared" si="23"/>
        <v>6141983</v>
      </c>
      <c r="R86" s="224"/>
      <c r="S86" s="224"/>
      <c r="T86" s="224"/>
      <c r="U86" s="224"/>
    </row>
    <row r="87" spans="1:21" ht="19.5" customHeight="1">
      <c r="A87" s="229" t="s">
        <v>357</v>
      </c>
      <c r="B87" s="61" t="s">
        <v>90</v>
      </c>
      <c r="C87" s="62"/>
      <c r="D87" s="62">
        <f aca="true" t="shared" si="24" ref="D87:D93">+F87-C87</f>
        <v>5165706</v>
      </c>
      <c r="E87" s="62">
        <f aca="true" t="shared" si="25" ref="E87:E93">SUM(C87:D87)</f>
        <v>5165706</v>
      </c>
      <c r="F87" s="62">
        <v>5165706</v>
      </c>
      <c r="G87" s="100">
        <f aca="true" t="shared" si="26" ref="G87:G93">+F87-E87</f>
        <v>0</v>
      </c>
      <c r="H87" s="62">
        <v>3577726</v>
      </c>
      <c r="R87" s="224"/>
      <c r="S87" s="224"/>
      <c r="T87" s="224"/>
      <c r="U87" s="224"/>
    </row>
    <row r="88" spans="1:21" ht="19.5" customHeight="1">
      <c r="A88" s="229" t="s">
        <v>358</v>
      </c>
      <c r="B88" s="61" t="s">
        <v>199</v>
      </c>
      <c r="C88" s="62"/>
      <c r="D88" s="62"/>
      <c r="E88" s="62"/>
      <c r="F88" s="62"/>
      <c r="G88" s="100"/>
      <c r="H88" s="62">
        <v>429327</v>
      </c>
      <c r="R88" s="224"/>
      <c r="S88" s="224"/>
      <c r="T88" s="224"/>
      <c r="U88" s="224"/>
    </row>
    <row r="89" spans="1:21" ht="19.5" customHeight="1">
      <c r="A89" s="229" t="s">
        <v>359</v>
      </c>
      <c r="B89" s="61" t="s">
        <v>91</v>
      </c>
      <c r="C89" s="62">
        <v>165681</v>
      </c>
      <c r="D89" s="62">
        <f t="shared" si="24"/>
        <v>1044732.65796</v>
      </c>
      <c r="E89" s="62">
        <f t="shared" si="25"/>
        <v>1210413.65796</v>
      </c>
      <c r="F89" s="62">
        <f>+'[1]PARAFISCALES'!$B$28</f>
        <v>1210413.65796</v>
      </c>
      <c r="G89" s="100">
        <f t="shared" si="26"/>
        <v>0</v>
      </c>
      <c r="H89" s="62">
        <v>1159868</v>
      </c>
      <c r="R89" s="224"/>
      <c r="S89" s="224"/>
      <c r="T89" s="224"/>
      <c r="U89" s="224"/>
    </row>
    <row r="90" spans="1:21" ht="19.5" customHeight="1">
      <c r="A90" s="229" t="s">
        <v>360</v>
      </c>
      <c r="B90" s="61" t="s">
        <v>92</v>
      </c>
      <c r="C90" s="62">
        <v>55227</v>
      </c>
      <c r="D90" s="62">
        <f t="shared" si="24"/>
        <v>348244.21932000003</v>
      </c>
      <c r="E90" s="62">
        <f t="shared" si="25"/>
        <v>403471.21932000003</v>
      </c>
      <c r="F90" s="62">
        <f>+'[1]PARAFISCALES'!$B$29</f>
        <v>403471.21932000003</v>
      </c>
      <c r="G90" s="100">
        <f t="shared" si="26"/>
        <v>0</v>
      </c>
      <c r="H90" s="62">
        <v>386623</v>
      </c>
      <c r="R90" s="224"/>
      <c r="S90" s="224"/>
      <c r="T90" s="224"/>
      <c r="U90" s="224"/>
    </row>
    <row r="91" spans="1:21" ht="19.5" customHeight="1">
      <c r="A91" s="229" t="s">
        <v>361</v>
      </c>
      <c r="B91" s="61" t="s">
        <v>93</v>
      </c>
      <c r="C91" s="62">
        <v>27614</v>
      </c>
      <c r="D91" s="62">
        <f t="shared" si="24"/>
        <v>174121.60966000002</v>
      </c>
      <c r="E91" s="62">
        <f t="shared" si="25"/>
        <v>201735.60966000002</v>
      </c>
      <c r="F91" s="62">
        <f>+'[1]PARAFISCALES'!$B$30</f>
        <v>201735.60966000002</v>
      </c>
      <c r="G91" s="100">
        <f t="shared" si="26"/>
        <v>0</v>
      </c>
      <c r="H91" s="62">
        <v>193311</v>
      </c>
      <c r="R91" s="224"/>
      <c r="S91" s="224"/>
      <c r="T91" s="224"/>
      <c r="U91" s="224"/>
    </row>
    <row r="92" spans="1:21" ht="19.5" customHeight="1">
      <c r="A92" s="229" t="s">
        <v>362</v>
      </c>
      <c r="B92" s="61" t="s">
        <v>94</v>
      </c>
      <c r="C92" s="62">
        <v>27614</v>
      </c>
      <c r="D92" s="62">
        <f t="shared" si="24"/>
        <v>174121.60966000002</v>
      </c>
      <c r="E92" s="62">
        <f t="shared" si="25"/>
        <v>201735.60966000002</v>
      </c>
      <c r="F92" s="62">
        <f>+'[1]PARAFISCALES'!$B$31</f>
        <v>201735.60966000002</v>
      </c>
      <c r="G92" s="100">
        <f t="shared" si="26"/>
        <v>0</v>
      </c>
      <c r="H92" s="62">
        <v>193311</v>
      </c>
      <c r="R92" s="224"/>
      <c r="S92" s="224"/>
      <c r="T92" s="224"/>
      <c r="U92" s="224"/>
    </row>
    <row r="93" spans="1:21" ht="19.5" customHeight="1">
      <c r="A93" s="229" t="s">
        <v>363</v>
      </c>
      <c r="B93" s="61" t="s">
        <v>95</v>
      </c>
      <c r="C93" s="62">
        <v>312943</v>
      </c>
      <c r="D93" s="62">
        <f t="shared" si="24"/>
        <v>-102331.02351495999</v>
      </c>
      <c r="E93" s="62">
        <f t="shared" si="25"/>
        <v>210611.97648504</v>
      </c>
      <c r="F93" s="62">
        <f>+'[1]PARAFISCALES'!$B$24</f>
        <v>210611.97648504</v>
      </c>
      <c r="G93" s="100">
        <f t="shared" si="26"/>
        <v>0</v>
      </c>
      <c r="H93" s="62">
        <v>201817</v>
      </c>
      <c r="R93" s="224"/>
      <c r="S93" s="224"/>
      <c r="T93" s="224"/>
      <c r="U93" s="224"/>
    </row>
    <row r="94" spans="1:21" ht="19.5" customHeight="1">
      <c r="A94" s="225" t="s">
        <v>364</v>
      </c>
      <c r="B94" s="59" t="s">
        <v>96</v>
      </c>
      <c r="C94" s="92" t="e">
        <f>+#REF!</f>
        <v>#REF!</v>
      </c>
      <c r="D94" s="92" t="e">
        <f>+#REF!</f>
        <v>#REF!</v>
      </c>
      <c r="E94" s="92" t="e">
        <f>+#REF!</f>
        <v>#REF!</v>
      </c>
      <c r="F94" s="92" t="e">
        <f>+#REF!</f>
        <v>#REF!</v>
      </c>
      <c r="G94" s="92" t="e">
        <f>+#REF!</f>
        <v>#REF!</v>
      </c>
      <c r="H94" s="92">
        <f>+H95+H98</f>
        <v>6917074</v>
      </c>
      <c r="I94" s="253"/>
      <c r="R94" s="224"/>
      <c r="S94" s="224"/>
      <c r="T94" s="224"/>
      <c r="U94" s="224"/>
    </row>
    <row r="95" spans="1:21" ht="19.5" customHeight="1">
      <c r="A95" s="225" t="s">
        <v>365</v>
      </c>
      <c r="B95" s="59" t="s">
        <v>97</v>
      </c>
      <c r="C95" s="91">
        <f aca="true" t="shared" si="27" ref="C95:H95">SUM(C96:C97)</f>
        <v>0</v>
      </c>
      <c r="D95" s="91">
        <f t="shared" si="27"/>
        <v>8000000</v>
      </c>
      <c r="E95" s="91">
        <f t="shared" si="27"/>
        <v>8000000</v>
      </c>
      <c r="F95" s="91">
        <f t="shared" si="27"/>
        <v>8000000</v>
      </c>
      <c r="G95" s="91">
        <f t="shared" si="27"/>
        <v>0</v>
      </c>
      <c r="H95" s="91">
        <f t="shared" si="27"/>
        <v>1417074</v>
      </c>
      <c r="R95" s="224"/>
      <c r="S95" s="224"/>
      <c r="T95" s="224"/>
      <c r="U95" s="224"/>
    </row>
    <row r="96" spans="1:21" ht="19.5" customHeight="1">
      <c r="A96" s="229" t="s">
        <v>366</v>
      </c>
      <c r="B96" s="61" t="s">
        <v>98</v>
      </c>
      <c r="C96" s="62"/>
      <c r="D96" s="62">
        <f>+F96-C96</f>
        <v>3000000</v>
      </c>
      <c r="E96" s="62">
        <f>SUM(C96:D96)</f>
        <v>3000000</v>
      </c>
      <c r="F96" s="62">
        <v>3000000</v>
      </c>
      <c r="G96" s="100">
        <f>+F96-E96</f>
        <v>0</v>
      </c>
      <c r="H96" s="62">
        <v>417074</v>
      </c>
      <c r="R96" s="224"/>
      <c r="S96" s="224"/>
      <c r="T96" s="224"/>
      <c r="U96" s="224"/>
    </row>
    <row r="97" spans="1:21" ht="19.5" customHeight="1">
      <c r="A97" s="229" t="s">
        <v>367</v>
      </c>
      <c r="B97" s="61" t="s">
        <v>99</v>
      </c>
      <c r="C97" s="62"/>
      <c r="D97" s="62">
        <f>+F97-C97</f>
        <v>5000000</v>
      </c>
      <c r="E97" s="62">
        <f>SUM(C97:D97)</f>
        <v>5000000</v>
      </c>
      <c r="F97" s="62">
        <v>5000000</v>
      </c>
      <c r="G97" s="100">
        <f>+F97-E97</f>
        <v>0</v>
      </c>
      <c r="H97" s="62">
        <v>1000000</v>
      </c>
      <c r="R97" s="224"/>
      <c r="S97" s="224"/>
      <c r="T97" s="224"/>
      <c r="U97" s="224"/>
    </row>
    <row r="98" spans="1:21" ht="19.5" customHeight="1">
      <c r="A98" s="225" t="s">
        <v>368</v>
      </c>
      <c r="B98" s="240" t="s">
        <v>102</v>
      </c>
      <c r="C98" s="91">
        <f aca="true" t="shared" si="28" ref="C98:H98">SUM(C99:C102)</f>
        <v>1664150</v>
      </c>
      <c r="D98" s="91">
        <f t="shared" si="28"/>
        <v>5935850</v>
      </c>
      <c r="E98" s="91">
        <f t="shared" si="28"/>
        <v>7600000</v>
      </c>
      <c r="F98" s="91">
        <f t="shared" si="28"/>
        <v>7600000</v>
      </c>
      <c r="G98" s="91">
        <f t="shared" si="28"/>
        <v>0</v>
      </c>
      <c r="H98" s="91">
        <f t="shared" si="28"/>
        <v>5500000</v>
      </c>
      <c r="R98" s="224"/>
      <c r="S98" s="224"/>
      <c r="T98" s="224"/>
      <c r="U98" s="224"/>
    </row>
    <row r="99" spans="1:21" ht="19.5" customHeight="1">
      <c r="A99" s="229" t="s">
        <v>369</v>
      </c>
      <c r="B99" s="61" t="s">
        <v>104</v>
      </c>
      <c r="C99" s="62">
        <v>346250</v>
      </c>
      <c r="D99" s="62">
        <f>+F99-C99</f>
        <v>1453750</v>
      </c>
      <c r="E99" s="62">
        <f>SUM(C99:D99)</f>
        <v>1800000</v>
      </c>
      <c r="F99" s="62">
        <v>1800000</v>
      </c>
      <c r="G99" s="100">
        <f>+F99-E99</f>
        <v>0</v>
      </c>
      <c r="H99" s="62">
        <v>1500000</v>
      </c>
      <c r="R99" s="224"/>
      <c r="S99" s="224"/>
      <c r="T99" s="224"/>
      <c r="U99" s="224"/>
    </row>
    <row r="100" spans="1:21" ht="19.5" customHeight="1">
      <c r="A100" s="229" t="s">
        <v>370</v>
      </c>
      <c r="B100" s="241" t="s">
        <v>105</v>
      </c>
      <c r="C100" s="62">
        <v>1200000</v>
      </c>
      <c r="D100" s="62">
        <f>+F100-C100</f>
        <v>1600000</v>
      </c>
      <c r="E100" s="62">
        <f>SUM(C100:D100)</f>
        <v>2800000</v>
      </c>
      <c r="F100" s="62">
        <v>2800000</v>
      </c>
      <c r="G100" s="100">
        <f>+F100-E100</f>
        <v>0</v>
      </c>
      <c r="H100" s="62">
        <v>3500000</v>
      </c>
      <c r="I100" s="23">
        <f>120000*4*12</f>
        <v>5760000</v>
      </c>
      <c r="J100" s="70" t="s">
        <v>576</v>
      </c>
      <c r="R100" s="224"/>
      <c r="S100" s="224"/>
      <c r="T100" s="224"/>
      <c r="U100" s="224"/>
    </row>
    <row r="101" spans="1:21" ht="19.5" customHeight="1">
      <c r="A101" s="229" t="s">
        <v>371</v>
      </c>
      <c r="B101" s="61" t="s">
        <v>581</v>
      </c>
      <c r="C101" s="62"/>
      <c r="D101" s="62">
        <f>+F101-C101</f>
        <v>0</v>
      </c>
      <c r="E101" s="62">
        <f>SUM(C101:D101)</f>
        <v>0</v>
      </c>
      <c r="F101" s="62">
        <f>+C101*1.1</f>
        <v>0</v>
      </c>
      <c r="G101" s="100">
        <f>+F101-E101</f>
        <v>0</v>
      </c>
      <c r="H101" s="62">
        <v>200000</v>
      </c>
      <c r="J101" s="254">
        <f>433700*6.3%+433700</f>
        <v>461023.1</v>
      </c>
      <c r="R101" s="224"/>
      <c r="S101" s="224"/>
      <c r="T101" s="224"/>
      <c r="U101" s="224"/>
    </row>
    <row r="102" spans="1:21" ht="19.5" customHeight="1">
      <c r="A102" s="229" t="s">
        <v>372</v>
      </c>
      <c r="B102" s="61" t="s">
        <v>109</v>
      </c>
      <c r="C102" s="62">
        <v>117900</v>
      </c>
      <c r="D102" s="62">
        <f>+F102-C102</f>
        <v>2882100</v>
      </c>
      <c r="E102" s="62">
        <f>SUM(C102:D102)</f>
        <v>3000000</v>
      </c>
      <c r="F102" s="62">
        <v>3000000</v>
      </c>
      <c r="G102" s="100">
        <f>+F102-E102</f>
        <v>0</v>
      </c>
      <c r="H102" s="62">
        <v>300000</v>
      </c>
      <c r="J102" s="255">
        <f>461023*150</f>
        <v>69153450</v>
      </c>
      <c r="R102" s="224"/>
      <c r="S102" s="224"/>
      <c r="T102" s="224"/>
      <c r="U102" s="224"/>
    </row>
    <row r="103" spans="1:21" ht="19.5" customHeight="1">
      <c r="A103" s="242"/>
      <c r="B103" s="226" t="s">
        <v>123</v>
      </c>
      <c r="C103" s="91" t="e">
        <f>+C72+C94+#REF!</f>
        <v>#REF!</v>
      </c>
      <c r="D103" s="91" t="e">
        <f>+D72+D94+#REF!</f>
        <v>#REF!</v>
      </c>
      <c r="E103" s="91" t="e">
        <f>+E72+E94+#REF!</f>
        <v>#REF!</v>
      </c>
      <c r="F103" s="91" t="e">
        <f>+F72+F94</f>
        <v>#REF!</v>
      </c>
      <c r="G103" s="91" t="e">
        <f>+G72+G94</f>
        <v>#REF!</v>
      </c>
      <c r="H103" s="91">
        <f>+H72+H94</f>
        <v>69346761</v>
      </c>
      <c r="I103" s="109">
        <f>+H103-J102</f>
        <v>193311</v>
      </c>
      <c r="R103" s="224"/>
      <c r="S103" s="224"/>
      <c r="T103" s="224"/>
      <c r="U103" s="224"/>
    </row>
    <row r="104" spans="1:21" ht="15">
      <c r="A104" s="256"/>
      <c r="B104" s="104"/>
      <c r="C104" s="96"/>
      <c r="D104" s="96"/>
      <c r="E104" s="96"/>
      <c r="F104" s="96"/>
      <c r="G104" s="96"/>
      <c r="H104" s="96"/>
      <c r="I104" s="109">
        <f>+I103-H103</f>
        <v>-69153450</v>
      </c>
      <c r="J104" s="110"/>
      <c r="R104" s="224"/>
      <c r="S104" s="224"/>
      <c r="T104" s="224"/>
      <c r="U104" s="224"/>
    </row>
    <row r="105" spans="1:21" ht="18" customHeight="1">
      <c r="A105" s="250" t="s">
        <v>374</v>
      </c>
      <c r="B105" s="222" t="s">
        <v>373</v>
      </c>
      <c r="C105" s="95"/>
      <c r="D105" s="95"/>
      <c r="E105" s="95"/>
      <c r="F105" s="95"/>
      <c r="G105" s="95"/>
      <c r="H105" s="95"/>
      <c r="J105" s="110"/>
      <c r="R105" s="224"/>
      <c r="S105" s="224"/>
      <c r="T105" s="224"/>
      <c r="U105" s="224"/>
    </row>
    <row r="106" spans="1:21" ht="18" customHeight="1">
      <c r="A106" s="250"/>
      <c r="B106" s="223"/>
      <c r="C106" s="95"/>
      <c r="D106" s="95"/>
      <c r="E106" s="95"/>
      <c r="F106" s="95"/>
      <c r="G106" s="95"/>
      <c r="H106" s="95"/>
      <c r="R106" s="224"/>
      <c r="S106" s="224"/>
      <c r="T106" s="224"/>
      <c r="U106" s="224"/>
    </row>
    <row r="107" spans="1:21" ht="18" customHeight="1">
      <c r="A107" s="225" t="s">
        <v>375</v>
      </c>
      <c r="B107" s="226" t="s">
        <v>307</v>
      </c>
      <c r="C107" s="92" t="e">
        <f>+#REF!</f>
        <v>#REF!</v>
      </c>
      <c r="D107" s="92" t="e">
        <f>+#REF!</f>
        <v>#REF!</v>
      </c>
      <c r="E107" s="92" t="e">
        <f>+#REF!</f>
        <v>#REF!</v>
      </c>
      <c r="F107" s="92" t="e">
        <f>+#REF!</f>
        <v>#REF!</v>
      </c>
      <c r="G107" s="92" t="e">
        <f>+#REF!</f>
        <v>#REF!</v>
      </c>
      <c r="H107" s="92">
        <f>+H108+H117</f>
        <v>547391149</v>
      </c>
      <c r="R107" s="224"/>
      <c r="S107" s="224"/>
      <c r="T107" s="224"/>
      <c r="U107" s="224"/>
    </row>
    <row r="108" spans="1:21" ht="18" customHeight="1">
      <c r="A108" s="225" t="s">
        <v>376</v>
      </c>
      <c r="B108" s="226" t="s">
        <v>72</v>
      </c>
      <c r="C108" s="91">
        <f>SUM(C109:C114)</f>
        <v>87198001</v>
      </c>
      <c r="D108" s="91">
        <f>SUM(D109:D114)</f>
        <v>32352425.723000005</v>
      </c>
      <c r="E108" s="91">
        <f>SUM(E109:E114)</f>
        <v>119550426.723</v>
      </c>
      <c r="F108" s="91">
        <f>SUM(F109:F115)</f>
        <v>127972230.723</v>
      </c>
      <c r="G108" s="91">
        <f>SUM(G109:G114)</f>
        <v>0</v>
      </c>
      <c r="H108" s="91">
        <f>SUM(H109:H116)</f>
        <v>481991149</v>
      </c>
      <c r="I108" s="183"/>
      <c r="R108" s="224"/>
      <c r="S108" s="224"/>
      <c r="T108" s="224"/>
      <c r="U108" s="224"/>
    </row>
    <row r="109" spans="1:21" ht="18" customHeight="1">
      <c r="A109" s="229" t="s">
        <v>377</v>
      </c>
      <c r="B109" s="61" t="s">
        <v>74</v>
      </c>
      <c r="C109" s="62">
        <v>73978550</v>
      </c>
      <c r="D109" s="62">
        <f>+F109-C109</f>
        <v>34809690.052</v>
      </c>
      <c r="E109" s="62">
        <f>SUM(C109:D109)</f>
        <v>108788240.052</v>
      </c>
      <c r="F109" s="62">
        <f>+'[1]PRESUPUESTO'!$L$28-1566000</f>
        <v>108788240.052</v>
      </c>
      <c r="G109" s="100">
        <f>+F109-E109</f>
        <v>0</v>
      </c>
      <c r="H109" s="62">
        <v>385642756</v>
      </c>
      <c r="I109" s="23">
        <v>335797000</v>
      </c>
      <c r="J109" s="110">
        <f>+I109*3%</f>
        <v>10073910</v>
      </c>
      <c r="R109" s="224"/>
      <c r="S109" s="224"/>
      <c r="T109" s="224"/>
      <c r="U109" s="224"/>
    </row>
    <row r="110" spans="1:21" ht="18" customHeight="1">
      <c r="A110" s="229" t="s">
        <v>378</v>
      </c>
      <c r="B110" s="61" t="s">
        <v>122</v>
      </c>
      <c r="C110" s="62">
        <v>2521260</v>
      </c>
      <c r="D110" s="62">
        <f>+F110-C110</f>
        <v>-955260</v>
      </c>
      <c r="E110" s="62">
        <f>SUM(C110:D110)</f>
        <v>1566000</v>
      </c>
      <c r="F110" s="62">
        <v>1566000</v>
      </c>
      <c r="G110" s="100">
        <f>+F110-E110</f>
        <v>0</v>
      </c>
      <c r="H110" s="62">
        <v>11607600</v>
      </c>
      <c r="I110" s="183">
        <f>+I109+J109</f>
        <v>345870910</v>
      </c>
      <c r="R110" s="224"/>
      <c r="S110" s="224"/>
      <c r="T110" s="224"/>
      <c r="U110" s="224"/>
    </row>
    <row r="111" spans="1:21" ht="18" customHeight="1">
      <c r="A111" s="229" t="s">
        <v>379</v>
      </c>
      <c r="B111" s="61" t="s">
        <v>577</v>
      </c>
      <c r="C111" s="62"/>
      <c r="D111" s="62"/>
      <c r="E111" s="62"/>
      <c r="F111" s="62"/>
      <c r="G111" s="100"/>
      <c r="H111" s="62">
        <v>8501573</v>
      </c>
      <c r="I111" s="183"/>
      <c r="R111" s="224"/>
      <c r="S111" s="224"/>
      <c r="T111" s="224"/>
      <c r="U111" s="224"/>
    </row>
    <row r="112" spans="1:21" ht="18" customHeight="1">
      <c r="A112" s="229" t="s">
        <v>379</v>
      </c>
      <c r="B112" s="61" t="s">
        <v>78</v>
      </c>
      <c r="C112" s="62"/>
      <c r="D112" s="62">
        <f>+F112-C112</f>
        <v>9196186.671</v>
      </c>
      <c r="E112" s="62">
        <f>SUM(C112:D112)</f>
        <v>9196186.671</v>
      </c>
      <c r="F112" s="62">
        <f>+'[1]PRESUPUESTO'!$J$28</f>
        <v>9196186.671</v>
      </c>
      <c r="G112" s="100">
        <f>+F112-E112</f>
        <v>0</v>
      </c>
      <c r="H112" s="62">
        <v>33812661</v>
      </c>
      <c r="R112" s="224"/>
      <c r="S112" s="224"/>
      <c r="T112" s="224"/>
      <c r="U112" s="224"/>
    </row>
    <row r="113" spans="1:21" ht="18" customHeight="1">
      <c r="A113" s="229" t="s">
        <v>380</v>
      </c>
      <c r="B113" s="61" t="s">
        <v>200</v>
      </c>
      <c r="C113" s="62">
        <v>8461786</v>
      </c>
      <c r="D113" s="62">
        <f>+F113-C113</f>
        <v>-8461786</v>
      </c>
      <c r="E113" s="62">
        <f>SUM(C113:D113)</f>
        <v>0</v>
      </c>
      <c r="F113" s="62">
        <v>0</v>
      </c>
      <c r="G113" s="100">
        <f>+F113-E113</f>
        <v>0</v>
      </c>
      <c r="H113" s="62">
        <v>13500000</v>
      </c>
      <c r="R113" s="224"/>
      <c r="S113" s="224"/>
      <c r="T113" s="224"/>
      <c r="U113" s="224"/>
    </row>
    <row r="114" spans="1:21" ht="18" customHeight="1">
      <c r="A114" s="229" t="s">
        <v>381</v>
      </c>
      <c r="B114" s="61" t="s">
        <v>197</v>
      </c>
      <c r="C114" s="62">
        <v>2236405</v>
      </c>
      <c r="D114" s="62">
        <f>+F114-C114</f>
        <v>-2236405</v>
      </c>
      <c r="E114" s="62">
        <f>SUM(C114:D114)</f>
        <v>0</v>
      </c>
      <c r="F114" s="62">
        <v>0</v>
      </c>
      <c r="G114" s="100">
        <f>+F114-E114</f>
        <v>0</v>
      </c>
      <c r="H114" s="62">
        <v>13500000</v>
      </c>
      <c r="R114" s="224"/>
      <c r="S114" s="224"/>
      <c r="T114" s="224"/>
      <c r="U114" s="224"/>
    </row>
    <row r="115" spans="1:21" ht="18" customHeight="1">
      <c r="A115" s="229" t="s">
        <v>382</v>
      </c>
      <c r="B115" s="61" t="s">
        <v>181</v>
      </c>
      <c r="C115" s="62"/>
      <c r="D115" s="62"/>
      <c r="E115" s="62"/>
      <c r="F115" s="62">
        <f>2807268*3</f>
        <v>8421804</v>
      </c>
      <c r="G115" s="100"/>
      <c r="H115" s="62">
        <v>14426559</v>
      </c>
      <c r="R115" s="224"/>
      <c r="S115" s="224"/>
      <c r="T115" s="224"/>
      <c r="U115" s="224"/>
    </row>
    <row r="116" spans="1:21" ht="18" customHeight="1">
      <c r="A116" s="229" t="s">
        <v>383</v>
      </c>
      <c r="B116" s="61" t="s">
        <v>201</v>
      </c>
      <c r="C116" s="62"/>
      <c r="D116" s="62"/>
      <c r="E116" s="62"/>
      <c r="F116" s="62"/>
      <c r="G116" s="100"/>
      <c r="H116" s="62">
        <v>1000000</v>
      </c>
      <c r="R116" s="224"/>
      <c r="S116" s="224"/>
      <c r="T116" s="224"/>
      <c r="U116" s="224"/>
    </row>
    <row r="117" spans="1:21" ht="18" customHeight="1">
      <c r="A117" s="225" t="s">
        <v>384</v>
      </c>
      <c r="B117" s="226" t="s">
        <v>80</v>
      </c>
      <c r="C117" s="91">
        <f>SUM(C118:C119)</f>
        <v>9829990</v>
      </c>
      <c r="D117" s="91">
        <f>SUM(D118:D119)</f>
        <v>1373165</v>
      </c>
      <c r="E117" s="91">
        <f>SUM(E118:E119)</f>
        <v>11203155</v>
      </c>
      <c r="F117" s="91">
        <f>SUM(F118:F120)</f>
        <v>11203155</v>
      </c>
      <c r="G117" s="91">
        <f>SUM(G118:G119)</f>
        <v>0</v>
      </c>
      <c r="H117" s="91">
        <f>SUM(H118:H135)</f>
        <v>65400000</v>
      </c>
      <c r="I117" s="23">
        <v>19200</v>
      </c>
      <c r="J117" s="70" t="s">
        <v>582</v>
      </c>
      <c r="R117" s="224"/>
      <c r="S117" s="224"/>
      <c r="T117" s="224"/>
      <c r="U117" s="224"/>
    </row>
    <row r="118" spans="1:21" ht="18" customHeight="1">
      <c r="A118" s="229" t="s">
        <v>385</v>
      </c>
      <c r="B118" s="61" t="s">
        <v>82</v>
      </c>
      <c r="C118" s="62">
        <v>9829990</v>
      </c>
      <c r="D118" s="62">
        <f>+F118-C118</f>
        <v>1373165</v>
      </c>
      <c r="E118" s="62">
        <f>SUM(C118:D118)</f>
        <v>11203155</v>
      </c>
      <c r="F118" s="62">
        <v>11203155</v>
      </c>
      <c r="G118" s="100">
        <f>+F118-E118</f>
        <v>0</v>
      </c>
      <c r="H118" s="62">
        <v>54400000</v>
      </c>
      <c r="I118" s="23">
        <v>10000</v>
      </c>
      <c r="J118" s="70" t="s">
        <v>583</v>
      </c>
      <c r="R118" s="224"/>
      <c r="S118" s="224"/>
      <c r="T118" s="224"/>
      <c r="U118" s="224"/>
    </row>
    <row r="119" spans="1:21" ht="18" customHeight="1" hidden="1">
      <c r="A119" s="238">
        <v>7</v>
      </c>
      <c r="B119" s="61" t="s">
        <v>124</v>
      </c>
      <c r="C119" s="62"/>
      <c r="D119" s="62">
        <f>+F119-C119</f>
        <v>0</v>
      </c>
      <c r="E119" s="62">
        <f>SUM(C119:D119)</f>
        <v>0</v>
      </c>
      <c r="F119" s="62">
        <v>0</v>
      </c>
      <c r="G119" s="100">
        <f>+F119-E119</f>
        <v>0</v>
      </c>
      <c r="H119" s="62">
        <v>0</v>
      </c>
      <c r="R119" s="224"/>
      <c r="S119" s="224"/>
      <c r="T119" s="224"/>
      <c r="U119" s="224"/>
    </row>
    <row r="120" spans="1:21" ht="18" customHeight="1" hidden="1">
      <c r="A120" s="229">
        <v>8</v>
      </c>
      <c r="B120" s="61" t="s">
        <v>149</v>
      </c>
      <c r="C120" s="62"/>
      <c r="D120" s="62"/>
      <c r="E120" s="62"/>
      <c r="F120" s="62">
        <v>0</v>
      </c>
      <c r="G120" s="100"/>
      <c r="H120" s="62">
        <v>0</v>
      </c>
      <c r="R120" s="224"/>
      <c r="S120" s="224"/>
      <c r="T120" s="224"/>
      <c r="U120" s="224"/>
    </row>
    <row r="121" spans="1:21" ht="18" customHeight="1" hidden="1">
      <c r="A121" s="225"/>
      <c r="B121" s="240" t="s">
        <v>85</v>
      </c>
      <c r="C121" s="91">
        <f aca="true" t="shared" si="29" ref="C121:H121">SUM(C122:C124)</f>
        <v>12822567</v>
      </c>
      <c r="D121" s="91">
        <f t="shared" si="29"/>
        <v>11593308.611505002</v>
      </c>
      <c r="E121" s="91">
        <f t="shared" si="29"/>
        <v>24415875.611505</v>
      </c>
      <c r="F121" s="91">
        <f>SUM(F122:F124)</f>
        <v>24415875.611505</v>
      </c>
      <c r="G121" s="91">
        <f t="shared" si="29"/>
        <v>0</v>
      </c>
      <c r="H121" s="91">
        <f t="shared" si="29"/>
        <v>0</v>
      </c>
      <c r="R121" s="224"/>
      <c r="S121" s="224"/>
      <c r="T121" s="224"/>
      <c r="U121" s="224"/>
    </row>
    <row r="122" spans="1:21" ht="18" customHeight="1" hidden="1">
      <c r="A122" s="238">
        <v>1</v>
      </c>
      <c r="B122" s="61" t="s">
        <v>86</v>
      </c>
      <c r="C122" s="62">
        <v>873148</v>
      </c>
      <c r="D122" s="62">
        <f>+F122-C122</f>
        <v>3541021.6020800006</v>
      </c>
      <c r="E122" s="62">
        <f>SUM(C122:D122)</f>
        <v>4414169.602080001</v>
      </c>
      <c r="F122" s="62">
        <f>+'[1]PARAFISCALES'!$B$37</f>
        <v>4414169.602080001</v>
      </c>
      <c r="G122" s="100">
        <f>+F122-E122</f>
        <v>0</v>
      </c>
      <c r="H122" s="62">
        <v>0</v>
      </c>
      <c r="R122" s="224"/>
      <c r="S122" s="224"/>
      <c r="T122" s="224"/>
      <c r="U122" s="224"/>
    </row>
    <row r="123" spans="1:21" ht="18" customHeight="1" hidden="1">
      <c r="A123" s="238">
        <v>2</v>
      </c>
      <c r="B123" s="61" t="s">
        <v>87</v>
      </c>
      <c r="C123" s="62">
        <v>5556738</v>
      </c>
      <c r="D123" s="62">
        <f>+F123-C123</f>
        <v>3271601.204160001</v>
      </c>
      <c r="E123" s="62">
        <f>SUM(C123:D123)</f>
        <v>8828339.204160001</v>
      </c>
      <c r="F123" s="62">
        <f>+'[1]PARAFISCALES'!$B$38</f>
        <v>8828339.204160001</v>
      </c>
      <c r="G123" s="100">
        <f>+F123-E123</f>
        <v>0</v>
      </c>
      <c r="H123" s="62">
        <v>0</v>
      </c>
      <c r="R123" s="224"/>
      <c r="S123" s="224"/>
      <c r="T123" s="224"/>
      <c r="U123" s="224"/>
    </row>
    <row r="124" spans="1:21" ht="18" customHeight="1" hidden="1">
      <c r="A124" s="238">
        <v>3</v>
      </c>
      <c r="B124" s="61" t="s">
        <v>88</v>
      </c>
      <c r="C124" s="62">
        <v>6392681</v>
      </c>
      <c r="D124" s="62">
        <f>+F124-C124</f>
        <v>4780685.805265</v>
      </c>
      <c r="E124" s="62">
        <f>SUM(C124:D124)</f>
        <v>11173366.805265</v>
      </c>
      <c r="F124" s="62">
        <f>+'[1]PARAFISCALES'!$B$39</f>
        <v>11173366.805265</v>
      </c>
      <c r="G124" s="100">
        <f>+F124-E124</f>
        <v>0</v>
      </c>
      <c r="H124" s="62">
        <v>0</v>
      </c>
      <c r="R124" s="224"/>
      <c r="S124" s="224"/>
      <c r="T124" s="224"/>
      <c r="U124" s="224"/>
    </row>
    <row r="125" spans="1:21" ht="18" customHeight="1" hidden="1">
      <c r="A125" s="225"/>
      <c r="B125" s="240" t="s">
        <v>89</v>
      </c>
      <c r="C125" s="91">
        <f aca="true" t="shared" si="30" ref="C125:H125">SUM(C126:C132)</f>
        <v>2625764</v>
      </c>
      <c r="D125" s="91">
        <f t="shared" si="30"/>
        <v>14776363.96126672</v>
      </c>
      <c r="E125" s="91">
        <f t="shared" si="30"/>
        <v>17402127.961266723</v>
      </c>
      <c r="F125" s="91">
        <f t="shared" si="30"/>
        <v>17402127.961266723</v>
      </c>
      <c r="G125" s="91">
        <f t="shared" si="30"/>
        <v>0</v>
      </c>
      <c r="H125" s="91">
        <f t="shared" si="30"/>
        <v>0</v>
      </c>
      <c r="R125" s="224"/>
      <c r="S125" s="224"/>
      <c r="T125" s="224"/>
      <c r="U125" s="224"/>
    </row>
    <row r="126" spans="1:21" ht="18" customHeight="1" hidden="1">
      <c r="A126" s="238">
        <v>1</v>
      </c>
      <c r="B126" s="61" t="s">
        <v>90</v>
      </c>
      <c r="C126" s="62"/>
      <c r="D126" s="62">
        <f aca="true" t="shared" si="31" ref="D126:D132">+F126-C126</f>
        <v>9196186.671</v>
      </c>
      <c r="E126" s="62">
        <f aca="true" t="shared" si="32" ref="E126:E132">SUM(C126:D126)</f>
        <v>9196186.671</v>
      </c>
      <c r="F126" s="62">
        <f>+F112</f>
        <v>9196186.671</v>
      </c>
      <c r="G126" s="100">
        <f aca="true" t="shared" si="33" ref="G126:G132">+F126-E126</f>
        <v>0</v>
      </c>
      <c r="H126" s="62">
        <v>0</v>
      </c>
      <c r="R126" s="224"/>
      <c r="S126" s="224"/>
      <c r="T126" s="224"/>
      <c r="U126" s="224"/>
    </row>
    <row r="127" spans="1:21" ht="18" customHeight="1" hidden="1">
      <c r="A127" s="238"/>
      <c r="B127" s="61" t="s">
        <v>199</v>
      </c>
      <c r="C127" s="62"/>
      <c r="D127" s="62"/>
      <c r="E127" s="62"/>
      <c r="F127" s="62"/>
      <c r="G127" s="100"/>
      <c r="H127" s="62">
        <v>0</v>
      </c>
      <c r="R127" s="224"/>
      <c r="S127" s="224"/>
      <c r="T127" s="224"/>
      <c r="U127" s="224"/>
    </row>
    <row r="128" spans="1:21" ht="18" customHeight="1" hidden="1">
      <c r="A128" s="238">
        <v>2</v>
      </c>
      <c r="B128" s="61" t="s">
        <v>91</v>
      </c>
      <c r="C128" s="62">
        <v>654861</v>
      </c>
      <c r="D128" s="62">
        <f t="shared" si="31"/>
        <v>2655766.20156</v>
      </c>
      <c r="E128" s="62">
        <f t="shared" si="32"/>
        <v>3310627.20156</v>
      </c>
      <c r="F128" s="62">
        <f>+'[1]PARAFISCALES'!$B$44</f>
        <v>3310627.20156</v>
      </c>
      <c r="G128" s="100">
        <f t="shared" si="33"/>
        <v>0</v>
      </c>
      <c r="H128" s="62">
        <v>0</v>
      </c>
      <c r="J128" s="70">
        <v>2.436</v>
      </c>
      <c r="R128" s="224"/>
      <c r="S128" s="224"/>
      <c r="T128" s="224"/>
      <c r="U128" s="224"/>
    </row>
    <row r="129" spans="1:21" ht="18" customHeight="1" hidden="1">
      <c r="A129" s="238">
        <v>3</v>
      </c>
      <c r="B129" s="61" t="s">
        <v>92</v>
      </c>
      <c r="C129" s="62">
        <v>218287</v>
      </c>
      <c r="D129" s="62">
        <f t="shared" si="31"/>
        <v>885255.4005200001</v>
      </c>
      <c r="E129" s="62">
        <f t="shared" si="32"/>
        <v>1103542.4005200001</v>
      </c>
      <c r="F129" s="62">
        <f>+'[1]PARAFISCALES'!$B$45</f>
        <v>1103542.4005200001</v>
      </c>
      <c r="G129" s="100">
        <f t="shared" si="33"/>
        <v>0</v>
      </c>
      <c r="H129" s="62">
        <v>0</v>
      </c>
      <c r="J129" s="70">
        <v>0.522</v>
      </c>
      <c r="R129" s="224"/>
      <c r="S129" s="224"/>
      <c r="T129" s="224"/>
      <c r="U129" s="224"/>
    </row>
    <row r="130" spans="1:21" ht="18" customHeight="1" hidden="1">
      <c r="A130" s="238">
        <v>4</v>
      </c>
      <c r="B130" s="61" t="s">
        <v>93</v>
      </c>
      <c r="C130" s="62">
        <v>109144</v>
      </c>
      <c r="D130" s="62">
        <f t="shared" si="31"/>
        <v>442627.20026000007</v>
      </c>
      <c r="E130" s="62">
        <f t="shared" si="32"/>
        <v>551771.2002600001</v>
      </c>
      <c r="F130" s="62">
        <f>+'[1]PARAFISCALES'!$B$46</f>
        <v>551771.2002600001</v>
      </c>
      <c r="G130" s="100">
        <f t="shared" si="33"/>
        <v>0</v>
      </c>
      <c r="H130" s="62">
        <v>0</v>
      </c>
      <c r="R130" s="224"/>
      <c r="S130" s="224"/>
      <c r="T130" s="224"/>
      <c r="U130" s="224"/>
    </row>
    <row r="131" spans="1:21" ht="18" customHeight="1" hidden="1">
      <c r="A131" s="238">
        <v>5</v>
      </c>
      <c r="B131" s="61" t="s">
        <v>94</v>
      </c>
      <c r="C131" s="62">
        <v>109144</v>
      </c>
      <c r="D131" s="62">
        <f t="shared" si="31"/>
        <v>442627.20026000007</v>
      </c>
      <c r="E131" s="62">
        <f t="shared" si="32"/>
        <v>551771.2002600001</v>
      </c>
      <c r="F131" s="62">
        <f>+'[1]PARAFISCALES'!$B$47</f>
        <v>551771.2002600001</v>
      </c>
      <c r="G131" s="100">
        <f t="shared" si="33"/>
        <v>0</v>
      </c>
      <c r="H131" s="62">
        <v>0</v>
      </c>
      <c r="R131" s="224"/>
      <c r="S131" s="224"/>
      <c r="T131" s="224"/>
      <c r="U131" s="224"/>
    </row>
    <row r="132" spans="1:21" ht="18" customHeight="1" hidden="1">
      <c r="A132" s="238">
        <v>6</v>
      </c>
      <c r="B132" s="61" t="s">
        <v>95</v>
      </c>
      <c r="C132" s="62">
        <v>1534328</v>
      </c>
      <c r="D132" s="62">
        <f t="shared" si="31"/>
        <v>1153901.2876667199</v>
      </c>
      <c r="E132" s="62">
        <f t="shared" si="32"/>
        <v>2688229.28766672</v>
      </c>
      <c r="F132" s="62">
        <f>+'[1]PARAFISCALES'!$B$40</f>
        <v>2688229.28766672</v>
      </c>
      <c r="G132" s="100">
        <f t="shared" si="33"/>
        <v>0</v>
      </c>
      <c r="H132" s="62">
        <v>0</v>
      </c>
      <c r="R132" s="224"/>
      <c r="S132" s="224"/>
      <c r="T132" s="224"/>
      <c r="U132" s="224"/>
    </row>
    <row r="133" spans="1:21" ht="18" customHeight="1">
      <c r="A133" s="229" t="s">
        <v>387</v>
      </c>
      <c r="B133" s="61" t="s">
        <v>399</v>
      </c>
      <c r="C133" s="62"/>
      <c r="D133" s="62"/>
      <c r="E133" s="62"/>
      <c r="F133" s="62"/>
      <c r="G133" s="100"/>
      <c r="H133" s="62">
        <v>1000000</v>
      </c>
      <c r="I133" s="23">
        <v>10000</v>
      </c>
      <c r="J133" s="70" t="s">
        <v>584</v>
      </c>
      <c r="R133" s="224"/>
      <c r="S133" s="224"/>
      <c r="T133" s="224"/>
      <c r="U133" s="224"/>
    </row>
    <row r="134" spans="1:21" ht="18" customHeight="1">
      <c r="A134" s="229" t="s">
        <v>386</v>
      </c>
      <c r="B134" s="61" t="s">
        <v>274</v>
      </c>
      <c r="C134" s="62"/>
      <c r="D134" s="62"/>
      <c r="E134" s="62"/>
      <c r="F134" s="62"/>
      <c r="G134" s="100"/>
      <c r="H134" s="62">
        <v>10000000</v>
      </c>
      <c r="I134" s="23">
        <v>5000</v>
      </c>
      <c r="J134" s="70" t="s">
        <v>585</v>
      </c>
      <c r="R134" s="224"/>
      <c r="S134" s="224"/>
      <c r="T134" s="224"/>
      <c r="U134" s="224"/>
    </row>
    <row r="135" spans="1:21" ht="18" customHeight="1">
      <c r="A135" s="229" t="s">
        <v>398</v>
      </c>
      <c r="B135" s="61" t="s">
        <v>83</v>
      </c>
      <c r="C135" s="62"/>
      <c r="D135" s="62"/>
      <c r="E135" s="62"/>
      <c r="F135" s="62"/>
      <c r="G135" s="100"/>
      <c r="H135" s="62">
        <v>0</v>
      </c>
      <c r="R135" s="224"/>
      <c r="S135" s="224"/>
      <c r="T135" s="224"/>
      <c r="U135" s="224"/>
    </row>
    <row r="136" spans="1:21" ht="18" customHeight="1">
      <c r="A136" s="225" t="s">
        <v>388</v>
      </c>
      <c r="B136" s="59" t="s">
        <v>96</v>
      </c>
      <c r="C136" s="92" t="e">
        <f>+#REF!</f>
        <v>#REF!</v>
      </c>
      <c r="D136" s="92" t="e">
        <f>+#REF!</f>
        <v>#REF!</v>
      </c>
      <c r="E136" s="92" t="e">
        <f>+#REF!</f>
        <v>#REF!</v>
      </c>
      <c r="F136" s="92" t="e">
        <f>+#REF!</f>
        <v>#REF!</v>
      </c>
      <c r="G136" s="92" t="e">
        <f>+#REF!</f>
        <v>#REF!</v>
      </c>
      <c r="H136" s="92">
        <f>+H137+H143</f>
        <v>514154627</v>
      </c>
      <c r="R136" s="224"/>
      <c r="S136" s="224"/>
      <c r="T136" s="224"/>
      <c r="U136" s="224"/>
    </row>
    <row r="137" spans="1:21" ht="18" customHeight="1">
      <c r="A137" s="225" t="s">
        <v>389</v>
      </c>
      <c r="B137" s="59" t="s">
        <v>97</v>
      </c>
      <c r="C137" s="91">
        <f>SUM(C138:C139)</f>
        <v>31139260</v>
      </c>
      <c r="D137" s="91">
        <f>SUM(D138:D139)</f>
        <v>-24639260</v>
      </c>
      <c r="E137" s="91">
        <f>SUM(E138:E139)</f>
        <v>6500000</v>
      </c>
      <c r="F137" s="91">
        <f>SUM(F138:F139)</f>
        <v>6500000</v>
      </c>
      <c r="G137" s="91">
        <f>SUM(G138:G139)</f>
        <v>0</v>
      </c>
      <c r="H137" s="91">
        <f>SUM(H138:H142)</f>
        <v>68030106</v>
      </c>
      <c r="I137" s="253"/>
      <c r="R137" s="224"/>
      <c r="S137" s="224"/>
      <c r="T137" s="224"/>
      <c r="U137" s="224"/>
    </row>
    <row r="138" spans="1:21" ht="18" customHeight="1">
      <c r="A138" s="229" t="s">
        <v>390</v>
      </c>
      <c r="B138" s="61" t="s">
        <v>477</v>
      </c>
      <c r="C138" s="62">
        <v>10194608</v>
      </c>
      <c r="D138" s="62">
        <f>+F138-C138</f>
        <v>-9694608</v>
      </c>
      <c r="E138" s="62">
        <f>SUM(C138:D138)</f>
        <v>500000</v>
      </c>
      <c r="F138" s="62">
        <v>500000</v>
      </c>
      <c r="G138" s="100">
        <f>+F138-E138</f>
        <v>0</v>
      </c>
      <c r="H138" s="62">
        <f>18759800*4.5%+18759800</f>
        <v>19603991</v>
      </c>
      <c r="J138" s="257"/>
      <c r="R138" s="224"/>
      <c r="S138" s="224"/>
      <c r="T138" s="224"/>
      <c r="U138" s="224"/>
    </row>
    <row r="139" spans="1:21" ht="18" customHeight="1">
      <c r="A139" s="229" t="s">
        <v>391</v>
      </c>
      <c r="B139" s="61" t="s">
        <v>396</v>
      </c>
      <c r="C139" s="62">
        <v>20944652</v>
      </c>
      <c r="D139" s="62">
        <f>+F139-C139</f>
        <v>-14944652</v>
      </c>
      <c r="E139" s="62">
        <f>SUM(C139:D139)</f>
        <v>6000000</v>
      </c>
      <c r="F139" s="62">
        <v>6000000</v>
      </c>
      <c r="G139" s="100">
        <f>+F139-E139</f>
        <v>0</v>
      </c>
      <c r="H139" s="62">
        <v>1500000</v>
      </c>
      <c r="J139" s="257"/>
      <c r="R139" s="224"/>
      <c r="S139" s="224"/>
      <c r="T139" s="224"/>
      <c r="U139" s="224"/>
    </row>
    <row r="140" spans="1:21" ht="18" customHeight="1">
      <c r="A140" s="229" t="s">
        <v>392</v>
      </c>
      <c r="B140" s="61" t="s">
        <v>395</v>
      </c>
      <c r="C140" s="62"/>
      <c r="D140" s="62"/>
      <c r="E140" s="62"/>
      <c r="F140" s="62"/>
      <c r="G140" s="100"/>
      <c r="H140" s="62">
        <f>50647000*4.5%+50647000-8000000</f>
        <v>44926115</v>
      </c>
      <c r="J140" s="257"/>
      <c r="R140" s="224"/>
      <c r="S140" s="224"/>
      <c r="T140" s="224"/>
      <c r="U140" s="224"/>
    </row>
    <row r="141" spans="1:21" ht="18" customHeight="1">
      <c r="A141" s="229" t="s">
        <v>393</v>
      </c>
      <c r="B141" s="61" t="s">
        <v>397</v>
      </c>
      <c r="C141" s="62"/>
      <c r="D141" s="62"/>
      <c r="E141" s="62"/>
      <c r="F141" s="62"/>
      <c r="G141" s="100"/>
      <c r="H141" s="62">
        <v>1500000</v>
      </c>
      <c r="J141" s="257"/>
      <c r="R141" s="224"/>
      <c r="S141" s="224"/>
      <c r="T141" s="224"/>
      <c r="U141" s="224"/>
    </row>
    <row r="142" spans="1:21" ht="18" customHeight="1">
      <c r="A142" s="229" t="s">
        <v>394</v>
      </c>
      <c r="B142" s="61" t="s">
        <v>400</v>
      </c>
      <c r="C142" s="62"/>
      <c r="D142" s="62"/>
      <c r="E142" s="62"/>
      <c r="F142" s="62"/>
      <c r="G142" s="100"/>
      <c r="H142" s="62">
        <v>500000</v>
      </c>
      <c r="J142" s="257"/>
      <c r="R142" s="224"/>
      <c r="S142" s="224"/>
      <c r="T142" s="224"/>
      <c r="U142" s="224"/>
    </row>
    <row r="143" spans="1:21" ht="18" customHeight="1">
      <c r="A143" s="225" t="s">
        <v>401</v>
      </c>
      <c r="B143" s="240" t="s">
        <v>102</v>
      </c>
      <c r="C143" s="91">
        <f>SUM(C144:C158)</f>
        <v>170146776</v>
      </c>
      <c r="D143" s="91">
        <f>SUM(D144:D158)</f>
        <v>-123646776</v>
      </c>
      <c r="E143" s="91">
        <f>SUM(E144:E158)</f>
        <v>46500000</v>
      </c>
      <c r="F143" s="91">
        <f>SUM(F144:F158)</f>
        <v>64690000</v>
      </c>
      <c r="G143" s="91">
        <f>SUM(G144:G158)</f>
        <v>0</v>
      </c>
      <c r="H143" s="91">
        <f>SUM(H144:H173)</f>
        <v>446124521</v>
      </c>
      <c r="R143" s="224"/>
      <c r="S143" s="224"/>
      <c r="T143" s="224"/>
      <c r="U143" s="224"/>
    </row>
    <row r="144" spans="1:21" ht="18" customHeight="1">
      <c r="A144" s="229" t="s">
        <v>402</v>
      </c>
      <c r="B144" s="61" t="s">
        <v>103</v>
      </c>
      <c r="C144" s="62">
        <v>19987424</v>
      </c>
      <c r="D144" s="62">
        <f aca="true" t="shared" si="34" ref="D144:D158">+F144-C144</f>
        <v>-8487424</v>
      </c>
      <c r="E144" s="62">
        <f aca="true" t="shared" si="35" ref="E144:E158">SUM(C144:D144)</f>
        <v>11500000</v>
      </c>
      <c r="F144" s="62">
        <v>11500000</v>
      </c>
      <c r="G144" s="100">
        <f aca="true" t="shared" si="36" ref="G144:G158">+F144-E144</f>
        <v>0</v>
      </c>
      <c r="H144" s="62">
        <f>94500000*4.5%+94500000-15000000-5522199</f>
        <v>78230301</v>
      </c>
      <c r="I144" s="23">
        <f>70000+65000+20800+13000+14000+64644+9000+10000+2000+3000+8000+8000+1200+1000+6000+500+1000+3000+2000</f>
        <v>302144</v>
      </c>
      <c r="J144" s="257"/>
      <c r="R144" s="224"/>
      <c r="S144" s="224"/>
      <c r="T144" s="224"/>
      <c r="U144" s="224"/>
    </row>
    <row r="145" spans="1:21" ht="18" customHeight="1">
      <c r="A145" s="229" t="s">
        <v>403</v>
      </c>
      <c r="B145" s="61" t="s">
        <v>543</v>
      </c>
      <c r="C145" s="62">
        <v>35689154</v>
      </c>
      <c r="D145" s="62">
        <f t="shared" si="34"/>
        <v>-5689154</v>
      </c>
      <c r="E145" s="62">
        <f t="shared" si="35"/>
        <v>30000000</v>
      </c>
      <c r="F145" s="62">
        <v>30000000</v>
      </c>
      <c r="G145" s="100">
        <f t="shared" si="36"/>
        <v>0</v>
      </c>
      <c r="H145" s="62">
        <f>29190000*4.5%+29190000</f>
        <v>30503550</v>
      </c>
      <c r="I145" s="23">
        <f>+H145/10*2</f>
        <v>6100710</v>
      </c>
      <c r="J145" s="257"/>
      <c r="R145" s="224"/>
      <c r="S145" s="224"/>
      <c r="T145" s="224"/>
      <c r="U145" s="224"/>
    </row>
    <row r="146" spans="1:21" ht="30">
      <c r="A146" s="229" t="s">
        <v>404</v>
      </c>
      <c r="B146" s="258" t="s">
        <v>544</v>
      </c>
      <c r="C146" s="62"/>
      <c r="D146" s="62"/>
      <c r="E146" s="62"/>
      <c r="F146" s="62"/>
      <c r="G146" s="100"/>
      <c r="H146" s="62">
        <f>14000000*4.5%+14000000</f>
        <v>14630000</v>
      </c>
      <c r="I146" s="23">
        <v>69290000</v>
      </c>
      <c r="J146" s="257"/>
      <c r="R146" s="224"/>
      <c r="S146" s="224"/>
      <c r="T146" s="224"/>
      <c r="U146" s="224"/>
    </row>
    <row r="147" spans="1:21" ht="18" customHeight="1">
      <c r="A147" s="229" t="s">
        <v>405</v>
      </c>
      <c r="B147" s="61" t="s">
        <v>545</v>
      </c>
      <c r="C147" s="62"/>
      <c r="D147" s="62"/>
      <c r="E147" s="62"/>
      <c r="F147" s="62"/>
      <c r="G147" s="100"/>
      <c r="H147" s="62">
        <f>27000000*4.5%+27000000</f>
        <v>28215000</v>
      </c>
      <c r="J147" s="257"/>
      <c r="R147" s="224"/>
      <c r="S147" s="224"/>
      <c r="T147" s="224"/>
      <c r="U147" s="224"/>
    </row>
    <row r="148" spans="1:21" ht="18" customHeight="1">
      <c r="A148" s="229" t="s">
        <v>406</v>
      </c>
      <c r="B148" s="61" t="s">
        <v>546</v>
      </c>
      <c r="C148" s="62"/>
      <c r="D148" s="62"/>
      <c r="E148" s="62"/>
      <c r="F148" s="62"/>
      <c r="G148" s="100"/>
      <c r="H148" s="62">
        <v>12000000</v>
      </c>
      <c r="I148" s="23">
        <f>SUM(H145:H148)</f>
        <v>85348550</v>
      </c>
      <c r="J148" s="257"/>
      <c r="R148" s="224"/>
      <c r="S148" s="224"/>
      <c r="T148" s="224"/>
      <c r="U148" s="224"/>
    </row>
    <row r="149" spans="1:21" ht="18" customHeight="1">
      <c r="A149" s="229" t="s">
        <v>407</v>
      </c>
      <c r="B149" s="241" t="s">
        <v>497</v>
      </c>
      <c r="C149" s="62">
        <v>6020000</v>
      </c>
      <c r="D149" s="62">
        <f t="shared" si="34"/>
        <v>-6020000</v>
      </c>
      <c r="E149" s="62">
        <f t="shared" si="35"/>
        <v>0</v>
      </c>
      <c r="F149" s="62">
        <v>0</v>
      </c>
      <c r="G149" s="100">
        <f t="shared" si="36"/>
        <v>0</v>
      </c>
      <c r="H149" s="62">
        <f>40000000*4.5%+40000000</f>
        <v>41800000</v>
      </c>
      <c r="J149" s="257"/>
      <c r="R149" s="224"/>
      <c r="S149" s="224"/>
      <c r="T149" s="224"/>
      <c r="U149" s="224"/>
    </row>
    <row r="150" spans="1:21" ht="18" customHeight="1">
      <c r="A150" s="229" t="s">
        <v>408</v>
      </c>
      <c r="B150" s="61" t="s">
        <v>100</v>
      </c>
      <c r="C150" s="62">
        <v>5816164</v>
      </c>
      <c r="D150" s="62">
        <f t="shared" si="34"/>
        <v>-4816164</v>
      </c>
      <c r="E150" s="62">
        <f t="shared" si="35"/>
        <v>1000000</v>
      </c>
      <c r="F150" s="62">
        <v>1000000</v>
      </c>
      <c r="G150" s="100">
        <f t="shared" si="36"/>
        <v>0</v>
      </c>
      <c r="H150" s="62">
        <f>13400000*4.5%+13400000</f>
        <v>14003000</v>
      </c>
      <c r="J150" s="257"/>
      <c r="R150" s="224"/>
      <c r="S150" s="224"/>
      <c r="T150" s="224"/>
      <c r="U150" s="224"/>
    </row>
    <row r="151" spans="1:21" ht="18" customHeight="1">
      <c r="A151" s="229" t="s">
        <v>409</v>
      </c>
      <c r="B151" s="61" t="s">
        <v>547</v>
      </c>
      <c r="C151" s="62">
        <v>7382240</v>
      </c>
      <c r="D151" s="62">
        <f t="shared" si="34"/>
        <v>-6382240</v>
      </c>
      <c r="E151" s="62">
        <f t="shared" si="35"/>
        <v>1000000</v>
      </c>
      <c r="F151" s="62">
        <v>1000000</v>
      </c>
      <c r="G151" s="100">
        <f t="shared" si="36"/>
        <v>0</v>
      </c>
      <c r="H151" s="62">
        <f>21000000*4.5%+21000000</f>
        <v>21945000</v>
      </c>
      <c r="J151" s="257"/>
      <c r="R151" s="224"/>
      <c r="S151" s="224"/>
      <c r="T151" s="224"/>
      <c r="U151" s="224"/>
    </row>
    <row r="152" spans="1:21" ht="18" customHeight="1">
      <c r="A152" s="229" t="s">
        <v>410</v>
      </c>
      <c r="B152" s="61" t="s">
        <v>107</v>
      </c>
      <c r="C152" s="62">
        <v>8379794</v>
      </c>
      <c r="D152" s="62">
        <f t="shared" si="34"/>
        <v>-6379794</v>
      </c>
      <c r="E152" s="62">
        <f t="shared" si="35"/>
        <v>2000000</v>
      </c>
      <c r="F152" s="62">
        <v>2000000</v>
      </c>
      <c r="G152" s="100">
        <f t="shared" si="36"/>
        <v>0</v>
      </c>
      <c r="H152" s="62">
        <f>106526000*4.5%+106526000</f>
        <v>111319670</v>
      </c>
      <c r="J152" s="257"/>
      <c r="R152" s="224"/>
      <c r="S152" s="224"/>
      <c r="T152" s="224"/>
      <c r="U152" s="224"/>
    </row>
    <row r="153" spans="1:21" ht="18" customHeight="1">
      <c r="A153" s="229" t="s">
        <v>411</v>
      </c>
      <c r="B153" s="61" t="s">
        <v>203</v>
      </c>
      <c r="C153" s="62"/>
      <c r="D153" s="62">
        <f t="shared" si="34"/>
        <v>0</v>
      </c>
      <c r="E153" s="62">
        <f t="shared" si="35"/>
        <v>0</v>
      </c>
      <c r="F153" s="62">
        <v>0</v>
      </c>
      <c r="G153" s="100">
        <f t="shared" si="36"/>
        <v>0</v>
      </c>
      <c r="H153" s="62">
        <f>9600000*4.5%+9600000</f>
        <v>10032000</v>
      </c>
      <c r="J153" s="257"/>
      <c r="R153" s="224"/>
      <c r="S153" s="224"/>
      <c r="T153" s="224"/>
      <c r="U153" s="224"/>
    </row>
    <row r="154" spans="1:21" ht="18" customHeight="1">
      <c r="A154" s="229" t="s">
        <v>412</v>
      </c>
      <c r="B154" s="61" t="s">
        <v>109</v>
      </c>
      <c r="C154" s="62"/>
      <c r="D154" s="62">
        <f t="shared" si="34"/>
        <v>0</v>
      </c>
      <c r="E154" s="62">
        <f t="shared" si="35"/>
        <v>0</v>
      </c>
      <c r="F154" s="62">
        <v>0</v>
      </c>
      <c r="G154" s="100">
        <f t="shared" si="36"/>
        <v>0</v>
      </c>
      <c r="H154" s="62">
        <v>2000000</v>
      </c>
      <c r="J154" s="257"/>
      <c r="R154" s="224"/>
      <c r="S154" s="224"/>
      <c r="T154" s="224"/>
      <c r="U154" s="224"/>
    </row>
    <row r="155" spans="1:21" ht="18" customHeight="1">
      <c r="A155" s="229" t="s">
        <v>413</v>
      </c>
      <c r="B155" s="61" t="s">
        <v>101</v>
      </c>
      <c r="C155" s="62"/>
      <c r="D155" s="62">
        <f t="shared" si="34"/>
        <v>0</v>
      </c>
      <c r="E155" s="62">
        <f t="shared" si="35"/>
        <v>0</v>
      </c>
      <c r="F155" s="62">
        <f>+C155*1.1</f>
        <v>0</v>
      </c>
      <c r="G155" s="100">
        <f t="shared" si="36"/>
        <v>0</v>
      </c>
      <c r="H155" s="62">
        <v>2000000</v>
      </c>
      <c r="J155" s="257"/>
      <c r="R155" s="224"/>
      <c r="S155" s="224"/>
      <c r="T155" s="224"/>
      <c r="U155" s="224"/>
    </row>
    <row r="156" spans="1:21" ht="18" customHeight="1">
      <c r="A156" s="229" t="s">
        <v>414</v>
      </c>
      <c r="B156" s="61" t="s">
        <v>125</v>
      </c>
      <c r="C156" s="62">
        <v>200000</v>
      </c>
      <c r="D156" s="62">
        <f t="shared" si="34"/>
        <v>800000</v>
      </c>
      <c r="E156" s="62">
        <f t="shared" si="35"/>
        <v>1000000</v>
      </c>
      <c r="F156" s="62">
        <v>1000000</v>
      </c>
      <c r="G156" s="100">
        <f t="shared" si="36"/>
        <v>0</v>
      </c>
      <c r="H156" s="62">
        <v>3000000</v>
      </c>
      <c r="J156" s="257"/>
      <c r="R156" s="224"/>
      <c r="S156" s="224"/>
      <c r="T156" s="224"/>
      <c r="U156" s="224"/>
    </row>
    <row r="157" spans="1:21" ht="18" customHeight="1">
      <c r="A157" s="229" t="s">
        <v>415</v>
      </c>
      <c r="B157" s="61" t="s">
        <v>178</v>
      </c>
      <c r="C157" s="62"/>
      <c r="D157" s="62"/>
      <c r="E157" s="62"/>
      <c r="F157" s="62">
        <v>18190000</v>
      </c>
      <c r="G157" s="100"/>
      <c r="H157" s="62">
        <f>8400000*6.5%+8400000</f>
        <v>8946000</v>
      </c>
      <c r="J157" s="257"/>
      <c r="R157" s="224"/>
      <c r="S157" s="224"/>
      <c r="T157" s="224"/>
      <c r="U157" s="224"/>
    </row>
    <row r="158" spans="1:21" ht="18" customHeight="1">
      <c r="A158" s="229" t="s">
        <v>416</v>
      </c>
      <c r="B158" s="61" t="s">
        <v>204</v>
      </c>
      <c r="C158" s="62">
        <v>86672000</v>
      </c>
      <c r="D158" s="62">
        <f t="shared" si="34"/>
        <v>-86672000</v>
      </c>
      <c r="E158" s="62">
        <f t="shared" si="35"/>
        <v>0</v>
      </c>
      <c r="F158" s="62">
        <v>0</v>
      </c>
      <c r="G158" s="100">
        <f t="shared" si="36"/>
        <v>0</v>
      </c>
      <c r="H158" s="62">
        <v>12000000</v>
      </c>
      <c r="J158" s="257"/>
      <c r="R158" s="224"/>
      <c r="S158" s="224"/>
      <c r="T158" s="224"/>
      <c r="U158" s="224"/>
    </row>
    <row r="159" spans="1:21" ht="18" customHeight="1" hidden="1">
      <c r="A159" s="229" t="s">
        <v>417</v>
      </c>
      <c r="B159" s="59" t="s">
        <v>111</v>
      </c>
      <c r="C159" s="91">
        <f aca="true" t="shared" si="37" ref="C159:H159">SUM(C160)</f>
        <v>0</v>
      </c>
      <c r="D159" s="91">
        <f t="shared" si="37"/>
        <v>0</v>
      </c>
      <c r="E159" s="91">
        <f t="shared" si="37"/>
        <v>0</v>
      </c>
      <c r="F159" s="91">
        <f t="shared" si="37"/>
        <v>0</v>
      </c>
      <c r="G159" s="91">
        <f t="shared" si="37"/>
        <v>0</v>
      </c>
      <c r="H159" s="91">
        <f t="shared" si="37"/>
        <v>0</v>
      </c>
      <c r="R159" s="224"/>
      <c r="S159" s="224"/>
      <c r="T159" s="224" t="e">
        <f>+T160+S193+S194</f>
        <v>#REF!</v>
      </c>
      <c r="U159" s="224"/>
    </row>
    <row r="160" spans="1:21" ht="18" customHeight="1" hidden="1">
      <c r="A160" s="229" t="s">
        <v>419</v>
      </c>
      <c r="B160" s="243" t="s">
        <v>112</v>
      </c>
      <c r="C160" s="62"/>
      <c r="D160" s="62">
        <f>+F160-C160</f>
        <v>0</v>
      </c>
      <c r="E160" s="62">
        <f>SUM(C160:D160)</f>
        <v>0</v>
      </c>
      <c r="F160" s="62"/>
      <c r="G160" s="100">
        <f>+F160-E160</f>
        <v>0</v>
      </c>
      <c r="H160" s="62"/>
      <c r="R160" s="224"/>
      <c r="S160" s="224" t="e">
        <f>SUM(S193:S197)</f>
        <v>#REF!</v>
      </c>
      <c r="T160" s="224" t="e">
        <f>SUM(T193:T197)</f>
        <v>#REF!</v>
      </c>
      <c r="U160" s="224"/>
    </row>
    <row r="161" spans="1:21" ht="18" customHeight="1">
      <c r="A161" s="229" t="s">
        <v>417</v>
      </c>
      <c r="B161" s="243" t="s">
        <v>215</v>
      </c>
      <c r="C161" s="62"/>
      <c r="D161" s="62"/>
      <c r="E161" s="62"/>
      <c r="F161" s="62"/>
      <c r="G161" s="100"/>
      <c r="H161" s="62">
        <v>1000000</v>
      </c>
      <c r="I161" s="23">
        <f>1600*12</f>
        <v>19200</v>
      </c>
      <c r="J161" s="257"/>
      <c r="R161" s="224"/>
      <c r="S161" s="224"/>
      <c r="T161" s="224"/>
      <c r="U161" s="224"/>
    </row>
    <row r="162" spans="1:21" ht="18" customHeight="1">
      <c r="A162" s="229" t="s">
        <v>419</v>
      </c>
      <c r="B162" s="243" t="s">
        <v>216</v>
      </c>
      <c r="C162" s="62"/>
      <c r="D162" s="62"/>
      <c r="E162" s="62"/>
      <c r="F162" s="62"/>
      <c r="G162" s="100"/>
      <c r="H162" s="62">
        <v>6000000</v>
      </c>
      <c r="J162" s="257"/>
      <c r="R162" s="224"/>
      <c r="S162" s="224"/>
      <c r="T162" s="224"/>
      <c r="U162" s="224"/>
    </row>
    <row r="163" spans="1:21" ht="18" customHeight="1">
      <c r="A163" s="229" t="s">
        <v>420</v>
      </c>
      <c r="B163" s="243" t="s">
        <v>418</v>
      </c>
      <c r="C163" s="62"/>
      <c r="D163" s="62"/>
      <c r="E163" s="62"/>
      <c r="F163" s="62"/>
      <c r="G163" s="100"/>
      <c r="H163" s="62">
        <v>500000</v>
      </c>
      <c r="J163" s="257"/>
      <c r="R163" s="224"/>
      <c r="S163" s="224"/>
      <c r="T163" s="224"/>
      <c r="U163" s="224"/>
    </row>
    <row r="164" spans="1:21" ht="18" customHeight="1">
      <c r="A164" s="229" t="s">
        <v>500</v>
      </c>
      <c r="B164" s="243" t="s">
        <v>501</v>
      </c>
      <c r="C164" s="62"/>
      <c r="D164" s="62"/>
      <c r="E164" s="62"/>
      <c r="F164" s="62"/>
      <c r="G164" s="100"/>
      <c r="H164" s="62">
        <v>800000</v>
      </c>
      <c r="J164" s="257"/>
      <c r="R164" s="224"/>
      <c r="S164" s="224"/>
      <c r="T164" s="224"/>
      <c r="U164" s="224"/>
    </row>
    <row r="165" spans="1:21" ht="18" customHeight="1">
      <c r="A165" s="229" t="s">
        <v>505</v>
      </c>
      <c r="B165" s="243" t="s">
        <v>499</v>
      </c>
      <c r="C165" s="62"/>
      <c r="D165" s="62"/>
      <c r="E165" s="62"/>
      <c r="F165" s="62"/>
      <c r="G165" s="100"/>
      <c r="H165" s="62">
        <v>5000000</v>
      </c>
      <c r="J165" s="257"/>
      <c r="R165" s="224"/>
      <c r="S165" s="224"/>
      <c r="T165" s="224"/>
      <c r="U165" s="224"/>
    </row>
    <row r="166" spans="1:21" ht="18" customHeight="1">
      <c r="A166" s="229" t="s">
        <v>506</v>
      </c>
      <c r="B166" s="243" t="s">
        <v>561</v>
      </c>
      <c r="C166" s="62"/>
      <c r="D166" s="62"/>
      <c r="E166" s="62"/>
      <c r="F166" s="62"/>
      <c r="G166" s="100"/>
      <c r="H166" s="62">
        <v>15000000</v>
      </c>
      <c r="I166" s="23">
        <f>15600-22000</f>
        <v>-6400</v>
      </c>
      <c r="J166" s="257"/>
      <c r="R166" s="224"/>
      <c r="S166" s="224"/>
      <c r="T166" s="224"/>
      <c r="U166" s="224"/>
    </row>
    <row r="167" spans="1:21" ht="18" customHeight="1">
      <c r="A167" s="229" t="s">
        <v>507</v>
      </c>
      <c r="B167" s="243" t="s">
        <v>562</v>
      </c>
      <c r="C167" s="62"/>
      <c r="D167" s="62"/>
      <c r="E167" s="62"/>
      <c r="F167" s="62"/>
      <c r="G167" s="100"/>
      <c r="H167" s="62">
        <v>2000000</v>
      </c>
      <c r="J167" s="257"/>
      <c r="R167" s="224"/>
      <c r="S167" s="224"/>
      <c r="T167" s="224"/>
      <c r="U167" s="224"/>
    </row>
    <row r="168" spans="1:21" ht="18" customHeight="1">
      <c r="A168" s="229" t="s">
        <v>525</v>
      </c>
      <c r="B168" s="258" t="s">
        <v>234</v>
      </c>
      <c r="C168" s="62">
        <v>16400058</v>
      </c>
      <c r="D168" s="62">
        <f>+F168-C168</f>
        <v>-15392058</v>
      </c>
      <c r="E168" s="62">
        <f>SUM(C168:D168)</f>
        <v>1008000</v>
      </c>
      <c r="F168" s="62">
        <v>1008000</v>
      </c>
      <c r="G168" s="100">
        <f>+F168-E168</f>
        <v>0</v>
      </c>
      <c r="H168" s="62">
        <v>3000000</v>
      </c>
      <c r="J168" s="257"/>
      <c r="R168" s="224"/>
      <c r="S168" s="224"/>
      <c r="T168" s="224"/>
      <c r="U168" s="224"/>
    </row>
    <row r="169" spans="1:21" ht="18" customHeight="1">
      <c r="A169" s="229" t="s">
        <v>526</v>
      </c>
      <c r="B169" s="243" t="s">
        <v>112</v>
      </c>
      <c r="C169" s="62">
        <v>6121554</v>
      </c>
      <c r="D169" s="62">
        <f>+F169-C169</f>
        <v>-6121554</v>
      </c>
      <c r="E169" s="62">
        <f>SUM(C169:D169)</f>
        <v>0</v>
      </c>
      <c r="F169" s="62">
        <v>0</v>
      </c>
      <c r="G169" s="100">
        <f>+F169-E169</f>
        <v>0</v>
      </c>
      <c r="H169" s="62">
        <v>500000</v>
      </c>
      <c r="J169" s="257"/>
      <c r="R169" s="224"/>
      <c r="S169" s="224"/>
      <c r="T169" s="224"/>
      <c r="U169" s="224"/>
    </row>
    <row r="170" spans="1:21" ht="18" customHeight="1">
      <c r="A170" s="229" t="s">
        <v>527</v>
      </c>
      <c r="B170" s="243" t="s">
        <v>235</v>
      </c>
      <c r="C170" s="62"/>
      <c r="D170" s="62"/>
      <c r="E170" s="62"/>
      <c r="F170" s="62"/>
      <c r="G170" s="100"/>
      <c r="H170" s="62">
        <v>1000000</v>
      </c>
      <c r="J170" s="257"/>
      <c r="R170" s="224"/>
      <c r="S170" s="224"/>
      <c r="T170" s="224"/>
      <c r="U170" s="224"/>
    </row>
    <row r="171" spans="1:21" ht="18" customHeight="1">
      <c r="A171" s="229" t="s">
        <v>528</v>
      </c>
      <c r="B171" s="243" t="s">
        <v>279</v>
      </c>
      <c r="C171" s="62"/>
      <c r="D171" s="62"/>
      <c r="E171" s="62"/>
      <c r="F171" s="62"/>
      <c r="G171" s="100"/>
      <c r="H171" s="62">
        <v>10000000</v>
      </c>
      <c r="J171" s="257"/>
      <c r="R171" s="224"/>
      <c r="S171" s="224"/>
      <c r="T171" s="224"/>
      <c r="U171" s="224"/>
    </row>
    <row r="172" spans="1:21" ht="18" customHeight="1">
      <c r="A172" s="229" t="s">
        <v>605</v>
      </c>
      <c r="B172" s="243" t="s">
        <v>548</v>
      </c>
      <c r="C172" s="62"/>
      <c r="D172" s="62"/>
      <c r="E172" s="62"/>
      <c r="F172" s="62"/>
      <c r="G172" s="100"/>
      <c r="H172" s="62">
        <v>1000000</v>
      </c>
      <c r="J172" s="257"/>
      <c r="R172" s="224"/>
      <c r="S172" s="224"/>
      <c r="T172" s="224"/>
      <c r="U172" s="224"/>
    </row>
    <row r="173" spans="1:21" ht="18" customHeight="1">
      <c r="A173" s="229" t="s">
        <v>623</v>
      </c>
      <c r="B173" s="243" t="s">
        <v>624</v>
      </c>
      <c r="C173" s="62"/>
      <c r="D173" s="62"/>
      <c r="E173" s="62"/>
      <c r="F173" s="62"/>
      <c r="G173" s="100"/>
      <c r="H173" s="62">
        <v>9700000</v>
      </c>
      <c r="J173" s="257"/>
      <c r="R173" s="224"/>
      <c r="S173" s="224"/>
      <c r="T173" s="224"/>
      <c r="U173" s="224"/>
    </row>
    <row r="174" spans="1:21" ht="18" customHeight="1">
      <c r="A174" s="225" t="s">
        <v>530</v>
      </c>
      <c r="B174" s="226" t="s">
        <v>529</v>
      </c>
      <c r="C174" s="91"/>
      <c r="D174" s="91"/>
      <c r="E174" s="91"/>
      <c r="F174" s="91"/>
      <c r="G174" s="92"/>
      <c r="H174" s="91">
        <f>+H175+H182</f>
        <v>155431606.87060267</v>
      </c>
      <c r="J174" s="257"/>
      <c r="R174" s="224"/>
      <c r="S174" s="224"/>
      <c r="T174" s="224"/>
      <c r="U174" s="224"/>
    </row>
    <row r="175" spans="1:21" ht="18" customHeight="1">
      <c r="A175" s="225" t="s">
        <v>531</v>
      </c>
      <c r="B175" s="240" t="s">
        <v>85</v>
      </c>
      <c r="C175" s="91">
        <f aca="true" t="shared" si="38" ref="C175:H175">SUM(C176:C181)</f>
        <v>6835048</v>
      </c>
      <c r="D175" s="91" t="e">
        <f t="shared" si="38"/>
        <v>#REF!</v>
      </c>
      <c r="E175" s="91" t="e">
        <f t="shared" si="38"/>
        <v>#REF!</v>
      </c>
      <c r="F175" s="91" t="e">
        <f t="shared" si="38"/>
        <v>#REF!</v>
      </c>
      <c r="G175" s="91" t="e">
        <f t="shared" si="38"/>
        <v>#REF!</v>
      </c>
      <c r="H175" s="91">
        <f t="shared" si="38"/>
        <v>136149467.87060267</v>
      </c>
      <c r="I175" s="23">
        <f>+H175+H181+H108</f>
        <v>621268062.8706026</v>
      </c>
      <c r="J175" s="257"/>
      <c r="R175" s="224"/>
      <c r="S175" s="224"/>
      <c r="T175" s="224"/>
      <c r="U175" s="224"/>
    </row>
    <row r="176" spans="1:21" ht="18" customHeight="1">
      <c r="A176" s="229" t="s">
        <v>532</v>
      </c>
      <c r="B176" s="61" t="s">
        <v>86</v>
      </c>
      <c r="C176" s="62">
        <v>315980</v>
      </c>
      <c r="D176" s="62">
        <f>+F176-C176</f>
        <v>1952513.506</v>
      </c>
      <c r="E176" s="62">
        <f>SUM(C176:D176)</f>
        <v>2268493.506</v>
      </c>
      <c r="F176" s="62">
        <f>+'[1]PARAFISCALES'!$B$53</f>
        <v>2268493.506</v>
      </c>
      <c r="G176" s="100">
        <f>+F176-E176</f>
        <v>0</v>
      </c>
      <c r="H176" s="62">
        <v>15425710</v>
      </c>
      <c r="J176" s="257"/>
      <c r="R176" s="224"/>
      <c r="S176" s="224"/>
      <c r="T176" s="224"/>
      <c r="U176" s="224"/>
    </row>
    <row r="177" spans="1:21" ht="18" customHeight="1">
      <c r="A177" s="229" t="s">
        <v>533</v>
      </c>
      <c r="B177" s="61" t="s">
        <v>90</v>
      </c>
      <c r="C177" s="62"/>
      <c r="D177" s="62" t="e">
        <f>+F177-C177</f>
        <v>#REF!</v>
      </c>
      <c r="E177" s="62" t="e">
        <f>SUM(C177:D177)</f>
        <v>#REF!</v>
      </c>
      <c r="F177" s="62" t="e">
        <f>+#REF!</f>
        <v>#REF!</v>
      </c>
      <c r="G177" s="100" t="e">
        <f>+F177-E177</f>
        <v>#REF!</v>
      </c>
      <c r="H177" s="62">
        <f>+'[4]NOMINA2007 (2)'!$P$63</f>
        <v>35701524.88446667</v>
      </c>
      <c r="I177" s="23">
        <f>SUM(H176:H178)+H181</f>
        <v>58538863.87060267</v>
      </c>
      <c r="J177" s="257"/>
      <c r="R177" s="224"/>
      <c r="S177" s="224"/>
      <c r="T177" s="224"/>
      <c r="U177" s="224"/>
    </row>
    <row r="178" spans="1:21" ht="18" customHeight="1">
      <c r="A178" s="229" t="s">
        <v>534</v>
      </c>
      <c r="B178" s="61" t="s">
        <v>202</v>
      </c>
      <c r="C178" s="62"/>
      <c r="D178" s="62"/>
      <c r="E178" s="62"/>
      <c r="F178" s="62"/>
      <c r="G178" s="100"/>
      <c r="H178" s="62">
        <f>+'[4]NOMINA2007 (2)'!$Q$63</f>
        <v>4284182.986136</v>
      </c>
      <c r="I178" s="23">
        <f>+H174-I177</f>
        <v>96892743</v>
      </c>
      <c r="J178" s="257"/>
      <c r="R178" s="224"/>
      <c r="S178" s="224"/>
      <c r="T178" s="224"/>
      <c r="U178" s="224"/>
    </row>
    <row r="179" spans="1:21" ht="18" customHeight="1">
      <c r="A179" s="229" t="s">
        <v>535</v>
      </c>
      <c r="B179" s="61" t="s">
        <v>88</v>
      </c>
      <c r="C179" s="62">
        <v>3484692</v>
      </c>
      <c r="D179" s="62">
        <f>+F179-C179</f>
        <v>2257432.1870625</v>
      </c>
      <c r="E179" s="62">
        <f>SUM(C179:D179)</f>
        <v>5742124.1870625</v>
      </c>
      <c r="F179" s="62">
        <f>+'[1]PARAFISCALES'!$B$55</f>
        <v>5742124.1870625</v>
      </c>
      <c r="G179" s="100">
        <f>+F179-E179</f>
        <v>0</v>
      </c>
      <c r="H179" s="62">
        <v>44830970</v>
      </c>
      <c r="J179" s="257"/>
      <c r="R179" s="224"/>
      <c r="S179" s="224"/>
      <c r="T179" s="224"/>
      <c r="U179" s="224"/>
    </row>
    <row r="180" spans="1:21" ht="18" customHeight="1">
      <c r="A180" s="229" t="s">
        <v>536</v>
      </c>
      <c r="B180" s="61" t="s">
        <v>87</v>
      </c>
      <c r="C180" s="62">
        <v>2415058</v>
      </c>
      <c r="D180" s="62">
        <f>+F180-C180</f>
        <v>2121929.012</v>
      </c>
      <c r="E180" s="62">
        <f>SUM(C180:D180)</f>
        <v>4536987.012</v>
      </c>
      <c r="F180" s="62">
        <f>+'[1]PARAFISCALES'!$B$54</f>
        <v>4536987.012</v>
      </c>
      <c r="G180" s="100">
        <f>+F180-E180</f>
        <v>0</v>
      </c>
      <c r="H180" s="62">
        <v>32779634</v>
      </c>
      <c r="I180" s="23">
        <f>SUM(H179:H180)</f>
        <v>77610604</v>
      </c>
      <c r="J180" s="257"/>
      <c r="R180" s="224"/>
      <c r="S180" s="224"/>
      <c r="T180" s="224"/>
      <c r="U180" s="224"/>
    </row>
    <row r="181" spans="1:21" ht="18" customHeight="1">
      <c r="A181" s="229" t="s">
        <v>537</v>
      </c>
      <c r="B181" s="61" t="s">
        <v>95</v>
      </c>
      <c r="C181" s="62">
        <v>619318</v>
      </c>
      <c r="D181" s="62">
        <f>+F181-C181</f>
        <v>762194.5451539999</v>
      </c>
      <c r="E181" s="62">
        <f>SUM(C181:D181)</f>
        <v>1381512.545154</v>
      </c>
      <c r="F181" s="62">
        <f>+'[1]PARAFISCALES'!$B$56</f>
        <v>1381512.545154</v>
      </c>
      <c r="G181" s="100">
        <f>+F181-E181</f>
        <v>0</v>
      </c>
      <c r="H181" s="62">
        <v>3127446</v>
      </c>
      <c r="J181" s="257"/>
      <c r="R181" s="224"/>
      <c r="S181" s="224"/>
      <c r="T181" s="224"/>
      <c r="U181" s="224"/>
    </row>
    <row r="182" spans="1:21" ht="18" customHeight="1">
      <c r="A182" s="225" t="s">
        <v>538</v>
      </c>
      <c r="B182" s="240" t="s">
        <v>89</v>
      </c>
      <c r="C182" s="91">
        <f>SUM(C184:C191)</f>
        <v>355478</v>
      </c>
      <c r="D182" s="91">
        <f>SUM(D184:D191)</f>
        <v>2196577.1942499997</v>
      </c>
      <c r="E182" s="91">
        <f>SUM(E184:E191)</f>
        <v>2552055.1942499997</v>
      </c>
      <c r="F182" s="91">
        <f>SUM(F184:F191)</f>
        <v>2552055.1942499997</v>
      </c>
      <c r="G182" s="91">
        <f>SUM(G184:G191)</f>
        <v>0</v>
      </c>
      <c r="H182" s="91">
        <f>SUM(H183:H186)</f>
        <v>19282139</v>
      </c>
      <c r="I182" s="23">
        <f>+H182+H176</f>
        <v>34707849</v>
      </c>
      <c r="J182" s="257"/>
      <c r="R182" s="224"/>
      <c r="S182" s="224"/>
      <c r="T182" s="224"/>
      <c r="U182" s="224"/>
    </row>
    <row r="183" spans="1:21" ht="18" customHeight="1">
      <c r="A183" s="229" t="s">
        <v>539</v>
      </c>
      <c r="B183" s="61" t="s">
        <v>94</v>
      </c>
      <c r="C183" s="62">
        <v>39498</v>
      </c>
      <c r="D183" s="62">
        <f>+F183-C183</f>
        <v>244063.68825</v>
      </c>
      <c r="E183" s="62">
        <f>SUM(C183:D183)</f>
        <v>283561.68825</v>
      </c>
      <c r="F183" s="62">
        <f>+'[1]PARAFISCALES'!$B$63</f>
        <v>283561.68825</v>
      </c>
      <c r="G183" s="100">
        <f>+F183-E183</f>
        <v>0</v>
      </c>
      <c r="H183" s="62">
        <v>1928214</v>
      </c>
      <c r="J183" s="257"/>
      <c r="R183" s="224"/>
      <c r="S183" s="224"/>
      <c r="T183" s="224"/>
      <c r="U183" s="224"/>
    </row>
    <row r="184" spans="1:21" ht="18" customHeight="1">
      <c r="A184" s="229" t="s">
        <v>540</v>
      </c>
      <c r="B184" s="61" t="s">
        <v>91</v>
      </c>
      <c r="C184" s="62">
        <v>236985</v>
      </c>
      <c r="D184" s="62">
        <f>+F184-C184</f>
        <v>1464385.1294999998</v>
      </c>
      <c r="E184" s="62">
        <f>SUM(C184:D184)</f>
        <v>1701370.1294999998</v>
      </c>
      <c r="F184" s="62">
        <f>+'[1]PARAFISCALES'!$B$60</f>
        <v>1701370.1294999998</v>
      </c>
      <c r="G184" s="100">
        <f>+F184-E184</f>
        <v>0</v>
      </c>
      <c r="H184" s="62">
        <v>11569283</v>
      </c>
      <c r="J184" s="257"/>
      <c r="R184" s="224"/>
      <c r="S184" s="224"/>
      <c r="T184" s="224"/>
      <c r="U184" s="224"/>
    </row>
    <row r="185" spans="1:21" ht="18" customHeight="1">
      <c r="A185" s="229" t="s">
        <v>541</v>
      </c>
      <c r="B185" s="61" t="s">
        <v>93</v>
      </c>
      <c r="C185" s="62">
        <v>39498</v>
      </c>
      <c r="D185" s="62">
        <f>+F185-C185</f>
        <v>244063.68825</v>
      </c>
      <c r="E185" s="62">
        <f>SUM(C185:D185)</f>
        <v>283561.68825</v>
      </c>
      <c r="F185" s="62">
        <f>+'[1]PARAFISCALES'!$B$62</f>
        <v>283561.68825</v>
      </c>
      <c r="G185" s="100">
        <f>+F185-E185</f>
        <v>0</v>
      </c>
      <c r="H185" s="62">
        <v>1928214</v>
      </c>
      <c r="J185" s="257"/>
      <c r="R185" s="224"/>
      <c r="S185" s="224"/>
      <c r="T185" s="224"/>
      <c r="U185" s="224"/>
    </row>
    <row r="186" spans="1:21" ht="18" customHeight="1">
      <c r="A186" s="229" t="s">
        <v>542</v>
      </c>
      <c r="B186" s="61" t="s">
        <v>92</v>
      </c>
      <c r="C186" s="62">
        <v>78995</v>
      </c>
      <c r="D186" s="62">
        <f>+F186-C186</f>
        <v>488128.3765</v>
      </c>
      <c r="E186" s="62">
        <f>SUM(C186:D186)</f>
        <v>567123.3765</v>
      </c>
      <c r="F186" s="62">
        <f>+'[1]PARAFISCALES'!$B$61</f>
        <v>567123.3765</v>
      </c>
      <c r="G186" s="100">
        <f>+F186-E186</f>
        <v>0</v>
      </c>
      <c r="H186" s="62">
        <v>3856428</v>
      </c>
      <c r="J186" s="257"/>
      <c r="R186" s="224"/>
      <c r="S186" s="224"/>
      <c r="T186" s="224"/>
      <c r="U186" s="224"/>
    </row>
    <row r="187" spans="1:21" ht="18" customHeight="1">
      <c r="A187" s="229"/>
      <c r="B187" s="61"/>
      <c r="C187" s="62"/>
      <c r="D187" s="62"/>
      <c r="E187" s="62"/>
      <c r="F187" s="62"/>
      <c r="G187" s="100"/>
      <c r="H187" s="62"/>
      <c r="J187" s="257"/>
      <c r="R187" s="224"/>
      <c r="S187" s="224"/>
      <c r="T187" s="224"/>
      <c r="U187" s="224"/>
    </row>
    <row r="188" spans="1:21" ht="18" customHeight="1">
      <c r="A188" s="225" t="s">
        <v>586</v>
      </c>
      <c r="B188" s="59" t="s">
        <v>113</v>
      </c>
      <c r="C188" s="91"/>
      <c r="D188" s="91"/>
      <c r="E188" s="91"/>
      <c r="F188" s="91"/>
      <c r="G188" s="92"/>
      <c r="H188" s="91">
        <f>+H189+H191+H192</f>
        <v>7650000</v>
      </c>
      <c r="J188" s="257"/>
      <c r="R188" s="224"/>
      <c r="S188" s="224"/>
      <c r="T188" s="224"/>
      <c r="U188" s="224"/>
    </row>
    <row r="189" spans="1:21" ht="18" customHeight="1">
      <c r="A189" s="229" t="s">
        <v>587</v>
      </c>
      <c r="B189" s="61" t="s">
        <v>205</v>
      </c>
      <c r="C189" s="62"/>
      <c r="D189" s="62">
        <f>+F189-C189</f>
        <v>0</v>
      </c>
      <c r="E189" s="62">
        <f>SUM(C189:D189)</f>
        <v>0</v>
      </c>
      <c r="F189" s="62">
        <f>+C189*1.1</f>
        <v>0</v>
      </c>
      <c r="G189" s="100">
        <f>+F189-E189</f>
        <v>0</v>
      </c>
      <c r="H189" s="62">
        <v>1250000</v>
      </c>
      <c r="J189" s="257"/>
      <c r="R189" s="224"/>
      <c r="S189" s="224"/>
      <c r="T189" s="224"/>
      <c r="U189" s="224"/>
    </row>
    <row r="190" spans="1:21" ht="18" customHeight="1">
      <c r="A190" s="229" t="s">
        <v>588</v>
      </c>
      <c r="B190" s="61" t="s">
        <v>590</v>
      </c>
      <c r="C190" s="62"/>
      <c r="D190" s="62"/>
      <c r="E190" s="62"/>
      <c r="F190" s="62"/>
      <c r="G190" s="100"/>
      <c r="H190" s="62"/>
      <c r="I190" s="23">
        <f>13-8</f>
        <v>5</v>
      </c>
      <c r="J190" s="257"/>
      <c r="R190" s="224"/>
      <c r="S190" s="224"/>
      <c r="T190" s="224"/>
      <c r="U190" s="224"/>
    </row>
    <row r="191" spans="1:21" ht="18" customHeight="1">
      <c r="A191" s="229" t="s">
        <v>589</v>
      </c>
      <c r="B191" s="243" t="s">
        <v>236</v>
      </c>
      <c r="C191" s="62"/>
      <c r="D191" s="62"/>
      <c r="E191" s="62"/>
      <c r="F191" s="62"/>
      <c r="G191" s="100"/>
      <c r="H191" s="62">
        <v>500000</v>
      </c>
      <c r="J191" s="257"/>
      <c r="R191" s="224"/>
      <c r="S191" s="224"/>
      <c r="T191" s="224"/>
      <c r="U191" s="224"/>
    </row>
    <row r="192" spans="1:21" ht="18" customHeight="1">
      <c r="A192" s="229" t="s">
        <v>622</v>
      </c>
      <c r="B192" s="243" t="s">
        <v>625</v>
      </c>
      <c r="C192" s="62"/>
      <c r="D192" s="62"/>
      <c r="E192" s="62"/>
      <c r="F192" s="62"/>
      <c r="G192" s="100"/>
      <c r="H192" s="62">
        <v>5900000</v>
      </c>
      <c r="I192" s="23">
        <f>-I72+H192+H173</f>
        <v>38522289.134393185</v>
      </c>
      <c r="J192" s="257"/>
      <c r="R192" s="224"/>
      <c r="S192" s="224"/>
      <c r="T192" s="224"/>
      <c r="U192" s="224"/>
    </row>
    <row r="193" spans="1:21" ht="18" customHeight="1">
      <c r="A193" s="242"/>
      <c r="B193" s="226" t="s">
        <v>126</v>
      </c>
      <c r="C193" s="91" t="e">
        <f>+C107+C136</f>
        <v>#REF!</v>
      </c>
      <c r="D193" s="91" t="e">
        <f>+D107+D136</f>
        <v>#REF!</v>
      </c>
      <c r="E193" s="91" t="e">
        <f>+E107+E136</f>
        <v>#REF!</v>
      </c>
      <c r="F193" s="91" t="e">
        <f>+F107+F136</f>
        <v>#REF!</v>
      </c>
      <c r="G193" s="91" t="e">
        <f>+G107+G136</f>
        <v>#REF!</v>
      </c>
      <c r="H193" s="91">
        <f>+H107+H136+H174+H188</f>
        <v>1224627382.8706026</v>
      </c>
      <c r="R193" s="224"/>
      <c r="S193" s="224">
        <v>58634872</v>
      </c>
      <c r="T193" s="224"/>
      <c r="U193" s="224"/>
    </row>
    <row r="194" spans="1:21" ht="18" customHeight="1">
      <c r="A194" s="238"/>
      <c r="B194" s="59" t="s">
        <v>127</v>
      </c>
      <c r="C194" s="91">
        <f aca="true" t="shared" si="39" ref="C194:H194">SUM(C195:C198)</f>
        <v>1083047221.88</v>
      </c>
      <c r="D194" s="91">
        <f t="shared" si="39"/>
        <v>1242206546</v>
      </c>
      <c r="E194" s="91">
        <f t="shared" si="39"/>
        <v>2325253767.88</v>
      </c>
      <c r="F194" s="91">
        <f t="shared" si="39"/>
        <v>2192019798</v>
      </c>
      <c r="G194" s="91">
        <f t="shared" si="39"/>
        <v>0</v>
      </c>
      <c r="H194" s="91">
        <f t="shared" si="39"/>
        <v>6479371538.524091</v>
      </c>
      <c r="R194" s="224"/>
      <c r="S194" s="224">
        <f>+H195</f>
        <v>3726801127.9090905</v>
      </c>
      <c r="T194" s="224"/>
      <c r="U194" s="224"/>
    </row>
    <row r="195" spans="1:21" ht="18" customHeight="1">
      <c r="A195" s="238"/>
      <c r="B195" s="61" t="s">
        <v>206</v>
      </c>
      <c r="C195" s="62">
        <f>+F195/2</f>
        <v>979708885</v>
      </c>
      <c r="D195" s="62">
        <v>1132801361</v>
      </c>
      <c r="E195" s="62">
        <f>SUM(C195:D195)</f>
        <v>2112510246</v>
      </c>
      <c r="F195" s="62">
        <v>1959417770</v>
      </c>
      <c r="G195" s="100">
        <v>0</v>
      </c>
      <c r="H195" s="62">
        <f>+ingresos2008!H61-ingresos2008!H66-ingresos2008!H68-H314-H248+ingresos2008!H143</f>
        <v>3726801127.9090905</v>
      </c>
      <c r="I195" s="23">
        <f>+H196+ingresos2008!H94</f>
        <v>1673296651.87</v>
      </c>
      <c r="J195" s="259"/>
      <c r="R195" s="224"/>
      <c r="S195" s="224" t="e">
        <f>+#REF!</f>
        <v>#REF!</v>
      </c>
      <c r="T195" s="224"/>
      <c r="U195" s="224"/>
    </row>
    <row r="196" spans="1:21" ht="18" customHeight="1">
      <c r="A196" s="238"/>
      <c r="B196" s="61" t="s">
        <v>207</v>
      </c>
      <c r="C196" s="62">
        <f>178655321-69217000-66503000</f>
        <v>42935321</v>
      </c>
      <c r="D196" s="62">
        <f>67513158-42935321</f>
        <v>24577837</v>
      </c>
      <c r="E196" s="62">
        <f>SUM(C196:D196)</f>
        <v>67513158</v>
      </c>
      <c r="F196" s="62">
        <v>0</v>
      </c>
      <c r="G196" s="100">
        <v>0</v>
      </c>
      <c r="H196" s="62">
        <f>+ingresos2008!H91+ingresos2008!H92-ingresos2008!H94+ingresos2008!H115+ingresos2008!H147+ingresos2008!H150+ingresos2008!H154+ingresos2008!H156-ingresos2008!H125-ingresos2008!H124</f>
        <v>1643791755.0749998</v>
      </c>
      <c r="J196" s="259"/>
      <c r="R196" s="224"/>
      <c r="S196" s="224" t="e">
        <f>+#REF!</f>
        <v>#REF!</v>
      </c>
      <c r="T196" s="224" t="e">
        <f>+H196+#REF!+H197</f>
        <v>#REF!</v>
      </c>
      <c r="U196" s="224"/>
    </row>
    <row r="197" spans="1:22" ht="18" customHeight="1">
      <c r="A197" s="238"/>
      <c r="B197" s="61" t="s">
        <v>616</v>
      </c>
      <c r="C197" s="62">
        <f>603338336.88-500000000-42935321</f>
        <v>60403015.879999995</v>
      </c>
      <c r="D197" s="62"/>
      <c r="E197" s="62">
        <f>SUM(C197:D197)</f>
        <v>60403015.879999995</v>
      </c>
      <c r="F197" s="62">
        <f>247602028-15000000</f>
        <v>232602028</v>
      </c>
      <c r="G197" s="100">
        <v>0</v>
      </c>
      <c r="H197" s="62">
        <f>+ingresos2008!H128</f>
        <v>93481741.54</v>
      </c>
      <c r="I197" s="183"/>
      <c r="J197" s="259"/>
      <c r="R197" s="224"/>
      <c r="S197" s="224" t="e">
        <f>+#REF!</f>
        <v>#REF!</v>
      </c>
      <c r="T197" s="224"/>
      <c r="U197" s="224"/>
      <c r="V197" s="21">
        <f>8000000+10000000+20000000+8000000+20000000+10000000+30000000+100000000+30000000+20000000+10000000+5000000+10000000+5000000</f>
        <v>286000000</v>
      </c>
    </row>
    <row r="198" spans="1:21" ht="18" customHeight="1">
      <c r="A198" s="238"/>
      <c r="B198" s="61" t="s">
        <v>242</v>
      </c>
      <c r="C198" s="62"/>
      <c r="D198" s="62">
        <f>81478684+3348664</f>
        <v>84827348</v>
      </c>
      <c r="E198" s="62">
        <f>SUM(C198:D198)</f>
        <v>84827348</v>
      </c>
      <c r="F198" s="62"/>
      <c r="G198" s="100">
        <v>0</v>
      </c>
      <c r="H198" s="62">
        <f>1009090072+6200842+6000</f>
        <v>1015296914</v>
      </c>
      <c r="I198" s="260"/>
      <c r="J198" s="261"/>
      <c r="R198" s="224"/>
      <c r="S198" s="262" t="e">
        <f>+S195+S196+#REF!+S197</f>
        <v>#REF!</v>
      </c>
      <c r="T198" s="224"/>
      <c r="U198" s="224"/>
    </row>
    <row r="199" spans="1:21" ht="18" customHeight="1">
      <c r="A199" s="238"/>
      <c r="B199" s="59" t="s">
        <v>128</v>
      </c>
      <c r="C199" s="91" t="e">
        <f aca="true" t="shared" si="40" ref="C199:H199">+C193+C194</f>
        <v>#REF!</v>
      </c>
      <c r="D199" s="91" t="e">
        <f t="shared" si="40"/>
        <v>#REF!</v>
      </c>
      <c r="E199" s="91" t="e">
        <f t="shared" si="40"/>
        <v>#REF!</v>
      </c>
      <c r="F199" s="91" t="e">
        <f t="shared" si="40"/>
        <v>#REF!</v>
      </c>
      <c r="G199" s="91" t="e">
        <f t="shared" si="40"/>
        <v>#REF!</v>
      </c>
      <c r="H199" s="91">
        <f t="shared" si="40"/>
        <v>7703998921.394693</v>
      </c>
      <c r="R199" s="224"/>
      <c r="S199" s="224"/>
      <c r="T199" s="224"/>
      <c r="U199" s="224"/>
    </row>
    <row r="200" spans="1:21" ht="19.5" customHeight="1">
      <c r="A200" s="263"/>
      <c r="B200" s="264"/>
      <c r="C200" s="97"/>
      <c r="D200" s="97"/>
      <c r="E200" s="97"/>
      <c r="F200" s="97"/>
      <c r="G200" s="97"/>
      <c r="H200" s="97"/>
      <c r="J200" s="110"/>
      <c r="R200" s="224"/>
      <c r="S200" s="224"/>
      <c r="T200" s="224"/>
      <c r="U200" s="224"/>
    </row>
    <row r="201" spans="1:21" ht="19.5" customHeight="1" hidden="1">
      <c r="A201" s="238"/>
      <c r="B201" s="61"/>
      <c r="C201" s="62"/>
      <c r="D201" s="62">
        <f>+F201-C201</f>
        <v>0</v>
      </c>
      <c r="E201" s="62">
        <f>SUM(C201:D201)</f>
        <v>0</v>
      </c>
      <c r="F201" s="62">
        <f>+C201*1.1</f>
        <v>0</v>
      </c>
      <c r="G201" s="100">
        <f>+F201-E201</f>
        <v>0</v>
      </c>
      <c r="H201" s="62">
        <f>+E201*1.1</f>
        <v>0</v>
      </c>
      <c r="R201" s="224"/>
      <c r="S201" s="224"/>
      <c r="T201" s="224"/>
      <c r="U201" s="224"/>
    </row>
    <row r="202" spans="1:21" ht="19.5" customHeight="1" hidden="1">
      <c r="A202" s="225"/>
      <c r="B202" s="226" t="s">
        <v>80</v>
      </c>
      <c r="C202" s="91">
        <f aca="true" t="shared" si="41" ref="C202:H202">SUM(C203:C205)</f>
        <v>0</v>
      </c>
      <c r="D202" s="91">
        <f t="shared" si="41"/>
        <v>0</v>
      </c>
      <c r="E202" s="91">
        <f t="shared" si="41"/>
        <v>0</v>
      </c>
      <c r="F202" s="91">
        <f>SUM(F203:F205)</f>
        <v>0</v>
      </c>
      <c r="G202" s="91">
        <f t="shared" si="41"/>
        <v>0</v>
      </c>
      <c r="H202" s="91">
        <f t="shared" si="41"/>
        <v>0</v>
      </c>
      <c r="R202" s="224"/>
      <c r="S202" s="224"/>
      <c r="T202" s="224"/>
      <c r="U202" s="224"/>
    </row>
    <row r="203" spans="1:21" ht="19.5" customHeight="1" hidden="1">
      <c r="A203" s="238" t="s">
        <v>73</v>
      </c>
      <c r="B203" s="243" t="s">
        <v>81</v>
      </c>
      <c r="C203" s="62"/>
      <c r="D203" s="62">
        <f>+F203-C203</f>
        <v>0</v>
      </c>
      <c r="E203" s="62">
        <f>SUM(C203:D203)</f>
        <v>0</v>
      </c>
      <c r="F203" s="62">
        <f>+C203*1.1</f>
        <v>0</v>
      </c>
      <c r="G203" s="100">
        <f>+F203-E203</f>
        <v>0</v>
      </c>
      <c r="H203" s="62">
        <f>+E203*1.1</f>
        <v>0</v>
      </c>
      <c r="R203" s="224"/>
      <c r="S203" s="224"/>
      <c r="T203" s="224"/>
      <c r="U203" s="224"/>
    </row>
    <row r="204" spans="1:21" ht="19.5" customHeight="1" hidden="1">
      <c r="A204" s="238" t="s">
        <v>75</v>
      </c>
      <c r="B204" s="61" t="s">
        <v>82</v>
      </c>
      <c r="C204" s="62"/>
      <c r="D204" s="62">
        <f>+F204-C204</f>
        <v>0</v>
      </c>
      <c r="E204" s="62">
        <f>SUM(C204:D204)</f>
        <v>0</v>
      </c>
      <c r="F204" s="62">
        <f>+C204*1.1</f>
        <v>0</v>
      </c>
      <c r="G204" s="100">
        <f>+F204-E204</f>
        <v>0</v>
      </c>
      <c r="H204" s="62">
        <f>+E204*1.1</f>
        <v>0</v>
      </c>
      <c r="R204" s="224"/>
      <c r="S204" s="224"/>
      <c r="T204" s="224"/>
      <c r="U204" s="224"/>
    </row>
    <row r="205" spans="1:21" ht="19.5" customHeight="1" hidden="1">
      <c r="A205" s="238" t="s">
        <v>76</v>
      </c>
      <c r="B205" s="61" t="s">
        <v>84</v>
      </c>
      <c r="C205" s="62"/>
      <c r="D205" s="62">
        <f>+F205-C205</f>
        <v>0</v>
      </c>
      <c r="E205" s="62">
        <f>SUM(C205:D205)</f>
        <v>0</v>
      </c>
      <c r="F205" s="62">
        <f>+C205*1.1</f>
        <v>0</v>
      </c>
      <c r="G205" s="100">
        <f>+F205-E205</f>
        <v>0</v>
      </c>
      <c r="H205" s="62">
        <f>+E205*1.1</f>
        <v>0</v>
      </c>
      <c r="R205" s="224"/>
      <c r="S205" s="224"/>
      <c r="T205" s="224"/>
      <c r="U205" s="224"/>
    </row>
    <row r="206" spans="1:21" ht="19.5" customHeight="1">
      <c r="A206" s="250"/>
      <c r="B206" s="223"/>
      <c r="C206" s="95"/>
      <c r="D206" s="95"/>
      <c r="E206" s="95"/>
      <c r="F206" s="95"/>
      <c r="G206" s="95"/>
      <c r="H206" s="95"/>
      <c r="J206" s="110">
        <f>+I221*1%</f>
        <v>28894197.889595456</v>
      </c>
      <c r="R206" s="224"/>
      <c r="S206" s="224"/>
      <c r="T206" s="224"/>
      <c r="U206" s="224"/>
    </row>
    <row r="207" spans="1:21" ht="28.5" customHeight="1" hidden="1">
      <c r="A207" s="250" t="s">
        <v>421</v>
      </c>
      <c r="B207" s="265" t="s">
        <v>431</v>
      </c>
      <c r="C207" s="95"/>
      <c r="D207" s="95"/>
      <c r="E207" s="95"/>
      <c r="F207" s="95"/>
      <c r="G207" s="95"/>
      <c r="H207" s="95"/>
      <c r="J207" s="110"/>
      <c r="R207" s="224"/>
      <c r="S207" s="224"/>
      <c r="T207" s="224"/>
      <c r="U207" s="224"/>
    </row>
    <row r="208" spans="1:21" ht="19.5" customHeight="1" hidden="1">
      <c r="A208" s="250"/>
      <c r="B208" s="223"/>
      <c r="C208" s="95"/>
      <c r="D208" s="95"/>
      <c r="E208" s="95"/>
      <c r="F208" s="95"/>
      <c r="G208" s="95"/>
      <c r="H208" s="95"/>
      <c r="J208" s="110"/>
      <c r="R208" s="224"/>
      <c r="S208" s="224"/>
      <c r="T208" s="224"/>
      <c r="U208" s="224"/>
    </row>
    <row r="209" spans="1:21" ht="19.5" customHeight="1" hidden="1">
      <c r="A209" s="225" t="s">
        <v>422</v>
      </c>
      <c r="B209" s="226" t="s">
        <v>70</v>
      </c>
      <c r="C209" s="92" t="e">
        <f>+#REF!</f>
        <v>#REF!</v>
      </c>
      <c r="D209" s="92" t="e">
        <f>+#REF!</f>
        <v>#REF!</v>
      </c>
      <c r="E209" s="92" t="e">
        <f>+#REF!</f>
        <v>#REF!</v>
      </c>
      <c r="F209" s="92" t="e">
        <f>+#REF!</f>
        <v>#REF!</v>
      </c>
      <c r="G209" s="92" t="e">
        <f>+#REF!</f>
        <v>#REF!</v>
      </c>
      <c r="H209" s="92">
        <f>+H210</f>
        <v>0</v>
      </c>
      <c r="J209" s="110"/>
      <c r="R209" s="224"/>
      <c r="S209" s="224"/>
      <c r="T209" s="224"/>
      <c r="U209" s="224"/>
    </row>
    <row r="210" spans="1:21" ht="19.5" customHeight="1" hidden="1">
      <c r="A210" s="225" t="s">
        <v>423</v>
      </c>
      <c r="B210" s="226" t="s">
        <v>72</v>
      </c>
      <c r="C210" s="91">
        <f aca="true" t="shared" si="42" ref="C210:H210">SUM(C211:C214)</f>
        <v>8000000</v>
      </c>
      <c r="D210" s="91">
        <f t="shared" si="42"/>
        <v>8328812.5</v>
      </c>
      <c r="E210" s="91">
        <f t="shared" si="42"/>
        <v>16328812.5</v>
      </c>
      <c r="F210" s="91">
        <f t="shared" si="42"/>
        <v>16328812.5</v>
      </c>
      <c r="G210" s="91">
        <f t="shared" si="42"/>
        <v>0</v>
      </c>
      <c r="H210" s="91">
        <f t="shared" si="42"/>
        <v>0</v>
      </c>
      <c r="J210" s="110"/>
      <c r="R210" s="224"/>
      <c r="S210" s="224"/>
      <c r="T210" s="224"/>
      <c r="U210" s="224"/>
    </row>
    <row r="211" spans="1:21" ht="19.5" customHeight="1" hidden="1">
      <c r="A211" s="229" t="s">
        <v>424</v>
      </c>
      <c r="B211" s="61" t="s">
        <v>74</v>
      </c>
      <c r="C211" s="62">
        <v>8000000</v>
      </c>
      <c r="D211" s="62">
        <f>+F211-C211</f>
        <v>7072750</v>
      </c>
      <c r="E211" s="62">
        <f>SUM(C211:D211)</f>
        <v>15072750</v>
      </c>
      <c r="F211" s="62">
        <f>+'[1]PRESUPUESTO'!$L$40</f>
        <v>15072750</v>
      </c>
      <c r="G211" s="100">
        <f>+F211-E211</f>
        <v>0</v>
      </c>
      <c r="H211" s="62">
        <v>0</v>
      </c>
      <c r="J211" s="110"/>
      <c r="R211" s="224"/>
      <c r="S211" s="224"/>
      <c r="T211" s="224"/>
      <c r="U211" s="224"/>
    </row>
    <row r="212" spans="1:21" ht="19.5" customHeight="1" hidden="1">
      <c r="A212" s="229" t="s">
        <v>425</v>
      </c>
      <c r="B212" s="61" t="s">
        <v>78</v>
      </c>
      <c r="C212" s="62"/>
      <c r="D212" s="62">
        <f>+F212-C212</f>
        <v>1256062.5</v>
      </c>
      <c r="E212" s="62">
        <f>SUM(C212:D212)</f>
        <v>1256062.5</v>
      </c>
      <c r="F212" s="62">
        <f>+'[1]PRESUPUESTO'!$J$40</f>
        <v>1256062.5</v>
      </c>
      <c r="G212" s="100">
        <f>+F212-E212</f>
        <v>0</v>
      </c>
      <c r="H212" s="62">
        <v>0</v>
      </c>
      <c r="J212" s="110"/>
      <c r="L212" s="117"/>
      <c r="R212" s="224"/>
      <c r="S212" s="224"/>
      <c r="T212" s="224"/>
      <c r="U212" s="224"/>
    </row>
    <row r="213" spans="1:21" ht="19.5" customHeight="1" hidden="1">
      <c r="A213" s="229" t="s">
        <v>426</v>
      </c>
      <c r="B213" s="61" t="s">
        <v>79</v>
      </c>
      <c r="C213" s="62"/>
      <c r="D213" s="62">
        <f>+F213-C213</f>
        <v>0</v>
      </c>
      <c r="E213" s="62">
        <f>SUM(C213:D213)</f>
        <v>0</v>
      </c>
      <c r="F213" s="62">
        <f>+C213*1.1</f>
        <v>0</v>
      </c>
      <c r="G213" s="100">
        <f>+F213-E213</f>
        <v>0</v>
      </c>
      <c r="H213" s="62">
        <v>0</v>
      </c>
      <c r="J213" s="110"/>
      <c r="L213" s="117"/>
      <c r="R213" s="224"/>
      <c r="S213" s="224"/>
      <c r="T213" s="224"/>
      <c r="U213" s="224"/>
    </row>
    <row r="214" spans="1:21" ht="19.5" customHeight="1" hidden="1">
      <c r="A214" s="229" t="s">
        <v>427</v>
      </c>
      <c r="B214" s="61" t="s">
        <v>197</v>
      </c>
      <c r="C214" s="62"/>
      <c r="D214" s="62">
        <f>+F214-C214</f>
        <v>0</v>
      </c>
      <c r="E214" s="62">
        <f>SUM(C214:D214)</f>
        <v>0</v>
      </c>
      <c r="F214" s="62">
        <v>0</v>
      </c>
      <c r="G214" s="100">
        <f>+F214-E214</f>
        <v>0</v>
      </c>
      <c r="H214" s="62">
        <v>0</v>
      </c>
      <c r="J214" s="110"/>
      <c r="L214" s="117"/>
      <c r="R214" s="224"/>
      <c r="S214" s="224"/>
      <c r="T214" s="224"/>
      <c r="U214" s="224"/>
    </row>
    <row r="215" spans="1:21" ht="19.5" customHeight="1" hidden="1">
      <c r="A215" s="225" t="s">
        <v>428</v>
      </c>
      <c r="B215" s="59" t="s">
        <v>96</v>
      </c>
      <c r="C215" s="92" t="e">
        <f>+#REF!</f>
        <v>#REF!</v>
      </c>
      <c r="D215" s="92" t="e">
        <f>+#REF!</f>
        <v>#REF!</v>
      </c>
      <c r="E215" s="92" t="e">
        <f>+#REF!</f>
        <v>#REF!</v>
      </c>
      <c r="F215" s="92" t="e">
        <f>+#REF!</f>
        <v>#REF!</v>
      </c>
      <c r="G215" s="92" t="e">
        <f>+#REF!</f>
        <v>#REF!</v>
      </c>
      <c r="H215" s="92">
        <f>+H216</f>
        <v>0</v>
      </c>
      <c r="J215" s="110"/>
      <c r="L215" s="117"/>
      <c r="R215" s="224"/>
      <c r="S215" s="224"/>
      <c r="T215" s="224"/>
      <c r="U215" s="224"/>
    </row>
    <row r="216" spans="1:21" ht="19.5" customHeight="1" hidden="1">
      <c r="A216" s="225" t="s">
        <v>429</v>
      </c>
      <c r="B216" s="240" t="s">
        <v>102</v>
      </c>
      <c r="C216" s="91">
        <f aca="true" t="shared" si="43" ref="C216:H216">SUM(C217:C218)</f>
        <v>0</v>
      </c>
      <c r="D216" s="91">
        <f t="shared" si="43"/>
        <v>0</v>
      </c>
      <c r="E216" s="91">
        <f t="shared" si="43"/>
        <v>0</v>
      </c>
      <c r="F216" s="91">
        <f t="shared" si="43"/>
        <v>0</v>
      </c>
      <c r="G216" s="91">
        <f t="shared" si="43"/>
        <v>0</v>
      </c>
      <c r="H216" s="91">
        <f t="shared" si="43"/>
        <v>0</v>
      </c>
      <c r="J216" s="110"/>
      <c r="L216" s="117"/>
      <c r="R216" s="224"/>
      <c r="S216" s="224"/>
      <c r="T216" s="224"/>
      <c r="U216" s="224"/>
    </row>
    <row r="217" spans="1:21" ht="19.5" customHeight="1" hidden="1">
      <c r="A217" s="229" t="s">
        <v>430</v>
      </c>
      <c r="B217" s="241" t="s">
        <v>105</v>
      </c>
      <c r="C217" s="62"/>
      <c r="D217" s="62">
        <f>+F217-C217</f>
        <v>0</v>
      </c>
      <c r="E217" s="62">
        <f>SUM(C217:D217)</f>
        <v>0</v>
      </c>
      <c r="F217" s="62">
        <f>+C217*1.1</f>
        <v>0</v>
      </c>
      <c r="G217" s="100">
        <f>+F217-E217</f>
        <v>0</v>
      </c>
      <c r="H217" s="62">
        <v>0</v>
      </c>
      <c r="J217" s="110"/>
      <c r="L217" s="117"/>
      <c r="R217" s="224"/>
      <c r="S217" s="224"/>
      <c r="T217" s="224"/>
      <c r="U217" s="224"/>
    </row>
    <row r="218" spans="1:21" ht="19.5" customHeight="1" hidden="1">
      <c r="A218" s="229"/>
      <c r="B218" s="61"/>
      <c r="C218" s="62"/>
      <c r="D218" s="62"/>
      <c r="E218" s="62"/>
      <c r="F218" s="62"/>
      <c r="G218" s="100"/>
      <c r="H218" s="62"/>
      <c r="J218" s="110"/>
      <c r="L218" s="117"/>
      <c r="R218" s="224"/>
      <c r="S218" s="224"/>
      <c r="T218" s="224"/>
      <c r="U218" s="224"/>
    </row>
    <row r="219" spans="1:21" ht="35.25" customHeight="1" hidden="1">
      <c r="A219" s="242"/>
      <c r="B219" s="266" t="s">
        <v>432</v>
      </c>
      <c r="C219" s="91" t="e">
        <f>+C209+C215</f>
        <v>#REF!</v>
      </c>
      <c r="D219" s="91" t="e">
        <f>+D209+D215</f>
        <v>#REF!</v>
      </c>
      <c r="E219" s="91" t="e">
        <f>+E209+E215</f>
        <v>#REF!</v>
      </c>
      <c r="F219" s="91" t="e">
        <f>+F209+F215</f>
        <v>#REF!</v>
      </c>
      <c r="G219" s="91" t="e">
        <f>+G209+G215</f>
        <v>#REF!</v>
      </c>
      <c r="H219" s="91">
        <f>+H215+H210</f>
        <v>0</v>
      </c>
      <c r="J219" s="110"/>
      <c r="L219" s="117"/>
      <c r="R219" s="224"/>
      <c r="S219" s="224"/>
      <c r="T219" s="224"/>
      <c r="U219" s="224"/>
    </row>
    <row r="220" spans="1:21" ht="19.5" customHeight="1">
      <c r="A220" s="250" t="s">
        <v>433</v>
      </c>
      <c r="B220" s="222" t="s">
        <v>170</v>
      </c>
      <c r="C220" s="95"/>
      <c r="D220" s="95"/>
      <c r="E220" s="95"/>
      <c r="F220" s="95"/>
      <c r="G220" s="95"/>
      <c r="H220" s="95"/>
      <c r="I220" s="117">
        <f>+H193+H69+H103+H221+I242+I318+H296+H252</f>
        <v>1874122875.9706025</v>
      </c>
      <c r="J220" s="110" t="s">
        <v>602</v>
      </c>
      <c r="K220" s="117">
        <v>4000000</v>
      </c>
      <c r="L220" s="117">
        <v>396014056</v>
      </c>
      <c r="R220" s="224"/>
      <c r="S220" s="224"/>
      <c r="T220" s="224"/>
      <c r="U220" s="224"/>
    </row>
    <row r="221" spans="1:21" ht="19.5" customHeight="1">
      <c r="A221" s="250" t="s">
        <v>434</v>
      </c>
      <c r="B221" s="222" t="s">
        <v>169</v>
      </c>
      <c r="C221" s="95"/>
      <c r="D221" s="95"/>
      <c r="E221" s="95"/>
      <c r="F221" s="95"/>
      <c r="G221" s="95"/>
      <c r="H221" s="95">
        <f>+H222</f>
        <v>172233532</v>
      </c>
      <c r="I221" s="245">
        <f>+ingresos2008!H192</f>
        <v>2889419788.9595456</v>
      </c>
      <c r="J221" s="251" t="s">
        <v>601</v>
      </c>
      <c r="K221" s="117">
        <v>156710873</v>
      </c>
      <c r="L221" s="117">
        <v>71389296</v>
      </c>
      <c r="R221" s="224"/>
      <c r="S221" s="224"/>
      <c r="T221" s="224"/>
      <c r="U221" s="224"/>
    </row>
    <row r="222" spans="1:22" ht="19.5" customHeight="1">
      <c r="A222" s="225" t="s">
        <v>435</v>
      </c>
      <c r="B222" s="59" t="s">
        <v>115</v>
      </c>
      <c r="C222" s="91">
        <f>+C223</f>
        <v>56432975</v>
      </c>
      <c r="D222" s="91">
        <f>+D223</f>
        <v>63960025</v>
      </c>
      <c r="E222" s="91">
        <f>+E223</f>
        <v>120393000</v>
      </c>
      <c r="F222" s="91">
        <f>+F223</f>
        <v>120393000</v>
      </c>
      <c r="G222" s="91">
        <f>+G223</f>
        <v>0</v>
      </c>
      <c r="H222" s="91">
        <f>SUM(H223:H227)</f>
        <v>172233532</v>
      </c>
      <c r="I222" s="117">
        <f>+I221-I220</f>
        <v>1015296912.9889431</v>
      </c>
      <c r="J222" s="110"/>
      <c r="K222" s="117">
        <v>975144893</v>
      </c>
      <c r="L222" s="117">
        <v>687859281</v>
      </c>
      <c r="R222" s="224"/>
      <c r="S222" s="224"/>
      <c r="T222" s="224"/>
      <c r="U222" s="224"/>
      <c r="V222" s="224">
        <f>+H222</f>
        <v>172233532</v>
      </c>
    </row>
    <row r="223" spans="1:21" ht="19.5" customHeight="1">
      <c r="A223" s="229" t="s">
        <v>436</v>
      </c>
      <c r="B223" s="243" t="s">
        <v>116</v>
      </c>
      <c r="C223" s="62">
        <v>56432975</v>
      </c>
      <c r="D223" s="62">
        <f>+F223-C223</f>
        <v>63960025</v>
      </c>
      <c r="E223" s="62">
        <f>SUM(C223:D223)</f>
        <v>120393000</v>
      </c>
      <c r="F223" s="62">
        <v>120393000</v>
      </c>
      <c r="G223" s="100">
        <f>+F223-E223</f>
        <v>0</v>
      </c>
      <c r="H223" s="62">
        <v>140433532</v>
      </c>
      <c r="I223" s="117">
        <f>+I222-H198</f>
        <v>-1.011056900024414</v>
      </c>
      <c r="J223" s="110"/>
      <c r="K223" s="117">
        <v>172161950</v>
      </c>
      <c r="L223" s="117">
        <v>67108223</v>
      </c>
      <c r="R223" s="224"/>
      <c r="S223" s="224"/>
      <c r="T223" s="224"/>
      <c r="U223" s="224"/>
    </row>
    <row r="224" spans="1:21" ht="19.5" customHeight="1">
      <c r="A224" s="229" t="s">
        <v>437</v>
      </c>
      <c r="B224" s="243" t="s">
        <v>168</v>
      </c>
      <c r="C224" s="62"/>
      <c r="D224" s="62"/>
      <c r="E224" s="62"/>
      <c r="F224" s="62"/>
      <c r="G224" s="100"/>
      <c r="H224" s="62">
        <v>31800000</v>
      </c>
      <c r="I224" s="117">
        <f>+I221*67%</f>
        <v>1935911258.6028957</v>
      </c>
      <c r="J224" s="267"/>
      <c r="K224" s="117">
        <v>6566056</v>
      </c>
      <c r="L224" s="117">
        <v>50331167</v>
      </c>
      <c r="R224" s="224"/>
      <c r="S224" s="224"/>
      <c r="T224" s="224"/>
      <c r="U224" s="224"/>
    </row>
    <row r="225" spans="1:21" ht="20.25" customHeight="1" hidden="1">
      <c r="A225" s="229"/>
      <c r="B225" s="243"/>
      <c r="C225" s="62"/>
      <c r="D225" s="62"/>
      <c r="E225" s="62"/>
      <c r="F225" s="62"/>
      <c r="G225" s="100"/>
      <c r="H225" s="62"/>
      <c r="I225" s="117"/>
      <c r="J225" s="251"/>
      <c r="L225" s="117"/>
      <c r="R225" s="224"/>
      <c r="S225" s="224"/>
      <c r="T225" s="224"/>
      <c r="U225" s="224"/>
    </row>
    <row r="226" spans="1:21" ht="18" customHeight="1" hidden="1">
      <c r="A226" s="229"/>
      <c r="B226" s="243"/>
      <c r="C226" s="62"/>
      <c r="D226" s="62"/>
      <c r="E226" s="62"/>
      <c r="F226" s="62"/>
      <c r="G226" s="100"/>
      <c r="H226" s="62"/>
      <c r="I226" s="117"/>
      <c r="J226" s="251"/>
      <c r="L226" s="117"/>
      <c r="R226" s="224"/>
      <c r="S226" s="224"/>
      <c r="T226" s="224"/>
      <c r="U226" s="224"/>
    </row>
    <row r="227" spans="1:21" ht="17.25" customHeight="1" hidden="1">
      <c r="A227" s="229"/>
      <c r="B227" s="243"/>
      <c r="C227" s="62"/>
      <c r="D227" s="62"/>
      <c r="E227" s="62"/>
      <c r="F227" s="62"/>
      <c r="G227" s="100"/>
      <c r="H227" s="62"/>
      <c r="I227" s="117"/>
      <c r="J227" s="110"/>
      <c r="L227" s="117"/>
      <c r="R227" s="224"/>
      <c r="S227" s="224"/>
      <c r="T227" s="224"/>
      <c r="U227" s="224"/>
    </row>
    <row r="228" spans="1:21" ht="21.75" customHeight="1">
      <c r="A228" s="229"/>
      <c r="B228" s="266" t="str">
        <f>+B221</f>
        <v>FONDO TERRITORIAL DE PENSIONES</v>
      </c>
      <c r="C228" s="62"/>
      <c r="D228" s="62"/>
      <c r="E228" s="62"/>
      <c r="F228" s="62"/>
      <c r="G228" s="100"/>
      <c r="H228" s="91">
        <f>+H222</f>
        <v>172233532</v>
      </c>
      <c r="I228" s="245">
        <f>+I221-I224</f>
        <v>953508530.3566499</v>
      </c>
      <c r="J228" s="251"/>
      <c r="K228" s="117">
        <v>5162158</v>
      </c>
      <c r="L228" s="117">
        <v>704636337</v>
      </c>
      <c r="R228" s="224"/>
      <c r="S228" s="224"/>
      <c r="T228" s="224"/>
      <c r="U228" s="224"/>
    </row>
    <row r="229" spans="1:21" ht="19.5" customHeight="1">
      <c r="A229" s="229"/>
      <c r="B229" s="243"/>
      <c r="C229" s="62"/>
      <c r="D229" s="62"/>
      <c r="E229" s="62"/>
      <c r="F229" s="62"/>
      <c r="G229" s="100"/>
      <c r="H229" s="62"/>
      <c r="I229" s="117"/>
      <c r="J229" s="110">
        <v>248082164</v>
      </c>
      <c r="K229" s="117">
        <v>113645395</v>
      </c>
      <c r="L229" s="117">
        <v>1861571777</v>
      </c>
      <c r="R229" s="224"/>
      <c r="S229" s="224"/>
      <c r="T229" s="224"/>
      <c r="U229" s="224"/>
    </row>
    <row r="230" spans="1:21" ht="19.5" customHeight="1">
      <c r="A230" s="250" t="s">
        <v>438</v>
      </c>
      <c r="B230" s="222" t="s">
        <v>139</v>
      </c>
      <c r="C230" s="95"/>
      <c r="D230" s="95"/>
      <c r="E230" s="95"/>
      <c r="F230" s="95"/>
      <c r="G230" s="95"/>
      <c r="H230" s="95"/>
      <c r="I230" s="117"/>
      <c r="J230" s="110"/>
      <c r="L230" s="117">
        <v>52478651</v>
      </c>
      <c r="R230" s="224"/>
      <c r="S230" s="224"/>
      <c r="T230" s="224"/>
      <c r="U230" s="224"/>
    </row>
    <row r="231" spans="1:21" ht="19.5" customHeight="1">
      <c r="A231" s="225" t="s">
        <v>439</v>
      </c>
      <c r="B231" s="226" t="s">
        <v>70</v>
      </c>
      <c r="C231" s="92" t="e">
        <f>+C232</f>
        <v>#REF!</v>
      </c>
      <c r="D231" s="92" t="e">
        <f>+D232</f>
        <v>#REF!</v>
      </c>
      <c r="E231" s="92" t="e">
        <f>+E232</f>
        <v>#REF!</v>
      </c>
      <c r="F231" s="92" t="e">
        <f>+F232</f>
        <v>#REF!</v>
      </c>
      <c r="G231" s="92" t="e">
        <f>+G232</f>
        <v>#REF!</v>
      </c>
      <c r="H231" s="92">
        <f>+H233</f>
        <v>60000000</v>
      </c>
      <c r="J231" s="110"/>
      <c r="L231" s="117">
        <v>122638655</v>
      </c>
      <c r="R231" s="224"/>
      <c r="S231" s="224"/>
      <c r="T231" s="224"/>
      <c r="U231" s="224"/>
    </row>
    <row r="232" spans="1:21" ht="19.5" customHeight="1">
      <c r="A232" s="225"/>
      <c r="B232" s="226" t="s">
        <v>71</v>
      </c>
      <c r="C232" s="92" t="e">
        <f>+C233+#REF!+C237+#REF!</f>
        <v>#REF!</v>
      </c>
      <c r="D232" s="92" t="e">
        <f>+D233+#REF!+D237+#REF!</f>
        <v>#REF!</v>
      </c>
      <c r="E232" s="92" t="e">
        <f>+E233+#REF!+E237+#REF!</f>
        <v>#REF!</v>
      </c>
      <c r="F232" s="92" t="e">
        <f>+F233+#REF!+F237+#REF!</f>
        <v>#REF!</v>
      </c>
      <c r="G232" s="92" t="e">
        <f>+G233+#REF!+G237+#REF!</f>
        <v>#REF!</v>
      </c>
      <c r="H232" s="92">
        <v>0</v>
      </c>
      <c r="I232" s="23">
        <f>SUM(J232:O232)</f>
        <v>8209187820</v>
      </c>
      <c r="J232" s="110">
        <f>SUM(J229:J231)</f>
        <v>248082164</v>
      </c>
      <c r="K232" s="117">
        <f>SUM(K220:K231)</f>
        <v>1433391325</v>
      </c>
      <c r="L232" s="117">
        <f>SUM(L220:L231)</f>
        <v>4014027443</v>
      </c>
      <c r="M232" s="117">
        <v>18354960</v>
      </c>
      <c r="N232" s="117">
        <v>16880452</v>
      </c>
      <c r="O232" s="70">
        <v>2478451476</v>
      </c>
      <c r="R232" s="224"/>
      <c r="S232" s="224"/>
      <c r="T232" s="224"/>
      <c r="U232" s="224"/>
    </row>
    <row r="233" spans="1:21" ht="19.5" customHeight="1">
      <c r="A233" s="225" t="s">
        <v>440</v>
      </c>
      <c r="B233" s="226" t="s">
        <v>237</v>
      </c>
      <c r="C233" s="91">
        <f aca="true" t="shared" si="44" ref="C233:H233">SUM(C234:C234)</f>
        <v>8000000</v>
      </c>
      <c r="D233" s="91">
        <f t="shared" si="44"/>
        <v>7072750</v>
      </c>
      <c r="E233" s="91">
        <f t="shared" si="44"/>
        <v>15072750</v>
      </c>
      <c r="F233" s="91">
        <f t="shared" si="44"/>
        <v>15072750</v>
      </c>
      <c r="G233" s="91">
        <f t="shared" si="44"/>
        <v>0</v>
      </c>
      <c r="H233" s="91">
        <f t="shared" si="44"/>
        <v>60000000</v>
      </c>
      <c r="I233" s="23">
        <f>+I232-8209187820</f>
        <v>0</v>
      </c>
      <c r="J233" s="110">
        <f>+J232</f>
        <v>248082164</v>
      </c>
      <c r="K233" s="117">
        <f>+K232-17469136-14629088-22378489</f>
        <v>1378914612</v>
      </c>
      <c r="L233" s="117">
        <f>+L232-H247-H314</f>
        <v>3823627443</v>
      </c>
      <c r="R233" s="224"/>
      <c r="S233" s="224"/>
      <c r="T233" s="224"/>
      <c r="U233" s="224"/>
    </row>
    <row r="234" spans="1:21" ht="19.5" customHeight="1">
      <c r="A234" s="229" t="s">
        <v>441</v>
      </c>
      <c r="B234" s="258" t="s">
        <v>238</v>
      </c>
      <c r="C234" s="62">
        <v>8000000</v>
      </c>
      <c r="D234" s="62">
        <f>+F234-C234</f>
        <v>7072750</v>
      </c>
      <c r="E234" s="62">
        <f>SUM(C234:D234)</f>
        <v>15072750</v>
      </c>
      <c r="F234" s="62">
        <f>+'[1]PRESUPUESTO'!$L$40</f>
        <v>15072750</v>
      </c>
      <c r="G234" s="100">
        <f>+F234-E234</f>
        <v>0</v>
      </c>
      <c r="H234" s="62">
        <v>60000000</v>
      </c>
      <c r="J234" s="110"/>
      <c r="L234" s="117">
        <f>+L233-L223</f>
        <v>3756519220</v>
      </c>
      <c r="R234" s="224"/>
      <c r="S234" s="224"/>
      <c r="T234" s="224"/>
      <c r="U234" s="224"/>
    </row>
    <row r="235" spans="1:21" ht="19.5" customHeight="1">
      <c r="A235" s="225" t="s">
        <v>442</v>
      </c>
      <c r="B235" s="59" t="s">
        <v>96</v>
      </c>
      <c r="C235" s="92" t="e">
        <f>+#REF!</f>
        <v>#REF!</v>
      </c>
      <c r="D235" s="92" t="e">
        <f>+#REF!</f>
        <v>#REF!</v>
      </c>
      <c r="E235" s="92" t="e">
        <f>+#REF!</f>
        <v>#REF!</v>
      </c>
      <c r="F235" s="92" t="e">
        <f>+#REF!</f>
        <v>#REF!</v>
      </c>
      <c r="G235" s="92" t="e">
        <f>+#REF!</f>
        <v>#REF!</v>
      </c>
      <c r="H235" s="92">
        <f>+H236+H238</f>
        <v>80000000</v>
      </c>
      <c r="L235" s="117"/>
      <c r="R235" s="224"/>
      <c r="S235" s="224"/>
      <c r="T235" s="224"/>
      <c r="U235" s="224"/>
    </row>
    <row r="236" spans="1:21" ht="19.5" customHeight="1">
      <c r="A236" s="225" t="s">
        <v>443</v>
      </c>
      <c r="B236" s="59" t="s">
        <v>97</v>
      </c>
      <c r="C236" s="91">
        <f aca="true" t="shared" si="45" ref="C236:H236">SUM(C237:C237)</f>
        <v>3674556</v>
      </c>
      <c r="D236" s="91">
        <f t="shared" si="45"/>
        <v>-1674556</v>
      </c>
      <c r="E236" s="91">
        <f t="shared" si="45"/>
        <v>2000000</v>
      </c>
      <c r="F236" s="91">
        <f t="shared" si="45"/>
        <v>2000000</v>
      </c>
      <c r="G236" s="91">
        <f t="shared" si="45"/>
        <v>0</v>
      </c>
      <c r="H236" s="91">
        <f t="shared" si="45"/>
        <v>20000000</v>
      </c>
      <c r="L236" s="117"/>
      <c r="R236" s="224"/>
      <c r="S236" s="224"/>
      <c r="T236" s="224"/>
      <c r="U236" s="224"/>
    </row>
    <row r="237" spans="1:21" ht="19.5" customHeight="1">
      <c r="A237" s="229" t="s">
        <v>444</v>
      </c>
      <c r="B237" s="61" t="s">
        <v>275</v>
      </c>
      <c r="C237" s="62">
        <v>3674556</v>
      </c>
      <c r="D237" s="62">
        <f>+F237-C237</f>
        <v>-1674556</v>
      </c>
      <c r="E237" s="62">
        <f>SUM(C237:D237)</f>
        <v>2000000</v>
      </c>
      <c r="F237" s="62">
        <v>2000000</v>
      </c>
      <c r="G237" s="100">
        <f>+F237-E237</f>
        <v>0</v>
      </c>
      <c r="H237" s="62">
        <v>20000000</v>
      </c>
      <c r="L237" s="117"/>
      <c r="R237" s="224"/>
      <c r="S237" s="224"/>
      <c r="T237" s="224"/>
      <c r="U237" s="224"/>
    </row>
    <row r="238" spans="1:21" ht="19.5" customHeight="1">
      <c r="A238" s="225" t="s">
        <v>445</v>
      </c>
      <c r="B238" s="240" t="s">
        <v>102</v>
      </c>
      <c r="C238" s="91">
        <f aca="true" t="shared" si="46" ref="C238:H238">SUM(C239:C240)</f>
        <v>0</v>
      </c>
      <c r="D238" s="91">
        <f t="shared" si="46"/>
        <v>0</v>
      </c>
      <c r="E238" s="91">
        <f t="shared" si="46"/>
        <v>0</v>
      </c>
      <c r="F238" s="91">
        <f t="shared" si="46"/>
        <v>0</v>
      </c>
      <c r="G238" s="91">
        <f t="shared" si="46"/>
        <v>0</v>
      </c>
      <c r="H238" s="91">
        <f t="shared" si="46"/>
        <v>60000000</v>
      </c>
      <c r="L238" s="117"/>
      <c r="R238" s="224"/>
      <c r="S238" s="224"/>
      <c r="T238" s="224"/>
      <c r="U238" s="224"/>
    </row>
    <row r="239" spans="1:21" ht="19.5" customHeight="1">
      <c r="A239" s="229" t="s">
        <v>446</v>
      </c>
      <c r="B239" s="243" t="s">
        <v>276</v>
      </c>
      <c r="C239" s="62"/>
      <c r="D239" s="62">
        <f>+F239-C239</f>
        <v>0</v>
      </c>
      <c r="E239" s="62">
        <f>SUM(C239:D239)</f>
        <v>0</v>
      </c>
      <c r="F239" s="62">
        <f>+C239*1.1</f>
        <v>0</v>
      </c>
      <c r="G239" s="100">
        <f>+F239-E239</f>
        <v>0</v>
      </c>
      <c r="H239" s="62">
        <v>20000000</v>
      </c>
      <c r="L239" s="117"/>
      <c r="R239" s="224"/>
      <c r="S239" s="224"/>
      <c r="T239" s="224"/>
      <c r="U239" s="224"/>
    </row>
    <row r="240" spans="1:21" ht="19.5" customHeight="1">
      <c r="A240" s="229" t="s">
        <v>447</v>
      </c>
      <c r="B240" s="243" t="s">
        <v>243</v>
      </c>
      <c r="C240" s="62"/>
      <c r="D240" s="62"/>
      <c r="E240" s="62"/>
      <c r="F240" s="62"/>
      <c r="G240" s="100"/>
      <c r="H240" s="62">
        <v>40000000</v>
      </c>
      <c r="J240" s="110">
        <f>+ingresos2008!H28</f>
        <v>703872290</v>
      </c>
      <c r="L240" s="117"/>
      <c r="R240" s="224"/>
      <c r="S240" s="224"/>
      <c r="T240" s="224"/>
      <c r="U240" s="224"/>
    </row>
    <row r="241" spans="1:21" ht="19.5" customHeight="1">
      <c r="A241" s="242"/>
      <c r="B241" s="226" t="s">
        <v>132</v>
      </c>
      <c r="C241" s="91" t="e">
        <f>+#REF!+C235</f>
        <v>#REF!</v>
      </c>
      <c r="D241" s="91" t="e">
        <f>+#REF!+D235</f>
        <v>#REF!</v>
      </c>
      <c r="E241" s="91" t="e">
        <f>+#REF!+E235</f>
        <v>#REF!</v>
      </c>
      <c r="F241" s="91" t="e">
        <f>+#REF!+F235</f>
        <v>#REF!</v>
      </c>
      <c r="G241" s="91" t="e">
        <f>+#REF!+G235</f>
        <v>#REF!</v>
      </c>
      <c r="H241" s="91">
        <f>+H231+H235</f>
        <v>140000000</v>
      </c>
      <c r="I241" s="23">
        <f>+ingresos2008!H140</f>
        <v>27005659.2</v>
      </c>
      <c r="L241" s="117"/>
      <c r="R241" s="224"/>
      <c r="S241" s="224"/>
      <c r="T241" s="224"/>
      <c r="U241" s="224"/>
    </row>
    <row r="242" spans="1:21" ht="15">
      <c r="A242" s="229"/>
      <c r="B242" s="243"/>
      <c r="C242" s="62"/>
      <c r="D242" s="62"/>
      <c r="E242" s="62"/>
      <c r="F242" s="62"/>
      <c r="G242" s="100"/>
      <c r="H242" s="62"/>
      <c r="I242" s="117">
        <f>+H241-I241</f>
        <v>112994340.8</v>
      </c>
      <c r="J242" s="110" t="s">
        <v>549</v>
      </c>
      <c r="L242" s="117"/>
      <c r="R242" s="224"/>
      <c r="S242" s="224"/>
      <c r="T242" s="224"/>
      <c r="U242" s="224"/>
    </row>
    <row r="243" spans="1:21" ht="15">
      <c r="A243" s="229"/>
      <c r="B243" s="243"/>
      <c r="C243" s="62"/>
      <c r="D243" s="62"/>
      <c r="E243" s="62"/>
      <c r="F243" s="62"/>
      <c r="G243" s="100"/>
      <c r="H243" s="62"/>
      <c r="J243" s="110"/>
      <c r="L243" s="117"/>
      <c r="R243" s="224"/>
      <c r="S243" s="224"/>
      <c r="T243" s="224"/>
      <c r="U243" s="224"/>
    </row>
    <row r="244" spans="1:21" ht="15.75">
      <c r="A244" s="225" t="s">
        <v>551</v>
      </c>
      <c r="B244" s="226" t="s">
        <v>552</v>
      </c>
      <c r="C244" s="92" t="e">
        <f>+C245</f>
        <v>#REF!</v>
      </c>
      <c r="D244" s="92" t="e">
        <f>+D245</f>
        <v>#REF!</v>
      </c>
      <c r="E244" s="92" t="e">
        <f>+E245</f>
        <v>#REF!</v>
      </c>
      <c r="F244" s="92" t="e">
        <f>+F245</f>
        <v>#REF!</v>
      </c>
      <c r="G244" s="92" t="e">
        <f>+G245</f>
        <v>#REF!</v>
      </c>
      <c r="H244" s="92">
        <f>+H246</f>
        <v>120000000</v>
      </c>
      <c r="J244" s="110"/>
      <c r="L244" s="117"/>
      <c r="R244" s="224"/>
      <c r="S244" s="224"/>
      <c r="T244" s="224"/>
      <c r="U244" s="224"/>
    </row>
    <row r="245" spans="1:21" ht="15.75">
      <c r="A245" s="225" t="s">
        <v>554</v>
      </c>
      <c r="B245" s="226" t="s">
        <v>555</v>
      </c>
      <c r="C245" s="92" t="e">
        <f>+C246+#REF!+#REF!+#REF!</f>
        <v>#REF!</v>
      </c>
      <c r="D245" s="92" t="e">
        <f>+D246+#REF!+#REF!+#REF!</f>
        <v>#REF!</v>
      </c>
      <c r="E245" s="92" t="e">
        <f>+E246+#REF!+#REF!+#REF!</f>
        <v>#REF!</v>
      </c>
      <c r="F245" s="92" t="e">
        <f>+F246+#REF!+#REF!+#REF!</f>
        <v>#REF!</v>
      </c>
      <c r="G245" s="92" t="e">
        <f>+G246+#REF!+#REF!+#REF!</f>
        <v>#REF!</v>
      </c>
      <c r="H245" s="92">
        <v>0</v>
      </c>
      <c r="J245" s="110"/>
      <c r="L245" s="117"/>
      <c r="R245" s="224"/>
      <c r="S245" s="224"/>
      <c r="T245" s="224"/>
      <c r="U245" s="224"/>
    </row>
    <row r="246" spans="1:21" ht="15.75">
      <c r="A246" s="225" t="s">
        <v>556</v>
      </c>
      <c r="B246" s="226" t="s">
        <v>557</v>
      </c>
      <c r="C246" s="91">
        <f aca="true" t="shared" si="47" ref="C246:H246">SUM(C247:C247)</f>
        <v>8000000</v>
      </c>
      <c r="D246" s="91">
        <f t="shared" si="47"/>
        <v>7072750</v>
      </c>
      <c r="E246" s="91">
        <f t="shared" si="47"/>
        <v>15072750</v>
      </c>
      <c r="F246" s="91">
        <f t="shared" si="47"/>
        <v>15072750</v>
      </c>
      <c r="G246" s="91">
        <f t="shared" si="47"/>
        <v>0</v>
      </c>
      <c r="H246" s="91">
        <f t="shared" si="47"/>
        <v>120000000</v>
      </c>
      <c r="J246" s="110"/>
      <c r="L246" s="117"/>
      <c r="R246" s="224"/>
      <c r="S246" s="224"/>
      <c r="T246" s="224"/>
      <c r="U246" s="224"/>
    </row>
    <row r="247" spans="1:21" ht="15">
      <c r="A247" s="229" t="s">
        <v>441</v>
      </c>
      <c r="B247" s="258" t="s">
        <v>553</v>
      </c>
      <c r="C247" s="62">
        <v>8000000</v>
      </c>
      <c r="D247" s="62">
        <f>+F247-C247</f>
        <v>7072750</v>
      </c>
      <c r="E247" s="62">
        <f>SUM(C247:D247)</f>
        <v>15072750</v>
      </c>
      <c r="F247" s="62">
        <f>+'[1]PRESUPUESTO'!$L$40</f>
        <v>15072750</v>
      </c>
      <c r="G247" s="100">
        <f>+F247-E247</f>
        <v>0</v>
      </c>
      <c r="H247" s="62">
        <v>120000000</v>
      </c>
      <c r="J247" s="110"/>
      <c r="L247" s="117"/>
      <c r="R247" s="224"/>
      <c r="S247" s="224"/>
      <c r="T247" s="224"/>
      <c r="U247" s="224"/>
    </row>
    <row r="248" spans="1:21" ht="15.75">
      <c r="A248" s="229"/>
      <c r="B248" s="226" t="s">
        <v>558</v>
      </c>
      <c r="C248" s="62"/>
      <c r="D248" s="62"/>
      <c r="E248" s="62"/>
      <c r="F248" s="62"/>
      <c r="G248" s="100"/>
      <c r="H248" s="91">
        <f>+H247</f>
        <v>120000000</v>
      </c>
      <c r="I248" s="23">
        <f>+H248/11</f>
        <v>10909090.909090908</v>
      </c>
      <c r="J248" s="110"/>
      <c r="L248" s="117"/>
      <c r="R248" s="224"/>
      <c r="S248" s="224"/>
      <c r="T248" s="224"/>
      <c r="U248" s="224"/>
    </row>
    <row r="249" spans="1:21" ht="15">
      <c r="A249" s="229"/>
      <c r="B249" s="243"/>
      <c r="C249" s="62"/>
      <c r="D249" s="62"/>
      <c r="E249" s="62"/>
      <c r="F249" s="62"/>
      <c r="G249" s="100"/>
      <c r="H249" s="62"/>
      <c r="J249" s="110"/>
      <c r="L249" s="117"/>
      <c r="R249" s="224"/>
      <c r="S249" s="224"/>
      <c r="T249" s="224"/>
      <c r="U249" s="224"/>
    </row>
    <row r="250" spans="1:21" ht="15.75">
      <c r="A250" s="250" t="s">
        <v>448</v>
      </c>
      <c r="B250" s="222" t="s">
        <v>449</v>
      </c>
      <c r="C250" s="95"/>
      <c r="D250" s="95"/>
      <c r="E250" s="95"/>
      <c r="F250" s="95"/>
      <c r="G250" s="95"/>
      <c r="H250" s="95"/>
      <c r="R250" s="224"/>
      <c r="S250" s="224"/>
      <c r="T250" s="224"/>
      <c r="U250" s="224"/>
    </row>
    <row r="251" spans="1:21" ht="15">
      <c r="A251" s="268"/>
      <c r="B251" s="269"/>
      <c r="C251" s="98"/>
      <c r="D251" s="98"/>
      <c r="E251" s="98"/>
      <c r="F251" s="98"/>
      <c r="G251" s="98"/>
      <c r="H251" s="98"/>
      <c r="J251" s="110">
        <f>+ingresos2008!H128</f>
        <v>93481741.54</v>
      </c>
      <c r="K251" s="117">
        <f>+J251-245349876</f>
        <v>-151868134.45999998</v>
      </c>
      <c r="R251" s="224"/>
      <c r="S251" s="224"/>
      <c r="T251" s="224"/>
      <c r="U251" s="224"/>
    </row>
    <row r="252" spans="1:21" ht="15.75">
      <c r="A252" s="225" t="s">
        <v>450</v>
      </c>
      <c r="B252" s="226" t="s">
        <v>70</v>
      </c>
      <c r="C252" s="92">
        <f>+C253</f>
        <v>18282163</v>
      </c>
      <c r="D252" s="92">
        <f>+D253</f>
        <v>8738454.579097997</v>
      </c>
      <c r="E252" s="92">
        <f>+E253</f>
        <v>27020617.579097997</v>
      </c>
      <c r="F252" s="92">
        <f>+F253</f>
        <v>27020617.579097997</v>
      </c>
      <c r="G252" s="92">
        <f>+G253</f>
        <v>0</v>
      </c>
      <c r="H252" s="92">
        <f>+H254+H266+H271</f>
        <v>16433364</v>
      </c>
      <c r="J252" s="110">
        <v>155390000</v>
      </c>
      <c r="R252" s="224"/>
      <c r="S252" s="224"/>
      <c r="T252" s="224"/>
      <c r="U252" s="224"/>
    </row>
    <row r="253" spans="1:21" ht="15.75">
      <c r="A253" s="225"/>
      <c r="B253" s="226" t="s">
        <v>71</v>
      </c>
      <c r="C253" s="92">
        <f aca="true" t="shared" si="48" ref="C253:H253">+C254+C262+C266+C271</f>
        <v>18282163</v>
      </c>
      <c r="D253" s="92">
        <f t="shared" si="48"/>
        <v>8738454.579097997</v>
      </c>
      <c r="E253" s="92">
        <f t="shared" si="48"/>
        <v>27020617.579097997</v>
      </c>
      <c r="F253" s="92">
        <f t="shared" si="48"/>
        <v>27020617.579097997</v>
      </c>
      <c r="G253" s="92">
        <f t="shared" si="48"/>
        <v>0</v>
      </c>
      <c r="H253" s="92">
        <f t="shared" si="48"/>
        <v>16433364</v>
      </c>
      <c r="J253" s="110">
        <f>+J251-J252</f>
        <v>-61908258.45999999</v>
      </c>
      <c r="R253" s="224"/>
      <c r="S253" s="224"/>
      <c r="T253" s="224"/>
      <c r="U253" s="224"/>
    </row>
    <row r="254" spans="1:21" ht="15.75">
      <c r="A254" s="225" t="s">
        <v>451</v>
      </c>
      <c r="B254" s="226" t="s">
        <v>72</v>
      </c>
      <c r="C254" s="91">
        <f aca="true" t="shared" si="49" ref="C254:H254">SUM(C255:C261)</f>
        <v>13550334</v>
      </c>
      <c r="D254" s="91">
        <f t="shared" si="49"/>
        <v>6733493.849999999</v>
      </c>
      <c r="E254" s="91">
        <f t="shared" si="49"/>
        <v>20283827.849999998</v>
      </c>
      <c r="F254" s="91">
        <f t="shared" si="49"/>
        <v>20283827.849999998</v>
      </c>
      <c r="G254" s="91">
        <f t="shared" si="49"/>
        <v>0</v>
      </c>
      <c r="H254" s="91">
        <f t="shared" si="49"/>
        <v>12551856</v>
      </c>
      <c r="R254" s="224"/>
      <c r="S254" s="224"/>
      <c r="T254" s="224"/>
      <c r="U254" s="224"/>
    </row>
    <row r="255" spans="1:21" ht="15">
      <c r="A255" s="229" t="s">
        <v>452</v>
      </c>
      <c r="B255" s="61" t="s">
        <v>74</v>
      </c>
      <c r="C255" s="62">
        <v>12635000</v>
      </c>
      <c r="D255" s="62">
        <f aca="true" t="shared" si="50" ref="D255:D261">+F255-C255</f>
        <v>5697033.3999999985</v>
      </c>
      <c r="E255" s="62">
        <f aca="true" t="shared" si="51" ref="E255:E261">SUM(C255:D255)</f>
        <v>18332033.4</v>
      </c>
      <c r="F255" s="62">
        <f>+'[1]PRESUPUESTO'!$L$70-391500</f>
        <v>18332033.4</v>
      </c>
      <c r="G255" s="100">
        <f aca="true" t="shared" si="52" ref="G255:G261">+F255-E255</f>
        <v>0</v>
      </c>
      <c r="H255" s="62">
        <v>9630000</v>
      </c>
      <c r="R255" s="224"/>
      <c r="S255" s="224"/>
      <c r="T255" s="224"/>
      <c r="U255" s="224"/>
    </row>
    <row r="256" spans="1:21" ht="15">
      <c r="A256" s="229" t="s">
        <v>453</v>
      </c>
      <c r="B256" s="61" t="s">
        <v>122</v>
      </c>
      <c r="C256" s="62">
        <v>168084</v>
      </c>
      <c r="D256" s="62">
        <f t="shared" si="50"/>
        <v>223416</v>
      </c>
      <c r="E256" s="62">
        <f t="shared" si="51"/>
        <v>391500</v>
      </c>
      <c r="F256" s="62">
        <v>391500</v>
      </c>
      <c r="G256" s="100">
        <f t="shared" si="52"/>
        <v>0</v>
      </c>
      <c r="H256" s="62">
        <v>682800</v>
      </c>
      <c r="R256" s="224"/>
      <c r="S256" s="224"/>
      <c r="T256" s="224"/>
      <c r="U256" s="224"/>
    </row>
    <row r="257" spans="1:21" ht="15">
      <c r="A257" s="229" t="s">
        <v>454</v>
      </c>
      <c r="B257" s="61" t="s">
        <v>591</v>
      </c>
      <c r="C257" s="62"/>
      <c r="D257" s="62"/>
      <c r="E257" s="62"/>
      <c r="F257" s="62"/>
      <c r="G257" s="100"/>
      <c r="H257" s="62">
        <v>447456</v>
      </c>
      <c r="R257" s="224"/>
      <c r="S257" s="224"/>
      <c r="T257" s="224"/>
      <c r="U257" s="224"/>
    </row>
    <row r="258" spans="1:21" ht="15">
      <c r="A258" s="229" t="s">
        <v>454</v>
      </c>
      <c r="B258" s="61" t="s">
        <v>78</v>
      </c>
      <c r="C258" s="62"/>
      <c r="D258" s="62">
        <f t="shared" si="50"/>
        <v>1560294.45</v>
      </c>
      <c r="E258" s="62">
        <f t="shared" si="51"/>
        <v>1560294.45</v>
      </c>
      <c r="F258" s="62">
        <f>+'[1]PRESUPUESTO'!$K$70</f>
        <v>1560294.45</v>
      </c>
      <c r="G258" s="100">
        <f t="shared" si="52"/>
        <v>0</v>
      </c>
      <c r="H258" s="62">
        <v>896688</v>
      </c>
      <c r="R258" s="224"/>
      <c r="S258" s="224"/>
      <c r="T258" s="224"/>
      <c r="U258" s="224"/>
    </row>
    <row r="259" spans="1:21" ht="15">
      <c r="A259" s="229" t="s">
        <v>455</v>
      </c>
      <c r="B259" s="61" t="s">
        <v>79</v>
      </c>
      <c r="C259" s="62"/>
      <c r="D259" s="62">
        <f t="shared" si="50"/>
        <v>0</v>
      </c>
      <c r="E259" s="62">
        <f t="shared" si="51"/>
        <v>0</v>
      </c>
      <c r="F259" s="62">
        <f>+C259*1.1</f>
        <v>0</v>
      </c>
      <c r="G259" s="100">
        <f t="shared" si="52"/>
        <v>0</v>
      </c>
      <c r="H259" s="62">
        <v>447456</v>
      </c>
      <c r="R259" s="224"/>
      <c r="S259" s="224"/>
      <c r="T259" s="224"/>
      <c r="U259" s="224"/>
    </row>
    <row r="260" spans="1:21" ht="15">
      <c r="A260" s="229" t="s">
        <v>456</v>
      </c>
      <c r="B260" s="61" t="s">
        <v>197</v>
      </c>
      <c r="C260" s="62">
        <v>747250</v>
      </c>
      <c r="D260" s="62">
        <f t="shared" si="50"/>
        <v>-747250</v>
      </c>
      <c r="E260" s="62">
        <f t="shared" si="51"/>
        <v>0</v>
      </c>
      <c r="F260" s="62">
        <v>0</v>
      </c>
      <c r="G260" s="100">
        <f t="shared" si="52"/>
        <v>0</v>
      </c>
      <c r="H260" s="62">
        <v>447456</v>
      </c>
      <c r="R260" s="224"/>
      <c r="S260" s="224"/>
      <c r="T260" s="224"/>
      <c r="U260" s="224"/>
    </row>
    <row r="261" spans="1:21" ht="15" hidden="1">
      <c r="A261" s="238"/>
      <c r="B261" s="61"/>
      <c r="C261" s="62"/>
      <c r="D261" s="62">
        <f t="shared" si="50"/>
        <v>0</v>
      </c>
      <c r="E261" s="62">
        <f t="shared" si="51"/>
        <v>0</v>
      </c>
      <c r="F261" s="62">
        <f>+C261*1.1</f>
        <v>0</v>
      </c>
      <c r="G261" s="100">
        <f t="shared" si="52"/>
        <v>0</v>
      </c>
      <c r="H261" s="62">
        <f>+E261*1.1</f>
        <v>0</v>
      </c>
      <c r="R261" s="224"/>
      <c r="S261" s="224"/>
      <c r="T261" s="224"/>
      <c r="U261" s="224"/>
    </row>
    <row r="262" spans="1:21" ht="15.75" hidden="1">
      <c r="A262" s="225"/>
      <c r="B262" s="226" t="s">
        <v>80</v>
      </c>
      <c r="C262" s="91">
        <f aca="true" t="shared" si="53" ref="C262:H262">SUM(C263:C265)</f>
        <v>0</v>
      </c>
      <c r="D262" s="91">
        <f t="shared" si="53"/>
        <v>0</v>
      </c>
      <c r="E262" s="91">
        <f t="shared" si="53"/>
        <v>0</v>
      </c>
      <c r="F262" s="91">
        <f>SUM(F263:F265)</f>
        <v>0</v>
      </c>
      <c r="G262" s="91">
        <f t="shared" si="53"/>
        <v>0</v>
      </c>
      <c r="H262" s="91">
        <f t="shared" si="53"/>
        <v>0</v>
      </c>
      <c r="R262" s="224"/>
      <c r="S262" s="224"/>
      <c r="T262" s="224"/>
      <c r="U262" s="224"/>
    </row>
    <row r="263" spans="1:21" ht="15" hidden="1">
      <c r="A263" s="238" t="s">
        <v>73</v>
      </c>
      <c r="B263" s="243" t="s">
        <v>81</v>
      </c>
      <c r="C263" s="62"/>
      <c r="D263" s="62">
        <f>+F263-C263</f>
        <v>0</v>
      </c>
      <c r="E263" s="62">
        <f>SUM(C263:D263)</f>
        <v>0</v>
      </c>
      <c r="F263" s="62">
        <f>+C263*1.1</f>
        <v>0</v>
      </c>
      <c r="G263" s="100">
        <f>+F263-E263</f>
        <v>0</v>
      </c>
      <c r="H263" s="62">
        <f>+E263*1.1</f>
        <v>0</v>
      </c>
      <c r="R263" s="224"/>
      <c r="S263" s="224"/>
      <c r="T263" s="224"/>
      <c r="U263" s="224"/>
    </row>
    <row r="264" spans="1:21" ht="15" hidden="1">
      <c r="A264" s="238" t="s">
        <v>75</v>
      </c>
      <c r="B264" s="61" t="s">
        <v>82</v>
      </c>
      <c r="C264" s="62"/>
      <c r="D264" s="62">
        <f>+F264-C264</f>
        <v>0</v>
      </c>
      <c r="E264" s="62">
        <f>SUM(C264:D264)</f>
        <v>0</v>
      </c>
      <c r="F264" s="62">
        <f>+C264*1.1</f>
        <v>0</v>
      </c>
      <c r="G264" s="100">
        <f>+F264-E264</f>
        <v>0</v>
      </c>
      <c r="H264" s="62">
        <f>+E264*1.1</f>
        <v>0</v>
      </c>
      <c r="R264" s="224"/>
      <c r="S264" s="224"/>
      <c r="T264" s="224"/>
      <c r="U264" s="224"/>
    </row>
    <row r="265" spans="1:21" ht="15" hidden="1">
      <c r="A265" s="238" t="s">
        <v>76</v>
      </c>
      <c r="B265" s="61" t="s">
        <v>84</v>
      </c>
      <c r="C265" s="62"/>
      <c r="D265" s="62">
        <f>+F265-C265</f>
        <v>0</v>
      </c>
      <c r="E265" s="62">
        <f>SUM(C265:D265)</f>
        <v>0</v>
      </c>
      <c r="F265" s="62">
        <f>+C265*1.1</f>
        <v>0</v>
      </c>
      <c r="G265" s="100">
        <f>+F265-E265</f>
        <v>0</v>
      </c>
      <c r="H265" s="62">
        <f>+E265*1.1</f>
        <v>0</v>
      </c>
      <c r="R265" s="224"/>
      <c r="S265" s="224"/>
      <c r="T265" s="224"/>
      <c r="U265" s="224"/>
    </row>
    <row r="266" spans="1:21" ht="15.75">
      <c r="A266" s="225" t="s">
        <v>457</v>
      </c>
      <c r="B266" s="240" t="s">
        <v>85</v>
      </c>
      <c r="C266" s="91">
        <f aca="true" t="shared" si="54" ref="C266:H266">SUM(C267:C270)</f>
        <v>2428011</v>
      </c>
      <c r="D266" s="91">
        <f t="shared" si="54"/>
        <v>1714570.76475</v>
      </c>
      <c r="E266" s="91">
        <f t="shared" si="54"/>
        <v>4142581.76475</v>
      </c>
      <c r="F266" s="91">
        <f>SUM(F267:F270)</f>
        <v>4142581.76475</v>
      </c>
      <c r="G266" s="91">
        <f t="shared" si="54"/>
        <v>0</v>
      </c>
      <c r="H266" s="91">
        <f t="shared" si="54"/>
        <v>2275088</v>
      </c>
      <c r="R266" s="224"/>
      <c r="S266" s="224"/>
      <c r="T266" s="224"/>
      <c r="U266" s="224"/>
    </row>
    <row r="267" spans="1:21" ht="15">
      <c r="A267" s="229" t="s">
        <v>458</v>
      </c>
      <c r="B267" s="61" t="s">
        <v>86</v>
      </c>
      <c r="C267" s="62">
        <v>438966</v>
      </c>
      <c r="D267" s="62">
        <f>+F267-C267</f>
        <v>309975.336</v>
      </c>
      <c r="E267" s="62">
        <f>SUM(C267:D267)</f>
        <v>748941.336</v>
      </c>
      <c r="F267" s="62">
        <f>+'[1]PARAFISCALES'!$B$136</f>
        <v>748941.336</v>
      </c>
      <c r="G267" s="100">
        <f>+F267-E267</f>
        <v>0</v>
      </c>
      <c r="H267" s="62">
        <v>385200</v>
      </c>
      <c r="R267" s="224"/>
      <c r="S267" s="224"/>
      <c r="T267" s="224"/>
      <c r="U267" s="224"/>
    </row>
    <row r="268" spans="1:21" ht="15">
      <c r="A268" s="229" t="s">
        <v>459</v>
      </c>
      <c r="B268" s="61" t="s">
        <v>87</v>
      </c>
      <c r="C268" s="62">
        <v>877926</v>
      </c>
      <c r="D268" s="62">
        <f>+F268-C268</f>
        <v>619956.672</v>
      </c>
      <c r="E268" s="62">
        <f>SUM(C268:D268)</f>
        <v>1497882.672</v>
      </c>
      <c r="F268" s="62">
        <f>+'[1]PARAFISCALES'!$B$137</f>
        <v>1497882.672</v>
      </c>
      <c r="G268" s="100">
        <f>+F268-E268</f>
        <v>0</v>
      </c>
      <c r="H268" s="62">
        <v>770400</v>
      </c>
      <c r="R268" s="224"/>
      <c r="S268" s="224"/>
      <c r="T268" s="224"/>
      <c r="U268" s="224"/>
    </row>
    <row r="269" spans="1:21" ht="15">
      <c r="A269" s="229" t="s">
        <v>460</v>
      </c>
      <c r="B269" s="61" t="s">
        <v>88</v>
      </c>
      <c r="C269" s="62">
        <v>1111119</v>
      </c>
      <c r="D269" s="62">
        <f>+F269-C269</f>
        <v>784638.75675</v>
      </c>
      <c r="E269" s="62">
        <f>SUM(C269:D269)</f>
        <v>1895757.75675</v>
      </c>
      <c r="F269" s="62">
        <f>+'[1]PARAFISCALES'!$B$138</f>
        <v>1895757.75675</v>
      </c>
      <c r="G269" s="100">
        <f>+F269-E269</f>
        <v>0</v>
      </c>
      <c r="H269" s="62">
        <v>1119488</v>
      </c>
      <c r="R269" s="224"/>
      <c r="S269" s="224"/>
      <c r="T269" s="224"/>
      <c r="U269" s="224"/>
    </row>
    <row r="270" spans="1:21" ht="15">
      <c r="A270" s="238"/>
      <c r="B270" s="61"/>
      <c r="C270" s="62"/>
      <c r="D270" s="62">
        <f>+F270-C270</f>
        <v>0</v>
      </c>
      <c r="E270" s="62">
        <f>SUM(C270:D270)</f>
        <v>0</v>
      </c>
      <c r="F270" s="62">
        <f>+C270*1.1</f>
        <v>0</v>
      </c>
      <c r="G270" s="100">
        <f>+F270-E270</f>
        <v>0</v>
      </c>
      <c r="H270" s="62">
        <f>+E270*1.1</f>
        <v>0</v>
      </c>
      <c r="R270" s="224"/>
      <c r="S270" s="224"/>
      <c r="T270" s="224"/>
      <c r="U270" s="224"/>
    </row>
    <row r="271" spans="1:21" ht="15.75">
      <c r="A271" s="225" t="s">
        <v>461</v>
      </c>
      <c r="B271" s="240" t="s">
        <v>89</v>
      </c>
      <c r="C271" s="91">
        <f aca="true" t="shared" si="55" ref="C271:H271">SUM(C272:C278)</f>
        <v>2303818</v>
      </c>
      <c r="D271" s="91">
        <f t="shared" si="55"/>
        <v>290389.964348</v>
      </c>
      <c r="E271" s="91">
        <f t="shared" si="55"/>
        <v>2594207.9643479995</v>
      </c>
      <c r="F271" s="91">
        <f t="shared" si="55"/>
        <v>2594207.9643479995</v>
      </c>
      <c r="G271" s="91">
        <f t="shared" si="55"/>
        <v>0</v>
      </c>
      <c r="H271" s="91">
        <f t="shared" si="55"/>
        <v>1606420</v>
      </c>
      <c r="R271" s="224"/>
      <c r="S271" s="224"/>
      <c r="T271" s="224"/>
      <c r="U271" s="224"/>
    </row>
    <row r="272" spans="1:21" ht="15">
      <c r="A272" s="229" t="s">
        <v>462</v>
      </c>
      <c r="B272" s="61" t="s">
        <v>90</v>
      </c>
      <c r="C272" s="62">
        <v>1703184</v>
      </c>
      <c r="D272" s="62">
        <f aca="true" t="shared" si="56" ref="D272:D278">+F272-C272</f>
        <v>-142889.55000000005</v>
      </c>
      <c r="E272" s="62">
        <f aca="true" t="shared" si="57" ref="E272:E278">SUM(C272:D272)</f>
        <v>1560294.45</v>
      </c>
      <c r="F272" s="62">
        <f>+F258</f>
        <v>1560294.45</v>
      </c>
      <c r="G272" s="100">
        <f aca="true" t="shared" si="58" ref="G272:G278">+F272-E272</f>
        <v>0</v>
      </c>
      <c r="H272" s="62">
        <v>959188</v>
      </c>
      <c r="R272" s="224"/>
      <c r="S272" s="224"/>
      <c r="T272" s="224"/>
      <c r="U272" s="224"/>
    </row>
    <row r="273" spans="1:21" ht="15">
      <c r="A273" s="229" t="s">
        <v>463</v>
      </c>
      <c r="B273" s="61" t="s">
        <v>199</v>
      </c>
      <c r="C273" s="62"/>
      <c r="D273" s="62"/>
      <c r="E273" s="62"/>
      <c r="F273" s="62"/>
      <c r="G273" s="100"/>
      <c r="H273" s="62">
        <v>115103</v>
      </c>
      <c r="R273" s="224"/>
      <c r="S273" s="224"/>
      <c r="T273" s="224"/>
      <c r="U273" s="224"/>
    </row>
    <row r="274" spans="1:21" ht="15">
      <c r="A274" s="229" t="s">
        <v>464</v>
      </c>
      <c r="B274" s="61" t="s">
        <v>91</v>
      </c>
      <c r="C274" s="62">
        <v>219480</v>
      </c>
      <c r="D274" s="62">
        <f t="shared" si="56"/>
        <v>342226.002</v>
      </c>
      <c r="E274" s="62">
        <f t="shared" si="57"/>
        <v>561706.002</v>
      </c>
      <c r="F274" s="62">
        <f>+'[1]PARAFISCALES'!$B$143</f>
        <v>561706.002</v>
      </c>
      <c r="G274" s="100">
        <f t="shared" si="58"/>
        <v>0</v>
      </c>
      <c r="H274" s="62">
        <v>288900</v>
      </c>
      <c r="R274" s="224"/>
      <c r="S274" s="224"/>
      <c r="T274" s="224"/>
      <c r="U274" s="224"/>
    </row>
    <row r="275" spans="1:21" ht="15">
      <c r="A275" s="229" t="s">
        <v>465</v>
      </c>
      <c r="B275" s="61" t="s">
        <v>92</v>
      </c>
      <c r="C275" s="62"/>
      <c r="D275" s="62">
        <f t="shared" si="56"/>
        <v>187235.334</v>
      </c>
      <c r="E275" s="62">
        <f t="shared" si="57"/>
        <v>187235.334</v>
      </c>
      <c r="F275" s="62">
        <f>+'[1]PARAFISCALES'!$B$144</f>
        <v>187235.334</v>
      </c>
      <c r="G275" s="100">
        <f t="shared" si="58"/>
        <v>0</v>
      </c>
      <c r="H275" s="62">
        <v>96300</v>
      </c>
      <c r="R275" s="224"/>
      <c r="S275" s="224"/>
      <c r="T275" s="224"/>
      <c r="U275" s="224"/>
    </row>
    <row r="276" spans="1:21" ht="15">
      <c r="A276" s="229" t="s">
        <v>466</v>
      </c>
      <c r="B276" s="61" t="s">
        <v>93</v>
      </c>
      <c r="C276" s="62"/>
      <c r="D276" s="62">
        <f t="shared" si="56"/>
        <v>93617.667</v>
      </c>
      <c r="E276" s="62">
        <f t="shared" si="57"/>
        <v>93617.667</v>
      </c>
      <c r="F276" s="62">
        <f>+'[1]PARAFISCALES'!$B$145</f>
        <v>93617.667</v>
      </c>
      <c r="G276" s="100">
        <f t="shared" si="58"/>
        <v>0</v>
      </c>
      <c r="H276" s="62">
        <v>48150</v>
      </c>
      <c r="R276" s="224"/>
      <c r="S276" s="224"/>
      <c r="T276" s="224"/>
      <c r="U276" s="224"/>
    </row>
    <row r="277" spans="1:21" ht="15">
      <c r="A277" s="229" t="s">
        <v>467</v>
      </c>
      <c r="B277" s="61" t="s">
        <v>94</v>
      </c>
      <c r="C277" s="62">
        <v>329220</v>
      </c>
      <c r="D277" s="62">
        <f t="shared" si="56"/>
        <v>-235602.33299999998</v>
      </c>
      <c r="E277" s="62">
        <f t="shared" si="57"/>
        <v>93617.66700000002</v>
      </c>
      <c r="F277" s="62">
        <f>+'[1]PARAFISCALES'!$B$146</f>
        <v>93617.667</v>
      </c>
      <c r="G277" s="100">
        <f t="shared" si="58"/>
        <v>0</v>
      </c>
      <c r="H277" s="62">
        <v>48150</v>
      </c>
      <c r="R277" s="224"/>
      <c r="S277" s="224"/>
      <c r="T277" s="224"/>
      <c r="U277" s="224"/>
    </row>
    <row r="278" spans="1:21" ht="15">
      <c r="A278" s="229" t="s">
        <v>468</v>
      </c>
      <c r="B278" s="61" t="s">
        <v>95</v>
      </c>
      <c r="C278" s="62">
        <v>51934</v>
      </c>
      <c r="D278" s="62">
        <f t="shared" si="56"/>
        <v>45802.844347999984</v>
      </c>
      <c r="E278" s="62">
        <f t="shared" si="57"/>
        <v>97736.84434799998</v>
      </c>
      <c r="F278" s="62">
        <f>+'[1]PARAFISCALES'!$B$139</f>
        <v>97736.84434799998</v>
      </c>
      <c r="G278" s="100">
        <f t="shared" si="58"/>
        <v>0</v>
      </c>
      <c r="H278" s="62">
        <v>50629</v>
      </c>
      <c r="R278" s="224"/>
      <c r="S278" s="224"/>
      <c r="T278" s="224"/>
      <c r="U278" s="224"/>
    </row>
    <row r="279" spans="1:21" ht="15.75">
      <c r="A279" s="225" t="s">
        <v>469</v>
      </c>
      <c r="B279" s="59" t="s">
        <v>96</v>
      </c>
      <c r="C279" s="92" t="e">
        <f aca="true" t="shared" si="59" ref="C279:H279">+C280</f>
        <v>#REF!</v>
      </c>
      <c r="D279" s="92" t="e">
        <f t="shared" si="59"/>
        <v>#REF!</v>
      </c>
      <c r="E279" s="92" t="e">
        <f t="shared" si="59"/>
        <v>#REF!</v>
      </c>
      <c r="F279" s="92" t="e">
        <f t="shared" si="59"/>
        <v>#REF!</v>
      </c>
      <c r="G279" s="92" t="e">
        <f t="shared" si="59"/>
        <v>#REF!</v>
      </c>
      <c r="H279" s="92">
        <f t="shared" si="59"/>
        <v>12954623</v>
      </c>
      <c r="R279" s="224"/>
      <c r="S279" s="224"/>
      <c r="T279" s="224"/>
      <c r="U279" s="224"/>
    </row>
    <row r="280" spans="1:21" ht="15.75">
      <c r="A280" s="225"/>
      <c r="B280" s="226" t="s">
        <v>71</v>
      </c>
      <c r="C280" s="92" t="e">
        <f>+C281+C284+#REF!</f>
        <v>#REF!</v>
      </c>
      <c r="D280" s="92" t="e">
        <f>+D281+D284+#REF!</f>
        <v>#REF!</v>
      </c>
      <c r="E280" s="92" t="e">
        <f>+E281+E284+#REF!</f>
        <v>#REF!</v>
      </c>
      <c r="F280" s="92" t="e">
        <f>+F281+F284+#REF!</f>
        <v>#REF!</v>
      </c>
      <c r="G280" s="92" t="e">
        <f>+G281+G284+#REF!</f>
        <v>#REF!</v>
      </c>
      <c r="H280" s="92">
        <f>+H281+H284</f>
        <v>12954623</v>
      </c>
      <c r="R280" s="224"/>
      <c r="S280" s="224"/>
      <c r="T280" s="224"/>
      <c r="U280" s="224"/>
    </row>
    <row r="281" spans="1:21" ht="15.75">
      <c r="A281" s="225" t="s">
        <v>470</v>
      </c>
      <c r="B281" s="59" t="s">
        <v>97</v>
      </c>
      <c r="C281" s="91">
        <f aca="true" t="shared" si="60" ref="C281:H281">SUM(C283:C283)</f>
        <v>1826231</v>
      </c>
      <c r="D281" s="91">
        <f t="shared" si="60"/>
        <v>-1326231</v>
      </c>
      <c r="E281" s="91">
        <f t="shared" si="60"/>
        <v>500000</v>
      </c>
      <c r="F281" s="91">
        <f t="shared" si="60"/>
        <v>500000</v>
      </c>
      <c r="G281" s="91">
        <f t="shared" si="60"/>
        <v>0</v>
      </c>
      <c r="H281" s="91">
        <f t="shared" si="60"/>
        <v>4554623</v>
      </c>
      <c r="R281" s="224"/>
      <c r="S281" s="224"/>
      <c r="T281" s="224"/>
      <c r="U281" s="224"/>
    </row>
    <row r="282" spans="1:21" ht="15.75">
      <c r="A282" s="229" t="s">
        <v>471</v>
      </c>
      <c r="B282" s="61" t="s">
        <v>593</v>
      </c>
      <c r="C282" s="91"/>
      <c r="D282" s="91"/>
      <c r="E282" s="91"/>
      <c r="F282" s="91"/>
      <c r="G282" s="91"/>
      <c r="H282" s="62">
        <v>2500000</v>
      </c>
      <c r="R282" s="224"/>
      <c r="S282" s="224"/>
      <c r="T282" s="224"/>
      <c r="U282" s="224"/>
    </row>
    <row r="283" spans="1:21" ht="15">
      <c r="A283" s="229" t="s">
        <v>592</v>
      </c>
      <c r="B283" s="61" t="s">
        <v>99</v>
      </c>
      <c r="C283" s="62">
        <v>1826231</v>
      </c>
      <c r="D283" s="62">
        <f>+F283-C283</f>
        <v>-1326231</v>
      </c>
      <c r="E283" s="62">
        <f>SUM(C283:D283)</f>
        <v>500000</v>
      </c>
      <c r="F283" s="62">
        <v>500000</v>
      </c>
      <c r="G283" s="100">
        <f>+F283-E283</f>
        <v>0</v>
      </c>
      <c r="H283" s="62">
        <f>4577683-23060</f>
        <v>4554623</v>
      </c>
      <c r="R283" s="224"/>
      <c r="S283" s="224"/>
      <c r="T283" s="224"/>
      <c r="U283" s="224"/>
    </row>
    <row r="284" spans="1:21" ht="15.75">
      <c r="A284" s="225" t="s">
        <v>472</v>
      </c>
      <c r="B284" s="240" t="s">
        <v>102</v>
      </c>
      <c r="C284" s="91">
        <f>SUM(C285:C291)</f>
        <v>2345388</v>
      </c>
      <c r="D284" s="91">
        <f>SUM(D285:D291)</f>
        <v>-653286</v>
      </c>
      <c r="E284" s="91">
        <f>SUM(E285:E291)</f>
        <v>1692102</v>
      </c>
      <c r="F284" s="91">
        <f>SUM(F285:F291)</f>
        <v>1692102</v>
      </c>
      <c r="G284" s="91">
        <f>SUM(G285:G291)</f>
        <v>0</v>
      </c>
      <c r="H284" s="91">
        <f>SUM(H285:H292)</f>
        <v>8400000</v>
      </c>
      <c r="R284" s="224"/>
      <c r="S284" s="224"/>
      <c r="T284" s="224"/>
      <c r="U284" s="224"/>
    </row>
    <row r="285" spans="1:21" ht="15">
      <c r="A285" s="229" t="s">
        <v>473</v>
      </c>
      <c r="B285" s="61" t="s">
        <v>103</v>
      </c>
      <c r="C285" s="62"/>
      <c r="D285" s="62">
        <f aca="true" t="shared" si="61" ref="D285:D291">+F285-C285</f>
        <v>200000</v>
      </c>
      <c r="E285" s="62">
        <f aca="true" t="shared" si="62" ref="E285:E291">SUM(C285:D285)</f>
        <v>200000</v>
      </c>
      <c r="F285" s="62">
        <v>200000</v>
      </c>
      <c r="G285" s="100">
        <f aca="true" t="shared" si="63" ref="G285:G291">+F285-E285</f>
        <v>0</v>
      </c>
      <c r="H285" s="62">
        <v>500000</v>
      </c>
      <c r="R285" s="224"/>
      <c r="S285" s="224"/>
      <c r="T285" s="224"/>
      <c r="U285" s="224"/>
    </row>
    <row r="286" spans="1:21" ht="15">
      <c r="A286" s="229" t="s">
        <v>474</v>
      </c>
      <c r="B286" s="61" t="s">
        <v>104</v>
      </c>
      <c r="C286" s="62">
        <v>459338</v>
      </c>
      <c r="D286" s="62">
        <f t="shared" si="61"/>
        <v>540662</v>
      </c>
      <c r="E286" s="62">
        <f t="shared" si="62"/>
        <v>1000000</v>
      </c>
      <c r="F286" s="62">
        <v>1000000</v>
      </c>
      <c r="G286" s="100">
        <f t="shared" si="63"/>
        <v>0</v>
      </c>
      <c r="H286" s="62">
        <v>5000000</v>
      </c>
      <c r="R286" s="224"/>
      <c r="S286" s="224"/>
      <c r="T286" s="224"/>
      <c r="U286" s="224"/>
    </row>
    <row r="287" spans="1:21" ht="15">
      <c r="A287" s="229" t="s">
        <v>475</v>
      </c>
      <c r="B287" s="61" t="s">
        <v>493</v>
      </c>
      <c r="C287" s="62"/>
      <c r="D287" s="62">
        <f t="shared" si="61"/>
        <v>0</v>
      </c>
      <c r="E287" s="62">
        <f t="shared" si="62"/>
        <v>0</v>
      </c>
      <c r="F287" s="62">
        <f>+C287*1.1</f>
        <v>0</v>
      </c>
      <c r="G287" s="100">
        <f t="shared" si="63"/>
        <v>0</v>
      </c>
      <c r="H287" s="62">
        <v>800000</v>
      </c>
      <c r="R287" s="224"/>
      <c r="S287" s="224"/>
      <c r="T287" s="224"/>
      <c r="U287" s="224"/>
    </row>
    <row r="288" spans="1:21" ht="15">
      <c r="A288" s="229" t="s">
        <v>476</v>
      </c>
      <c r="B288" s="241" t="s">
        <v>498</v>
      </c>
      <c r="C288" s="62">
        <v>1500000</v>
      </c>
      <c r="D288" s="62">
        <f t="shared" si="61"/>
        <v>-1500000</v>
      </c>
      <c r="E288" s="62">
        <f t="shared" si="62"/>
        <v>0</v>
      </c>
      <c r="F288" s="62">
        <v>0</v>
      </c>
      <c r="G288" s="100">
        <f t="shared" si="63"/>
        <v>0</v>
      </c>
      <c r="H288" s="62">
        <v>400000</v>
      </c>
      <c r="R288" s="224"/>
      <c r="S288" s="224"/>
      <c r="T288" s="224"/>
      <c r="U288" s="224"/>
    </row>
    <row r="289" spans="1:21" ht="15">
      <c r="A289" s="229" t="s">
        <v>594</v>
      </c>
      <c r="B289" s="61" t="s">
        <v>107</v>
      </c>
      <c r="C289" s="62">
        <v>103982</v>
      </c>
      <c r="D289" s="62">
        <f t="shared" si="61"/>
        <v>88120</v>
      </c>
      <c r="E289" s="62">
        <f t="shared" si="62"/>
        <v>192102</v>
      </c>
      <c r="F289" s="62">
        <v>192102</v>
      </c>
      <c r="G289" s="100">
        <f t="shared" si="63"/>
        <v>0</v>
      </c>
      <c r="H289" s="62">
        <v>500000</v>
      </c>
      <c r="R289" s="224"/>
      <c r="S289" s="224"/>
      <c r="T289" s="224"/>
      <c r="U289" s="224"/>
    </row>
    <row r="290" spans="1:21" ht="15">
      <c r="A290" s="229" t="s">
        <v>595</v>
      </c>
      <c r="B290" s="61" t="s">
        <v>109</v>
      </c>
      <c r="C290" s="62"/>
      <c r="D290" s="62">
        <f t="shared" si="61"/>
        <v>0</v>
      </c>
      <c r="E290" s="62">
        <f t="shared" si="62"/>
        <v>0</v>
      </c>
      <c r="F290" s="62">
        <f>+C290*1.1</f>
        <v>0</v>
      </c>
      <c r="G290" s="100">
        <f t="shared" si="63"/>
        <v>0</v>
      </c>
      <c r="H290" s="62">
        <v>400000</v>
      </c>
      <c r="R290" s="224"/>
      <c r="S290" s="224"/>
      <c r="T290" s="224"/>
      <c r="U290" s="224"/>
    </row>
    <row r="291" spans="1:21" ht="15">
      <c r="A291" s="229" t="s">
        <v>596</v>
      </c>
      <c r="B291" s="61" t="s">
        <v>101</v>
      </c>
      <c r="C291" s="62">
        <v>282068</v>
      </c>
      <c r="D291" s="62">
        <f t="shared" si="61"/>
        <v>17932</v>
      </c>
      <c r="E291" s="62">
        <f t="shared" si="62"/>
        <v>300000</v>
      </c>
      <c r="F291" s="62">
        <v>300000</v>
      </c>
      <c r="G291" s="100">
        <f t="shared" si="63"/>
        <v>0</v>
      </c>
      <c r="H291" s="62">
        <v>300000</v>
      </c>
      <c r="R291" s="224"/>
      <c r="S291" s="224"/>
      <c r="T291" s="224"/>
      <c r="U291" s="224"/>
    </row>
    <row r="292" spans="1:21" ht="15">
      <c r="A292" s="229" t="s">
        <v>597</v>
      </c>
      <c r="B292" s="243" t="s">
        <v>598</v>
      </c>
      <c r="C292" s="100"/>
      <c r="D292" s="62">
        <f>+F292-C292</f>
        <v>0</v>
      </c>
      <c r="E292" s="62">
        <f>SUM(C292:D292)</f>
        <v>0</v>
      </c>
      <c r="F292" s="62">
        <f>+C292*1.1</f>
        <v>0</v>
      </c>
      <c r="G292" s="100">
        <f>+F292-E292</f>
        <v>0</v>
      </c>
      <c r="H292" s="62">
        <v>500000</v>
      </c>
      <c r="I292" s="23">
        <f>+H253</f>
        <v>16433364</v>
      </c>
      <c r="J292" s="70" t="s">
        <v>604</v>
      </c>
      <c r="R292" s="224"/>
      <c r="S292" s="224"/>
      <c r="T292" s="224"/>
      <c r="U292" s="224"/>
    </row>
    <row r="293" spans="1:21" ht="15.75">
      <c r="A293" s="242"/>
      <c r="B293" s="226" t="s">
        <v>182</v>
      </c>
      <c r="C293" s="91" t="e">
        <f aca="true" t="shared" si="64" ref="C293:H293">+C252+C279</f>
        <v>#REF!</v>
      </c>
      <c r="D293" s="91" t="e">
        <f t="shared" si="64"/>
        <v>#REF!</v>
      </c>
      <c r="E293" s="91" t="e">
        <f t="shared" si="64"/>
        <v>#REF!</v>
      </c>
      <c r="F293" s="91" t="e">
        <f t="shared" si="64"/>
        <v>#REF!</v>
      </c>
      <c r="G293" s="91" t="e">
        <f t="shared" si="64"/>
        <v>#REF!</v>
      </c>
      <c r="H293" s="91">
        <f t="shared" si="64"/>
        <v>29387987</v>
      </c>
      <c r="I293" s="183">
        <f>+ingresos2008!H182</f>
        <v>12954623.2</v>
      </c>
      <c r="R293" s="224"/>
      <c r="S293" s="224"/>
      <c r="T293" s="224"/>
      <c r="U293" s="224"/>
    </row>
    <row r="294" spans="1:21" ht="15.75">
      <c r="A294" s="238"/>
      <c r="B294" s="59" t="s">
        <v>127</v>
      </c>
      <c r="C294" s="91">
        <f aca="true" t="shared" si="65" ref="C294:H294">SUM(C295:C297)</f>
        <v>0</v>
      </c>
      <c r="D294" s="91">
        <f t="shared" si="65"/>
        <v>85846447</v>
      </c>
      <c r="E294" s="91">
        <f t="shared" si="65"/>
        <v>85846447</v>
      </c>
      <c r="F294" s="91">
        <f t="shared" si="65"/>
        <v>85846447</v>
      </c>
      <c r="G294" s="91">
        <f t="shared" si="65"/>
        <v>0</v>
      </c>
      <c r="H294" s="91">
        <f t="shared" si="65"/>
        <v>120306242.45454545</v>
      </c>
      <c r="I294" s="23">
        <f>SUM(I292:I293)</f>
        <v>29387987.2</v>
      </c>
      <c r="J294" s="110">
        <f>+ingresos2008!H192+202920949.56+49611662.8</f>
        <v>3141952401.3195457</v>
      </c>
      <c r="R294" s="224"/>
      <c r="S294" s="224"/>
      <c r="T294" s="224"/>
      <c r="U294" s="224"/>
    </row>
    <row r="295" spans="1:21" ht="15">
      <c r="A295" s="238"/>
      <c r="B295" s="61" t="s">
        <v>211</v>
      </c>
      <c r="C295" s="62"/>
      <c r="D295" s="62">
        <f>+F295-C295</f>
        <v>70846447</v>
      </c>
      <c r="E295" s="62">
        <f>SUM(C295:D295)</f>
        <v>70846447</v>
      </c>
      <c r="F295" s="62">
        <v>70846447</v>
      </c>
      <c r="G295" s="100">
        <f>+F295-E295</f>
        <v>0</v>
      </c>
      <c r="H295" s="62">
        <f>+ingresos2008!H68</f>
        <v>65801345.45454545</v>
      </c>
      <c r="I295" s="23">
        <f>+I294-H293</f>
        <v>0.19999999925494194</v>
      </c>
      <c r="J295" s="259">
        <f>+J294*1.5%</f>
        <v>47129286.01979318</v>
      </c>
      <c r="R295" s="224"/>
      <c r="S295" s="224"/>
      <c r="T295" s="224"/>
      <c r="U295" s="224"/>
    </row>
    <row r="296" spans="1:21" ht="15">
      <c r="A296" s="238"/>
      <c r="B296" s="61" t="s">
        <v>599</v>
      </c>
      <c r="C296" s="62"/>
      <c r="D296" s="62"/>
      <c r="E296" s="62"/>
      <c r="F296" s="62"/>
      <c r="G296" s="100"/>
      <c r="H296" s="62">
        <v>25000000</v>
      </c>
      <c r="J296" s="270"/>
      <c r="R296" s="224"/>
      <c r="S296" s="224"/>
      <c r="T296" s="224"/>
      <c r="U296" s="224"/>
    </row>
    <row r="297" spans="1:21" ht="15">
      <c r="A297" s="238"/>
      <c r="B297" s="61" t="s">
        <v>155</v>
      </c>
      <c r="C297" s="62"/>
      <c r="D297" s="62">
        <f>+F297-C297</f>
        <v>15000000</v>
      </c>
      <c r="E297" s="62">
        <f>SUM(C297:D297)</f>
        <v>15000000</v>
      </c>
      <c r="F297" s="62">
        <v>15000000</v>
      </c>
      <c r="G297" s="100">
        <f>+F297-E297</f>
        <v>0</v>
      </c>
      <c r="H297" s="62">
        <v>29504897</v>
      </c>
      <c r="I297" s="23">
        <f>+ingresos2008!H93</f>
        <v>29504896.795</v>
      </c>
      <c r="R297" s="224"/>
      <c r="S297" s="224"/>
      <c r="T297" s="224"/>
      <c r="U297" s="224"/>
    </row>
    <row r="298" spans="1:21" ht="15.75">
      <c r="A298" s="238"/>
      <c r="B298" s="266" t="s">
        <v>239</v>
      </c>
      <c r="C298" s="91" t="e">
        <f aca="true" t="shared" si="66" ref="C298:H298">+C293+C294</f>
        <v>#REF!</v>
      </c>
      <c r="D298" s="91" t="e">
        <f t="shared" si="66"/>
        <v>#REF!</v>
      </c>
      <c r="E298" s="91" t="e">
        <f t="shared" si="66"/>
        <v>#REF!</v>
      </c>
      <c r="F298" s="91" t="e">
        <f>+F293+F294</f>
        <v>#REF!</v>
      </c>
      <c r="G298" s="91" t="e">
        <f t="shared" si="66"/>
        <v>#REF!</v>
      </c>
      <c r="H298" s="91">
        <f t="shared" si="66"/>
        <v>149694229.45454544</v>
      </c>
      <c r="R298" s="224"/>
      <c r="S298" s="224"/>
      <c r="T298" s="224"/>
      <c r="U298" s="224"/>
    </row>
    <row r="299" spans="1:21" ht="15.75">
      <c r="A299" s="247"/>
      <c r="B299" s="271"/>
      <c r="C299" s="99"/>
      <c r="D299" s="99"/>
      <c r="E299" s="99"/>
      <c r="F299" s="99"/>
      <c r="G299" s="99"/>
      <c r="H299" s="99"/>
      <c r="R299" s="224"/>
      <c r="S299" s="224"/>
      <c r="T299" s="224"/>
      <c r="U299" s="224"/>
    </row>
    <row r="300" spans="1:21" ht="15.75">
      <c r="A300" s="247"/>
      <c r="B300" s="271"/>
      <c r="C300" s="99"/>
      <c r="D300" s="99"/>
      <c r="E300" s="99"/>
      <c r="F300" s="99"/>
      <c r="G300" s="99"/>
      <c r="H300" s="99"/>
      <c r="I300" s="23">
        <v>0</v>
      </c>
      <c r="R300" s="224"/>
      <c r="S300" s="224"/>
      <c r="T300" s="224"/>
      <c r="U300" s="224"/>
    </row>
    <row r="301" spans="1:21" ht="19.5" customHeight="1" hidden="1">
      <c r="A301" s="250"/>
      <c r="B301" s="223" t="s">
        <v>176</v>
      </c>
      <c r="C301" s="95"/>
      <c r="D301" s="95"/>
      <c r="E301" s="95"/>
      <c r="F301" s="95"/>
      <c r="G301" s="95"/>
      <c r="H301" s="95"/>
      <c r="R301" s="224"/>
      <c r="S301" s="224"/>
      <c r="T301" s="224"/>
      <c r="U301" s="224"/>
    </row>
    <row r="302" spans="1:21" ht="19.5" customHeight="1" hidden="1">
      <c r="A302" s="250"/>
      <c r="B302" s="223"/>
      <c r="C302" s="95"/>
      <c r="D302" s="95"/>
      <c r="E302" s="95"/>
      <c r="F302" s="95"/>
      <c r="G302" s="95"/>
      <c r="H302" s="95"/>
      <c r="R302" s="224"/>
      <c r="S302" s="224"/>
      <c r="T302" s="224"/>
      <c r="U302" s="224"/>
    </row>
    <row r="303" spans="1:21" ht="19.5" customHeight="1" hidden="1">
      <c r="A303" s="225"/>
      <c r="B303" s="59" t="s">
        <v>177</v>
      </c>
      <c r="C303" s="91">
        <f aca="true" t="shared" si="67" ref="C303:H303">+C305+C308</f>
        <v>69651163</v>
      </c>
      <c r="D303" s="91">
        <f t="shared" si="67"/>
        <v>53965339.95</v>
      </c>
      <c r="E303" s="91">
        <f t="shared" si="67"/>
        <v>123616502.95</v>
      </c>
      <c r="F303" s="91">
        <f t="shared" si="67"/>
        <v>123616502.95</v>
      </c>
      <c r="G303" s="91">
        <f t="shared" si="67"/>
        <v>0</v>
      </c>
      <c r="H303" s="91">
        <f t="shared" si="67"/>
        <v>0</v>
      </c>
      <c r="R303" s="224"/>
      <c r="S303" s="224"/>
      <c r="T303" s="224"/>
      <c r="U303" s="224"/>
    </row>
    <row r="304" spans="1:21" ht="19.5" customHeight="1" hidden="1">
      <c r="A304" s="225"/>
      <c r="B304" s="59" t="s">
        <v>175</v>
      </c>
      <c r="C304" s="92"/>
      <c r="D304" s="92"/>
      <c r="E304" s="92"/>
      <c r="F304" s="92"/>
      <c r="G304" s="92"/>
      <c r="H304" s="92"/>
      <c r="R304" s="224"/>
      <c r="S304" s="224"/>
      <c r="T304" s="224"/>
      <c r="U304" s="224"/>
    </row>
    <row r="305" spans="1:21" ht="19.5" customHeight="1" hidden="1">
      <c r="A305" s="225"/>
      <c r="B305" s="226" t="s">
        <v>129</v>
      </c>
      <c r="C305" s="91">
        <f aca="true" t="shared" si="68" ref="C305:H305">SUM(C306:C307)</f>
        <v>39666667</v>
      </c>
      <c r="D305" s="91">
        <f t="shared" si="68"/>
        <v>-8714286.05</v>
      </c>
      <c r="E305" s="91">
        <f t="shared" si="68"/>
        <v>30952380.95</v>
      </c>
      <c r="F305" s="91">
        <f t="shared" si="68"/>
        <v>30952380.95</v>
      </c>
      <c r="G305" s="91">
        <f t="shared" si="68"/>
        <v>0</v>
      </c>
      <c r="H305" s="91">
        <f t="shared" si="68"/>
        <v>0</v>
      </c>
      <c r="R305" s="224"/>
      <c r="S305" s="224"/>
      <c r="T305" s="224"/>
      <c r="U305" s="224"/>
    </row>
    <row r="306" spans="1:21" ht="19.5" customHeight="1" hidden="1">
      <c r="A306" s="229">
        <v>1</v>
      </c>
      <c r="B306" s="61" t="s">
        <v>209</v>
      </c>
      <c r="C306" s="62">
        <v>39666667</v>
      </c>
      <c r="D306" s="62">
        <f>+F306-C306</f>
        <v>-8714286.05</v>
      </c>
      <c r="E306" s="62">
        <f>SUM(C306:D306)</f>
        <v>30952380.95</v>
      </c>
      <c r="F306" s="62">
        <v>30952380.95</v>
      </c>
      <c r="G306" s="100">
        <f>+F306-E306</f>
        <v>0</v>
      </c>
      <c r="H306" s="62">
        <v>0</v>
      </c>
      <c r="R306" s="224"/>
      <c r="S306" s="224"/>
      <c r="T306" s="224"/>
      <c r="U306" s="224"/>
    </row>
    <row r="307" spans="1:21" ht="19.5" customHeight="1" hidden="1">
      <c r="A307" s="229"/>
      <c r="B307" s="61"/>
      <c r="C307" s="62"/>
      <c r="D307" s="62">
        <f>+F307-C307</f>
        <v>0</v>
      </c>
      <c r="E307" s="62">
        <f>SUM(C307:D307)</f>
        <v>0</v>
      </c>
      <c r="F307" s="62">
        <v>0</v>
      </c>
      <c r="G307" s="100">
        <f>+F307-E307</f>
        <v>0</v>
      </c>
      <c r="H307" s="62">
        <v>0</v>
      </c>
      <c r="R307" s="224"/>
      <c r="S307" s="224"/>
      <c r="T307" s="224"/>
      <c r="U307" s="224"/>
    </row>
    <row r="308" spans="1:21" ht="19.5" customHeight="1" hidden="1">
      <c r="A308" s="225"/>
      <c r="B308" s="59" t="s">
        <v>130</v>
      </c>
      <c r="C308" s="91">
        <f aca="true" t="shared" si="69" ref="C308:H308">SUM(C309:C309)</f>
        <v>29984496</v>
      </c>
      <c r="D308" s="91">
        <f t="shared" si="69"/>
        <v>62679626</v>
      </c>
      <c r="E308" s="91">
        <f t="shared" si="69"/>
        <v>92664122</v>
      </c>
      <c r="F308" s="91">
        <f t="shared" si="69"/>
        <v>92664122</v>
      </c>
      <c r="G308" s="91">
        <f t="shared" si="69"/>
        <v>0</v>
      </c>
      <c r="H308" s="91">
        <f t="shared" si="69"/>
        <v>0</v>
      </c>
      <c r="R308" s="224"/>
      <c r="S308" s="224"/>
      <c r="T308" s="224"/>
      <c r="U308" s="224"/>
    </row>
    <row r="309" spans="1:21" ht="19.5" customHeight="1" hidden="1">
      <c r="A309" s="229">
        <v>2</v>
      </c>
      <c r="B309" s="61" t="s">
        <v>209</v>
      </c>
      <c r="C309" s="62">
        <f>29984496</f>
        <v>29984496</v>
      </c>
      <c r="D309" s="62">
        <f>+F309-C309</f>
        <v>62679626</v>
      </c>
      <c r="E309" s="62">
        <f>SUM(C309:D309)</f>
        <v>92664122</v>
      </c>
      <c r="F309" s="62">
        <v>92664122</v>
      </c>
      <c r="G309" s="100">
        <f>+F309-E309</f>
        <v>0</v>
      </c>
      <c r="H309" s="62">
        <v>0</v>
      </c>
      <c r="R309" s="224"/>
      <c r="S309" s="224"/>
      <c r="T309" s="224"/>
      <c r="U309" s="224"/>
    </row>
    <row r="310" spans="1:21" ht="19.5" customHeight="1" hidden="1">
      <c r="A310" s="229"/>
      <c r="B310" s="61"/>
      <c r="C310" s="62"/>
      <c r="D310" s="62"/>
      <c r="E310" s="62"/>
      <c r="F310" s="62"/>
      <c r="G310" s="62"/>
      <c r="H310" s="62"/>
      <c r="R310" s="224"/>
      <c r="S310" s="224"/>
      <c r="T310" s="224"/>
      <c r="U310" s="224"/>
    </row>
    <row r="311" spans="1:21" ht="19.5" customHeight="1" hidden="1">
      <c r="A311" s="242"/>
      <c r="B311" s="226" t="s">
        <v>131</v>
      </c>
      <c r="C311" s="91">
        <f aca="true" t="shared" si="70" ref="C311:H311">+C303</f>
        <v>69651163</v>
      </c>
      <c r="D311" s="91">
        <f t="shared" si="70"/>
        <v>53965339.95</v>
      </c>
      <c r="E311" s="91">
        <f t="shared" si="70"/>
        <v>123616502.95</v>
      </c>
      <c r="F311" s="91">
        <f t="shared" si="70"/>
        <v>123616502.95</v>
      </c>
      <c r="G311" s="91">
        <f t="shared" si="70"/>
        <v>0</v>
      </c>
      <c r="H311" s="91">
        <f t="shared" si="70"/>
        <v>0</v>
      </c>
      <c r="R311" s="224"/>
      <c r="S311" s="224"/>
      <c r="T311" s="224"/>
      <c r="U311" s="224"/>
    </row>
    <row r="312" spans="1:21" ht="19.5" customHeight="1">
      <c r="A312" s="250" t="s">
        <v>478</v>
      </c>
      <c r="B312" s="222" t="s">
        <v>487</v>
      </c>
      <c r="C312" s="95"/>
      <c r="D312" s="95"/>
      <c r="E312" s="95"/>
      <c r="F312" s="95"/>
      <c r="G312" s="95"/>
      <c r="H312" s="95"/>
      <c r="R312" s="224"/>
      <c r="S312" s="224"/>
      <c r="T312" s="224"/>
      <c r="U312" s="224"/>
    </row>
    <row r="313" spans="1:21" ht="19.5" customHeight="1">
      <c r="A313" s="225" t="s">
        <v>479</v>
      </c>
      <c r="B313" s="226" t="s">
        <v>480</v>
      </c>
      <c r="C313" s="92" t="e">
        <f>+#REF!</f>
        <v>#REF!</v>
      </c>
      <c r="D313" s="92" t="e">
        <f>+#REF!</f>
        <v>#REF!</v>
      </c>
      <c r="E313" s="92" t="e">
        <f>+#REF!</f>
        <v>#REF!</v>
      </c>
      <c r="F313" s="92" t="e">
        <f>+#REF!</f>
        <v>#REF!</v>
      </c>
      <c r="G313" s="92" t="e">
        <f>+#REF!</f>
        <v>#REF!</v>
      </c>
      <c r="H313" s="92">
        <f>+H314+H317</f>
        <v>236659694</v>
      </c>
      <c r="R313" s="224"/>
      <c r="S313" s="224"/>
      <c r="T313" s="224"/>
      <c r="U313" s="224"/>
    </row>
    <row r="314" spans="1:21" ht="19.5" customHeight="1">
      <c r="A314" s="225" t="s">
        <v>481</v>
      </c>
      <c r="B314" s="59" t="s">
        <v>482</v>
      </c>
      <c r="C314" s="62">
        <v>12635000</v>
      </c>
      <c r="D314" s="62">
        <f aca="true" t="shared" si="71" ref="D314:D319">+F314-C314</f>
        <v>5697033.3999999985</v>
      </c>
      <c r="E314" s="62">
        <f aca="true" t="shared" si="72" ref="E314:E319">SUM(C314:D314)</f>
        <v>18332033.4</v>
      </c>
      <c r="F314" s="62">
        <f>+'[1]PRESUPUESTO'!$L$70-391500</f>
        <v>18332033.4</v>
      </c>
      <c r="G314" s="100">
        <f aca="true" t="shared" si="73" ref="G314:G319">+F314-E314</f>
        <v>0</v>
      </c>
      <c r="H314" s="91">
        <f>+H315+H316</f>
        <v>70400000</v>
      </c>
      <c r="R314" s="224"/>
      <c r="S314" s="224"/>
      <c r="T314" s="224"/>
      <c r="U314" s="224"/>
    </row>
    <row r="315" spans="1:21" ht="19.5" customHeight="1">
      <c r="A315" s="229" t="s">
        <v>483</v>
      </c>
      <c r="B315" s="61" t="s">
        <v>484</v>
      </c>
      <c r="C315" s="62">
        <v>168084</v>
      </c>
      <c r="D315" s="62">
        <f t="shared" si="71"/>
        <v>223416</v>
      </c>
      <c r="E315" s="62">
        <f t="shared" si="72"/>
        <v>391500</v>
      </c>
      <c r="F315" s="62">
        <v>391500</v>
      </c>
      <c r="G315" s="100">
        <f t="shared" si="73"/>
        <v>0</v>
      </c>
      <c r="H315" s="62">
        <f>14800000*4</f>
        <v>59200000</v>
      </c>
      <c r="R315" s="224"/>
      <c r="S315" s="224"/>
      <c r="T315" s="224"/>
      <c r="U315" s="224"/>
    </row>
    <row r="316" spans="1:21" ht="19.5" customHeight="1">
      <c r="A316" s="229" t="s">
        <v>485</v>
      </c>
      <c r="B316" s="61" t="s">
        <v>486</v>
      </c>
      <c r="C316" s="62"/>
      <c r="D316" s="62">
        <f t="shared" si="71"/>
        <v>1560294.45</v>
      </c>
      <c r="E316" s="62">
        <f t="shared" si="72"/>
        <v>1560294.45</v>
      </c>
      <c r="F316" s="62">
        <f>+'[1]PRESUPUESTO'!$K$70</f>
        <v>1560294.45</v>
      </c>
      <c r="G316" s="100">
        <f t="shared" si="73"/>
        <v>0</v>
      </c>
      <c r="H316" s="62">
        <v>11200000</v>
      </c>
      <c r="R316" s="224"/>
      <c r="S316" s="224"/>
      <c r="T316" s="224"/>
      <c r="U316" s="224"/>
    </row>
    <row r="317" spans="1:21" ht="19.5" customHeight="1">
      <c r="A317" s="225" t="s">
        <v>488</v>
      </c>
      <c r="B317" s="59" t="s">
        <v>504</v>
      </c>
      <c r="C317" s="62">
        <v>12635000</v>
      </c>
      <c r="D317" s="62">
        <f t="shared" si="71"/>
        <v>5697033.3999999985</v>
      </c>
      <c r="E317" s="62">
        <f t="shared" si="72"/>
        <v>18332033.4</v>
      </c>
      <c r="F317" s="62">
        <f>+'[1]PRESUPUESTO'!$L$70-391500</f>
        <v>18332033.4</v>
      </c>
      <c r="G317" s="100">
        <f t="shared" si="73"/>
        <v>0</v>
      </c>
      <c r="H317" s="91">
        <f>+H318+H319</f>
        <v>166259694</v>
      </c>
      <c r="R317" s="224"/>
      <c r="S317" s="224"/>
      <c r="T317" s="224"/>
      <c r="U317" s="224"/>
    </row>
    <row r="318" spans="1:21" ht="19.5" customHeight="1">
      <c r="A318" s="229" t="s">
        <v>489</v>
      </c>
      <c r="B318" s="61" t="s">
        <v>491</v>
      </c>
      <c r="C318" s="62">
        <v>168084</v>
      </c>
      <c r="D318" s="62">
        <f t="shared" si="71"/>
        <v>223416</v>
      </c>
      <c r="E318" s="62">
        <f t="shared" si="72"/>
        <v>391500</v>
      </c>
      <c r="F318" s="62">
        <v>391500</v>
      </c>
      <c r="G318" s="100">
        <f t="shared" si="73"/>
        <v>0</v>
      </c>
      <c r="H318" s="62">
        <f>104709000+41550694</f>
        <v>146259694</v>
      </c>
      <c r="I318" s="23">
        <f>+H318-41550694+20000000</f>
        <v>124709000</v>
      </c>
      <c r="J318" s="254">
        <f>633123920*25%</f>
        <v>158280980</v>
      </c>
      <c r="R318" s="224"/>
      <c r="S318" s="224"/>
      <c r="T318" s="224"/>
      <c r="U318" s="224"/>
    </row>
    <row r="319" spans="1:21" ht="19.5" customHeight="1">
      <c r="A319" s="229" t="s">
        <v>490</v>
      </c>
      <c r="B319" s="61" t="s">
        <v>492</v>
      </c>
      <c r="C319" s="62"/>
      <c r="D319" s="62">
        <f t="shared" si="71"/>
        <v>1560294.45</v>
      </c>
      <c r="E319" s="62">
        <f t="shared" si="72"/>
        <v>1560294.45</v>
      </c>
      <c r="F319" s="62">
        <f>+'[1]PRESUPUESTO'!$K$70</f>
        <v>1560294.45</v>
      </c>
      <c r="G319" s="100">
        <f t="shared" si="73"/>
        <v>0</v>
      </c>
      <c r="H319" s="62">
        <v>20000000</v>
      </c>
      <c r="I319" s="23">
        <f>154709000/11</f>
        <v>14064454.545454545</v>
      </c>
      <c r="R319" s="224"/>
      <c r="S319" s="224"/>
      <c r="T319" s="224"/>
      <c r="U319" s="224"/>
    </row>
    <row r="320" spans="1:21" ht="19.5" customHeight="1">
      <c r="A320" s="242"/>
      <c r="B320" s="226"/>
      <c r="C320" s="91"/>
      <c r="D320" s="91"/>
      <c r="E320" s="91"/>
      <c r="F320" s="91"/>
      <c r="G320" s="91"/>
      <c r="H320" s="91"/>
      <c r="R320" s="224"/>
      <c r="S320" s="224"/>
      <c r="T320" s="224"/>
      <c r="U320" s="224"/>
    </row>
    <row r="321" spans="1:21" ht="19.5" customHeight="1">
      <c r="A321" s="229"/>
      <c r="B321" s="226" t="s">
        <v>494</v>
      </c>
      <c r="C321" s="100"/>
      <c r="D321" s="100"/>
      <c r="E321" s="100"/>
      <c r="F321" s="91" t="e">
        <f>+#REF!</f>
        <v>#REF!</v>
      </c>
      <c r="G321" s="100"/>
      <c r="H321" s="91"/>
      <c r="R321" s="224"/>
      <c r="S321" s="224"/>
      <c r="T321" s="224"/>
      <c r="U321" s="224"/>
    </row>
    <row r="322" spans="1:21" ht="19.5" customHeight="1">
      <c r="A322" s="229"/>
      <c r="B322" s="243"/>
      <c r="C322" s="100"/>
      <c r="D322" s="100"/>
      <c r="E322" s="100"/>
      <c r="F322" s="91"/>
      <c r="G322" s="100"/>
      <c r="H322" s="91"/>
      <c r="R322" s="224"/>
      <c r="S322" s="224"/>
      <c r="T322" s="224"/>
      <c r="U322" s="224"/>
    </row>
    <row r="323" spans="1:21" ht="19.5" customHeight="1">
      <c r="A323" s="229"/>
      <c r="B323" s="61" t="s">
        <v>133</v>
      </c>
      <c r="C323" s="62">
        <f aca="true" t="shared" si="74" ref="C323:H323">+C69</f>
        <v>85926895</v>
      </c>
      <c r="D323" s="62">
        <f t="shared" si="74"/>
        <v>27374105.497719996</v>
      </c>
      <c r="E323" s="62">
        <f t="shared" si="74"/>
        <v>113301000.49772</v>
      </c>
      <c r="F323" s="62">
        <f>+F69</f>
        <v>113301000.49772</v>
      </c>
      <c r="G323" s="62">
        <f t="shared" si="74"/>
        <v>0</v>
      </c>
      <c r="H323" s="62">
        <f t="shared" si="74"/>
        <v>128778495.3</v>
      </c>
      <c r="I323" s="23">
        <f>+H323</f>
        <v>128778495.3</v>
      </c>
      <c r="R323" s="224"/>
      <c r="S323" s="224"/>
      <c r="T323" s="224"/>
      <c r="U323" s="224"/>
    </row>
    <row r="324" spans="1:21" ht="19.5" customHeight="1">
      <c r="A324" s="238"/>
      <c r="B324" s="61" t="s">
        <v>134</v>
      </c>
      <c r="C324" s="62" t="e">
        <f aca="true" t="shared" si="75" ref="C324:H324">+C103</f>
        <v>#REF!</v>
      </c>
      <c r="D324" s="62" t="e">
        <f t="shared" si="75"/>
        <v>#REF!</v>
      </c>
      <c r="E324" s="62" t="e">
        <f t="shared" si="75"/>
        <v>#REF!</v>
      </c>
      <c r="F324" s="62" t="e">
        <f>+F103</f>
        <v>#REF!</v>
      </c>
      <c r="G324" s="62" t="e">
        <f t="shared" si="75"/>
        <v>#REF!</v>
      </c>
      <c r="H324" s="62">
        <f t="shared" si="75"/>
        <v>69346761</v>
      </c>
      <c r="I324" s="23">
        <f>+H324</f>
        <v>69346761</v>
      </c>
      <c r="R324" s="224"/>
      <c r="S324" s="224"/>
      <c r="T324" s="224"/>
      <c r="U324" s="224"/>
    </row>
    <row r="325" spans="1:21" ht="19.5" customHeight="1">
      <c r="A325" s="238"/>
      <c r="B325" s="59" t="s">
        <v>135</v>
      </c>
      <c r="C325" s="91" t="e">
        <f aca="true" t="shared" si="76" ref="C325:H325">SUM(C326:C327)</f>
        <v>#REF!</v>
      </c>
      <c r="D325" s="91" t="e">
        <f t="shared" si="76"/>
        <v>#REF!</v>
      </c>
      <c r="E325" s="91" t="e">
        <f t="shared" si="76"/>
        <v>#REF!</v>
      </c>
      <c r="F325" s="91" t="e">
        <f>SUM(F326:F327)</f>
        <v>#REF!</v>
      </c>
      <c r="G325" s="91" t="e">
        <f t="shared" si="76"/>
        <v>#REF!</v>
      </c>
      <c r="H325" s="91">
        <f t="shared" si="76"/>
        <v>7703998921.394693</v>
      </c>
      <c r="K325" s="117">
        <f>173116613+1016656863</f>
        <v>1189773476</v>
      </c>
      <c r="R325" s="224"/>
      <c r="S325" s="224"/>
      <c r="T325" s="224"/>
      <c r="U325" s="224"/>
    </row>
    <row r="326" spans="1:21" ht="19.5" customHeight="1">
      <c r="A326" s="238"/>
      <c r="B326" s="61" t="s">
        <v>136</v>
      </c>
      <c r="C326" s="62" t="e">
        <f aca="true" t="shared" si="77" ref="C326:H326">+C193</f>
        <v>#REF!</v>
      </c>
      <c r="D326" s="62" t="e">
        <f t="shared" si="77"/>
        <v>#REF!</v>
      </c>
      <c r="E326" s="62" t="e">
        <f t="shared" si="77"/>
        <v>#REF!</v>
      </c>
      <c r="F326" s="62" t="e">
        <f>+F193</f>
        <v>#REF!</v>
      </c>
      <c r="G326" s="62" t="e">
        <f t="shared" si="77"/>
        <v>#REF!</v>
      </c>
      <c r="H326" s="62">
        <f t="shared" si="77"/>
        <v>1224627382.8706026</v>
      </c>
      <c r="I326" s="23">
        <f>+H326</f>
        <v>1224627382.8706026</v>
      </c>
      <c r="K326" s="117">
        <v>194981200</v>
      </c>
      <c r="R326" s="224"/>
      <c r="S326" s="224"/>
      <c r="T326" s="224"/>
      <c r="U326" s="224"/>
    </row>
    <row r="327" spans="1:21" ht="19.5" customHeight="1">
      <c r="A327" s="238"/>
      <c r="B327" s="59" t="s">
        <v>148</v>
      </c>
      <c r="C327" s="91">
        <f>SUM(C328:C331)</f>
        <v>1083047221.88</v>
      </c>
      <c r="D327" s="91">
        <f>SUM(D328:D331)</f>
        <v>1242206546</v>
      </c>
      <c r="E327" s="91">
        <f>SUM(E328:E331)</f>
        <v>2325253767.88</v>
      </c>
      <c r="F327" s="91">
        <f>SUM(F328:F331)</f>
        <v>2192019798</v>
      </c>
      <c r="G327" s="91">
        <f>SUM(G328:G331)</f>
        <v>0</v>
      </c>
      <c r="H327" s="91">
        <f>H194</f>
        <v>6479371538.524091</v>
      </c>
      <c r="I327" s="272">
        <f>SUM(H328:H331)</f>
        <v>6479371538.524091</v>
      </c>
      <c r="J327" s="206"/>
      <c r="K327" s="273">
        <v>157029000</v>
      </c>
      <c r="L327" s="272"/>
      <c r="M327" s="272"/>
      <c r="N327" s="274"/>
      <c r="O327" s="274"/>
      <c r="P327" s="274"/>
      <c r="Q327" s="274"/>
      <c r="R327" s="275"/>
      <c r="S327" s="275"/>
      <c r="T327" s="224"/>
      <c r="U327" s="224"/>
    </row>
    <row r="328" spans="1:21" ht="19.5" customHeight="1">
      <c r="A328" s="229"/>
      <c r="B328" s="243" t="s">
        <v>210</v>
      </c>
      <c r="C328" s="62">
        <f aca="true" t="shared" si="78" ref="C328:H329">+C195</f>
        <v>979708885</v>
      </c>
      <c r="D328" s="62">
        <f t="shared" si="78"/>
        <v>1132801361</v>
      </c>
      <c r="E328" s="62">
        <f t="shared" si="78"/>
        <v>2112510246</v>
      </c>
      <c r="F328" s="62">
        <f t="shared" si="78"/>
        <v>1959417770</v>
      </c>
      <c r="G328" s="62">
        <f t="shared" si="78"/>
        <v>0</v>
      </c>
      <c r="H328" s="62">
        <f>+H195</f>
        <v>3726801127.9090905</v>
      </c>
      <c r="K328" s="117">
        <v>104926396</v>
      </c>
      <c r="R328" s="224"/>
      <c r="S328" s="224"/>
      <c r="T328" s="224"/>
      <c r="U328" s="224"/>
    </row>
    <row r="329" spans="1:21" ht="19.5" customHeight="1">
      <c r="A329" s="238"/>
      <c r="B329" s="61" t="str">
        <f>+B196</f>
        <v>Inversión recursos destinación específica</v>
      </c>
      <c r="C329" s="62">
        <f t="shared" si="78"/>
        <v>42935321</v>
      </c>
      <c r="D329" s="62">
        <f t="shared" si="78"/>
        <v>24577837</v>
      </c>
      <c r="E329" s="62">
        <f t="shared" si="78"/>
        <v>67513158</v>
      </c>
      <c r="F329" s="62">
        <f t="shared" si="78"/>
        <v>0</v>
      </c>
      <c r="G329" s="62">
        <f t="shared" si="78"/>
        <v>0</v>
      </c>
      <c r="H329" s="62">
        <f t="shared" si="78"/>
        <v>1643791755.0749998</v>
      </c>
      <c r="K329" s="117">
        <v>245500000</v>
      </c>
      <c r="R329" s="224"/>
      <c r="S329" s="224"/>
      <c r="T329" s="224"/>
      <c r="U329" s="224"/>
    </row>
    <row r="330" spans="1:21" ht="19.5" customHeight="1">
      <c r="A330" s="229"/>
      <c r="B330" s="243" t="s">
        <v>563</v>
      </c>
      <c r="C330" s="62">
        <f aca="true" t="shared" si="79" ref="C330:H331">+C197</f>
        <v>60403015.879999995</v>
      </c>
      <c r="D330" s="62">
        <f t="shared" si="79"/>
        <v>0</v>
      </c>
      <c r="E330" s="62">
        <f t="shared" si="79"/>
        <v>60403015.879999995</v>
      </c>
      <c r="F330" s="62">
        <f>+F197</f>
        <v>232602028</v>
      </c>
      <c r="G330" s="62">
        <f t="shared" si="79"/>
        <v>0</v>
      </c>
      <c r="H330" s="62">
        <f t="shared" si="79"/>
        <v>93481741.54</v>
      </c>
      <c r="K330" s="117">
        <v>4356987878</v>
      </c>
      <c r="R330" s="224"/>
      <c r="S330" s="224"/>
      <c r="T330" s="224"/>
      <c r="U330" s="224"/>
    </row>
    <row r="331" spans="1:21" ht="19.5" customHeight="1">
      <c r="A331" s="238"/>
      <c r="B331" s="61" t="s">
        <v>137</v>
      </c>
      <c r="C331" s="62">
        <f t="shared" si="79"/>
        <v>0</v>
      </c>
      <c r="D331" s="62">
        <f t="shared" si="79"/>
        <v>84827348</v>
      </c>
      <c r="E331" s="62">
        <f t="shared" si="79"/>
        <v>84827348</v>
      </c>
      <c r="F331" s="62">
        <f>+F198</f>
        <v>0</v>
      </c>
      <c r="G331" s="62">
        <f t="shared" si="79"/>
        <v>0</v>
      </c>
      <c r="H331" s="62">
        <f t="shared" si="79"/>
        <v>1015296914</v>
      </c>
      <c r="K331" s="117">
        <f>SUM(K325:K330)</f>
        <v>6249197950</v>
      </c>
      <c r="R331" s="224"/>
      <c r="S331" s="224"/>
      <c r="T331" s="224"/>
      <c r="U331" s="224"/>
    </row>
    <row r="332" spans="1:21" ht="19.5" customHeight="1" hidden="1">
      <c r="A332" s="238"/>
      <c r="B332" s="61" t="s">
        <v>138</v>
      </c>
      <c r="C332" s="62">
        <f>+C224</f>
        <v>0</v>
      </c>
      <c r="D332" s="62">
        <f>+D224</f>
        <v>0</v>
      </c>
      <c r="E332" s="62">
        <f>+E224</f>
        <v>0</v>
      </c>
      <c r="F332" s="62">
        <f>+F224</f>
        <v>0</v>
      </c>
      <c r="G332" s="62">
        <f>+G224</f>
        <v>0</v>
      </c>
      <c r="H332" s="62">
        <f>+H311</f>
        <v>0</v>
      </c>
      <c r="R332" s="224"/>
      <c r="S332" s="224"/>
      <c r="T332" s="224"/>
      <c r="U332" s="224"/>
    </row>
    <row r="333" spans="1:21" ht="19.5" customHeight="1" hidden="1">
      <c r="A333" s="238"/>
      <c r="B333" s="61"/>
      <c r="C333" s="62"/>
      <c r="D333" s="62"/>
      <c r="E333" s="62"/>
      <c r="F333" s="62"/>
      <c r="G333" s="62"/>
      <c r="H333" s="62">
        <f>+H219</f>
        <v>0</v>
      </c>
      <c r="R333" s="224"/>
      <c r="S333" s="224"/>
      <c r="T333" s="224"/>
      <c r="U333" s="224"/>
    </row>
    <row r="334" spans="1:21" ht="19.5" customHeight="1">
      <c r="A334" s="238"/>
      <c r="B334" s="61" t="s">
        <v>169</v>
      </c>
      <c r="C334" s="62"/>
      <c r="D334" s="62"/>
      <c r="E334" s="62"/>
      <c r="F334" s="62"/>
      <c r="G334" s="62"/>
      <c r="H334" s="62">
        <f>+H228</f>
        <v>172233532</v>
      </c>
      <c r="R334" s="224"/>
      <c r="S334" s="224"/>
      <c r="T334" s="224"/>
      <c r="U334" s="224"/>
    </row>
    <row r="335" spans="1:21" ht="19.5" customHeight="1">
      <c r="A335" s="238"/>
      <c r="B335" s="61" t="s">
        <v>139</v>
      </c>
      <c r="C335" s="62"/>
      <c r="D335" s="62"/>
      <c r="E335" s="62"/>
      <c r="F335" s="62"/>
      <c r="G335" s="62"/>
      <c r="H335" s="62">
        <f>+H241</f>
        <v>140000000</v>
      </c>
      <c r="R335" s="224"/>
      <c r="S335" s="224"/>
      <c r="T335" s="224"/>
      <c r="U335" s="224"/>
    </row>
    <row r="336" spans="1:21" ht="19.5" customHeight="1">
      <c r="A336" s="238"/>
      <c r="B336" s="61" t="str">
        <f>+B248</f>
        <v>TOTAL FONDO DE SOLIDARIDAD Y REDISTRIBUCION</v>
      </c>
      <c r="C336" s="62"/>
      <c r="D336" s="62"/>
      <c r="E336" s="62"/>
      <c r="F336" s="62"/>
      <c r="G336" s="62"/>
      <c r="H336" s="62">
        <f>+H248</f>
        <v>120000000</v>
      </c>
      <c r="R336" s="224"/>
      <c r="S336" s="224"/>
      <c r="T336" s="224"/>
      <c r="U336" s="224"/>
    </row>
    <row r="337" spans="1:21" ht="19.5" customHeight="1">
      <c r="A337" s="238"/>
      <c r="B337" s="61" t="s">
        <v>138</v>
      </c>
      <c r="C337" s="62"/>
      <c r="D337" s="62"/>
      <c r="E337" s="62"/>
      <c r="F337" s="62"/>
      <c r="G337" s="62"/>
      <c r="H337" s="62">
        <f>+H313</f>
        <v>236659694</v>
      </c>
      <c r="I337" s="23">
        <f>SUM(H334:H337)</f>
        <v>668893226</v>
      </c>
      <c r="R337" s="224"/>
      <c r="S337" s="224"/>
      <c r="T337" s="224"/>
      <c r="U337" s="224"/>
    </row>
    <row r="338" spans="1:21" ht="19.5" customHeight="1">
      <c r="A338" s="238"/>
      <c r="B338" s="59" t="s">
        <v>495</v>
      </c>
      <c r="C338" s="91" t="e">
        <f>SUM(C339:C340)</f>
        <v>#REF!</v>
      </c>
      <c r="D338" s="91" t="e">
        <f>SUM(D339:D340)</f>
        <v>#REF!</v>
      </c>
      <c r="E338" s="91" t="e">
        <f>SUM(E339:E340)</f>
        <v>#REF!</v>
      </c>
      <c r="F338" s="91" t="e">
        <f>SUM(F339:F340)</f>
        <v>#REF!</v>
      </c>
      <c r="G338" s="91" t="e">
        <f>SUM(G339:G340)</f>
        <v>#REF!</v>
      </c>
      <c r="H338" s="91">
        <f>+H298</f>
        <v>149694229.45454544</v>
      </c>
      <c r="I338" s="23">
        <f>+H338</f>
        <v>149694229.45454544</v>
      </c>
      <c r="R338" s="224"/>
      <c r="S338" s="224"/>
      <c r="T338" s="224"/>
      <c r="U338" s="224"/>
    </row>
    <row r="339" spans="1:21" ht="19.5" customHeight="1">
      <c r="A339" s="238"/>
      <c r="B339" s="61" t="s">
        <v>136</v>
      </c>
      <c r="C339" s="62" t="e">
        <f aca="true" t="shared" si="80" ref="C339:H339">+C293</f>
        <v>#REF!</v>
      </c>
      <c r="D339" s="62" t="e">
        <f t="shared" si="80"/>
        <v>#REF!</v>
      </c>
      <c r="E339" s="62" t="e">
        <f t="shared" si="80"/>
        <v>#REF!</v>
      </c>
      <c r="F339" s="62" t="e">
        <f>+F293</f>
        <v>#REF!</v>
      </c>
      <c r="G339" s="62" t="e">
        <f t="shared" si="80"/>
        <v>#REF!</v>
      </c>
      <c r="H339" s="62">
        <f t="shared" si="80"/>
        <v>29387987</v>
      </c>
      <c r="R339" s="224"/>
      <c r="S339" s="224"/>
      <c r="T339" s="224"/>
      <c r="U339" s="224"/>
    </row>
    <row r="340" spans="1:21" ht="19.5" customHeight="1">
      <c r="A340" s="238"/>
      <c r="B340" s="59" t="s">
        <v>217</v>
      </c>
      <c r="C340" s="91">
        <f>SUM(C341:C342)</f>
        <v>0</v>
      </c>
      <c r="D340" s="91">
        <f>SUM(D341:D342)</f>
        <v>85846447</v>
      </c>
      <c r="E340" s="91">
        <f>SUM(E341:E342)</f>
        <v>85846447</v>
      </c>
      <c r="F340" s="91">
        <f>SUM(F341:F342)</f>
        <v>85846447</v>
      </c>
      <c r="G340" s="91">
        <f>SUM(G341:G342)</f>
        <v>0</v>
      </c>
      <c r="H340" s="91">
        <f>SUM(H341:H343)</f>
        <v>120306242.45454545</v>
      </c>
      <c r="I340" s="272"/>
      <c r="J340" s="206"/>
      <c r="K340" s="273"/>
      <c r="L340" s="272"/>
      <c r="M340" s="272"/>
      <c r="N340" s="274"/>
      <c r="O340" s="274"/>
      <c r="P340" s="274"/>
      <c r="Q340" s="274"/>
      <c r="R340" s="275"/>
      <c r="S340" s="275"/>
      <c r="T340" s="224"/>
      <c r="U340" s="224"/>
    </row>
    <row r="341" spans="1:21" ht="19.5" customHeight="1">
      <c r="A341" s="238"/>
      <c r="B341" s="243" t="s">
        <v>212</v>
      </c>
      <c r="C341" s="62">
        <f aca="true" t="shared" si="81" ref="C341:H341">+C295</f>
        <v>0</v>
      </c>
      <c r="D341" s="62">
        <f t="shared" si="81"/>
        <v>70846447</v>
      </c>
      <c r="E341" s="62">
        <f t="shared" si="81"/>
        <v>70846447</v>
      </c>
      <c r="F341" s="62">
        <f t="shared" si="81"/>
        <v>70846447</v>
      </c>
      <c r="G341" s="62">
        <f t="shared" si="81"/>
        <v>0</v>
      </c>
      <c r="H341" s="62">
        <f t="shared" si="81"/>
        <v>65801345.45454545</v>
      </c>
      <c r="R341" s="224"/>
      <c r="S341" s="224"/>
      <c r="T341" s="224"/>
      <c r="U341" s="224"/>
    </row>
    <row r="342" spans="1:21" ht="19.5" customHeight="1">
      <c r="A342" s="238"/>
      <c r="B342" s="61" t="s">
        <v>600</v>
      </c>
      <c r="C342" s="62">
        <f aca="true" t="shared" si="82" ref="C342:H342">+C297</f>
        <v>0</v>
      </c>
      <c r="D342" s="62">
        <f t="shared" si="82"/>
        <v>15000000</v>
      </c>
      <c r="E342" s="62">
        <f t="shared" si="82"/>
        <v>15000000</v>
      </c>
      <c r="F342" s="62">
        <f t="shared" si="82"/>
        <v>15000000</v>
      </c>
      <c r="G342" s="62">
        <f t="shared" si="82"/>
        <v>0</v>
      </c>
      <c r="H342" s="62">
        <f t="shared" si="82"/>
        <v>29504897</v>
      </c>
      <c r="R342" s="224"/>
      <c r="S342" s="224"/>
      <c r="T342" s="224"/>
      <c r="U342" s="224"/>
    </row>
    <row r="343" spans="1:21" ht="19.5" customHeight="1">
      <c r="A343" s="238"/>
      <c r="B343" s="61" t="s">
        <v>603</v>
      </c>
      <c r="C343" s="62" t="e">
        <f>+#REF!</f>
        <v>#REF!</v>
      </c>
      <c r="D343" s="62" t="e">
        <f>+#REF!</f>
        <v>#REF!</v>
      </c>
      <c r="E343" s="62" t="e">
        <f>+#REF!</f>
        <v>#REF!</v>
      </c>
      <c r="F343" s="62" t="e">
        <f>+#REF!</f>
        <v>#REF!</v>
      </c>
      <c r="G343" s="62" t="e">
        <f>+#REF!</f>
        <v>#REF!</v>
      </c>
      <c r="H343" s="62">
        <f>+H296</f>
        <v>25000000</v>
      </c>
      <c r="R343" s="224"/>
      <c r="S343" s="224"/>
      <c r="T343" s="224"/>
      <c r="U343" s="224"/>
    </row>
    <row r="344" spans="1:21" ht="19.5" customHeight="1">
      <c r="A344" s="238"/>
      <c r="B344" s="59" t="s">
        <v>3</v>
      </c>
      <c r="C344" s="91" t="e">
        <f>+C323+C324+C325+#REF!+#REF!+#REF!+#REF!+#REF!+#REF!+#REF!+#REF!+C332+C338+C343+#REF!</f>
        <v>#REF!</v>
      </c>
      <c r="D344" s="91" t="e">
        <f>+D323+D324+D325+#REF!+#REF!+#REF!+#REF!+#REF!+#REF!+#REF!+#REF!+D332+D338+D343+#REF!</f>
        <v>#REF!</v>
      </c>
      <c r="E344" s="91" t="e">
        <f>+E323+E324+E325+#REF!+#REF!+#REF!+#REF!+#REF!+#REF!+#REF!+#REF!+E332+E338+E343+#REF!</f>
        <v>#REF!</v>
      </c>
      <c r="F344" s="91" t="e">
        <f>+F323+F324+F325+#REF!+#REF!+#REF!+#REF!+F332+F338+F343</f>
        <v>#REF!</v>
      </c>
      <c r="G344" s="91" t="e">
        <f>+G323+G324+G325+#REF!+#REF!+#REF!+#REF!+G332+G338+G343</f>
        <v>#REF!</v>
      </c>
      <c r="H344" s="91">
        <f>+H323+H324+H325+H332+H334+H335+H337+H338+H333+H336</f>
        <v>8720711633.149239</v>
      </c>
      <c r="I344" s="23">
        <f>SUM(I323:I341)</f>
        <v>8720711633.149239</v>
      </c>
      <c r="R344" s="224"/>
      <c r="S344" s="224"/>
      <c r="T344" s="224"/>
      <c r="U344" s="224"/>
    </row>
    <row r="345" spans="1:21" ht="15">
      <c r="A345" s="247"/>
      <c r="B345" s="276"/>
      <c r="C345" s="94"/>
      <c r="D345" s="94"/>
      <c r="E345" s="94"/>
      <c r="F345" s="94"/>
      <c r="G345" s="94"/>
      <c r="H345" s="94"/>
      <c r="I345" s="23">
        <f>+I344-H344</f>
        <v>0</v>
      </c>
      <c r="R345" s="224"/>
      <c r="S345" s="224"/>
      <c r="T345" s="224"/>
      <c r="U345" s="224"/>
    </row>
    <row r="346" spans="1:21" ht="24.75" customHeight="1">
      <c r="A346" s="268"/>
      <c r="B346" s="223" t="s">
        <v>140</v>
      </c>
      <c r="C346" s="95"/>
      <c r="D346" s="95"/>
      <c r="E346" s="95"/>
      <c r="F346" s="95"/>
      <c r="G346" s="95"/>
      <c r="H346" s="95"/>
      <c r="L346" s="117">
        <v>173116613</v>
      </c>
      <c r="R346" s="224"/>
      <c r="S346" s="224"/>
      <c r="T346" s="224"/>
      <c r="U346" s="224"/>
    </row>
    <row r="347" spans="1:21" ht="24.75" customHeight="1">
      <c r="A347" s="268"/>
      <c r="B347" s="222" t="s">
        <v>244</v>
      </c>
      <c r="C347" s="98"/>
      <c r="D347" s="98"/>
      <c r="E347" s="98"/>
      <c r="F347" s="98"/>
      <c r="G347" s="98"/>
      <c r="H347" s="95">
        <f>+H323+H324</f>
        <v>198125256.3</v>
      </c>
      <c r="K347" s="117">
        <f>426344355+1</f>
        <v>426344356</v>
      </c>
      <c r="L347" s="117">
        <f>+K347-H254</f>
        <v>413792500</v>
      </c>
      <c r="R347" s="224"/>
      <c r="S347" s="224"/>
      <c r="T347" s="224"/>
      <c r="U347" s="224"/>
    </row>
    <row r="348" spans="1:21" ht="24.75" customHeight="1">
      <c r="A348" s="229"/>
      <c r="B348" s="59" t="s">
        <v>141</v>
      </c>
      <c r="C348" s="92" t="e">
        <f>+C69+C103+C193+#REF!+#REF!+#REF!+#REF!+#REF!+#REF!+#REF!+#REF!+C293+#REF!+#REF!</f>
        <v>#REF!</v>
      </c>
      <c r="D348" s="92" t="e">
        <f>+D69+D103+D193+#REF!+#REF!+#REF!+#REF!+#REF!+#REF!+#REF!+#REF!+D293+#REF!+#REF!</f>
        <v>#REF!</v>
      </c>
      <c r="E348" s="92" t="e">
        <f>+E69+E103+E193+#REF!+#REF!+#REF!+#REF!+#REF!+#REF!+#REF!+#REF!+E293+#REF!+#REF!</f>
        <v>#REF!</v>
      </c>
      <c r="F348" s="92" t="e">
        <f>+F69+F103+F193+#REF!+#REF!+#REF!+#REF!+F293+#REF!</f>
        <v>#REF!</v>
      </c>
      <c r="G348" s="92" t="e">
        <f>+G69+G103+G193+#REF!+#REF!+#REF!+#REF!+G293+#REF!</f>
        <v>#REF!</v>
      </c>
      <c r="H348" s="92">
        <f>+H193+H228-H225+H219</f>
        <v>1396860914.8706026</v>
      </c>
      <c r="I348" s="23">
        <f>+H349</f>
        <v>140000000</v>
      </c>
      <c r="J348" s="110"/>
      <c r="K348" s="117">
        <v>42500000</v>
      </c>
      <c r="L348" s="117"/>
      <c r="R348" s="224"/>
      <c r="S348" s="224"/>
      <c r="T348" s="224"/>
      <c r="U348" s="224"/>
    </row>
    <row r="349" spans="1:21" ht="24.75" customHeight="1">
      <c r="A349" s="229"/>
      <c r="B349" s="59" t="s">
        <v>246</v>
      </c>
      <c r="C349" s="92"/>
      <c r="D349" s="92"/>
      <c r="E349" s="92"/>
      <c r="F349" s="92"/>
      <c r="G349" s="92"/>
      <c r="H349" s="92">
        <f>+H335</f>
        <v>140000000</v>
      </c>
      <c r="I349" s="23">
        <f>+H221</f>
        <v>172233532</v>
      </c>
      <c r="J349" s="110"/>
      <c r="K349" s="117">
        <v>424903231</v>
      </c>
      <c r="L349" s="117">
        <f>+K349-H279</f>
        <v>411948608</v>
      </c>
      <c r="R349" s="224"/>
      <c r="S349" s="224"/>
      <c r="T349" s="224"/>
      <c r="U349" s="224"/>
    </row>
    <row r="350" spans="1:21" ht="24.75" customHeight="1">
      <c r="A350" s="229"/>
      <c r="B350" s="59" t="s">
        <v>559</v>
      </c>
      <c r="C350" s="92"/>
      <c r="D350" s="92"/>
      <c r="E350" s="92"/>
      <c r="F350" s="92"/>
      <c r="G350" s="92"/>
      <c r="H350" s="92">
        <f>+H336</f>
        <v>120000000</v>
      </c>
      <c r="J350" s="110"/>
      <c r="L350" s="117"/>
      <c r="R350" s="224"/>
      <c r="S350" s="224"/>
      <c r="T350" s="224"/>
      <c r="U350" s="224"/>
    </row>
    <row r="351" spans="1:21" ht="24.75" customHeight="1">
      <c r="A351" s="229"/>
      <c r="B351" s="59" t="s">
        <v>240</v>
      </c>
      <c r="C351" s="92"/>
      <c r="D351" s="92"/>
      <c r="E351" s="92"/>
      <c r="F351" s="92"/>
      <c r="G351" s="92"/>
      <c r="H351" s="92">
        <f>+H338</f>
        <v>149694229.45454544</v>
      </c>
      <c r="I351" s="23">
        <f>SUM(I348:I349)</f>
        <v>312233532</v>
      </c>
      <c r="J351" s="110"/>
      <c r="K351" s="117">
        <v>137789728</v>
      </c>
      <c r="L351" s="117">
        <f>+K351-H266-H271</f>
        <v>133908220</v>
      </c>
      <c r="R351" s="224"/>
      <c r="S351" s="224"/>
      <c r="T351" s="224"/>
      <c r="U351" s="224"/>
    </row>
    <row r="352" spans="1:21" ht="24.75" customHeight="1">
      <c r="A352" s="229"/>
      <c r="B352" s="59" t="s">
        <v>138</v>
      </c>
      <c r="C352" s="92"/>
      <c r="D352" s="92"/>
      <c r="E352" s="92"/>
      <c r="F352" s="92"/>
      <c r="G352" s="92"/>
      <c r="H352" s="92">
        <f>+H337</f>
        <v>236659694</v>
      </c>
      <c r="J352" s="110"/>
      <c r="K352" s="117">
        <f>SUM(K347:K351)</f>
        <v>1031537315</v>
      </c>
      <c r="L352" s="117">
        <v>0</v>
      </c>
      <c r="M352" s="23">
        <f>SUM(L347:L351)+K348</f>
        <v>1002149328</v>
      </c>
      <c r="N352" s="277">
        <f>+M352-K352</f>
        <v>-29387987</v>
      </c>
      <c r="R352" s="224"/>
      <c r="S352" s="224"/>
      <c r="T352" s="224"/>
      <c r="U352" s="224"/>
    </row>
    <row r="353" spans="1:21" ht="24.75" customHeight="1">
      <c r="A353" s="229"/>
      <c r="B353" s="59" t="s">
        <v>127</v>
      </c>
      <c r="C353" s="92" t="e">
        <f>SUM(C354:C355)</f>
        <v>#REF!</v>
      </c>
      <c r="D353" s="92" t="e">
        <f>SUM(D354:D355)</f>
        <v>#REF!</v>
      </c>
      <c r="E353" s="92" t="e">
        <f>SUM(E354:E355)</f>
        <v>#REF!</v>
      </c>
      <c r="F353" s="92" t="e">
        <f>SUM(F354:F355)</f>
        <v>#REF!</v>
      </c>
      <c r="G353" s="92" t="e">
        <f>SUM(G354:G355)</f>
        <v>#REF!</v>
      </c>
      <c r="H353" s="92">
        <f>SUM(H354:H357)</f>
        <v>6479371538.524091</v>
      </c>
      <c r="I353" s="278">
        <f>+H353+H295+H342</f>
        <v>6574677780.978636</v>
      </c>
      <c r="J353" s="279" t="s">
        <v>607</v>
      </c>
      <c r="K353" s="117">
        <f>+H349+H334</f>
        <v>312233532</v>
      </c>
      <c r="L353" s="117">
        <f>+K353</f>
        <v>312233532</v>
      </c>
      <c r="M353" s="23">
        <f>+H348-L352</f>
        <v>1396860914.8706026</v>
      </c>
      <c r="R353" s="224"/>
      <c r="S353" s="224"/>
      <c r="T353" s="224"/>
      <c r="U353" s="224"/>
    </row>
    <row r="354" spans="1:21" ht="24.75" customHeight="1">
      <c r="A354" s="229"/>
      <c r="B354" s="258" t="s">
        <v>208</v>
      </c>
      <c r="C354" s="100">
        <f>+C195+C295</f>
        <v>979708885</v>
      </c>
      <c r="D354" s="100">
        <f>+D195+D295</f>
        <v>1203647808</v>
      </c>
      <c r="E354" s="100">
        <f>+E195+E295</f>
        <v>2183356693</v>
      </c>
      <c r="F354" s="100">
        <f>+F195+F295</f>
        <v>2030264217</v>
      </c>
      <c r="G354" s="100">
        <f>+G195+G295</f>
        <v>0</v>
      </c>
      <c r="H354" s="100">
        <f>+H195</f>
        <v>3726801127.9090905</v>
      </c>
      <c r="I354" s="183" t="s">
        <v>606</v>
      </c>
      <c r="K354" s="117">
        <f>+K352+K353</f>
        <v>1343770847</v>
      </c>
      <c r="L354" s="117">
        <f>SUM(L346:L353)</f>
        <v>1444999473</v>
      </c>
      <c r="R354" s="224"/>
      <c r="S354" s="224"/>
      <c r="T354" s="224"/>
      <c r="U354" s="224"/>
    </row>
    <row r="355" spans="1:21" ht="30" customHeight="1">
      <c r="A355" s="229"/>
      <c r="B355" s="258" t="s">
        <v>241</v>
      </c>
      <c r="C355" s="62" t="e">
        <f>+C196+#REF!+C197+C198+C297</f>
        <v>#REF!</v>
      </c>
      <c r="D355" s="62" t="e">
        <f>+D196+#REF!+D197+D198+D297</f>
        <v>#REF!</v>
      </c>
      <c r="E355" s="62" t="e">
        <f>+E196+#REF!+E197+E198+E297</f>
        <v>#REF!</v>
      </c>
      <c r="F355" s="62" t="e">
        <f>+F196+#REF!+F197+F198+F297</f>
        <v>#REF!</v>
      </c>
      <c r="G355" s="62" t="e">
        <f>+G196+#REF!+G197+G198+G297</f>
        <v>#REF!</v>
      </c>
      <c r="H355" s="62">
        <f>+H196</f>
        <v>1643791755.0749998</v>
      </c>
      <c r="I355" s="183"/>
      <c r="K355" s="117">
        <f>+K354-H339</f>
        <v>1314382860</v>
      </c>
      <c r="L355" s="117"/>
      <c r="R355" s="224"/>
      <c r="S355" s="224"/>
      <c r="T355" s="224"/>
      <c r="U355" s="224"/>
    </row>
    <row r="356" spans="1:21" ht="32.25" customHeight="1">
      <c r="A356" s="229"/>
      <c r="B356" s="258" t="s">
        <v>245</v>
      </c>
      <c r="C356" s="62"/>
      <c r="D356" s="62"/>
      <c r="E356" s="62"/>
      <c r="F356" s="62"/>
      <c r="G356" s="62"/>
      <c r="H356" s="62">
        <f>+H197</f>
        <v>93481741.54</v>
      </c>
      <c r="I356" s="183"/>
      <c r="L356" s="117">
        <f>+H337</f>
        <v>236659694</v>
      </c>
      <c r="R356" s="224"/>
      <c r="S356" s="224"/>
      <c r="T356" s="224"/>
      <c r="U356" s="224"/>
    </row>
    <row r="357" spans="1:21" ht="24.75" customHeight="1">
      <c r="A357" s="229"/>
      <c r="B357" s="258" t="s">
        <v>496</v>
      </c>
      <c r="C357" s="62"/>
      <c r="D357" s="62"/>
      <c r="E357" s="62"/>
      <c r="F357" s="62"/>
      <c r="G357" s="62"/>
      <c r="H357" s="62">
        <f>+H198</f>
        <v>1015296914</v>
      </c>
      <c r="I357" s="183"/>
      <c r="L357" s="117">
        <f>+I353</f>
        <v>6574677780.978636</v>
      </c>
      <c r="R357" s="224"/>
      <c r="S357" s="224"/>
      <c r="T357" s="224"/>
      <c r="U357" s="224"/>
    </row>
    <row r="358" spans="1:21" ht="24.75" customHeight="1">
      <c r="A358" s="238"/>
      <c r="B358" s="226" t="s">
        <v>142</v>
      </c>
      <c r="C358" s="91" t="e">
        <f>+C348+C353+#REF!</f>
        <v>#REF!</v>
      </c>
      <c r="D358" s="91" t="e">
        <f>+D348+D353+#REF!</f>
        <v>#REF!</v>
      </c>
      <c r="E358" s="91" t="e">
        <f>+E348+E353+#REF!</f>
        <v>#REF!</v>
      </c>
      <c r="F358" s="91" t="e">
        <f>+F348+F353+#REF!</f>
        <v>#REF!</v>
      </c>
      <c r="G358" s="91" t="e">
        <f>+G348+G353+#REF!</f>
        <v>#REF!</v>
      </c>
      <c r="H358" s="91">
        <f>+H347+H348+H349+H351+H353+H352+H350</f>
        <v>8720711633.149239</v>
      </c>
      <c r="I358" s="183"/>
      <c r="J358" s="280"/>
      <c r="L358" s="117">
        <f>SUM(L354:L357)</f>
        <v>8256336947.978636</v>
      </c>
      <c r="R358" s="224"/>
      <c r="S358" s="224"/>
      <c r="T358" s="224"/>
      <c r="U358" s="224"/>
    </row>
    <row r="359" spans="1:21" ht="24.75" customHeight="1">
      <c r="A359" s="256"/>
      <c r="B359" s="104"/>
      <c r="C359" s="101"/>
      <c r="D359" s="101"/>
      <c r="E359" s="101"/>
      <c r="F359" s="101"/>
      <c r="G359" s="101"/>
      <c r="H359" s="101"/>
      <c r="I359" s="260"/>
      <c r="L359" s="117">
        <f>+L358-H363</f>
        <v>-464374685.1706028</v>
      </c>
      <c r="R359" s="224"/>
      <c r="S359" s="224"/>
      <c r="T359" s="224"/>
      <c r="U359" s="224"/>
    </row>
    <row r="360" spans="1:21" ht="24" customHeight="1">
      <c r="A360" s="256"/>
      <c r="B360" s="206" t="s">
        <v>143</v>
      </c>
      <c r="C360" s="101"/>
      <c r="D360" s="101"/>
      <c r="E360" s="101"/>
      <c r="F360" s="101"/>
      <c r="G360" s="101"/>
      <c r="H360" s="101"/>
      <c r="I360" s="183">
        <v>22478795</v>
      </c>
      <c r="J360" s="280"/>
      <c r="L360" s="117"/>
      <c r="R360" s="224"/>
      <c r="S360" s="224"/>
      <c r="T360" s="224"/>
      <c r="U360" s="224"/>
    </row>
    <row r="361" spans="1:21" ht="24.75" customHeight="1">
      <c r="A361" s="256"/>
      <c r="B361" s="104"/>
      <c r="C361" s="101"/>
      <c r="D361" s="101"/>
      <c r="E361" s="101"/>
      <c r="F361" s="101"/>
      <c r="G361" s="101"/>
      <c r="H361" s="101"/>
      <c r="I361" s="183"/>
      <c r="L361" s="23">
        <f>+L357-90045944</f>
        <v>6484631836.978636</v>
      </c>
      <c r="R361" s="224"/>
      <c r="S361" s="224"/>
      <c r="T361" s="224"/>
      <c r="U361" s="224"/>
    </row>
    <row r="362" spans="1:21" ht="24.75" customHeight="1">
      <c r="A362" s="238"/>
      <c r="B362" s="226" t="s">
        <v>144</v>
      </c>
      <c r="C362" s="91" t="e">
        <f>+#REF!</f>
        <v>#REF!</v>
      </c>
      <c r="D362" s="91" t="e">
        <f>+#REF!</f>
        <v>#REF!</v>
      </c>
      <c r="E362" s="91" t="e">
        <f>+#REF!</f>
        <v>#REF!</v>
      </c>
      <c r="F362" s="91" t="e">
        <f>+#REF!</f>
        <v>#REF!</v>
      </c>
      <c r="G362" s="91"/>
      <c r="H362" s="91">
        <f>+ingresos2008!H209</f>
        <v>8729879792.754292</v>
      </c>
      <c r="I362" s="183"/>
      <c r="R362" s="224"/>
      <c r="S362" s="224"/>
      <c r="T362" s="224"/>
      <c r="U362" s="224"/>
    </row>
    <row r="363" spans="1:21" ht="24.75" customHeight="1">
      <c r="A363" s="238"/>
      <c r="B363" s="226" t="s">
        <v>145</v>
      </c>
      <c r="C363" s="91" t="e">
        <f aca="true" t="shared" si="83" ref="C363:H363">+C358</f>
        <v>#REF!</v>
      </c>
      <c r="D363" s="91" t="e">
        <f t="shared" si="83"/>
        <v>#REF!</v>
      </c>
      <c r="E363" s="91" t="e">
        <f t="shared" si="83"/>
        <v>#REF!</v>
      </c>
      <c r="F363" s="91" t="e">
        <f t="shared" si="83"/>
        <v>#REF!</v>
      </c>
      <c r="G363" s="91" t="e">
        <f t="shared" si="83"/>
        <v>#REF!</v>
      </c>
      <c r="H363" s="91">
        <f t="shared" si="83"/>
        <v>8720711633.149239</v>
      </c>
      <c r="I363" s="183"/>
      <c r="R363" s="224"/>
      <c r="S363" s="224"/>
      <c r="T363" s="224"/>
      <c r="U363" s="224"/>
    </row>
    <row r="364" spans="1:21" ht="24.75" customHeight="1">
      <c r="A364" s="238"/>
      <c r="B364" s="226" t="s">
        <v>146</v>
      </c>
      <c r="C364" s="91" t="e">
        <f aca="true" t="shared" si="84" ref="C364:H364">+C362-C363</f>
        <v>#REF!</v>
      </c>
      <c r="D364" s="91" t="e">
        <f t="shared" si="84"/>
        <v>#REF!</v>
      </c>
      <c r="E364" s="91" t="e">
        <f t="shared" si="84"/>
        <v>#REF!</v>
      </c>
      <c r="F364" s="91" t="e">
        <f t="shared" si="84"/>
        <v>#REF!</v>
      </c>
      <c r="G364" s="91" t="e">
        <f t="shared" si="84"/>
        <v>#REF!</v>
      </c>
      <c r="H364" s="91">
        <f t="shared" si="84"/>
        <v>9168159.605052948</v>
      </c>
      <c r="I364" s="183"/>
      <c r="J364" s="110">
        <f>+ingresos2008!H19</f>
        <v>227000000</v>
      </c>
      <c r="R364" s="224"/>
      <c r="S364" s="224"/>
      <c r="T364" s="224"/>
      <c r="U364" s="224"/>
    </row>
    <row r="365" spans="1:21" ht="15.75">
      <c r="A365" s="281"/>
      <c r="B365" s="103"/>
      <c r="C365" s="101"/>
      <c r="D365" s="101"/>
      <c r="E365" s="101"/>
      <c r="F365" s="101"/>
      <c r="G365" s="101"/>
      <c r="H365" s="101">
        <v>0</v>
      </c>
      <c r="I365" s="282">
        <f>+ingresos2008!H202</f>
        <v>0</v>
      </c>
      <c r="J365" s="255">
        <f>+ingresos2008!H124</f>
        <v>9168160.387222221</v>
      </c>
      <c r="N365" s="224"/>
      <c r="O365" s="224"/>
      <c r="P365" s="224"/>
      <c r="Q365" s="224"/>
      <c r="R365" s="224"/>
      <c r="S365" s="224"/>
      <c r="T365" s="224"/>
      <c r="U365" s="224"/>
    </row>
    <row r="366" spans="1:21" ht="15.75">
      <c r="A366" s="281"/>
      <c r="B366" s="103"/>
      <c r="C366" s="103"/>
      <c r="D366" s="103"/>
      <c r="E366" s="103"/>
      <c r="F366" s="103"/>
      <c r="G366" s="103"/>
      <c r="H366" s="103"/>
      <c r="I366" s="282">
        <f>+H364-ingresos2008!H124</f>
        <v>-0.7821692731231451</v>
      </c>
      <c r="J366" s="110">
        <f>+J364-J365</f>
        <v>217831839.61277777</v>
      </c>
      <c r="N366" s="224"/>
      <c r="O366" s="224"/>
      <c r="P366" s="224"/>
      <c r="Q366" s="224"/>
      <c r="R366" s="224"/>
      <c r="S366" s="224"/>
      <c r="T366" s="224"/>
      <c r="U366" s="224"/>
    </row>
    <row r="367" spans="1:21" ht="15">
      <c r="A367" s="281"/>
      <c r="B367" s="103"/>
      <c r="C367" s="103"/>
      <c r="D367" s="103"/>
      <c r="E367" s="103"/>
      <c r="F367" s="103"/>
      <c r="G367" s="103"/>
      <c r="H367" s="103"/>
      <c r="I367" s="117">
        <f>29354039-9168160</f>
        <v>20185879</v>
      </c>
      <c r="J367" s="110"/>
      <c r="N367" s="224"/>
      <c r="O367" s="224"/>
      <c r="P367" s="224"/>
      <c r="Q367" s="224"/>
      <c r="R367" s="224"/>
      <c r="S367" s="224"/>
      <c r="T367" s="224"/>
      <c r="U367" s="224"/>
    </row>
    <row r="368" spans="1:21" ht="15">
      <c r="A368" s="281"/>
      <c r="B368" s="103"/>
      <c r="C368" s="103"/>
      <c r="D368" s="103"/>
      <c r="E368" s="103"/>
      <c r="F368" s="103"/>
      <c r="G368" s="103"/>
      <c r="H368" s="103"/>
      <c r="J368" s="110"/>
      <c r="N368" s="224"/>
      <c r="O368" s="224"/>
      <c r="P368" s="224"/>
      <c r="Q368" s="224"/>
      <c r="R368" s="224"/>
      <c r="S368" s="224"/>
      <c r="T368" s="224"/>
      <c r="U368" s="224"/>
    </row>
    <row r="369" spans="1:21" ht="15">
      <c r="A369" s="104"/>
      <c r="B369" s="104"/>
      <c r="C369" s="104"/>
      <c r="D369" s="104"/>
      <c r="E369" s="104"/>
      <c r="F369" s="104"/>
      <c r="G369" s="104"/>
      <c r="H369" s="103"/>
      <c r="R369" s="224"/>
      <c r="S369" s="224"/>
      <c r="T369" s="224"/>
      <c r="U369" s="224"/>
    </row>
    <row r="370" spans="1:21" ht="15">
      <c r="A370" s="104"/>
      <c r="B370" s="104"/>
      <c r="C370" s="104"/>
      <c r="D370" s="104"/>
      <c r="E370" s="104"/>
      <c r="F370" s="104"/>
      <c r="G370" s="104"/>
      <c r="H370" s="104"/>
      <c r="I370" s="23">
        <v>9168160</v>
      </c>
      <c r="R370" s="224"/>
      <c r="S370" s="224"/>
      <c r="T370" s="224"/>
      <c r="U370" s="224"/>
    </row>
    <row r="371" spans="1:21" ht="15">
      <c r="A371" s="104"/>
      <c r="B371" s="104"/>
      <c r="C371" s="104"/>
      <c r="D371" s="104"/>
      <c r="E371" s="104"/>
      <c r="F371" s="104"/>
      <c r="G371" s="104"/>
      <c r="H371" s="104"/>
      <c r="I371" s="23">
        <f>9168-9174</f>
        <v>-6</v>
      </c>
      <c r="J371" s="254"/>
      <c r="K371" s="254"/>
      <c r="R371" s="224"/>
      <c r="S371" s="224"/>
      <c r="T371" s="224"/>
      <c r="U371" s="224"/>
    </row>
    <row r="372" spans="1:21" ht="15">
      <c r="A372" s="104"/>
      <c r="B372" s="104"/>
      <c r="C372" s="104"/>
      <c r="D372" s="104"/>
      <c r="E372" s="104"/>
      <c r="F372" s="104"/>
      <c r="G372" s="104"/>
      <c r="H372" s="104"/>
      <c r="J372" s="254"/>
      <c r="K372" s="254"/>
      <c r="R372" s="224"/>
      <c r="S372" s="224"/>
      <c r="T372" s="224"/>
      <c r="U372" s="224"/>
    </row>
    <row r="373" spans="1:21" ht="15">
      <c r="A373" s="104"/>
      <c r="B373" s="104"/>
      <c r="C373" s="104"/>
      <c r="D373" s="104"/>
      <c r="E373" s="104"/>
      <c r="F373" s="104"/>
      <c r="G373" s="104"/>
      <c r="H373" s="104"/>
      <c r="J373" s="254"/>
      <c r="K373" s="254"/>
      <c r="R373" s="224"/>
      <c r="S373" s="224"/>
      <c r="T373" s="224"/>
      <c r="U373" s="224"/>
    </row>
    <row r="374" spans="1:21" ht="15">
      <c r="A374" s="104"/>
      <c r="B374" s="283"/>
      <c r="C374" s="104"/>
      <c r="D374" s="104"/>
      <c r="E374" s="104"/>
      <c r="F374" s="104"/>
      <c r="G374" s="104"/>
      <c r="H374" s="104"/>
      <c r="J374" s="254"/>
      <c r="K374" s="254"/>
      <c r="R374" s="224"/>
      <c r="S374" s="224"/>
      <c r="T374" s="224"/>
      <c r="U374" s="224"/>
    </row>
    <row r="375" spans="1:21" ht="15">
      <c r="A375" s="104"/>
      <c r="B375" s="104"/>
      <c r="C375" s="104"/>
      <c r="D375" s="104"/>
      <c r="E375" s="104"/>
      <c r="F375" s="104"/>
      <c r="G375" s="104"/>
      <c r="H375" s="104"/>
      <c r="J375" s="254"/>
      <c r="K375" s="254"/>
      <c r="R375" s="224"/>
      <c r="S375" s="224"/>
      <c r="T375" s="224"/>
      <c r="U375" s="224"/>
    </row>
    <row r="376" spans="1:21" ht="15">
      <c r="A376" s="104"/>
      <c r="B376" s="104"/>
      <c r="C376" s="104"/>
      <c r="D376" s="104"/>
      <c r="E376" s="104"/>
      <c r="F376" s="104"/>
      <c r="G376" s="104"/>
      <c r="H376" s="104"/>
      <c r="J376" s="254"/>
      <c r="K376" s="254"/>
      <c r="R376" s="224"/>
      <c r="S376" s="224"/>
      <c r="T376" s="224"/>
      <c r="U376" s="224"/>
    </row>
    <row r="377" spans="1:21" ht="15">
      <c r="A377" s="104"/>
      <c r="B377" s="284"/>
      <c r="C377" s="104"/>
      <c r="D377" s="104"/>
      <c r="E377" s="104"/>
      <c r="F377" s="104"/>
      <c r="G377" s="104"/>
      <c r="H377" s="104"/>
      <c r="J377" s="254"/>
      <c r="K377" s="254"/>
      <c r="R377" s="224"/>
      <c r="S377" s="224"/>
      <c r="T377" s="224"/>
      <c r="U377" s="224"/>
    </row>
    <row r="378" spans="1:21" ht="15">
      <c r="A378" s="104"/>
      <c r="B378" s="284"/>
      <c r="C378" s="104"/>
      <c r="D378" s="104"/>
      <c r="E378" s="104"/>
      <c r="F378" s="104"/>
      <c r="G378" s="104"/>
      <c r="H378" s="104"/>
      <c r="I378" s="23">
        <v>4797670195</v>
      </c>
      <c r="J378" s="254">
        <v>99717350</v>
      </c>
      <c r="K378" s="254">
        <v>473237934</v>
      </c>
      <c r="L378" s="23">
        <v>159981200</v>
      </c>
      <c r="M378" s="23">
        <v>109682499</v>
      </c>
      <c r="R378" s="224"/>
      <c r="S378" s="224"/>
      <c r="T378" s="224"/>
      <c r="U378" s="224"/>
    </row>
    <row r="379" spans="1:21" ht="15">
      <c r="A379" s="104"/>
      <c r="B379" s="104"/>
      <c r="C379" s="104"/>
      <c r="D379" s="104"/>
      <c r="E379" s="104"/>
      <c r="F379" s="104"/>
      <c r="G379" s="104"/>
      <c r="H379" s="104"/>
      <c r="I379" s="23">
        <v>180558073</v>
      </c>
      <c r="J379" s="254">
        <v>65028000</v>
      </c>
      <c r="K379" s="254">
        <v>56400000</v>
      </c>
      <c r="L379" s="23">
        <v>153600684</v>
      </c>
      <c r="M379" s="23">
        <v>18090767</v>
      </c>
      <c r="R379" s="224"/>
      <c r="S379" s="224"/>
      <c r="T379" s="224"/>
      <c r="U379" s="224"/>
    </row>
    <row r="380" spans="1:21" ht="15.75">
      <c r="A380" s="104"/>
      <c r="B380" s="104"/>
      <c r="C380" s="104"/>
      <c r="D380" s="104"/>
      <c r="E380" s="104"/>
      <c r="F380" s="104"/>
      <c r="G380" s="104"/>
      <c r="H380" s="104"/>
      <c r="I380" s="23">
        <v>3214079100</v>
      </c>
      <c r="J380" s="285">
        <f>SUM(J378:J379)</f>
        <v>164745350</v>
      </c>
      <c r="K380" s="254">
        <v>443915000</v>
      </c>
      <c r="L380" s="23">
        <v>95000000</v>
      </c>
      <c r="M380" s="23">
        <f>SUM(M378:M379)</f>
        <v>127773266</v>
      </c>
      <c r="R380" s="224"/>
      <c r="S380" s="224"/>
      <c r="T380" s="224"/>
      <c r="U380" s="224"/>
    </row>
    <row r="381" spans="1:21" ht="15">
      <c r="A381" s="104"/>
      <c r="B381" s="104"/>
      <c r="C381" s="104"/>
      <c r="D381" s="104"/>
      <c r="E381" s="104"/>
      <c r="F381" s="104"/>
      <c r="G381" s="104"/>
      <c r="H381" s="104"/>
      <c r="I381" s="23">
        <v>18090767</v>
      </c>
      <c r="J381" s="254">
        <v>1129861371</v>
      </c>
      <c r="K381" s="254">
        <v>156308437</v>
      </c>
      <c r="L381" s="23">
        <f>SUM(L378:L380)</f>
        <v>408581884</v>
      </c>
      <c r="R381" s="224"/>
      <c r="S381" s="224"/>
      <c r="T381" s="224"/>
      <c r="U381" s="224"/>
    </row>
    <row r="382" spans="1:21" ht="15">
      <c r="A382" s="104"/>
      <c r="B382" s="104"/>
      <c r="C382" s="104"/>
      <c r="D382" s="104"/>
      <c r="E382" s="104"/>
      <c r="F382" s="104"/>
      <c r="G382" s="104"/>
      <c r="H382" s="104"/>
      <c r="I382" s="23">
        <f>SUM(I378:I381)</f>
        <v>8210398135</v>
      </c>
      <c r="J382" s="254">
        <f>+L381</f>
        <v>408581884</v>
      </c>
      <c r="K382" s="117">
        <v>0</v>
      </c>
      <c r="R382" s="224"/>
      <c r="S382" s="224"/>
      <c r="T382" s="224"/>
      <c r="U382" s="224"/>
    </row>
    <row r="383" spans="1:21" ht="15">
      <c r="A383" s="104"/>
      <c r="B383" s="104"/>
      <c r="C383" s="104"/>
      <c r="D383" s="104"/>
      <c r="E383" s="104"/>
      <c r="F383" s="104"/>
      <c r="G383" s="104"/>
      <c r="H383" s="104"/>
      <c r="I383" s="23">
        <v>8210398135</v>
      </c>
      <c r="J383" s="254">
        <f>6270490539-109682499</f>
        <v>6160808040</v>
      </c>
      <c r="K383" s="254"/>
      <c r="R383" s="224"/>
      <c r="S383" s="224"/>
      <c r="T383" s="224"/>
      <c r="U383" s="224"/>
    </row>
    <row r="384" spans="1:21" ht="15">
      <c r="A384" s="104"/>
      <c r="B384" s="104"/>
      <c r="C384" s="104"/>
      <c r="D384" s="104"/>
      <c r="E384" s="104"/>
      <c r="F384" s="104"/>
      <c r="G384" s="104"/>
      <c r="H384" s="104"/>
      <c r="I384" s="23">
        <f>+I383-I382</f>
        <v>0</v>
      </c>
      <c r="J384" s="254">
        <f>+M380</f>
        <v>127773266</v>
      </c>
      <c r="K384" s="254"/>
      <c r="R384" s="224"/>
      <c r="S384" s="224"/>
      <c r="T384" s="224"/>
      <c r="U384" s="224"/>
    </row>
    <row r="385" spans="1:21" ht="15">
      <c r="A385" s="104"/>
      <c r="B385" s="104"/>
      <c r="C385" s="104"/>
      <c r="D385" s="104"/>
      <c r="E385" s="104"/>
      <c r="F385" s="104"/>
      <c r="G385" s="104"/>
      <c r="H385" s="104"/>
      <c r="J385" s="254">
        <v>201159088</v>
      </c>
      <c r="K385" s="254"/>
      <c r="R385" s="224"/>
      <c r="S385" s="224"/>
      <c r="T385" s="224"/>
      <c r="U385" s="224"/>
    </row>
    <row r="386" spans="1:21" ht="15">
      <c r="A386" s="104"/>
      <c r="B386" s="104"/>
      <c r="C386" s="104"/>
      <c r="D386" s="104"/>
      <c r="E386" s="104"/>
      <c r="F386" s="104"/>
      <c r="G386" s="104"/>
      <c r="H386" s="104"/>
      <c r="J386" s="254">
        <f>SUM(J380:J385)</f>
        <v>8192928999</v>
      </c>
      <c r="K386" s="117">
        <v>8192928999</v>
      </c>
      <c r="R386" s="224"/>
      <c r="S386" s="224"/>
      <c r="T386" s="224"/>
      <c r="U386" s="224"/>
    </row>
    <row r="387" spans="1:21" ht="15">
      <c r="A387" s="104"/>
      <c r="B387" s="104"/>
      <c r="C387" s="104"/>
      <c r="D387" s="104"/>
      <c r="E387" s="104"/>
      <c r="F387" s="104"/>
      <c r="G387" s="104"/>
      <c r="H387" s="104"/>
      <c r="J387" s="254">
        <f>+J386-K386</f>
        <v>0</v>
      </c>
      <c r="K387" s="254"/>
      <c r="R387" s="224"/>
      <c r="S387" s="224"/>
      <c r="T387" s="224"/>
      <c r="U387" s="224"/>
    </row>
    <row r="388" spans="1:21" ht="15">
      <c r="A388" s="104"/>
      <c r="B388" s="104"/>
      <c r="C388" s="104"/>
      <c r="D388" s="104"/>
      <c r="E388" s="104"/>
      <c r="F388" s="104"/>
      <c r="G388" s="104"/>
      <c r="H388" s="104"/>
      <c r="J388" s="254"/>
      <c r="K388" s="254"/>
      <c r="R388" s="224"/>
      <c r="S388" s="224"/>
      <c r="T388" s="224"/>
      <c r="U388" s="224"/>
    </row>
    <row r="389" spans="1:21" ht="15">
      <c r="A389" s="104"/>
      <c r="B389" s="104"/>
      <c r="C389" s="104"/>
      <c r="D389" s="104"/>
      <c r="E389" s="104"/>
      <c r="F389" s="104"/>
      <c r="G389" s="104"/>
      <c r="H389" s="104"/>
      <c r="J389" s="254"/>
      <c r="K389" s="254"/>
      <c r="R389" s="224"/>
      <c r="S389" s="224"/>
      <c r="T389" s="224"/>
      <c r="U389" s="224"/>
    </row>
    <row r="390" spans="1:21" ht="15">
      <c r="A390" s="104"/>
      <c r="B390" s="104"/>
      <c r="C390" s="104"/>
      <c r="D390" s="104"/>
      <c r="E390" s="104"/>
      <c r="F390" s="104"/>
      <c r="G390" s="104"/>
      <c r="H390" s="104"/>
      <c r="J390" s="254"/>
      <c r="K390" s="254"/>
      <c r="R390" s="224"/>
      <c r="S390" s="224"/>
      <c r="T390" s="224"/>
      <c r="U390" s="224"/>
    </row>
    <row r="391" spans="1:21" ht="15">
      <c r="A391" s="104"/>
      <c r="B391" s="104"/>
      <c r="C391" s="104"/>
      <c r="D391" s="104"/>
      <c r="E391" s="104"/>
      <c r="F391" s="104"/>
      <c r="G391" s="104"/>
      <c r="H391" s="104"/>
      <c r="J391" s="254"/>
      <c r="K391" s="254"/>
      <c r="R391" s="224"/>
      <c r="S391" s="224"/>
      <c r="T391" s="224"/>
      <c r="U391" s="224"/>
    </row>
    <row r="392" spans="1:21" ht="15">
      <c r="A392" s="104"/>
      <c r="B392" s="104"/>
      <c r="C392" s="104"/>
      <c r="D392" s="104"/>
      <c r="E392" s="104"/>
      <c r="F392" s="104"/>
      <c r="G392" s="104"/>
      <c r="H392" s="104"/>
      <c r="J392" s="254"/>
      <c r="K392" s="254"/>
      <c r="R392" s="224"/>
      <c r="S392" s="224"/>
      <c r="T392" s="224"/>
      <c r="U392" s="224"/>
    </row>
    <row r="393" spans="1:21" ht="15">
      <c r="A393" s="104"/>
      <c r="B393" s="104"/>
      <c r="C393" s="104"/>
      <c r="D393" s="104"/>
      <c r="E393" s="104"/>
      <c r="F393" s="104"/>
      <c r="G393" s="104"/>
      <c r="H393" s="104"/>
      <c r="R393" s="224"/>
      <c r="S393" s="224"/>
      <c r="T393" s="224"/>
      <c r="U393" s="224"/>
    </row>
    <row r="394" spans="1:21" ht="15">
      <c r="A394" s="104"/>
      <c r="B394" s="104"/>
      <c r="C394" s="104"/>
      <c r="D394" s="104"/>
      <c r="E394" s="104"/>
      <c r="F394" s="104"/>
      <c r="G394" s="104"/>
      <c r="H394" s="104"/>
      <c r="R394" s="224"/>
      <c r="S394" s="224"/>
      <c r="T394" s="224"/>
      <c r="U394" s="224"/>
    </row>
    <row r="395" spans="1:21" ht="15">
      <c r="A395" s="104"/>
      <c r="B395" s="104"/>
      <c r="C395" s="104"/>
      <c r="D395" s="104"/>
      <c r="E395" s="104"/>
      <c r="F395" s="104"/>
      <c r="G395" s="104"/>
      <c r="H395" s="104"/>
      <c r="R395" s="224"/>
      <c r="S395" s="224"/>
      <c r="T395" s="224"/>
      <c r="U395" s="224"/>
    </row>
    <row r="396" spans="1:21" ht="15">
      <c r="A396" s="104"/>
      <c r="B396" s="104"/>
      <c r="C396" s="104"/>
      <c r="D396" s="104"/>
      <c r="E396" s="104"/>
      <c r="F396" s="104"/>
      <c r="G396" s="104"/>
      <c r="H396" s="104"/>
      <c r="R396" s="224"/>
      <c r="S396" s="224"/>
      <c r="T396" s="224"/>
      <c r="U396" s="224"/>
    </row>
    <row r="397" spans="1:21" ht="15">
      <c r="A397" s="104"/>
      <c r="B397" s="104"/>
      <c r="C397" s="104"/>
      <c r="D397" s="104"/>
      <c r="E397" s="104"/>
      <c r="F397" s="104"/>
      <c r="G397" s="104"/>
      <c r="H397" s="104"/>
      <c r="R397" s="224"/>
      <c r="S397" s="224"/>
      <c r="T397" s="224"/>
      <c r="U397" s="224"/>
    </row>
    <row r="398" spans="1:21" ht="15">
      <c r="A398" s="104"/>
      <c r="B398" s="104"/>
      <c r="C398" s="104"/>
      <c r="D398" s="104"/>
      <c r="E398" s="104"/>
      <c r="F398" s="104"/>
      <c r="G398" s="104"/>
      <c r="H398" s="104"/>
      <c r="R398" s="224"/>
      <c r="S398" s="224"/>
      <c r="T398" s="224"/>
      <c r="U398" s="224"/>
    </row>
    <row r="399" spans="1:21" ht="15">
      <c r="A399" s="104"/>
      <c r="B399" s="104"/>
      <c r="C399" s="104"/>
      <c r="D399" s="104"/>
      <c r="E399" s="104"/>
      <c r="F399" s="104"/>
      <c r="G399" s="104"/>
      <c r="H399" s="104"/>
      <c r="R399" s="224"/>
      <c r="S399" s="224"/>
      <c r="T399" s="224"/>
      <c r="U399" s="224"/>
    </row>
    <row r="400" spans="1:21" ht="15">
      <c r="A400" s="104"/>
      <c r="B400" s="104"/>
      <c r="C400" s="104"/>
      <c r="D400" s="104"/>
      <c r="E400" s="104"/>
      <c r="F400" s="104"/>
      <c r="G400" s="104"/>
      <c r="H400" s="104"/>
      <c r="R400" s="224"/>
      <c r="S400" s="224"/>
      <c r="T400" s="224"/>
      <c r="U400" s="224"/>
    </row>
    <row r="401" spans="1:21" ht="15">
      <c r="A401" s="104"/>
      <c r="B401" s="104"/>
      <c r="C401" s="104"/>
      <c r="D401" s="104"/>
      <c r="E401" s="104"/>
      <c r="F401" s="104"/>
      <c r="G401" s="104"/>
      <c r="H401" s="104"/>
      <c r="R401" s="224"/>
      <c r="S401" s="224"/>
      <c r="T401" s="224"/>
      <c r="U401" s="224"/>
    </row>
    <row r="402" spans="1:21" ht="15">
      <c r="A402" s="104"/>
      <c r="B402" s="104"/>
      <c r="C402" s="104"/>
      <c r="D402" s="104"/>
      <c r="E402" s="104"/>
      <c r="F402" s="104"/>
      <c r="G402" s="104"/>
      <c r="H402" s="104"/>
      <c r="R402" s="224"/>
      <c r="S402" s="224"/>
      <c r="T402" s="224"/>
      <c r="U402" s="224"/>
    </row>
    <row r="403" spans="1:21" ht="15">
      <c r="A403" s="104"/>
      <c r="B403" s="104"/>
      <c r="C403" s="104"/>
      <c r="D403" s="104"/>
      <c r="E403" s="104"/>
      <c r="F403" s="104"/>
      <c r="G403" s="104"/>
      <c r="H403" s="104"/>
      <c r="R403" s="224"/>
      <c r="S403" s="224"/>
      <c r="T403" s="224"/>
      <c r="U403" s="224"/>
    </row>
    <row r="404" spans="1:21" ht="15">
      <c r="A404" s="104"/>
      <c r="B404" s="104"/>
      <c r="C404" s="104"/>
      <c r="D404" s="104"/>
      <c r="E404" s="104"/>
      <c r="F404" s="104"/>
      <c r="G404" s="104"/>
      <c r="H404" s="104"/>
      <c r="R404" s="224"/>
      <c r="S404" s="224"/>
      <c r="T404" s="224"/>
      <c r="U404" s="224"/>
    </row>
    <row r="405" spans="1:21" ht="15">
      <c r="A405" s="104"/>
      <c r="B405" s="104"/>
      <c r="C405" s="104"/>
      <c r="D405" s="104"/>
      <c r="E405" s="104"/>
      <c r="F405" s="104"/>
      <c r="G405" s="104"/>
      <c r="H405" s="104"/>
      <c r="R405" s="224"/>
      <c r="S405" s="224"/>
      <c r="T405" s="224"/>
      <c r="U405" s="224"/>
    </row>
    <row r="406" spans="1:21" ht="15">
      <c r="A406" s="104"/>
      <c r="B406" s="104"/>
      <c r="C406" s="104"/>
      <c r="D406" s="104"/>
      <c r="E406" s="104"/>
      <c r="F406" s="104"/>
      <c r="G406" s="104"/>
      <c r="H406" s="104"/>
      <c r="R406" s="224"/>
      <c r="S406" s="224"/>
      <c r="T406" s="224"/>
      <c r="U406" s="224"/>
    </row>
    <row r="407" spans="1:21" ht="15">
      <c r="A407" s="104"/>
      <c r="B407" s="104"/>
      <c r="C407" s="104"/>
      <c r="D407" s="104"/>
      <c r="E407" s="104"/>
      <c r="F407" s="104"/>
      <c r="G407" s="104"/>
      <c r="H407" s="104"/>
      <c r="R407" s="224"/>
      <c r="S407" s="224"/>
      <c r="T407" s="224"/>
      <c r="U407" s="224"/>
    </row>
    <row r="408" spans="1:21" ht="15">
      <c r="A408" s="104"/>
      <c r="B408" s="104"/>
      <c r="C408" s="104"/>
      <c r="D408" s="104"/>
      <c r="E408" s="104"/>
      <c r="F408" s="104"/>
      <c r="G408" s="104"/>
      <c r="H408" s="104"/>
      <c r="R408" s="224"/>
      <c r="S408" s="224"/>
      <c r="T408" s="224"/>
      <c r="U408" s="224"/>
    </row>
    <row r="409" spans="1:21" ht="15">
      <c r="A409" s="104"/>
      <c r="B409" s="104"/>
      <c r="C409" s="104"/>
      <c r="D409" s="104"/>
      <c r="E409" s="104"/>
      <c r="F409" s="104"/>
      <c r="G409" s="104"/>
      <c r="H409" s="104"/>
      <c r="R409" s="224"/>
      <c r="S409" s="224"/>
      <c r="T409" s="224"/>
      <c r="U409" s="224"/>
    </row>
    <row r="410" spans="1:21" ht="15">
      <c r="A410" s="104"/>
      <c r="B410" s="104"/>
      <c r="C410" s="104"/>
      <c r="D410" s="104"/>
      <c r="E410" s="104"/>
      <c r="F410" s="104"/>
      <c r="G410" s="104"/>
      <c r="H410" s="104"/>
      <c r="R410" s="224"/>
      <c r="S410" s="224"/>
      <c r="T410" s="224"/>
      <c r="U410" s="224"/>
    </row>
    <row r="411" spans="1:21" ht="15">
      <c r="A411" s="104"/>
      <c r="B411" s="104"/>
      <c r="C411" s="104"/>
      <c r="D411" s="104"/>
      <c r="E411" s="104"/>
      <c r="F411" s="104"/>
      <c r="G411" s="104"/>
      <c r="H411" s="104"/>
      <c r="R411" s="224"/>
      <c r="S411" s="224"/>
      <c r="T411" s="224"/>
      <c r="U411" s="224"/>
    </row>
    <row r="412" spans="1:21" ht="15">
      <c r="A412" s="104"/>
      <c r="B412" s="104"/>
      <c r="C412" s="104"/>
      <c r="D412" s="104"/>
      <c r="E412" s="104"/>
      <c r="F412" s="104"/>
      <c r="G412" s="104"/>
      <c r="H412" s="104"/>
      <c r="R412" s="224"/>
      <c r="S412" s="224"/>
      <c r="T412" s="224"/>
      <c r="U412" s="224"/>
    </row>
    <row r="413" spans="1:21" ht="15">
      <c r="A413" s="104"/>
      <c r="B413" s="104"/>
      <c r="C413" s="104"/>
      <c r="D413" s="104"/>
      <c r="E413" s="104"/>
      <c r="F413" s="104"/>
      <c r="G413" s="104"/>
      <c r="H413" s="104"/>
      <c r="R413" s="224"/>
      <c r="S413" s="224"/>
      <c r="T413" s="224"/>
      <c r="U413" s="224"/>
    </row>
    <row r="414" spans="1:21" ht="15">
      <c r="A414" s="104"/>
      <c r="B414" s="104"/>
      <c r="C414" s="104"/>
      <c r="D414" s="104"/>
      <c r="E414" s="104"/>
      <c r="F414" s="104"/>
      <c r="G414" s="104"/>
      <c r="H414" s="104"/>
      <c r="R414" s="224"/>
      <c r="S414" s="224"/>
      <c r="T414" s="224"/>
      <c r="U414" s="224"/>
    </row>
    <row r="415" spans="1:21" ht="15">
      <c r="A415" s="104"/>
      <c r="B415" s="104"/>
      <c r="C415" s="104"/>
      <c r="D415" s="104"/>
      <c r="E415" s="104"/>
      <c r="F415" s="104"/>
      <c r="G415" s="104"/>
      <c r="H415" s="104"/>
      <c r="R415" s="224"/>
      <c r="S415" s="224"/>
      <c r="T415" s="224"/>
      <c r="U415" s="224"/>
    </row>
    <row r="416" spans="1:21" ht="15">
      <c r="A416" s="104"/>
      <c r="B416" s="104"/>
      <c r="C416" s="104"/>
      <c r="D416" s="104"/>
      <c r="E416" s="104"/>
      <c r="F416" s="104"/>
      <c r="G416" s="104"/>
      <c r="H416" s="104"/>
      <c r="R416" s="224"/>
      <c r="S416" s="224"/>
      <c r="T416" s="224"/>
      <c r="U416" s="224"/>
    </row>
    <row r="417" spans="1:21" ht="15">
      <c r="A417" s="104"/>
      <c r="B417" s="104"/>
      <c r="C417" s="104"/>
      <c r="D417" s="104"/>
      <c r="E417" s="104"/>
      <c r="F417" s="104"/>
      <c r="G417" s="104"/>
      <c r="H417" s="104"/>
      <c r="R417" s="224"/>
      <c r="S417" s="224"/>
      <c r="T417" s="224"/>
      <c r="U417" s="224"/>
    </row>
    <row r="418" spans="1:21" ht="15">
      <c r="A418" s="104"/>
      <c r="B418" s="104"/>
      <c r="C418" s="104"/>
      <c r="D418" s="104"/>
      <c r="E418" s="104"/>
      <c r="F418" s="104"/>
      <c r="G418" s="104"/>
      <c r="H418" s="104"/>
      <c r="R418" s="224"/>
      <c r="S418" s="224"/>
      <c r="T418" s="224"/>
      <c r="U418" s="224"/>
    </row>
    <row r="419" spans="1:21" ht="15">
      <c r="A419" s="104"/>
      <c r="B419" s="104"/>
      <c r="C419" s="104"/>
      <c r="D419" s="104"/>
      <c r="E419" s="104"/>
      <c r="F419" s="104"/>
      <c r="G419" s="104"/>
      <c r="H419" s="104"/>
      <c r="R419" s="224"/>
      <c r="S419" s="224"/>
      <c r="T419" s="224"/>
      <c r="U419" s="224"/>
    </row>
    <row r="420" spans="1:21" ht="15">
      <c r="A420" s="104"/>
      <c r="B420" s="104"/>
      <c r="C420" s="104"/>
      <c r="D420" s="104"/>
      <c r="E420" s="104"/>
      <c r="F420" s="104"/>
      <c r="G420" s="104"/>
      <c r="H420" s="104"/>
      <c r="R420" s="224"/>
      <c r="S420" s="224"/>
      <c r="T420" s="224"/>
      <c r="U420" s="224"/>
    </row>
    <row r="421" spans="1:21" ht="15">
      <c r="A421" s="104"/>
      <c r="B421" s="104"/>
      <c r="C421" s="104"/>
      <c r="D421" s="104"/>
      <c r="E421" s="104"/>
      <c r="F421" s="104"/>
      <c r="G421" s="104"/>
      <c r="H421" s="104"/>
      <c r="R421" s="224"/>
      <c r="S421" s="224"/>
      <c r="T421" s="224"/>
      <c r="U421" s="224"/>
    </row>
    <row r="422" spans="1:21" ht="15">
      <c r="A422" s="104"/>
      <c r="B422" s="104"/>
      <c r="C422" s="104"/>
      <c r="D422" s="104"/>
      <c r="E422" s="104"/>
      <c r="F422" s="104"/>
      <c r="G422" s="104"/>
      <c r="H422" s="104"/>
      <c r="R422" s="224"/>
      <c r="S422" s="224"/>
      <c r="T422" s="224"/>
      <c r="U422" s="224"/>
    </row>
    <row r="423" spans="1:21" ht="15">
      <c r="A423" s="104"/>
      <c r="B423" s="104"/>
      <c r="C423" s="104"/>
      <c r="D423" s="104"/>
      <c r="E423" s="104"/>
      <c r="F423" s="104"/>
      <c r="G423" s="104"/>
      <c r="H423" s="104"/>
      <c r="R423" s="224"/>
      <c r="S423" s="224"/>
      <c r="T423" s="224"/>
      <c r="U423" s="224"/>
    </row>
    <row r="424" spans="1:21" ht="15">
      <c r="A424" s="104"/>
      <c r="B424" s="104"/>
      <c r="C424" s="104"/>
      <c r="D424" s="104"/>
      <c r="E424" s="104"/>
      <c r="F424" s="104"/>
      <c r="G424" s="104"/>
      <c r="H424" s="104"/>
      <c r="R424" s="224"/>
      <c r="S424" s="224"/>
      <c r="T424" s="224"/>
      <c r="U424" s="224"/>
    </row>
    <row r="425" spans="1:21" ht="15">
      <c r="A425" s="104"/>
      <c r="B425" s="104"/>
      <c r="C425" s="104"/>
      <c r="D425" s="104"/>
      <c r="E425" s="104"/>
      <c r="F425" s="104"/>
      <c r="G425" s="104"/>
      <c r="H425" s="104"/>
      <c r="R425" s="224"/>
      <c r="S425" s="224"/>
      <c r="T425" s="224"/>
      <c r="U425" s="224"/>
    </row>
    <row r="426" spans="1:21" ht="15">
      <c r="A426" s="104"/>
      <c r="B426" s="104"/>
      <c r="C426" s="104"/>
      <c r="D426" s="104"/>
      <c r="E426" s="104"/>
      <c r="F426" s="104"/>
      <c r="G426" s="104"/>
      <c r="H426" s="104"/>
      <c r="R426" s="224"/>
      <c r="S426" s="224"/>
      <c r="T426" s="224"/>
      <c r="U426" s="224"/>
    </row>
    <row r="427" spans="1:21" ht="15">
      <c r="A427" s="104"/>
      <c r="B427" s="104"/>
      <c r="C427" s="104"/>
      <c r="D427" s="104"/>
      <c r="E427" s="104"/>
      <c r="F427" s="104"/>
      <c r="G427" s="104"/>
      <c r="H427" s="104"/>
      <c r="R427" s="224"/>
      <c r="S427" s="224"/>
      <c r="T427" s="224"/>
      <c r="U427" s="224"/>
    </row>
    <row r="428" spans="1:21" ht="15">
      <c r="A428" s="104"/>
      <c r="B428" s="104"/>
      <c r="C428" s="104"/>
      <c r="D428" s="104"/>
      <c r="E428" s="104"/>
      <c r="F428" s="104"/>
      <c r="G428" s="104"/>
      <c r="H428" s="104"/>
      <c r="R428" s="224"/>
      <c r="S428" s="224"/>
      <c r="T428" s="224"/>
      <c r="U428" s="224"/>
    </row>
    <row r="429" spans="1:21" ht="15">
      <c r="A429" s="104"/>
      <c r="B429" s="104"/>
      <c r="C429" s="104"/>
      <c r="D429" s="104"/>
      <c r="E429" s="104"/>
      <c r="F429" s="104"/>
      <c r="G429" s="104"/>
      <c r="H429" s="104"/>
      <c r="R429" s="224"/>
      <c r="S429" s="224"/>
      <c r="T429" s="224"/>
      <c r="U429" s="224"/>
    </row>
    <row r="430" spans="1:21" ht="15">
      <c r="A430" s="104"/>
      <c r="B430" s="104"/>
      <c r="C430" s="104"/>
      <c r="D430" s="104"/>
      <c r="E430" s="104"/>
      <c r="F430" s="104"/>
      <c r="G430" s="104"/>
      <c r="H430" s="104"/>
      <c r="R430" s="224"/>
      <c r="S430" s="224"/>
      <c r="T430" s="224"/>
      <c r="U430" s="224"/>
    </row>
    <row r="431" spans="1:21" ht="15">
      <c r="A431" s="104"/>
      <c r="B431" s="104"/>
      <c r="C431" s="104"/>
      <c r="D431" s="104"/>
      <c r="E431" s="104"/>
      <c r="F431" s="104"/>
      <c r="G431" s="104"/>
      <c r="H431" s="104"/>
      <c r="R431" s="224"/>
      <c r="S431" s="224"/>
      <c r="T431" s="224"/>
      <c r="U431" s="224"/>
    </row>
    <row r="432" spans="1:21" ht="15">
      <c r="A432" s="104"/>
      <c r="B432" s="104"/>
      <c r="C432" s="104"/>
      <c r="D432" s="104"/>
      <c r="E432" s="104"/>
      <c r="F432" s="104"/>
      <c r="G432" s="104"/>
      <c r="H432" s="104"/>
      <c r="R432" s="224"/>
      <c r="S432" s="224"/>
      <c r="T432" s="224"/>
      <c r="U432" s="224"/>
    </row>
    <row r="433" spans="1:21" ht="15">
      <c r="A433" s="104"/>
      <c r="B433" s="104"/>
      <c r="C433" s="104"/>
      <c r="D433" s="104"/>
      <c r="E433" s="104"/>
      <c r="F433" s="104"/>
      <c r="G433" s="104"/>
      <c r="H433" s="104"/>
      <c r="R433" s="224"/>
      <c r="S433" s="224"/>
      <c r="T433" s="224"/>
      <c r="U433" s="224"/>
    </row>
    <row r="434" spans="1:21" ht="15">
      <c r="A434" s="104"/>
      <c r="B434" s="104"/>
      <c r="C434" s="104"/>
      <c r="D434" s="104"/>
      <c r="E434" s="104"/>
      <c r="F434" s="104"/>
      <c r="G434" s="104"/>
      <c r="H434" s="104"/>
      <c r="R434" s="224"/>
      <c r="S434" s="224"/>
      <c r="T434" s="224"/>
      <c r="U434" s="224"/>
    </row>
    <row r="435" spans="1:21" ht="15">
      <c r="A435" s="104"/>
      <c r="B435" s="104"/>
      <c r="C435" s="104"/>
      <c r="D435" s="104"/>
      <c r="E435" s="104"/>
      <c r="F435" s="104"/>
      <c r="G435" s="104"/>
      <c r="H435" s="104"/>
      <c r="R435" s="224"/>
      <c r="S435" s="224"/>
      <c r="T435" s="224"/>
      <c r="U435" s="224"/>
    </row>
    <row r="436" spans="1:21" ht="15">
      <c r="A436" s="104"/>
      <c r="B436" s="104"/>
      <c r="C436" s="104"/>
      <c r="D436" s="104"/>
      <c r="E436" s="104"/>
      <c r="F436" s="104"/>
      <c r="G436" s="104"/>
      <c r="H436" s="104"/>
      <c r="R436" s="224"/>
      <c r="S436" s="224"/>
      <c r="T436" s="224"/>
      <c r="U436" s="224"/>
    </row>
    <row r="437" spans="1:21" ht="15">
      <c r="A437" s="104"/>
      <c r="B437" s="104"/>
      <c r="C437" s="104"/>
      <c r="D437" s="104"/>
      <c r="E437" s="104"/>
      <c r="F437" s="104"/>
      <c r="G437" s="104"/>
      <c r="H437" s="104"/>
      <c r="R437" s="224"/>
      <c r="S437" s="224"/>
      <c r="T437" s="224"/>
      <c r="U437" s="224"/>
    </row>
    <row r="438" spans="1:21" ht="15">
      <c r="A438" s="104"/>
      <c r="B438" s="104"/>
      <c r="C438" s="104"/>
      <c r="D438" s="104"/>
      <c r="E438" s="104"/>
      <c r="F438" s="104"/>
      <c r="G438" s="104"/>
      <c r="H438" s="104"/>
      <c r="R438" s="224"/>
      <c r="S438" s="224"/>
      <c r="T438" s="224"/>
      <c r="U438" s="224"/>
    </row>
    <row r="439" spans="1:21" ht="15">
      <c r="A439" s="104"/>
      <c r="B439" s="104"/>
      <c r="C439" s="104"/>
      <c r="D439" s="104"/>
      <c r="E439" s="104"/>
      <c r="F439" s="104"/>
      <c r="G439" s="104"/>
      <c r="H439" s="104"/>
      <c r="R439" s="224"/>
      <c r="S439" s="224"/>
      <c r="T439" s="224"/>
      <c r="U439" s="224"/>
    </row>
    <row r="440" spans="1:21" ht="15">
      <c r="A440" s="104"/>
      <c r="B440" s="104"/>
      <c r="C440" s="104"/>
      <c r="D440" s="104"/>
      <c r="E440" s="104"/>
      <c r="F440" s="104"/>
      <c r="G440" s="104"/>
      <c r="H440" s="104"/>
      <c r="R440" s="224"/>
      <c r="S440" s="224"/>
      <c r="T440" s="224"/>
      <c r="U440" s="224"/>
    </row>
    <row r="441" spans="1:21" ht="15">
      <c r="A441" s="104"/>
      <c r="B441" s="104"/>
      <c r="C441" s="104"/>
      <c r="D441" s="104"/>
      <c r="E441" s="104"/>
      <c r="F441" s="104"/>
      <c r="G441" s="104"/>
      <c r="H441" s="104"/>
      <c r="R441" s="224"/>
      <c r="S441" s="224"/>
      <c r="T441" s="224"/>
      <c r="U441" s="224"/>
    </row>
    <row r="442" spans="1:21" ht="15">
      <c r="A442" s="104"/>
      <c r="B442" s="104"/>
      <c r="C442" s="104"/>
      <c r="D442" s="104"/>
      <c r="E442" s="104"/>
      <c r="F442" s="104"/>
      <c r="G442" s="104"/>
      <c r="H442" s="104"/>
      <c r="R442" s="224"/>
      <c r="S442" s="224"/>
      <c r="T442" s="224"/>
      <c r="U442" s="224"/>
    </row>
    <row r="443" spans="1:21" ht="15">
      <c r="A443" s="104"/>
      <c r="B443" s="104"/>
      <c r="C443" s="104"/>
      <c r="D443" s="104"/>
      <c r="E443" s="104"/>
      <c r="F443" s="104"/>
      <c r="G443" s="104"/>
      <c r="H443" s="104"/>
      <c r="R443" s="224"/>
      <c r="S443" s="224"/>
      <c r="T443" s="224"/>
      <c r="U443" s="224"/>
    </row>
    <row r="444" spans="1:21" ht="15">
      <c r="A444" s="104"/>
      <c r="B444" s="104"/>
      <c r="C444" s="104"/>
      <c r="D444" s="104"/>
      <c r="E444" s="104"/>
      <c r="F444" s="104"/>
      <c r="G444" s="104"/>
      <c r="H444" s="104"/>
      <c r="R444" s="224"/>
      <c r="S444" s="224"/>
      <c r="T444" s="224"/>
      <c r="U444" s="224"/>
    </row>
    <row r="445" spans="1:21" ht="15">
      <c r="A445" s="104"/>
      <c r="B445" s="104"/>
      <c r="C445" s="104"/>
      <c r="D445" s="104"/>
      <c r="E445" s="104"/>
      <c r="F445" s="104"/>
      <c r="G445" s="104"/>
      <c r="H445" s="104"/>
      <c r="R445" s="224"/>
      <c r="S445" s="224"/>
      <c r="T445" s="224"/>
      <c r="U445" s="224"/>
    </row>
    <row r="446" spans="1:21" ht="15">
      <c r="A446" s="104"/>
      <c r="B446" s="104"/>
      <c r="C446" s="104"/>
      <c r="D446" s="104"/>
      <c r="E446" s="104"/>
      <c r="F446" s="104"/>
      <c r="G446" s="104"/>
      <c r="H446" s="104"/>
      <c r="R446" s="224"/>
      <c r="S446" s="224"/>
      <c r="T446" s="224"/>
      <c r="U446" s="224"/>
    </row>
    <row r="447" spans="1:21" ht="15">
      <c r="A447" s="104"/>
      <c r="B447" s="104"/>
      <c r="C447" s="104"/>
      <c r="D447" s="104"/>
      <c r="E447" s="104"/>
      <c r="F447" s="104"/>
      <c r="G447" s="104"/>
      <c r="H447" s="104"/>
      <c r="R447" s="224"/>
      <c r="S447" s="224"/>
      <c r="T447" s="224"/>
      <c r="U447" s="224"/>
    </row>
    <row r="448" spans="1:21" ht="15">
      <c r="A448" s="104"/>
      <c r="B448" s="104"/>
      <c r="C448" s="104"/>
      <c r="D448" s="104"/>
      <c r="E448" s="104"/>
      <c r="F448" s="104"/>
      <c r="G448" s="104"/>
      <c r="H448" s="104"/>
      <c r="R448" s="224"/>
      <c r="S448" s="224"/>
      <c r="T448" s="224"/>
      <c r="U448" s="224"/>
    </row>
    <row r="449" spans="1:21" ht="15">
      <c r="A449" s="104"/>
      <c r="B449" s="104"/>
      <c r="C449" s="104"/>
      <c r="D449" s="104"/>
      <c r="E449" s="104"/>
      <c r="F449" s="104"/>
      <c r="G449" s="104"/>
      <c r="H449" s="104"/>
      <c r="R449" s="224"/>
      <c r="S449" s="224"/>
      <c r="T449" s="224"/>
      <c r="U449" s="224"/>
    </row>
    <row r="450" spans="1:21" ht="15">
      <c r="A450" s="104"/>
      <c r="B450" s="104"/>
      <c r="C450" s="104"/>
      <c r="D450" s="104"/>
      <c r="E450" s="104"/>
      <c r="F450" s="104"/>
      <c r="G450" s="104"/>
      <c r="H450" s="104"/>
      <c r="R450" s="224"/>
      <c r="S450" s="224"/>
      <c r="T450" s="224"/>
      <c r="U450" s="224"/>
    </row>
    <row r="451" spans="1:21" ht="15">
      <c r="A451" s="104"/>
      <c r="B451" s="104"/>
      <c r="C451" s="104"/>
      <c r="D451" s="104"/>
      <c r="E451" s="104"/>
      <c r="F451" s="104"/>
      <c r="G451" s="104"/>
      <c r="H451" s="104"/>
      <c r="R451" s="224"/>
      <c r="S451" s="224"/>
      <c r="T451" s="224"/>
      <c r="U451" s="224"/>
    </row>
    <row r="452" spans="1:21" ht="15">
      <c r="A452" s="104"/>
      <c r="B452" s="104"/>
      <c r="C452" s="104"/>
      <c r="D452" s="104"/>
      <c r="E452" s="104"/>
      <c r="F452" s="104"/>
      <c r="G452" s="104"/>
      <c r="H452" s="104"/>
      <c r="R452" s="224"/>
      <c r="S452" s="224"/>
      <c r="T452" s="224"/>
      <c r="U452" s="224"/>
    </row>
    <row r="453" spans="1:21" ht="15">
      <c r="A453" s="104"/>
      <c r="B453" s="104"/>
      <c r="C453" s="104"/>
      <c r="D453" s="104"/>
      <c r="E453" s="104"/>
      <c r="F453" s="104"/>
      <c r="G453" s="104"/>
      <c r="H453" s="104"/>
      <c r="R453" s="224"/>
      <c r="S453" s="224"/>
      <c r="T453" s="224"/>
      <c r="U453" s="224"/>
    </row>
    <row r="454" spans="1:21" ht="15">
      <c r="A454" s="104"/>
      <c r="B454" s="104"/>
      <c r="C454" s="104"/>
      <c r="D454" s="104"/>
      <c r="E454" s="104"/>
      <c r="F454" s="104"/>
      <c r="G454" s="104"/>
      <c r="H454" s="104"/>
      <c r="R454" s="224"/>
      <c r="S454" s="224"/>
      <c r="T454" s="224"/>
      <c r="U454" s="224"/>
    </row>
    <row r="455" spans="1:21" ht="15">
      <c r="A455" s="104"/>
      <c r="B455" s="104"/>
      <c r="C455" s="104"/>
      <c r="D455" s="104"/>
      <c r="E455" s="104"/>
      <c r="F455" s="104"/>
      <c r="G455" s="104"/>
      <c r="H455" s="104"/>
      <c r="R455" s="224"/>
      <c r="S455" s="224"/>
      <c r="T455" s="224"/>
      <c r="U455" s="224"/>
    </row>
    <row r="456" spans="1:21" ht="15">
      <c r="A456" s="104"/>
      <c r="B456" s="104"/>
      <c r="C456" s="104"/>
      <c r="D456" s="104"/>
      <c r="E456" s="104"/>
      <c r="F456" s="104"/>
      <c r="G456" s="104"/>
      <c r="H456" s="104"/>
      <c r="R456" s="224"/>
      <c r="S456" s="224"/>
      <c r="T456" s="224"/>
      <c r="U456" s="224"/>
    </row>
    <row r="457" spans="1:21" ht="15">
      <c r="A457" s="104"/>
      <c r="B457" s="104"/>
      <c r="C457" s="104"/>
      <c r="D457" s="104"/>
      <c r="E457" s="104"/>
      <c r="F457" s="104"/>
      <c r="G457" s="104"/>
      <c r="H457" s="104"/>
      <c r="R457" s="224"/>
      <c r="S457" s="224"/>
      <c r="T457" s="224"/>
      <c r="U457" s="224"/>
    </row>
    <row r="458" spans="1:21" ht="15">
      <c r="A458" s="104"/>
      <c r="B458" s="104"/>
      <c r="C458" s="104"/>
      <c r="D458" s="104"/>
      <c r="E458" s="104"/>
      <c r="F458" s="104"/>
      <c r="G458" s="104"/>
      <c r="H458" s="104"/>
      <c r="R458" s="224"/>
      <c r="S458" s="224"/>
      <c r="T458" s="224"/>
      <c r="U458" s="224"/>
    </row>
    <row r="459" spans="1:21" ht="15">
      <c r="A459" s="104"/>
      <c r="B459" s="104"/>
      <c r="C459" s="104"/>
      <c r="D459" s="104"/>
      <c r="E459" s="104"/>
      <c r="F459" s="104"/>
      <c r="G459" s="104"/>
      <c r="H459" s="104"/>
      <c r="R459" s="224"/>
      <c r="S459" s="224"/>
      <c r="T459" s="224"/>
      <c r="U459" s="224"/>
    </row>
    <row r="460" spans="1:21" ht="15">
      <c r="A460" s="104"/>
      <c r="B460" s="104"/>
      <c r="C460" s="104"/>
      <c r="D460" s="104"/>
      <c r="E460" s="104"/>
      <c r="F460" s="104"/>
      <c r="G460" s="104"/>
      <c r="H460" s="104"/>
      <c r="R460" s="224"/>
      <c r="S460" s="224"/>
      <c r="T460" s="224"/>
      <c r="U460" s="224"/>
    </row>
    <row r="461" spans="1:21" ht="15">
      <c r="A461" s="104"/>
      <c r="B461" s="104"/>
      <c r="C461" s="104"/>
      <c r="D461" s="104"/>
      <c r="E461" s="104"/>
      <c r="F461" s="104"/>
      <c r="G461" s="104"/>
      <c r="H461" s="104"/>
      <c r="R461" s="224"/>
      <c r="S461" s="224"/>
      <c r="T461" s="224"/>
      <c r="U461" s="224"/>
    </row>
    <row r="462" spans="1:21" ht="15">
      <c r="A462" s="104"/>
      <c r="B462" s="104"/>
      <c r="C462" s="104"/>
      <c r="D462" s="104"/>
      <c r="E462" s="104"/>
      <c r="F462" s="104"/>
      <c r="G462" s="104"/>
      <c r="H462" s="104"/>
      <c r="R462" s="224"/>
      <c r="S462" s="224"/>
      <c r="T462" s="224"/>
      <c r="U462" s="224"/>
    </row>
    <row r="463" spans="1:21" ht="15">
      <c r="A463" s="104"/>
      <c r="B463" s="104"/>
      <c r="C463" s="104"/>
      <c r="D463" s="104"/>
      <c r="E463" s="104"/>
      <c r="F463" s="104"/>
      <c r="G463" s="104"/>
      <c r="H463" s="104"/>
      <c r="R463" s="224"/>
      <c r="S463" s="224"/>
      <c r="T463" s="224"/>
      <c r="U463" s="224"/>
    </row>
    <row r="464" spans="1:21" ht="15">
      <c r="A464" s="104"/>
      <c r="B464" s="104"/>
      <c r="C464" s="104"/>
      <c r="D464" s="104"/>
      <c r="E464" s="104"/>
      <c r="F464" s="104"/>
      <c r="G464" s="104"/>
      <c r="H464" s="104"/>
      <c r="R464" s="224"/>
      <c r="S464" s="224"/>
      <c r="T464" s="224"/>
      <c r="U464" s="224"/>
    </row>
    <row r="465" spans="1:21" ht="15">
      <c r="A465" s="104"/>
      <c r="B465" s="104"/>
      <c r="C465" s="104"/>
      <c r="D465" s="104"/>
      <c r="E465" s="104"/>
      <c r="F465" s="104"/>
      <c r="G465" s="104"/>
      <c r="H465" s="104"/>
      <c r="R465" s="224"/>
      <c r="S465" s="224"/>
      <c r="T465" s="224"/>
      <c r="U465" s="224"/>
    </row>
    <row r="466" spans="1:21" ht="15">
      <c r="A466" s="104"/>
      <c r="B466" s="104"/>
      <c r="C466" s="104"/>
      <c r="D466" s="104"/>
      <c r="E466" s="104"/>
      <c r="F466" s="104"/>
      <c r="G466" s="104"/>
      <c r="H466" s="104"/>
      <c r="R466" s="224"/>
      <c r="S466" s="224"/>
      <c r="T466" s="224"/>
      <c r="U466" s="224"/>
    </row>
    <row r="467" spans="1:21" ht="15">
      <c r="A467" s="104"/>
      <c r="B467" s="104"/>
      <c r="C467" s="104"/>
      <c r="D467" s="104"/>
      <c r="E467" s="104"/>
      <c r="F467" s="104"/>
      <c r="G467" s="104"/>
      <c r="H467" s="104"/>
      <c r="R467" s="224"/>
      <c r="S467" s="224"/>
      <c r="T467" s="224"/>
      <c r="U467" s="224"/>
    </row>
    <row r="468" spans="1:21" ht="15">
      <c r="A468" s="104"/>
      <c r="B468" s="104"/>
      <c r="C468" s="104"/>
      <c r="D468" s="104"/>
      <c r="E468" s="104"/>
      <c r="F468" s="104"/>
      <c r="G468" s="104"/>
      <c r="H468" s="104"/>
      <c r="R468" s="224"/>
      <c r="S468" s="224"/>
      <c r="T468" s="224"/>
      <c r="U468" s="224"/>
    </row>
    <row r="469" spans="1:21" ht="15">
      <c r="A469" s="104"/>
      <c r="B469" s="104"/>
      <c r="C469" s="104"/>
      <c r="D469" s="104"/>
      <c r="E469" s="104"/>
      <c r="F469" s="104"/>
      <c r="G469" s="104"/>
      <c r="H469" s="104"/>
      <c r="R469" s="224"/>
      <c r="S469" s="224"/>
      <c r="T469" s="224"/>
      <c r="U469" s="224"/>
    </row>
    <row r="470" spans="1:21" ht="15">
      <c r="A470" s="104"/>
      <c r="B470" s="104"/>
      <c r="C470" s="104"/>
      <c r="D470" s="104"/>
      <c r="E470" s="104"/>
      <c r="F470" s="104"/>
      <c r="G470" s="104"/>
      <c r="H470" s="104"/>
      <c r="R470" s="224"/>
      <c r="S470" s="224"/>
      <c r="T470" s="224"/>
      <c r="U470" s="224"/>
    </row>
    <row r="471" spans="1:21" ht="15">
      <c r="A471" s="104"/>
      <c r="B471" s="104"/>
      <c r="C471" s="104"/>
      <c r="D471" s="104"/>
      <c r="E471" s="104"/>
      <c r="F471" s="104"/>
      <c r="G471" s="104"/>
      <c r="H471" s="104"/>
      <c r="R471" s="224"/>
      <c r="S471" s="224"/>
      <c r="T471" s="224"/>
      <c r="U471" s="224"/>
    </row>
    <row r="472" spans="1:21" ht="15">
      <c r="A472" s="104"/>
      <c r="B472" s="104"/>
      <c r="C472" s="104"/>
      <c r="D472" s="104"/>
      <c r="E472" s="104"/>
      <c r="F472" s="104"/>
      <c r="G472" s="104"/>
      <c r="H472" s="104"/>
      <c r="R472" s="224"/>
      <c r="S472" s="224"/>
      <c r="T472" s="224"/>
      <c r="U472" s="224"/>
    </row>
    <row r="473" spans="1:21" ht="15">
      <c r="A473" s="104"/>
      <c r="B473" s="104"/>
      <c r="C473" s="104"/>
      <c r="D473" s="104"/>
      <c r="E473" s="104"/>
      <c r="F473" s="104"/>
      <c r="G473" s="104"/>
      <c r="H473" s="104"/>
      <c r="R473" s="224"/>
      <c r="S473" s="224"/>
      <c r="T473" s="224"/>
      <c r="U473" s="224"/>
    </row>
    <row r="474" spans="1:21" ht="15">
      <c r="A474" s="104"/>
      <c r="B474" s="104"/>
      <c r="C474" s="104"/>
      <c r="D474" s="104"/>
      <c r="E474" s="104"/>
      <c r="F474" s="104"/>
      <c r="G474" s="104"/>
      <c r="H474" s="104"/>
      <c r="R474" s="224"/>
      <c r="S474" s="224"/>
      <c r="T474" s="224"/>
      <c r="U474" s="224"/>
    </row>
    <row r="475" spans="1:21" ht="15">
      <c r="A475" s="104"/>
      <c r="B475" s="104"/>
      <c r="C475" s="104"/>
      <c r="D475" s="104"/>
      <c r="E475" s="104"/>
      <c r="F475" s="104"/>
      <c r="G475" s="104"/>
      <c r="H475" s="104"/>
      <c r="R475" s="224"/>
      <c r="S475" s="224"/>
      <c r="T475" s="224"/>
      <c r="U475" s="224"/>
    </row>
    <row r="476" spans="1:21" ht="15">
      <c r="A476" s="104"/>
      <c r="B476" s="104"/>
      <c r="C476" s="104"/>
      <c r="D476" s="104"/>
      <c r="E476" s="104"/>
      <c r="F476" s="104"/>
      <c r="G476" s="104"/>
      <c r="H476" s="104"/>
      <c r="R476" s="224"/>
      <c r="S476" s="224"/>
      <c r="T476" s="224"/>
      <c r="U476" s="224"/>
    </row>
    <row r="477" spans="1:21" ht="15">
      <c r="A477" s="104"/>
      <c r="B477" s="104"/>
      <c r="C477" s="104"/>
      <c r="D477" s="104"/>
      <c r="E477" s="104"/>
      <c r="F477" s="104"/>
      <c r="G477" s="104"/>
      <c r="H477" s="104"/>
      <c r="R477" s="224"/>
      <c r="S477" s="224"/>
      <c r="T477" s="224"/>
      <c r="U477" s="224"/>
    </row>
    <row r="478" spans="1:21" ht="15">
      <c r="A478" s="104"/>
      <c r="B478" s="104"/>
      <c r="C478" s="104"/>
      <c r="D478" s="104"/>
      <c r="E478" s="104"/>
      <c r="F478" s="104"/>
      <c r="G478" s="104"/>
      <c r="H478" s="104"/>
      <c r="R478" s="224"/>
      <c r="S478" s="224"/>
      <c r="T478" s="224"/>
      <c r="U478" s="224"/>
    </row>
    <row r="479" spans="1:21" ht="15">
      <c r="A479" s="104"/>
      <c r="B479" s="104"/>
      <c r="C479" s="104"/>
      <c r="D479" s="104"/>
      <c r="E479" s="104"/>
      <c r="F479" s="104"/>
      <c r="G479" s="104"/>
      <c r="H479" s="104"/>
      <c r="R479" s="224"/>
      <c r="S479" s="224"/>
      <c r="T479" s="224"/>
      <c r="U479" s="224"/>
    </row>
    <row r="480" spans="1:21" ht="15">
      <c r="A480" s="104"/>
      <c r="B480" s="104"/>
      <c r="C480" s="104"/>
      <c r="D480" s="104"/>
      <c r="E480" s="104"/>
      <c r="F480" s="104"/>
      <c r="G480" s="104"/>
      <c r="H480" s="104"/>
      <c r="R480" s="224"/>
      <c r="S480" s="224"/>
      <c r="T480" s="224"/>
      <c r="U480" s="224"/>
    </row>
    <row r="481" spans="1:21" ht="15">
      <c r="A481" s="104"/>
      <c r="B481" s="104"/>
      <c r="C481" s="104"/>
      <c r="D481" s="104"/>
      <c r="E481" s="104"/>
      <c r="F481" s="104"/>
      <c r="G481" s="104"/>
      <c r="H481" s="104"/>
      <c r="R481" s="224"/>
      <c r="S481" s="224"/>
      <c r="T481" s="224"/>
      <c r="U481" s="224"/>
    </row>
    <row r="482" spans="1:21" ht="15">
      <c r="A482" s="104"/>
      <c r="B482" s="104"/>
      <c r="C482" s="104"/>
      <c r="D482" s="104"/>
      <c r="E482" s="104"/>
      <c r="F482" s="104"/>
      <c r="G482" s="104"/>
      <c r="H482" s="104"/>
      <c r="R482" s="224"/>
      <c r="S482" s="224"/>
      <c r="T482" s="224"/>
      <c r="U482" s="224"/>
    </row>
    <row r="483" spans="1:21" ht="15">
      <c r="A483" s="104"/>
      <c r="B483" s="104"/>
      <c r="C483" s="104"/>
      <c r="D483" s="104"/>
      <c r="E483" s="104"/>
      <c r="F483" s="104"/>
      <c r="G483" s="104"/>
      <c r="H483" s="104"/>
      <c r="R483" s="224"/>
      <c r="S483" s="224"/>
      <c r="T483" s="224"/>
      <c r="U483" s="224"/>
    </row>
    <row r="484" spans="1:21" ht="15">
      <c r="A484" s="104"/>
      <c r="B484" s="104"/>
      <c r="C484" s="104"/>
      <c r="D484" s="104"/>
      <c r="E484" s="104"/>
      <c r="F484" s="104"/>
      <c r="G484" s="104"/>
      <c r="H484" s="104"/>
      <c r="R484" s="224"/>
      <c r="S484" s="224"/>
      <c r="T484" s="224"/>
      <c r="U484" s="224"/>
    </row>
    <row r="485" spans="1:21" ht="15">
      <c r="A485" s="104"/>
      <c r="B485" s="104"/>
      <c r="C485" s="104"/>
      <c r="D485" s="104"/>
      <c r="E485" s="104"/>
      <c r="F485" s="104"/>
      <c r="G485" s="104"/>
      <c r="H485" s="104"/>
      <c r="R485" s="224"/>
      <c r="S485" s="224"/>
      <c r="T485" s="224"/>
      <c r="U485" s="224"/>
    </row>
    <row r="486" spans="1:21" ht="15">
      <c r="A486" s="104"/>
      <c r="B486" s="104"/>
      <c r="C486" s="104"/>
      <c r="D486" s="104"/>
      <c r="E486" s="104"/>
      <c r="F486" s="104"/>
      <c r="G486" s="104"/>
      <c r="H486" s="104"/>
      <c r="R486" s="224"/>
      <c r="S486" s="224"/>
      <c r="T486" s="224"/>
      <c r="U486" s="224"/>
    </row>
    <row r="487" spans="1:21" ht="15">
      <c r="A487" s="104"/>
      <c r="B487" s="104"/>
      <c r="C487" s="104"/>
      <c r="D487" s="104"/>
      <c r="E487" s="104"/>
      <c r="F487" s="104"/>
      <c r="G487" s="104"/>
      <c r="H487" s="104"/>
      <c r="R487" s="224"/>
      <c r="S487" s="224"/>
      <c r="T487" s="224"/>
      <c r="U487" s="224"/>
    </row>
    <row r="488" spans="1:21" ht="15">
      <c r="A488" s="104"/>
      <c r="B488" s="104"/>
      <c r="C488" s="104"/>
      <c r="D488" s="104"/>
      <c r="E488" s="104"/>
      <c r="F488" s="104"/>
      <c r="G488" s="104"/>
      <c r="H488" s="104"/>
      <c r="R488" s="224"/>
      <c r="S488" s="224"/>
      <c r="T488" s="224"/>
      <c r="U488" s="224"/>
    </row>
    <row r="489" spans="1:21" ht="15">
      <c r="A489" s="104"/>
      <c r="B489" s="104"/>
      <c r="C489" s="104"/>
      <c r="D489" s="104"/>
      <c r="E489" s="104"/>
      <c r="F489" s="104"/>
      <c r="G489" s="104"/>
      <c r="H489" s="104"/>
      <c r="R489" s="224"/>
      <c r="S489" s="224"/>
      <c r="T489" s="224"/>
      <c r="U489" s="224"/>
    </row>
    <row r="490" spans="1:21" ht="15">
      <c r="A490" s="104"/>
      <c r="B490" s="104"/>
      <c r="C490" s="104"/>
      <c r="D490" s="104"/>
      <c r="E490" s="104"/>
      <c r="F490" s="104"/>
      <c r="G490" s="104"/>
      <c r="H490" s="104"/>
      <c r="R490" s="224"/>
      <c r="S490" s="224"/>
      <c r="T490" s="224"/>
      <c r="U490" s="224"/>
    </row>
    <row r="491" spans="1:21" ht="15">
      <c r="A491" s="104"/>
      <c r="B491" s="104"/>
      <c r="C491" s="104"/>
      <c r="D491" s="104"/>
      <c r="E491" s="104"/>
      <c r="F491" s="104"/>
      <c r="G491" s="104"/>
      <c r="H491" s="104"/>
      <c r="R491" s="224"/>
      <c r="S491" s="224"/>
      <c r="T491" s="224"/>
      <c r="U491" s="224"/>
    </row>
    <row r="492" spans="1:21" ht="15">
      <c r="A492" s="104"/>
      <c r="B492" s="104"/>
      <c r="C492" s="104"/>
      <c r="D492" s="104"/>
      <c r="E492" s="104"/>
      <c r="F492" s="104"/>
      <c r="G492" s="104"/>
      <c r="H492" s="104"/>
      <c r="R492" s="224"/>
      <c r="S492" s="224"/>
      <c r="T492" s="224"/>
      <c r="U492" s="224"/>
    </row>
    <row r="493" spans="1:21" ht="15">
      <c r="A493" s="104"/>
      <c r="B493" s="104"/>
      <c r="C493" s="104"/>
      <c r="D493" s="104"/>
      <c r="E493" s="104"/>
      <c r="F493" s="104"/>
      <c r="G493" s="104"/>
      <c r="H493" s="104"/>
      <c r="R493" s="224"/>
      <c r="S493" s="224"/>
      <c r="T493" s="224"/>
      <c r="U493" s="224"/>
    </row>
    <row r="494" spans="1:21" ht="15">
      <c r="A494" s="104"/>
      <c r="B494" s="104"/>
      <c r="C494" s="104"/>
      <c r="D494" s="104"/>
      <c r="E494" s="104"/>
      <c r="F494" s="104"/>
      <c r="G494" s="104"/>
      <c r="H494" s="104"/>
      <c r="R494" s="224"/>
      <c r="S494" s="224"/>
      <c r="T494" s="224"/>
      <c r="U494" s="224"/>
    </row>
    <row r="495" spans="1:21" ht="15">
      <c r="A495" s="104"/>
      <c r="B495" s="104"/>
      <c r="C495" s="104"/>
      <c r="D495" s="104"/>
      <c r="E495" s="104"/>
      <c r="F495" s="104"/>
      <c r="G495" s="104"/>
      <c r="H495" s="104"/>
      <c r="R495" s="224"/>
      <c r="S495" s="224"/>
      <c r="T495" s="224"/>
      <c r="U495" s="224"/>
    </row>
    <row r="496" spans="1:21" ht="15">
      <c r="A496" s="104"/>
      <c r="B496" s="104"/>
      <c r="C496" s="104"/>
      <c r="D496" s="104"/>
      <c r="E496" s="104"/>
      <c r="F496" s="104"/>
      <c r="G496" s="104"/>
      <c r="H496" s="104"/>
      <c r="R496" s="224"/>
      <c r="S496" s="224"/>
      <c r="T496" s="224"/>
      <c r="U496" s="224"/>
    </row>
    <row r="497" spans="1:21" ht="15">
      <c r="A497" s="104"/>
      <c r="B497" s="104"/>
      <c r="C497" s="104"/>
      <c r="D497" s="104"/>
      <c r="E497" s="104"/>
      <c r="F497" s="104"/>
      <c r="G497" s="104"/>
      <c r="H497" s="104"/>
      <c r="R497" s="224"/>
      <c r="S497" s="224"/>
      <c r="T497" s="224"/>
      <c r="U497" s="224"/>
    </row>
    <row r="498" spans="1:21" ht="15">
      <c r="A498" s="104"/>
      <c r="B498" s="104"/>
      <c r="C498" s="104"/>
      <c r="D498" s="104"/>
      <c r="E498" s="104"/>
      <c r="F498" s="104"/>
      <c r="G498" s="104"/>
      <c r="H498" s="104"/>
      <c r="R498" s="224"/>
      <c r="S498" s="224"/>
      <c r="T498" s="224"/>
      <c r="U498" s="224"/>
    </row>
    <row r="499" spans="1:21" ht="15">
      <c r="A499" s="104"/>
      <c r="B499" s="104"/>
      <c r="C499" s="104"/>
      <c r="D499" s="104"/>
      <c r="E499" s="104"/>
      <c r="F499" s="104"/>
      <c r="G499" s="104"/>
      <c r="H499" s="104"/>
      <c r="R499" s="224"/>
      <c r="S499" s="224"/>
      <c r="T499" s="224"/>
      <c r="U499" s="224"/>
    </row>
    <row r="500" spans="1:21" ht="15">
      <c r="A500" s="104"/>
      <c r="B500" s="104"/>
      <c r="C500" s="104"/>
      <c r="D500" s="104"/>
      <c r="E500" s="104"/>
      <c r="F500" s="104"/>
      <c r="G500" s="104"/>
      <c r="H500" s="104"/>
      <c r="R500" s="224"/>
      <c r="S500" s="224"/>
      <c r="T500" s="224"/>
      <c r="U500" s="224"/>
    </row>
    <row r="501" spans="1:21" ht="15">
      <c r="A501" s="104"/>
      <c r="B501" s="104"/>
      <c r="C501" s="104"/>
      <c r="D501" s="104"/>
      <c r="E501" s="104"/>
      <c r="F501" s="104"/>
      <c r="G501" s="104"/>
      <c r="H501" s="104"/>
      <c r="R501" s="224"/>
      <c r="S501" s="224"/>
      <c r="T501" s="224"/>
      <c r="U501" s="224"/>
    </row>
    <row r="502" spans="1:21" ht="15">
      <c r="A502" s="104"/>
      <c r="B502" s="104"/>
      <c r="C502" s="104"/>
      <c r="D502" s="104"/>
      <c r="E502" s="104"/>
      <c r="F502" s="104"/>
      <c r="G502" s="104"/>
      <c r="H502" s="104"/>
      <c r="R502" s="224"/>
      <c r="S502" s="224"/>
      <c r="T502" s="224"/>
      <c r="U502" s="224"/>
    </row>
    <row r="503" spans="1:21" ht="15">
      <c r="A503" s="104"/>
      <c r="B503" s="104"/>
      <c r="C503" s="104"/>
      <c r="D503" s="104"/>
      <c r="E503" s="104"/>
      <c r="F503" s="104"/>
      <c r="G503" s="104"/>
      <c r="H503" s="104"/>
      <c r="R503" s="224"/>
      <c r="S503" s="224"/>
      <c r="T503" s="224"/>
      <c r="U503" s="224"/>
    </row>
    <row r="504" spans="1:21" ht="15">
      <c r="A504" s="104"/>
      <c r="B504" s="104"/>
      <c r="C504" s="104"/>
      <c r="D504" s="104"/>
      <c r="E504" s="104"/>
      <c r="F504" s="104"/>
      <c r="G504" s="104"/>
      <c r="H504" s="104"/>
      <c r="R504" s="224"/>
      <c r="S504" s="224"/>
      <c r="T504" s="224"/>
      <c r="U504" s="224"/>
    </row>
    <row r="505" spans="1:21" ht="15">
      <c r="A505" s="104"/>
      <c r="B505" s="104"/>
      <c r="C505" s="104"/>
      <c r="D505" s="104"/>
      <c r="E505" s="104"/>
      <c r="F505" s="104"/>
      <c r="G505" s="104"/>
      <c r="H505" s="104"/>
      <c r="R505" s="224"/>
      <c r="S505" s="224"/>
      <c r="T505" s="224"/>
      <c r="U505" s="224"/>
    </row>
    <row r="506" spans="1:21" ht="15">
      <c r="A506" s="104"/>
      <c r="B506" s="104"/>
      <c r="C506" s="104"/>
      <c r="D506" s="104"/>
      <c r="E506" s="104"/>
      <c r="F506" s="104"/>
      <c r="G506" s="104"/>
      <c r="H506" s="104"/>
      <c r="R506" s="224"/>
      <c r="S506" s="224"/>
      <c r="T506" s="224"/>
      <c r="U506" s="224"/>
    </row>
    <row r="507" spans="1:21" ht="15">
      <c r="A507" s="104"/>
      <c r="B507" s="104"/>
      <c r="C507" s="104"/>
      <c r="D507" s="104"/>
      <c r="E507" s="104"/>
      <c r="F507" s="104"/>
      <c r="G507" s="104"/>
      <c r="H507" s="104"/>
      <c r="R507" s="224"/>
      <c r="S507" s="224"/>
      <c r="T507" s="224"/>
      <c r="U507" s="224"/>
    </row>
    <row r="508" spans="1:21" ht="15">
      <c r="A508" s="104"/>
      <c r="B508" s="104"/>
      <c r="C508" s="104"/>
      <c r="D508" s="104"/>
      <c r="E508" s="104"/>
      <c r="F508" s="104"/>
      <c r="G508" s="104"/>
      <c r="H508" s="104"/>
      <c r="R508" s="224"/>
      <c r="S508" s="224"/>
      <c r="T508" s="224"/>
      <c r="U508" s="224"/>
    </row>
    <row r="509" spans="1:21" ht="15">
      <c r="A509" s="104"/>
      <c r="B509" s="104"/>
      <c r="C509" s="104"/>
      <c r="D509" s="104"/>
      <c r="E509" s="104"/>
      <c r="F509" s="104"/>
      <c r="G509" s="104"/>
      <c r="H509" s="104"/>
      <c r="R509" s="224"/>
      <c r="S509" s="224"/>
      <c r="T509" s="224"/>
      <c r="U509" s="224"/>
    </row>
    <row r="510" spans="1:21" ht="15">
      <c r="A510" s="104"/>
      <c r="B510" s="104"/>
      <c r="C510" s="104"/>
      <c r="D510" s="104"/>
      <c r="E510" s="104"/>
      <c r="F510" s="104"/>
      <c r="G510" s="104"/>
      <c r="H510" s="104"/>
      <c r="R510" s="224"/>
      <c r="S510" s="224"/>
      <c r="T510" s="224"/>
      <c r="U510" s="224"/>
    </row>
    <row r="511" spans="1:21" ht="15">
      <c r="A511" s="104"/>
      <c r="B511" s="104"/>
      <c r="C511" s="104"/>
      <c r="D511" s="104"/>
      <c r="E511" s="104"/>
      <c r="F511" s="104"/>
      <c r="G511" s="104"/>
      <c r="H511" s="104"/>
      <c r="R511" s="224"/>
      <c r="S511" s="224"/>
      <c r="T511" s="224"/>
      <c r="U511" s="224"/>
    </row>
    <row r="512" spans="1:21" ht="15">
      <c r="A512" s="104"/>
      <c r="B512" s="104"/>
      <c r="C512" s="104"/>
      <c r="D512" s="104"/>
      <c r="E512" s="104"/>
      <c r="F512" s="104"/>
      <c r="G512" s="104"/>
      <c r="H512" s="104"/>
      <c r="R512" s="224"/>
      <c r="S512" s="224"/>
      <c r="T512" s="224"/>
      <c r="U512" s="224"/>
    </row>
    <row r="513" spans="1:21" ht="15">
      <c r="A513" s="104"/>
      <c r="B513" s="104"/>
      <c r="C513" s="104"/>
      <c r="D513" s="104"/>
      <c r="E513" s="104"/>
      <c r="F513" s="104"/>
      <c r="G513" s="104"/>
      <c r="H513" s="104"/>
      <c r="R513" s="224"/>
      <c r="S513" s="224"/>
      <c r="T513" s="224"/>
      <c r="U513" s="224"/>
    </row>
    <row r="514" spans="1:21" ht="15">
      <c r="A514" s="104"/>
      <c r="B514" s="104"/>
      <c r="C514" s="104"/>
      <c r="D514" s="104"/>
      <c r="E514" s="104"/>
      <c r="F514" s="104"/>
      <c r="G514" s="104"/>
      <c r="H514" s="104"/>
      <c r="R514" s="224"/>
      <c r="S514" s="224"/>
      <c r="T514" s="224"/>
      <c r="U514" s="224"/>
    </row>
    <row r="515" spans="1:21" ht="15">
      <c r="A515" s="104"/>
      <c r="B515" s="104"/>
      <c r="C515" s="104"/>
      <c r="D515" s="104"/>
      <c r="E515" s="104"/>
      <c r="F515" s="104"/>
      <c r="G515" s="104"/>
      <c r="H515" s="104"/>
      <c r="R515" s="224"/>
      <c r="S515" s="224"/>
      <c r="T515" s="224"/>
      <c r="U515" s="224"/>
    </row>
    <row r="516" spans="1:21" ht="15">
      <c r="A516" s="104"/>
      <c r="B516" s="104"/>
      <c r="C516" s="104"/>
      <c r="D516" s="104"/>
      <c r="E516" s="104"/>
      <c r="F516" s="104"/>
      <c r="G516" s="104"/>
      <c r="H516" s="104"/>
      <c r="R516" s="224"/>
      <c r="S516" s="224"/>
      <c r="T516" s="224"/>
      <c r="U516" s="224"/>
    </row>
    <row r="517" spans="1:21" ht="15">
      <c r="A517" s="104"/>
      <c r="B517" s="104"/>
      <c r="C517" s="104"/>
      <c r="D517" s="104"/>
      <c r="E517" s="104"/>
      <c r="F517" s="104"/>
      <c r="G517" s="104"/>
      <c r="H517" s="104"/>
      <c r="R517" s="224"/>
      <c r="S517" s="224"/>
      <c r="T517" s="224"/>
      <c r="U517" s="224"/>
    </row>
    <row r="518" spans="1:21" ht="15">
      <c r="A518" s="104"/>
      <c r="B518" s="104"/>
      <c r="C518" s="104"/>
      <c r="D518" s="104"/>
      <c r="E518" s="104"/>
      <c r="F518" s="104"/>
      <c r="G518" s="104"/>
      <c r="H518" s="104"/>
      <c r="R518" s="224"/>
      <c r="S518" s="224"/>
      <c r="T518" s="224"/>
      <c r="U518" s="224"/>
    </row>
    <row r="519" spans="1:21" ht="15">
      <c r="A519" s="104"/>
      <c r="B519" s="104"/>
      <c r="C519" s="104"/>
      <c r="D519" s="104"/>
      <c r="E519" s="104"/>
      <c r="F519" s="104"/>
      <c r="G519" s="104"/>
      <c r="H519" s="104"/>
      <c r="R519" s="224"/>
      <c r="S519" s="224"/>
      <c r="T519" s="224"/>
      <c r="U519" s="224"/>
    </row>
    <row r="520" spans="1:21" ht="15">
      <c r="A520" s="104"/>
      <c r="B520" s="104"/>
      <c r="C520" s="104"/>
      <c r="D520" s="104"/>
      <c r="E520" s="104"/>
      <c r="F520" s="104"/>
      <c r="G520" s="104"/>
      <c r="H520" s="104"/>
      <c r="R520" s="224"/>
      <c r="S520" s="224"/>
      <c r="T520" s="224"/>
      <c r="U520" s="224"/>
    </row>
    <row r="521" spans="1:21" ht="15">
      <c r="A521" s="104"/>
      <c r="B521" s="104"/>
      <c r="C521" s="104"/>
      <c r="D521" s="104"/>
      <c r="E521" s="104"/>
      <c r="F521" s="104"/>
      <c r="G521" s="104"/>
      <c r="H521" s="104"/>
      <c r="R521" s="224"/>
      <c r="S521" s="224"/>
      <c r="T521" s="224"/>
      <c r="U521" s="224"/>
    </row>
    <row r="522" spans="1:21" ht="15">
      <c r="A522" s="104"/>
      <c r="B522" s="104"/>
      <c r="C522" s="104"/>
      <c r="D522" s="104"/>
      <c r="E522" s="104"/>
      <c r="F522" s="104"/>
      <c r="G522" s="104"/>
      <c r="H522" s="104"/>
      <c r="R522" s="224"/>
      <c r="S522" s="224"/>
      <c r="T522" s="224"/>
      <c r="U522" s="224"/>
    </row>
    <row r="523" spans="1:21" ht="15">
      <c r="A523" s="104"/>
      <c r="B523" s="104"/>
      <c r="C523" s="104"/>
      <c r="D523" s="104"/>
      <c r="E523" s="104"/>
      <c r="F523" s="104"/>
      <c r="G523" s="104"/>
      <c r="H523" s="104"/>
      <c r="R523" s="224"/>
      <c r="S523" s="224"/>
      <c r="T523" s="224"/>
      <c r="U523" s="224"/>
    </row>
    <row r="524" spans="1:21" ht="15">
      <c r="A524" s="104"/>
      <c r="B524" s="104"/>
      <c r="C524" s="104"/>
      <c r="D524" s="104"/>
      <c r="E524" s="104"/>
      <c r="F524" s="104"/>
      <c r="G524" s="104"/>
      <c r="H524" s="104"/>
      <c r="R524" s="224"/>
      <c r="S524" s="224"/>
      <c r="T524" s="224"/>
      <c r="U524" s="224"/>
    </row>
    <row r="525" spans="1:21" ht="15">
      <c r="A525" s="104"/>
      <c r="B525" s="104"/>
      <c r="C525" s="104"/>
      <c r="D525" s="104"/>
      <c r="E525" s="104"/>
      <c r="F525" s="104"/>
      <c r="G525" s="104"/>
      <c r="H525" s="104"/>
      <c r="R525" s="224"/>
      <c r="S525" s="224"/>
      <c r="T525" s="224"/>
      <c r="U525" s="224"/>
    </row>
    <row r="526" spans="1:21" ht="15">
      <c r="A526" s="104"/>
      <c r="B526" s="104"/>
      <c r="C526" s="104"/>
      <c r="D526" s="104"/>
      <c r="E526" s="104"/>
      <c r="F526" s="104"/>
      <c r="G526" s="104"/>
      <c r="H526" s="104"/>
      <c r="R526" s="224"/>
      <c r="S526" s="224"/>
      <c r="T526" s="224"/>
      <c r="U526" s="224"/>
    </row>
    <row r="527" spans="1:21" ht="15">
      <c r="A527" s="104"/>
      <c r="B527" s="104"/>
      <c r="C527" s="104"/>
      <c r="D527" s="104"/>
      <c r="E527" s="104"/>
      <c r="F527" s="104"/>
      <c r="G527" s="104"/>
      <c r="H527" s="104"/>
      <c r="R527" s="224"/>
      <c r="S527" s="224"/>
      <c r="T527" s="224"/>
      <c r="U527" s="224"/>
    </row>
    <row r="528" spans="1:21" ht="15">
      <c r="A528" s="104"/>
      <c r="B528" s="104"/>
      <c r="C528" s="104"/>
      <c r="D528" s="104"/>
      <c r="E528" s="104"/>
      <c r="F528" s="104"/>
      <c r="G528" s="104"/>
      <c r="H528" s="104"/>
      <c r="R528" s="224"/>
      <c r="S528" s="224"/>
      <c r="T528" s="224"/>
      <c r="U528" s="224"/>
    </row>
    <row r="529" spans="1:21" ht="15">
      <c r="A529" s="104"/>
      <c r="B529" s="104"/>
      <c r="C529" s="104"/>
      <c r="D529" s="104"/>
      <c r="E529" s="104"/>
      <c r="F529" s="104"/>
      <c r="G529" s="104"/>
      <c r="H529" s="104"/>
      <c r="R529" s="224"/>
      <c r="S529" s="224"/>
      <c r="T529" s="224"/>
      <c r="U529" s="224"/>
    </row>
    <row r="530" spans="1:8" ht="15">
      <c r="A530" s="104"/>
      <c r="B530" s="104"/>
      <c r="C530" s="104"/>
      <c r="D530" s="104"/>
      <c r="E530" s="104"/>
      <c r="F530" s="104"/>
      <c r="G530" s="104"/>
      <c r="H530" s="104"/>
    </row>
    <row r="531" spans="1:8" ht="15">
      <c r="A531" s="104"/>
      <c r="B531" s="104"/>
      <c r="C531" s="104"/>
      <c r="D531" s="104"/>
      <c r="E531" s="104"/>
      <c r="F531" s="104"/>
      <c r="G531" s="104"/>
      <c r="H531" s="104"/>
    </row>
    <row r="532" spans="1:8" ht="15">
      <c r="A532" s="104"/>
      <c r="B532" s="104"/>
      <c r="C532" s="104"/>
      <c r="D532" s="104"/>
      <c r="E532" s="104"/>
      <c r="F532" s="104"/>
      <c r="G532" s="104"/>
      <c r="H532" s="104"/>
    </row>
    <row r="533" spans="1:8" ht="15">
      <c r="A533" s="104"/>
      <c r="B533" s="104"/>
      <c r="C533" s="104"/>
      <c r="D533" s="104"/>
      <c r="E533" s="104"/>
      <c r="F533" s="104"/>
      <c r="G533" s="104"/>
      <c r="H533" s="104"/>
    </row>
    <row r="534" spans="1:8" ht="15">
      <c r="A534" s="104"/>
      <c r="B534" s="104"/>
      <c r="C534" s="104"/>
      <c r="D534" s="104"/>
      <c r="E534" s="104"/>
      <c r="F534" s="104"/>
      <c r="G534" s="104"/>
      <c r="H534" s="104"/>
    </row>
    <row r="535" spans="1:8" ht="15">
      <c r="A535" s="104"/>
      <c r="B535" s="104"/>
      <c r="C535" s="104"/>
      <c r="D535" s="104"/>
      <c r="E535" s="104"/>
      <c r="F535" s="104"/>
      <c r="G535" s="104"/>
      <c r="H535" s="104"/>
    </row>
    <row r="536" spans="1:8" ht="15">
      <c r="A536" s="104"/>
      <c r="B536" s="104"/>
      <c r="C536" s="104"/>
      <c r="D536" s="104"/>
      <c r="E536" s="104"/>
      <c r="F536" s="104"/>
      <c r="G536" s="104"/>
      <c r="H536" s="104"/>
    </row>
    <row r="537" spans="1:8" ht="15">
      <c r="A537" s="104"/>
      <c r="B537" s="104"/>
      <c r="C537" s="104"/>
      <c r="D537" s="104"/>
      <c r="E537" s="104"/>
      <c r="F537" s="104"/>
      <c r="G537" s="104"/>
      <c r="H537" s="104"/>
    </row>
    <row r="538" spans="1:8" ht="15">
      <c r="A538" s="104"/>
      <c r="B538" s="104"/>
      <c r="C538" s="104"/>
      <c r="D538" s="104"/>
      <c r="E538" s="104"/>
      <c r="F538" s="104"/>
      <c r="G538" s="104"/>
      <c r="H538" s="104"/>
    </row>
    <row r="539" spans="1:8" ht="15">
      <c r="A539" s="104"/>
      <c r="B539" s="104"/>
      <c r="C539" s="104"/>
      <c r="D539" s="104"/>
      <c r="E539" s="104"/>
      <c r="F539" s="104"/>
      <c r="G539" s="104"/>
      <c r="H539" s="104"/>
    </row>
    <row r="540" spans="1:8" ht="15">
      <c r="A540" s="104"/>
      <c r="B540" s="104"/>
      <c r="C540" s="104"/>
      <c r="D540" s="104"/>
      <c r="E540" s="104"/>
      <c r="F540" s="104"/>
      <c r="G540" s="104"/>
      <c r="H540" s="104"/>
    </row>
    <row r="541" spans="1:8" ht="15">
      <c r="A541" s="104"/>
      <c r="B541" s="104"/>
      <c r="C541" s="104"/>
      <c r="D541" s="104"/>
      <c r="E541" s="104"/>
      <c r="F541" s="104"/>
      <c r="G541" s="104"/>
      <c r="H541" s="104"/>
    </row>
    <row r="542" spans="1:8" ht="15">
      <c r="A542" s="104"/>
      <c r="B542" s="104"/>
      <c r="C542" s="104"/>
      <c r="D542" s="104"/>
      <c r="E542" s="104"/>
      <c r="F542" s="104"/>
      <c r="G542" s="104"/>
      <c r="H542" s="104"/>
    </row>
    <row r="543" spans="1:8" ht="15">
      <c r="A543" s="104"/>
      <c r="B543" s="104"/>
      <c r="C543" s="104"/>
      <c r="D543" s="104"/>
      <c r="E543" s="104"/>
      <c r="F543" s="104"/>
      <c r="G543" s="104"/>
      <c r="H543" s="104"/>
    </row>
    <row r="544" spans="1:8" ht="15">
      <c r="A544" s="104"/>
      <c r="B544" s="104"/>
      <c r="C544" s="104"/>
      <c r="D544" s="104"/>
      <c r="E544" s="104"/>
      <c r="F544" s="104"/>
      <c r="G544" s="104"/>
      <c r="H544" s="104"/>
    </row>
    <row r="545" spans="1:8" ht="15">
      <c r="A545" s="104"/>
      <c r="B545" s="104"/>
      <c r="C545" s="104"/>
      <c r="D545" s="104"/>
      <c r="E545" s="104"/>
      <c r="F545" s="104"/>
      <c r="G545" s="104"/>
      <c r="H545" s="104"/>
    </row>
    <row r="546" spans="1:8" ht="15">
      <c r="A546" s="104"/>
      <c r="B546" s="104"/>
      <c r="C546" s="104"/>
      <c r="D546" s="104"/>
      <c r="E546" s="104"/>
      <c r="F546" s="104"/>
      <c r="G546" s="104"/>
      <c r="H546" s="104"/>
    </row>
    <row r="547" spans="1:8" ht="15">
      <c r="A547" s="104"/>
      <c r="B547" s="104"/>
      <c r="C547" s="104"/>
      <c r="D547" s="104"/>
      <c r="E547" s="104"/>
      <c r="F547" s="104"/>
      <c r="G547" s="104"/>
      <c r="H547" s="104"/>
    </row>
    <row r="548" spans="1:8" ht="15">
      <c r="A548" s="104"/>
      <c r="B548" s="104"/>
      <c r="C548" s="104"/>
      <c r="D548" s="104"/>
      <c r="E548" s="104"/>
      <c r="F548" s="104"/>
      <c r="G548" s="104"/>
      <c r="H548" s="104"/>
    </row>
    <row r="549" spans="1:8" ht="15">
      <c r="A549" s="104"/>
      <c r="B549" s="104"/>
      <c r="C549" s="104"/>
      <c r="D549" s="104"/>
      <c r="E549" s="104"/>
      <c r="F549" s="104"/>
      <c r="G549" s="104"/>
      <c r="H549" s="104"/>
    </row>
    <row r="550" spans="1:8" ht="15">
      <c r="A550" s="286"/>
      <c r="B550" s="286"/>
      <c r="C550" s="286"/>
      <c r="D550" s="286"/>
      <c r="E550" s="286"/>
      <c r="F550" s="286"/>
      <c r="G550" s="286"/>
      <c r="H550" s="286"/>
    </row>
    <row r="551" spans="1:8" ht="15">
      <c r="A551" s="286"/>
      <c r="B551" s="286"/>
      <c r="C551" s="286"/>
      <c r="D551" s="286"/>
      <c r="E551" s="286"/>
      <c r="F551" s="286"/>
      <c r="G551" s="286"/>
      <c r="H551" s="286"/>
    </row>
    <row r="552" spans="1:8" ht="15">
      <c r="A552" s="286"/>
      <c r="B552" s="286"/>
      <c r="C552" s="286"/>
      <c r="D552" s="286"/>
      <c r="E552" s="286"/>
      <c r="F552" s="286"/>
      <c r="G552" s="286"/>
      <c r="H552" s="286"/>
    </row>
    <row r="553" spans="1:8" ht="15">
      <c r="A553" s="286"/>
      <c r="B553" s="286"/>
      <c r="C553" s="286"/>
      <c r="D553" s="286"/>
      <c r="E553" s="286"/>
      <c r="F553" s="286"/>
      <c r="G553" s="286"/>
      <c r="H553" s="286"/>
    </row>
    <row r="554" spans="1:8" ht="15">
      <c r="A554" s="286"/>
      <c r="B554" s="286"/>
      <c r="C554" s="286"/>
      <c r="D554" s="286"/>
      <c r="E554" s="286"/>
      <c r="F554" s="286"/>
      <c r="G554" s="286"/>
      <c r="H554" s="286"/>
    </row>
    <row r="555" spans="1:8" ht="15">
      <c r="A555" s="286"/>
      <c r="B555" s="286"/>
      <c r="C555" s="286"/>
      <c r="D555" s="286"/>
      <c r="E555" s="286"/>
      <c r="F555" s="286"/>
      <c r="G555" s="286"/>
      <c r="H555" s="286"/>
    </row>
    <row r="556" spans="1:8" ht="15">
      <c r="A556" s="286"/>
      <c r="B556" s="286"/>
      <c r="C556" s="286"/>
      <c r="D556" s="286"/>
      <c r="E556" s="286"/>
      <c r="F556" s="286"/>
      <c r="G556" s="286"/>
      <c r="H556" s="286"/>
    </row>
    <row r="557" spans="1:8" ht="15">
      <c r="A557" s="286"/>
      <c r="B557" s="286"/>
      <c r="C557" s="286"/>
      <c r="D557" s="286"/>
      <c r="E557" s="286"/>
      <c r="F557" s="286"/>
      <c r="G557" s="286"/>
      <c r="H557" s="286"/>
    </row>
    <row r="558" spans="1:8" ht="15">
      <c r="A558" s="286"/>
      <c r="B558" s="286"/>
      <c r="C558" s="286"/>
      <c r="D558" s="286"/>
      <c r="E558" s="286"/>
      <c r="F558" s="286"/>
      <c r="G558" s="286"/>
      <c r="H558" s="286"/>
    </row>
    <row r="559" spans="1:8" ht="15">
      <c r="A559" s="286"/>
      <c r="B559" s="286"/>
      <c r="C559" s="286"/>
      <c r="D559" s="286"/>
      <c r="E559" s="286"/>
      <c r="F559" s="286"/>
      <c r="G559" s="286"/>
      <c r="H559" s="286"/>
    </row>
    <row r="560" spans="1:8" ht="15">
      <c r="A560" s="286"/>
      <c r="B560" s="286"/>
      <c r="C560" s="286"/>
      <c r="D560" s="286"/>
      <c r="E560" s="286"/>
      <c r="F560" s="286"/>
      <c r="G560" s="286"/>
      <c r="H560" s="286"/>
    </row>
    <row r="561" spans="1:8" ht="15">
      <c r="A561" s="286"/>
      <c r="B561" s="286"/>
      <c r="C561" s="286"/>
      <c r="D561" s="286"/>
      <c r="E561" s="286"/>
      <c r="F561" s="286"/>
      <c r="G561" s="286"/>
      <c r="H561" s="286"/>
    </row>
    <row r="562" spans="1:8" ht="15">
      <c r="A562" s="286"/>
      <c r="B562" s="286"/>
      <c r="C562" s="286"/>
      <c r="D562" s="286"/>
      <c r="E562" s="286"/>
      <c r="F562" s="286"/>
      <c r="G562" s="286"/>
      <c r="H562" s="286"/>
    </row>
    <row r="563" spans="1:8" ht="15">
      <c r="A563" s="286"/>
      <c r="B563" s="286"/>
      <c r="C563" s="286"/>
      <c r="D563" s="286"/>
      <c r="E563" s="286"/>
      <c r="F563" s="286"/>
      <c r="G563" s="286"/>
      <c r="H563" s="286"/>
    </row>
    <row r="564" spans="1:8" ht="15">
      <c r="A564" s="286"/>
      <c r="B564" s="286"/>
      <c r="C564" s="286"/>
      <c r="D564" s="286"/>
      <c r="E564" s="286"/>
      <c r="F564" s="286"/>
      <c r="G564" s="286"/>
      <c r="H564" s="286"/>
    </row>
    <row r="565" spans="1:8" ht="15">
      <c r="A565" s="286"/>
      <c r="B565" s="286"/>
      <c r="C565" s="286"/>
      <c r="D565" s="286"/>
      <c r="E565" s="286"/>
      <c r="F565" s="286"/>
      <c r="G565" s="286"/>
      <c r="H565" s="286"/>
    </row>
    <row r="566" spans="1:8" ht="15">
      <c r="A566" s="286"/>
      <c r="B566" s="286"/>
      <c r="C566" s="286"/>
      <c r="D566" s="286"/>
      <c r="E566" s="286"/>
      <c r="F566" s="286"/>
      <c r="G566" s="286"/>
      <c r="H566" s="286"/>
    </row>
    <row r="567" spans="1:8" ht="15">
      <c r="A567" s="286"/>
      <c r="B567" s="286"/>
      <c r="C567" s="286"/>
      <c r="D567" s="286"/>
      <c r="E567" s="286"/>
      <c r="F567" s="286"/>
      <c r="G567" s="286"/>
      <c r="H567" s="286"/>
    </row>
    <row r="568" spans="1:8" ht="15">
      <c r="A568" s="286"/>
      <c r="B568" s="286"/>
      <c r="C568" s="286"/>
      <c r="D568" s="286"/>
      <c r="E568" s="286"/>
      <c r="F568" s="286"/>
      <c r="G568" s="286"/>
      <c r="H568" s="286"/>
    </row>
    <row r="569" spans="1:8" ht="15">
      <c r="A569" s="286"/>
      <c r="B569" s="286"/>
      <c r="C569" s="286"/>
      <c r="D569" s="286"/>
      <c r="E569" s="286"/>
      <c r="F569" s="286"/>
      <c r="G569" s="286"/>
      <c r="H569" s="286"/>
    </row>
    <row r="570" spans="1:8" ht="15">
      <c r="A570" s="286"/>
      <c r="B570" s="286"/>
      <c r="C570" s="286"/>
      <c r="D570" s="286"/>
      <c r="E570" s="286"/>
      <c r="F570" s="286"/>
      <c r="G570" s="286"/>
      <c r="H570" s="286"/>
    </row>
    <row r="571" spans="1:8" ht="15">
      <c r="A571" s="286"/>
      <c r="B571" s="286"/>
      <c r="C571" s="286"/>
      <c r="D571" s="286"/>
      <c r="E571" s="286"/>
      <c r="F571" s="286"/>
      <c r="G571" s="286"/>
      <c r="H571" s="286"/>
    </row>
    <row r="572" spans="1:8" ht="15">
      <c r="A572" s="286"/>
      <c r="B572" s="286"/>
      <c r="C572" s="286"/>
      <c r="D572" s="286"/>
      <c r="E572" s="286"/>
      <c r="F572" s="286"/>
      <c r="G572" s="286"/>
      <c r="H572" s="286"/>
    </row>
    <row r="573" spans="1:8" ht="15">
      <c r="A573" s="286"/>
      <c r="B573" s="286"/>
      <c r="C573" s="286"/>
      <c r="D573" s="286"/>
      <c r="E573" s="286"/>
      <c r="F573" s="286"/>
      <c r="G573" s="286"/>
      <c r="H573" s="286"/>
    </row>
    <row r="574" spans="1:8" ht="15">
      <c r="A574" s="286"/>
      <c r="B574" s="286"/>
      <c r="C574" s="286"/>
      <c r="D574" s="286"/>
      <c r="E574" s="286"/>
      <c r="F574" s="286"/>
      <c r="G574" s="286"/>
      <c r="H574" s="286"/>
    </row>
    <row r="575" spans="1:8" ht="15">
      <c r="A575" s="286"/>
      <c r="B575" s="286"/>
      <c r="C575" s="286"/>
      <c r="D575" s="286"/>
      <c r="E575" s="286"/>
      <c r="F575" s="286"/>
      <c r="G575" s="286"/>
      <c r="H575" s="286"/>
    </row>
    <row r="576" spans="1:8" ht="15">
      <c r="A576" s="286"/>
      <c r="B576" s="286"/>
      <c r="C576" s="286"/>
      <c r="D576" s="286"/>
      <c r="E576" s="286"/>
      <c r="F576" s="286"/>
      <c r="G576" s="286"/>
      <c r="H576" s="286"/>
    </row>
    <row r="577" spans="1:8" ht="15">
      <c r="A577" s="286"/>
      <c r="B577" s="286"/>
      <c r="C577" s="286"/>
      <c r="D577" s="286"/>
      <c r="E577" s="286"/>
      <c r="F577" s="286"/>
      <c r="G577" s="286"/>
      <c r="H577" s="286"/>
    </row>
    <row r="578" spans="1:8" ht="15">
      <c r="A578" s="286"/>
      <c r="B578" s="286"/>
      <c r="C578" s="286"/>
      <c r="D578" s="286"/>
      <c r="E578" s="286"/>
      <c r="F578" s="286"/>
      <c r="G578" s="286"/>
      <c r="H578" s="286"/>
    </row>
    <row r="579" spans="1:8" ht="15">
      <c r="A579" s="286"/>
      <c r="B579" s="286"/>
      <c r="C579" s="286"/>
      <c r="D579" s="286"/>
      <c r="E579" s="286"/>
      <c r="F579" s="286"/>
      <c r="G579" s="286"/>
      <c r="H579" s="286"/>
    </row>
    <row r="580" spans="1:8" ht="15">
      <c r="A580" s="286"/>
      <c r="B580" s="286"/>
      <c r="C580" s="286"/>
      <c r="D580" s="286"/>
      <c r="E580" s="286"/>
      <c r="F580" s="286"/>
      <c r="G580" s="286"/>
      <c r="H580" s="286"/>
    </row>
    <row r="581" spans="1:8" ht="15">
      <c r="A581" s="286"/>
      <c r="B581" s="286"/>
      <c r="C581" s="286"/>
      <c r="D581" s="286"/>
      <c r="E581" s="286"/>
      <c r="F581" s="286"/>
      <c r="G581" s="286"/>
      <c r="H581" s="286"/>
    </row>
    <row r="582" spans="1:8" ht="15">
      <c r="A582" s="286"/>
      <c r="B582" s="286"/>
      <c r="C582" s="286"/>
      <c r="D582" s="286"/>
      <c r="E582" s="286"/>
      <c r="F582" s="286"/>
      <c r="G582" s="286"/>
      <c r="H582" s="286"/>
    </row>
    <row r="583" spans="1:8" ht="15">
      <c r="A583" s="286"/>
      <c r="B583" s="286"/>
      <c r="C583" s="286"/>
      <c r="D583" s="286"/>
      <c r="E583" s="286"/>
      <c r="F583" s="286"/>
      <c r="G583" s="286"/>
      <c r="H583" s="286"/>
    </row>
    <row r="584" spans="1:8" ht="15">
      <c r="A584" s="286"/>
      <c r="B584" s="286"/>
      <c r="C584" s="286"/>
      <c r="D584" s="286"/>
      <c r="E584" s="286"/>
      <c r="F584" s="286"/>
      <c r="G584" s="286"/>
      <c r="H584" s="286"/>
    </row>
    <row r="585" spans="1:8" ht="15">
      <c r="A585" s="286"/>
      <c r="B585" s="286"/>
      <c r="C585" s="286"/>
      <c r="D585" s="286"/>
      <c r="E585" s="286"/>
      <c r="F585" s="286"/>
      <c r="G585" s="286"/>
      <c r="H585" s="286"/>
    </row>
    <row r="586" spans="1:8" ht="15">
      <c r="A586" s="286"/>
      <c r="B586" s="286"/>
      <c r="C586" s="286"/>
      <c r="D586" s="286"/>
      <c r="E586" s="286"/>
      <c r="F586" s="286"/>
      <c r="G586" s="286"/>
      <c r="H586" s="286"/>
    </row>
    <row r="587" spans="1:8" ht="15">
      <c r="A587" s="286"/>
      <c r="B587" s="286"/>
      <c r="C587" s="286"/>
      <c r="D587" s="286"/>
      <c r="E587" s="286"/>
      <c r="F587" s="286"/>
      <c r="G587" s="286"/>
      <c r="H587" s="286"/>
    </row>
    <row r="588" spans="1:8" ht="15">
      <c r="A588" s="286"/>
      <c r="B588" s="286"/>
      <c r="C588" s="286"/>
      <c r="D588" s="286"/>
      <c r="E588" s="286"/>
      <c r="F588" s="286"/>
      <c r="G588" s="286"/>
      <c r="H588" s="286"/>
    </row>
    <row r="589" spans="1:8" ht="15">
      <c r="A589" s="286"/>
      <c r="B589" s="286"/>
      <c r="C589" s="286"/>
      <c r="D589" s="286"/>
      <c r="E589" s="286"/>
      <c r="F589" s="286"/>
      <c r="G589" s="286"/>
      <c r="H589" s="286"/>
    </row>
    <row r="590" spans="1:8" ht="15">
      <c r="A590" s="286"/>
      <c r="B590" s="286"/>
      <c r="C590" s="286"/>
      <c r="D590" s="286"/>
      <c r="E590" s="286"/>
      <c r="F590" s="286"/>
      <c r="G590" s="286"/>
      <c r="H590" s="286"/>
    </row>
    <row r="591" spans="1:8" ht="15">
      <c r="A591" s="286"/>
      <c r="B591" s="286"/>
      <c r="C591" s="286"/>
      <c r="D591" s="286"/>
      <c r="E591" s="286"/>
      <c r="F591" s="286"/>
      <c r="G591" s="286"/>
      <c r="H591" s="286"/>
    </row>
    <row r="592" spans="1:8" ht="15">
      <c r="A592" s="286"/>
      <c r="B592" s="286"/>
      <c r="C592" s="286"/>
      <c r="D592" s="286"/>
      <c r="E592" s="286"/>
      <c r="F592" s="286"/>
      <c r="G592" s="286"/>
      <c r="H592" s="286"/>
    </row>
    <row r="593" spans="1:8" ht="15">
      <c r="A593" s="286"/>
      <c r="B593" s="286"/>
      <c r="C593" s="286"/>
      <c r="D593" s="286"/>
      <c r="E593" s="286"/>
      <c r="F593" s="286"/>
      <c r="G593" s="286"/>
      <c r="H593" s="286"/>
    </row>
    <row r="594" spans="1:8" ht="15">
      <c r="A594" s="286"/>
      <c r="B594" s="286"/>
      <c r="C594" s="286"/>
      <c r="D594" s="286"/>
      <c r="E594" s="286"/>
      <c r="F594" s="286"/>
      <c r="G594" s="286"/>
      <c r="H594" s="286"/>
    </row>
    <row r="595" spans="1:8" ht="15">
      <c r="A595" s="286"/>
      <c r="B595" s="286"/>
      <c r="C595" s="286"/>
      <c r="D595" s="286"/>
      <c r="E595" s="286"/>
      <c r="F595" s="286"/>
      <c r="G595" s="286"/>
      <c r="H595" s="286"/>
    </row>
    <row r="596" spans="1:8" ht="15">
      <c r="A596" s="286"/>
      <c r="B596" s="286"/>
      <c r="C596" s="286"/>
      <c r="D596" s="286"/>
      <c r="E596" s="286"/>
      <c r="F596" s="286"/>
      <c r="G596" s="286"/>
      <c r="H596" s="286"/>
    </row>
    <row r="597" spans="1:8" ht="15">
      <c r="A597" s="286"/>
      <c r="B597" s="286"/>
      <c r="C597" s="286"/>
      <c r="D597" s="286"/>
      <c r="E597" s="286"/>
      <c r="F597" s="286"/>
      <c r="G597" s="286"/>
      <c r="H597" s="286"/>
    </row>
    <row r="598" spans="1:8" ht="15">
      <c r="A598" s="286"/>
      <c r="B598" s="286"/>
      <c r="C598" s="286"/>
      <c r="D598" s="286"/>
      <c r="E598" s="286"/>
      <c r="F598" s="286"/>
      <c r="G598" s="286"/>
      <c r="H598" s="286"/>
    </row>
    <row r="599" spans="1:8" ht="15">
      <c r="A599" s="286"/>
      <c r="B599" s="286"/>
      <c r="C599" s="286"/>
      <c r="D599" s="286"/>
      <c r="E599" s="286"/>
      <c r="F599" s="286"/>
      <c r="G599" s="286"/>
      <c r="H599" s="286"/>
    </row>
    <row r="600" spans="1:8" ht="15">
      <c r="A600" s="286"/>
      <c r="B600" s="286"/>
      <c r="C600" s="286"/>
      <c r="D600" s="286"/>
      <c r="E600" s="286"/>
      <c r="F600" s="286"/>
      <c r="G600" s="286"/>
      <c r="H600" s="286"/>
    </row>
    <row r="601" spans="1:8" ht="15">
      <c r="A601" s="286"/>
      <c r="B601" s="286"/>
      <c r="C601" s="286"/>
      <c r="D601" s="286"/>
      <c r="E601" s="286"/>
      <c r="F601" s="286"/>
      <c r="G601" s="286"/>
      <c r="H601" s="286"/>
    </row>
    <row r="602" spans="1:8" ht="15">
      <c r="A602" s="286"/>
      <c r="B602" s="286"/>
      <c r="C602" s="286"/>
      <c r="D602" s="286"/>
      <c r="E602" s="286"/>
      <c r="F602" s="286"/>
      <c r="G602" s="286"/>
      <c r="H602" s="286"/>
    </row>
    <row r="603" spans="1:8" ht="15">
      <c r="A603" s="286"/>
      <c r="B603" s="286"/>
      <c r="C603" s="286"/>
      <c r="D603" s="286"/>
      <c r="E603" s="286"/>
      <c r="F603" s="286"/>
      <c r="G603" s="286"/>
      <c r="H603" s="286"/>
    </row>
    <row r="604" spans="1:8" ht="15">
      <c r="A604" s="286"/>
      <c r="B604" s="286"/>
      <c r="C604" s="286"/>
      <c r="D604" s="286"/>
      <c r="E604" s="286"/>
      <c r="F604" s="286"/>
      <c r="G604" s="286"/>
      <c r="H604" s="286"/>
    </row>
    <row r="605" spans="1:8" ht="15">
      <c r="A605" s="286"/>
      <c r="B605" s="286"/>
      <c r="C605" s="286"/>
      <c r="D605" s="286"/>
      <c r="E605" s="286"/>
      <c r="F605" s="286"/>
      <c r="G605" s="286"/>
      <c r="H605" s="286"/>
    </row>
    <row r="606" spans="1:8" ht="15">
      <c r="A606" s="286"/>
      <c r="B606" s="286"/>
      <c r="C606" s="286"/>
      <c r="D606" s="286"/>
      <c r="E606" s="286"/>
      <c r="F606" s="286"/>
      <c r="G606" s="286"/>
      <c r="H606" s="286"/>
    </row>
    <row r="607" spans="1:8" ht="15">
      <c r="A607" s="286"/>
      <c r="B607" s="286"/>
      <c r="C607" s="286"/>
      <c r="D607" s="286"/>
      <c r="E607" s="286"/>
      <c r="F607" s="286"/>
      <c r="G607" s="286"/>
      <c r="H607" s="286"/>
    </row>
    <row r="608" spans="1:8" ht="15">
      <c r="A608" s="286"/>
      <c r="B608" s="286"/>
      <c r="C608" s="286"/>
      <c r="D608" s="286"/>
      <c r="E608" s="286"/>
      <c r="F608" s="286"/>
      <c r="G608" s="286"/>
      <c r="H608" s="286"/>
    </row>
    <row r="609" spans="1:8" ht="15">
      <c r="A609" s="286"/>
      <c r="B609" s="286"/>
      <c r="C609" s="286"/>
      <c r="D609" s="286"/>
      <c r="E609" s="286"/>
      <c r="F609" s="286"/>
      <c r="G609" s="286"/>
      <c r="H609" s="286"/>
    </row>
    <row r="610" spans="1:8" ht="15">
      <c r="A610" s="286"/>
      <c r="B610" s="286"/>
      <c r="C610" s="286"/>
      <c r="D610" s="286"/>
      <c r="E610" s="286"/>
      <c r="F610" s="286"/>
      <c r="G610" s="286"/>
      <c r="H610" s="286"/>
    </row>
    <row r="611" spans="1:8" ht="15">
      <c r="A611" s="286"/>
      <c r="B611" s="286"/>
      <c r="C611" s="286"/>
      <c r="D611" s="286"/>
      <c r="E611" s="286"/>
      <c r="F611" s="286"/>
      <c r="G611" s="286"/>
      <c r="H611" s="286"/>
    </row>
    <row r="612" spans="1:8" ht="15">
      <c r="A612" s="286"/>
      <c r="B612" s="286"/>
      <c r="C612" s="286"/>
      <c r="D612" s="286"/>
      <c r="E612" s="286"/>
      <c r="F612" s="286"/>
      <c r="G612" s="286"/>
      <c r="H612" s="286"/>
    </row>
    <row r="613" spans="1:8" ht="15">
      <c r="A613" s="286"/>
      <c r="B613" s="286"/>
      <c r="C613" s="286"/>
      <c r="D613" s="286"/>
      <c r="E613" s="286"/>
      <c r="F613" s="286"/>
      <c r="G613" s="286"/>
      <c r="H613" s="286"/>
    </row>
    <row r="614" spans="1:8" ht="15">
      <c r="A614" s="286"/>
      <c r="B614" s="286"/>
      <c r="C614" s="286"/>
      <c r="D614" s="286"/>
      <c r="E614" s="286"/>
      <c r="F614" s="286"/>
      <c r="G614" s="286"/>
      <c r="H614" s="286"/>
    </row>
    <row r="615" spans="1:8" ht="15">
      <c r="A615" s="286"/>
      <c r="B615" s="286"/>
      <c r="C615" s="286"/>
      <c r="D615" s="286"/>
      <c r="E615" s="286"/>
      <c r="F615" s="286"/>
      <c r="G615" s="286"/>
      <c r="H615" s="286"/>
    </row>
    <row r="616" spans="1:8" ht="15">
      <c r="A616" s="286"/>
      <c r="B616" s="286"/>
      <c r="C616" s="286"/>
      <c r="D616" s="286"/>
      <c r="E616" s="286"/>
      <c r="F616" s="286"/>
      <c r="G616" s="286"/>
      <c r="H616" s="286"/>
    </row>
    <row r="617" spans="1:8" ht="15">
      <c r="A617" s="286"/>
      <c r="B617" s="286"/>
      <c r="C617" s="286"/>
      <c r="D617" s="286"/>
      <c r="E617" s="286"/>
      <c r="F617" s="286"/>
      <c r="G617" s="286"/>
      <c r="H617" s="286"/>
    </row>
    <row r="618" spans="1:8" ht="15">
      <c r="A618" s="286"/>
      <c r="B618" s="286"/>
      <c r="C618" s="286"/>
      <c r="D618" s="286"/>
      <c r="E618" s="286"/>
      <c r="F618" s="286"/>
      <c r="G618" s="286"/>
      <c r="H618" s="286"/>
    </row>
    <row r="619" spans="1:8" ht="15">
      <c r="A619" s="286"/>
      <c r="B619" s="286"/>
      <c r="C619" s="286"/>
      <c r="D619" s="286"/>
      <c r="E619" s="286"/>
      <c r="F619" s="286"/>
      <c r="G619" s="286"/>
      <c r="H619" s="286"/>
    </row>
    <row r="620" spans="1:8" ht="15">
      <c r="A620" s="286"/>
      <c r="B620" s="286"/>
      <c r="C620" s="286"/>
      <c r="D620" s="286"/>
      <c r="E620" s="286"/>
      <c r="F620" s="286"/>
      <c r="G620" s="286"/>
      <c r="H620" s="286"/>
    </row>
    <row r="621" spans="1:8" ht="15">
      <c r="A621" s="286"/>
      <c r="B621" s="286"/>
      <c r="C621" s="286"/>
      <c r="D621" s="286"/>
      <c r="E621" s="286"/>
      <c r="F621" s="286"/>
      <c r="G621" s="286"/>
      <c r="H621" s="286"/>
    </row>
    <row r="622" spans="1:8" ht="15">
      <c r="A622" s="286"/>
      <c r="B622" s="286"/>
      <c r="C622" s="286"/>
      <c r="D622" s="286"/>
      <c r="E622" s="286"/>
      <c r="F622" s="286"/>
      <c r="G622" s="286"/>
      <c r="H622" s="286"/>
    </row>
    <row r="623" spans="1:8" ht="15">
      <c r="A623" s="286"/>
      <c r="B623" s="286"/>
      <c r="C623" s="286"/>
      <c r="D623" s="286"/>
      <c r="E623" s="286"/>
      <c r="F623" s="286"/>
      <c r="G623" s="286"/>
      <c r="H623" s="286"/>
    </row>
    <row r="624" spans="1:8" ht="15">
      <c r="A624" s="286"/>
      <c r="B624" s="286"/>
      <c r="C624" s="286"/>
      <c r="D624" s="286"/>
      <c r="E624" s="286"/>
      <c r="F624" s="286"/>
      <c r="G624" s="286"/>
      <c r="H624" s="286"/>
    </row>
    <row r="625" spans="1:8" ht="15">
      <c r="A625" s="286"/>
      <c r="B625" s="286"/>
      <c r="C625" s="286"/>
      <c r="D625" s="286"/>
      <c r="E625" s="286"/>
      <c r="F625" s="286"/>
      <c r="G625" s="286"/>
      <c r="H625" s="286"/>
    </row>
    <row r="626" spans="1:8" ht="15">
      <c r="A626" s="286"/>
      <c r="B626" s="286"/>
      <c r="C626" s="286"/>
      <c r="D626" s="286"/>
      <c r="E626" s="286"/>
      <c r="F626" s="286"/>
      <c r="G626" s="286"/>
      <c r="H626" s="286"/>
    </row>
    <row r="627" spans="1:8" ht="15">
      <c r="A627" s="286"/>
      <c r="B627" s="286"/>
      <c r="C627" s="286"/>
      <c r="D627" s="286"/>
      <c r="E627" s="286"/>
      <c r="F627" s="286"/>
      <c r="G627" s="286"/>
      <c r="H627" s="286"/>
    </row>
    <row r="628" spans="1:8" ht="15">
      <c r="A628" s="286"/>
      <c r="B628" s="286"/>
      <c r="C628" s="286"/>
      <c r="D628" s="286"/>
      <c r="E628" s="286"/>
      <c r="F628" s="286"/>
      <c r="G628" s="286"/>
      <c r="H628" s="286"/>
    </row>
    <row r="629" spans="1:8" ht="15">
      <c r="A629" s="286"/>
      <c r="B629" s="286"/>
      <c r="C629" s="286"/>
      <c r="D629" s="286"/>
      <c r="E629" s="286"/>
      <c r="F629" s="286"/>
      <c r="G629" s="286"/>
      <c r="H629" s="286"/>
    </row>
    <row r="630" spans="1:8" ht="15">
      <c r="A630" s="286"/>
      <c r="B630" s="286"/>
      <c r="C630" s="286"/>
      <c r="D630" s="286"/>
      <c r="E630" s="286"/>
      <c r="F630" s="286"/>
      <c r="G630" s="286"/>
      <c r="H630" s="286"/>
    </row>
    <row r="631" spans="1:8" ht="15">
      <c r="A631" s="286"/>
      <c r="B631" s="286"/>
      <c r="C631" s="286"/>
      <c r="D631" s="286"/>
      <c r="E631" s="286"/>
      <c r="F631" s="286"/>
      <c r="G631" s="286"/>
      <c r="H631" s="286"/>
    </row>
    <row r="632" spans="1:8" ht="15">
      <c r="A632" s="286"/>
      <c r="B632" s="286"/>
      <c r="C632" s="286"/>
      <c r="D632" s="286"/>
      <c r="E632" s="286"/>
      <c r="F632" s="286"/>
      <c r="G632" s="286"/>
      <c r="H632" s="286"/>
    </row>
    <row r="633" spans="1:8" ht="15">
      <c r="A633" s="286"/>
      <c r="B633" s="286"/>
      <c r="C633" s="286"/>
      <c r="D633" s="286"/>
      <c r="E633" s="286"/>
      <c r="F633" s="286"/>
      <c r="G633" s="286"/>
      <c r="H633" s="286"/>
    </row>
    <row r="634" spans="1:8" ht="15">
      <c r="A634" s="286"/>
      <c r="B634" s="286"/>
      <c r="C634" s="286"/>
      <c r="D634" s="286"/>
      <c r="E634" s="286"/>
      <c r="F634" s="286"/>
      <c r="G634" s="286"/>
      <c r="H634" s="286"/>
    </row>
    <row r="635" spans="1:8" ht="15">
      <c r="A635" s="286"/>
      <c r="B635" s="286"/>
      <c r="C635" s="286"/>
      <c r="D635" s="286"/>
      <c r="E635" s="286"/>
      <c r="F635" s="286"/>
      <c r="G635" s="286"/>
      <c r="H635" s="286"/>
    </row>
    <row r="636" spans="1:8" ht="15">
      <c r="A636" s="286"/>
      <c r="B636" s="286"/>
      <c r="C636" s="286"/>
      <c r="D636" s="286"/>
      <c r="E636" s="286"/>
      <c r="F636" s="286"/>
      <c r="G636" s="286"/>
      <c r="H636" s="286"/>
    </row>
    <row r="637" spans="1:8" ht="15">
      <c r="A637" s="286"/>
      <c r="B637" s="286"/>
      <c r="C637" s="286"/>
      <c r="D637" s="286"/>
      <c r="E637" s="286"/>
      <c r="F637" s="286"/>
      <c r="G637" s="286"/>
      <c r="H637" s="286"/>
    </row>
    <row r="638" spans="1:8" ht="15">
      <c r="A638" s="286"/>
      <c r="B638" s="286"/>
      <c r="C638" s="286"/>
      <c r="D638" s="286"/>
      <c r="E638" s="286"/>
      <c r="F638" s="286"/>
      <c r="G638" s="286"/>
      <c r="H638" s="286"/>
    </row>
    <row r="639" spans="1:8" ht="15">
      <c r="A639" s="286"/>
      <c r="B639" s="286"/>
      <c r="C639" s="286"/>
      <c r="D639" s="286"/>
      <c r="E639" s="286"/>
      <c r="F639" s="286"/>
      <c r="G639" s="286"/>
      <c r="H639" s="286"/>
    </row>
    <row r="640" spans="1:8" ht="15">
      <c r="A640" s="286"/>
      <c r="B640" s="286"/>
      <c r="C640" s="286"/>
      <c r="D640" s="286"/>
      <c r="E640" s="286"/>
      <c r="F640" s="286"/>
      <c r="G640" s="286"/>
      <c r="H640" s="286"/>
    </row>
    <row r="641" spans="1:8" ht="15">
      <c r="A641" s="286"/>
      <c r="B641" s="286"/>
      <c r="C641" s="286"/>
      <c r="D641" s="286"/>
      <c r="E641" s="286"/>
      <c r="F641" s="286"/>
      <c r="G641" s="286"/>
      <c r="H641" s="286"/>
    </row>
    <row r="642" spans="1:8" ht="15">
      <c r="A642" s="286"/>
      <c r="B642" s="286"/>
      <c r="C642" s="286"/>
      <c r="D642" s="286"/>
      <c r="E642" s="286"/>
      <c r="F642" s="286"/>
      <c r="G642" s="286"/>
      <c r="H642" s="286"/>
    </row>
    <row r="643" spans="1:8" ht="15">
      <c r="A643" s="286"/>
      <c r="B643" s="286"/>
      <c r="C643" s="286"/>
      <c r="D643" s="286"/>
      <c r="E643" s="286"/>
      <c r="F643" s="286"/>
      <c r="G643" s="286"/>
      <c r="H643" s="286"/>
    </row>
    <row r="644" spans="1:8" ht="15">
      <c r="A644" s="286"/>
      <c r="B644" s="286"/>
      <c r="C644" s="286"/>
      <c r="D644" s="286"/>
      <c r="E644" s="286"/>
      <c r="F644" s="286"/>
      <c r="G644" s="286"/>
      <c r="H644" s="286"/>
    </row>
    <row r="645" spans="1:8" ht="15">
      <c r="A645" s="286"/>
      <c r="B645" s="286"/>
      <c r="C645" s="286"/>
      <c r="D645" s="286"/>
      <c r="E645" s="286"/>
      <c r="F645" s="286"/>
      <c r="G645" s="286"/>
      <c r="H645" s="286"/>
    </row>
    <row r="646" spans="1:8" ht="15">
      <c r="A646" s="286"/>
      <c r="B646" s="286"/>
      <c r="C646" s="286"/>
      <c r="D646" s="286"/>
      <c r="E646" s="286"/>
      <c r="F646" s="286"/>
      <c r="G646" s="286"/>
      <c r="H646" s="286"/>
    </row>
    <row r="647" spans="1:8" ht="15">
      <c r="A647" s="286"/>
      <c r="B647" s="286"/>
      <c r="C647" s="286"/>
      <c r="D647" s="286"/>
      <c r="E647" s="286"/>
      <c r="F647" s="286"/>
      <c r="G647" s="286"/>
      <c r="H647" s="286"/>
    </row>
    <row r="648" spans="1:8" ht="15">
      <c r="A648" s="286"/>
      <c r="B648" s="286"/>
      <c r="C648" s="286"/>
      <c r="D648" s="286"/>
      <c r="E648" s="286"/>
      <c r="F648" s="286"/>
      <c r="G648" s="286"/>
      <c r="H648" s="286"/>
    </row>
    <row r="649" spans="1:8" ht="15">
      <c r="A649" s="286"/>
      <c r="B649" s="286"/>
      <c r="C649" s="286"/>
      <c r="D649" s="286"/>
      <c r="E649" s="286"/>
      <c r="F649" s="286"/>
      <c r="G649" s="286"/>
      <c r="H649" s="286"/>
    </row>
    <row r="650" spans="1:8" ht="15">
      <c r="A650" s="286"/>
      <c r="B650" s="286"/>
      <c r="C650" s="286"/>
      <c r="D650" s="286"/>
      <c r="E650" s="286"/>
      <c r="F650" s="286"/>
      <c r="G650" s="286"/>
      <c r="H650" s="286"/>
    </row>
    <row r="651" spans="1:8" ht="15">
      <c r="A651" s="286"/>
      <c r="B651" s="286"/>
      <c r="C651" s="286"/>
      <c r="D651" s="286"/>
      <c r="E651" s="286"/>
      <c r="F651" s="286"/>
      <c r="G651" s="286"/>
      <c r="H651" s="286"/>
    </row>
    <row r="652" spans="1:8" ht="15">
      <c r="A652" s="286"/>
      <c r="B652" s="286"/>
      <c r="C652" s="286"/>
      <c r="D652" s="286"/>
      <c r="E652" s="286"/>
      <c r="F652" s="286"/>
      <c r="G652" s="286"/>
      <c r="H652" s="286"/>
    </row>
    <row r="653" spans="1:8" ht="15">
      <c r="A653" s="286"/>
      <c r="B653" s="286"/>
      <c r="C653" s="286"/>
      <c r="D653" s="286"/>
      <c r="E653" s="286"/>
      <c r="F653" s="286"/>
      <c r="G653" s="286"/>
      <c r="H653" s="286"/>
    </row>
    <row r="654" spans="1:8" ht="15">
      <c r="A654" s="286"/>
      <c r="B654" s="286"/>
      <c r="C654" s="286"/>
      <c r="D654" s="286"/>
      <c r="E654" s="286"/>
      <c r="F654" s="286"/>
      <c r="G654" s="286"/>
      <c r="H654" s="286"/>
    </row>
    <row r="655" spans="1:8" ht="15">
      <c r="A655" s="286"/>
      <c r="B655" s="286"/>
      <c r="C655" s="286"/>
      <c r="D655" s="286"/>
      <c r="E655" s="286"/>
      <c r="F655" s="286"/>
      <c r="G655" s="286"/>
      <c r="H655" s="286"/>
    </row>
    <row r="656" spans="1:8" ht="15">
      <c r="A656" s="286"/>
      <c r="B656" s="286"/>
      <c r="C656" s="286"/>
      <c r="D656" s="286"/>
      <c r="E656" s="286"/>
      <c r="F656" s="286"/>
      <c r="G656" s="286"/>
      <c r="H656" s="286"/>
    </row>
    <row r="657" spans="1:8" ht="15">
      <c r="A657" s="286"/>
      <c r="B657" s="286"/>
      <c r="C657" s="286"/>
      <c r="D657" s="286"/>
      <c r="E657" s="286"/>
      <c r="F657" s="286"/>
      <c r="G657" s="286"/>
      <c r="H657" s="286"/>
    </row>
    <row r="658" spans="1:8" ht="15">
      <c r="A658" s="286"/>
      <c r="B658" s="286"/>
      <c r="C658" s="286"/>
      <c r="D658" s="286"/>
      <c r="E658" s="286"/>
      <c r="F658" s="286"/>
      <c r="G658" s="286"/>
      <c r="H658" s="286"/>
    </row>
    <row r="659" spans="1:8" ht="15">
      <c r="A659" s="286"/>
      <c r="B659" s="286"/>
      <c r="C659" s="286"/>
      <c r="D659" s="286"/>
      <c r="E659" s="286"/>
      <c r="F659" s="286"/>
      <c r="G659" s="286"/>
      <c r="H659" s="286"/>
    </row>
    <row r="660" spans="1:8" ht="15">
      <c r="A660" s="286"/>
      <c r="B660" s="286"/>
      <c r="C660" s="286"/>
      <c r="D660" s="286"/>
      <c r="E660" s="286"/>
      <c r="F660" s="286"/>
      <c r="G660" s="286"/>
      <c r="H660" s="286"/>
    </row>
    <row r="661" spans="1:8" ht="15">
      <c r="A661" s="286"/>
      <c r="B661" s="286"/>
      <c r="C661" s="286"/>
      <c r="D661" s="286"/>
      <c r="E661" s="286"/>
      <c r="F661" s="286"/>
      <c r="G661" s="286"/>
      <c r="H661" s="286"/>
    </row>
    <row r="662" spans="1:8" ht="15">
      <c r="A662" s="286"/>
      <c r="B662" s="286"/>
      <c r="C662" s="286"/>
      <c r="D662" s="286"/>
      <c r="E662" s="286"/>
      <c r="F662" s="286"/>
      <c r="G662" s="286"/>
      <c r="H662" s="286"/>
    </row>
    <row r="663" spans="1:8" ht="15">
      <c r="A663" s="286"/>
      <c r="B663" s="286"/>
      <c r="C663" s="286"/>
      <c r="D663" s="286"/>
      <c r="E663" s="286"/>
      <c r="F663" s="286"/>
      <c r="G663" s="286"/>
      <c r="H663" s="286"/>
    </row>
    <row r="664" spans="1:8" ht="15">
      <c r="A664" s="286"/>
      <c r="B664" s="286"/>
      <c r="C664" s="286"/>
      <c r="D664" s="286"/>
      <c r="E664" s="286"/>
      <c r="F664" s="286"/>
      <c r="G664" s="286"/>
      <c r="H664" s="286"/>
    </row>
    <row r="665" spans="1:8" ht="15">
      <c r="A665" s="286"/>
      <c r="B665" s="286"/>
      <c r="C665" s="286"/>
      <c r="D665" s="286"/>
      <c r="E665" s="286"/>
      <c r="F665" s="286"/>
      <c r="G665" s="286"/>
      <c r="H665" s="286"/>
    </row>
    <row r="666" spans="1:8" ht="15">
      <c r="A666" s="286"/>
      <c r="B666" s="286"/>
      <c r="C666" s="286"/>
      <c r="D666" s="286"/>
      <c r="E666" s="286"/>
      <c r="F666" s="286"/>
      <c r="G666" s="286"/>
      <c r="H666" s="286"/>
    </row>
    <row r="667" spans="1:8" ht="15">
      <c r="A667" s="286"/>
      <c r="B667" s="286"/>
      <c r="C667" s="286"/>
      <c r="D667" s="286"/>
      <c r="E667" s="286"/>
      <c r="F667" s="286"/>
      <c r="G667" s="286"/>
      <c r="H667" s="286"/>
    </row>
    <row r="668" spans="1:8" ht="15">
      <c r="A668" s="286"/>
      <c r="B668" s="286"/>
      <c r="C668" s="286"/>
      <c r="D668" s="286"/>
      <c r="E668" s="286"/>
      <c r="F668" s="286"/>
      <c r="G668" s="286"/>
      <c r="H668" s="286"/>
    </row>
    <row r="669" spans="1:8" ht="15">
      <c r="A669" s="286"/>
      <c r="B669" s="286"/>
      <c r="C669" s="286"/>
      <c r="D669" s="286"/>
      <c r="E669" s="286"/>
      <c r="F669" s="286"/>
      <c r="G669" s="286"/>
      <c r="H669" s="286"/>
    </row>
    <row r="670" spans="1:8" ht="15">
      <c r="A670" s="286"/>
      <c r="B670" s="286"/>
      <c r="C670" s="286"/>
      <c r="D670" s="286"/>
      <c r="E670" s="286"/>
      <c r="F670" s="286"/>
      <c r="G670" s="286"/>
      <c r="H670" s="286"/>
    </row>
    <row r="671" spans="1:8" ht="15">
      <c r="A671" s="286"/>
      <c r="B671" s="286"/>
      <c r="C671" s="286"/>
      <c r="D671" s="286"/>
      <c r="E671" s="286"/>
      <c r="F671" s="286"/>
      <c r="G671" s="286"/>
      <c r="H671" s="286"/>
    </row>
    <row r="672" spans="1:8" ht="15">
      <c r="A672" s="286"/>
      <c r="B672" s="286"/>
      <c r="C672" s="286"/>
      <c r="D672" s="286"/>
      <c r="E672" s="286"/>
      <c r="F672" s="286"/>
      <c r="G672" s="286"/>
      <c r="H672" s="286"/>
    </row>
    <row r="673" spans="1:8" ht="15">
      <c r="A673" s="286"/>
      <c r="B673" s="286"/>
      <c r="C673" s="286"/>
      <c r="D673" s="286"/>
      <c r="E673" s="286"/>
      <c r="F673" s="286"/>
      <c r="G673" s="286"/>
      <c r="H673" s="286"/>
    </row>
    <row r="674" spans="1:8" ht="15">
      <c r="A674" s="286"/>
      <c r="B674" s="286"/>
      <c r="C674" s="286"/>
      <c r="D674" s="286"/>
      <c r="E674" s="286"/>
      <c r="F674" s="286"/>
      <c r="G674" s="286"/>
      <c r="H674" s="286"/>
    </row>
    <row r="675" spans="1:8" ht="15">
      <c r="A675" s="286"/>
      <c r="B675" s="286"/>
      <c r="C675" s="286"/>
      <c r="D675" s="286"/>
      <c r="E675" s="286"/>
      <c r="F675" s="286"/>
      <c r="G675" s="286"/>
      <c r="H675" s="286"/>
    </row>
    <row r="676" spans="1:8" ht="15">
      <c r="A676" s="286"/>
      <c r="B676" s="286"/>
      <c r="C676" s="286"/>
      <c r="D676" s="286"/>
      <c r="E676" s="286"/>
      <c r="F676" s="286"/>
      <c r="G676" s="286"/>
      <c r="H676" s="286"/>
    </row>
    <row r="677" spans="1:8" ht="15">
      <c r="A677" s="286"/>
      <c r="B677" s="286"/>
      <c r="C677" s="286"/>
      <c r="D677" s="286"/>
      <c r="E677" s="286"/>
      <c r="F677" s="286"/>
      <c r="G677" s="286"/>
      <c r="H677" s="286"/>
    </row>
    <row r="678" spans="1:8" ht="15">
      <c r="A678" s="286"/>
      <c r="B678" s="286"/>
      <c r="C678" s="286"/>
      <c r="D678" s="286"/>
      <c r="E678" s="286"/>
      <c r="F678" s="286"/>
      <c r="G678" s="286"/>
      <c r="H678" s="286"/>
    </row>
    <row r="679" spans="1:8" ht="15">
      <c r="A679" s="286"/>
      <c r="B679" s="286"/>
      <c r="C679" s="286"/>
      <c r="D679" s="286"/>
      <c r="E679" s="286"/>
      <c r="F679" s="286"/>
      <c r="G679" s="286"/>
      <c r="H679" s="286"/>
    </row>
    <row r="680" spans="1:8" ht="15">
      <c r="A680" s="286"/>
      <c r="B680" s="286"/>
      <c r="C680" s="286"/>
      <c r="D680" s="286"/>
      <c r="E680" s="286"/>
      <c r="F680" s="286"/>
      <c r="G680" s="286"/>
      <c r="H680" s="286"/>
    </row>
    <row r="681" spans="1:8" ht="15">
      <c r="A681" s="286"/>
      <c r="B681" s="286"/>
      <c r="C681" s="286"/>
      <c r="D681" s="286"/>
      <c r="E681" s="286"/>
      <c r="F681" s="286"/>
      <c r="G681" s="286"/>
      <c r="H681" s="286"/>
    </row>
    <row r="682" spans="1:8" ht="15">
      <c r="A682" s="286"/>
      <c r="B682" s="286"/>
      <c r="C682" s="286"/>
      <c r="D682" s="286"/>
      <c r="E682" s="286"/>
      <c r="F682" s="286"/>
      <c r="G682" s="286"/>
      <c r="H682" s="286"/>
    </row>
    <row r="683" spans="1:8" ht="15">
      <c r="A683" s="286"/>
      <c r="B683" s="286"/>
      <c r="C683" s="286"/>
      <c r="D683" s="286"/>
      <c r="E683" s="286"/>
      <c r="F683" s="286"/>
      <c r="G683" s="286"/>
      <c r="H683" s="286"/>
    </row>
    <row r="684" spans="1:8" ht="15">
      <c r="A684" s="286"/>
      <c r="B684" s="286"/>
      <c r="C684" s="286"/>
      <c r="D684" s="286"/>
      <c r="E684" s="286"/>
      <c r="F684" s="286"/>
      <c r="G684" s="286"/>
      <c r="H684" s="286"/>
    </row>
    <row r="685" spans="1:8" ht="15">
      <c r="A685" s="286"/>
      <c r="B685" s="286"/>
      <c r="C685" s="286"/>
      <c r="D685" s="286"/>
      <c r="E685" s="286"/>
      <c r="F685" s="286"/>
      <c r="G685" s="286"/>
      <c r="H685" s="286"/>
    </row>
    <row r="686" spans="1:8" ht="15">
      <c r="A686" s="286"/>
      <c r="B686" s="286"/>
      <c r="C686" s="286"/>
      <c r="D686" s="286"/>
      <c r="E686" s="286"/>
      <c r="F686" s="286"/>
      <c r="G686" s="286"/>
      <c r="H686" s="286"/>
    </row>
    <row r="687" spans="1:8" ht="15">
      <c r="A687" s="286"/>
      <c r="B687" s="286"/>
      <c r="C687" s="286"/>
      <c r="D687" s="286"/>
      <c r="E687" s="286"/>
      <c r="F687" s="286"/>
      <c r="G687" s="286"/>
      <c r="H687" s="286"/>
    </row>
    <row r="688" spans="1:8" ht="15">
      <c r="A688" s="286"/>
      <c r="B688" s="286"/>
      <c r="C688" s="286"/>
      <c r="D688" s="286"/>
      <c r="E688" s="286"/>
      <c r="F688" s="286"/>
      <c r="G688" s="286"/>
      <c r="H688" s="286"/>
    </row>
    <row r="689" spans="1:8" ht="15">
      <c r="A689" s="286"/>
      <c r="B689" s="286"/>
      <c r="C689" s="286"/>
      <c r="D689" s="286"/>
      <c r="E689" s="286"/>
      <c r="F689" s="286"/>
      <c r="G689" s="286"/>
      <c r="H689" s="286"/>
    </row>
    <row r="690" spans="1:8" ht="15">
      <c r="A690" s="286"/>
      <c r="B690" s="286"/>
      <c r="C690" s="286"/>
      <c r="D690" s="286"/>
      <c r="E690" s="286"/>
      <c r="F690" s="286"/>
      <c r="G690" s="286"/>
      <c r="H690" s="286"/>
    </row>
    <row r="691" spans="1:8" ht="15">
      <c r="A691" s="286"/>
      <c r="B691" s="286"/>
      <c r="C691" s="286"/>
      <c r="D691" s="286"/>
      <c r="E691" s="286"/>
      <c r="F691" s="286"/>
      <c r="G691" s="286"/>
      <c r="H691" s="286"/>
    </row>
    <row r="692" spans="1:8" ht="15">
      <c r="A692" s="286"/>
      <c r="B692" s="286"/>
      <c r="C692" s="286"/>
      <c r="D692" s="286"/>
      <c r="E692" s="286"/>
      <c r="F692" s="286"/>
      <c r="G692" s="286"/>
      <c r="H692" s="286"/>
    </row>
    <row r="693" spans="1:8" ht="15">
      <c r="A693" s="286"/>
      <c r="B693" s="286"/>
      <c r="C693" s="286"/>
      <c r="D693" s="286"/>
      <c r="E693" s="286"/>
      <c r="F693" s="286"/>
      <c r="G693" s="286"/>
      <c r="H693" s="286"/>
    </row>
    <row r="694" spans="1:8" ht="15">
      <c r="A694" s="286"/>
      <c r="B694" s="286"/>
      <c r="C694" s="286"/>
      <c r="D694" s="286"/>
      <c r="E694" s="286"/>
      <c r="F694" s="286"/>
      <c r="G694" s="286"/>
      <c r="H694" s="286"/>
    </row>
    <row r="695" spans="1:8" ht="15">
      <c r="A695" s="286"/>
      <c r="B695" s="286"/>
      <c r="C695" s="286"/>
      <c r="D695" s="286"/>
      <c r="E695" s="286"/>
      <c r="F695" s="286"/>
      <c r="G695" s="286"/>
      <c r="H695" s="286"/>
    </row>
    <row r="696" spans="1:8" ht="15">
      <c r="A696" s="286"/>
      <c r="B696" s="286"/>
      <c r="C696" s="286"/>
      <c r="D696" s="286"/>
      <c r="E696" s="286"/>
      <c r="F696" s="286"/>
      <c r="G696" s="286"/>
      <c r="H696" s="286"/>
    </row>
    <row r="697" spans="1:8" ht="15">
      <c r="A697" s="286"/>
      <c r="B697" s="286"/>
      <c r="C697" s="286"/>
      <c r="D697" s="286"/>
      <c r="E697" s="286"/>
      <c r="F697" s="286"/>
      <c r="G697" s="286"/>
      <c r="H697" s="286"/>
    </row>
    <row r="698" spans="1:8" ht="15">
      <c r="A698" s="286"/>
      <c r="B698" s="286"/>
      <c r="C698" s="286"/>
      <c r="D698" s="286"/>
      <c r="E698" s="286"/>
      <c r="F698" s="286"/>
      <c r="G698" s="286"/>
      <c r="H698" s="286"/>
    </row>
    <row r="699" spans="1:8" ht="15">
      <c r="A699" s="286"/>
      <c r="B699" s="286"/>
      <c r="C699" s="286"/>
      <c r="D699" s="286"/>
      <c r="E699" s="286"/>
      <c r="F699" s="286"/>
      <c r="G699" s="286"/>
      <c r="H699" s="286"/>
    </row>
    <row r="700" spans="1:8" ht="15">
      <c r="A700" s="286"/>
      <c r="B700" s="286"/>
      <c r="C700" s="286"/>
      <c r="D700" s="286"/>
      <c r="E700" s="286"/>
      <c r="F700" s="286"/>
      <c r="G700" s="286"/>
      <c r="H700" s="286"/>
    </row>
    <row r="701" spans="1:8" ht="15">
      <c r="A701" s="286"/>
      <c r="B701" s="286"/>
      <c r="C701" s="286"/>
      <c r="D701" s="286"/>
      <c r="E701" s="286"/>
      <c r="F701" s="286"/>
      <c r="G701" s="286"/>
      <c r="H701" s="286"/>
    </row>
    <row r="702" spans="1:8" ht="15">
      <c r="A702" s="286"/>
      <c r="B702" s="286"/>
      <c r="C702" s="286"/>
      <c r="D702" s="286"/>
      <c r="E702" s="286"/>
      <c r="F702" s="286"/>
      <c r="G702" s="286"/>
      <c r="H702" s="286"/>
    </row>
    <row r="703" spans="1:8" ht="15">
      <c r="A703" s="286"/>
      <c r="B703" s="286"/>
      <c r="C703" s="286"/>
      <c r="D703" s="286"/>
      <c r="E703" s="286"/>
      <c r="F703" s="286"/>
      <c r="G703" s="286"/>
      <c r="H703" s="286"/>
    </row>
    <row r="704" spans="1:8" ht="15">
      <c r="A704" s="286"/>
      <c r="B704" s="286"/>
      <c r="C704" s="286"/>
      <c r="D704" s="286"/>
      <c r="E704" s="286"/>
      <c r="F704" s="286"/>
      <c r="G704" s="286"/>
      <c r="H704" s="286"/>
    </row>
    <row r="705" spans="1:8" ht="15">
      <c r="A705" s="286"/>
      <c r="B705" s="286"/>
      <c r="C705" s="286"/>
      <c r="D705" s="286"/>
      <c r="E705" s="286"/>
      <c r="F705" s="286"/>
      <c r="G705" s="286"/>
      <c r="H705" s="286"/>
    </row>
    <row r="706" spans="1:8" ht="15">
      <c r="A706" s="286"/>
      <c r="B706" s="286"/>
      <c r="C706" s="286"/>
      <c r="D706" s="286"/>
      <c r="E706" s="286"/>
      <c r="F706" s="286"/>
      <c r="G706" s="286"/>
      <c r="H706" s="286"/>
    </row>
    <row r="707" spans="1:8" ht="15">
      <c r="A707" s="286"/>
      <c r="B707" s="286"/>
      <c r="C707" s="286"/>
      <c r="D707" s="286"/>
      <c r="E707" s="286"/>
      <c r="F707" s="286"/>
      <c r="G707" s="286"/>
      <c r="H707" s="286"/>
    </row>
    <row r="708" spans="1:8" ht="15">
      <c r="A708" s="286"/>
      <c r="B708" s="286"/>
      <c r="C708" s="286"/>
      <c r="D708" s="286"/>
      <c r="E708" s="286"/>
      <c r="F708" s="286"/>
      <c r="G708" s="286"/>
      <c r="H708" s="286"/>
    </row>
    <row r="709" spans="1:8" ht="15">
      <c r="A709" s="286"/>
      <c r="B709" s="286"/>
      <c r="C709" s="286"/>
      <c r="D709" s="286"/>
      <c r="E709" s="286"/>
      <c r="F709" s="286"/>
      <c r="G709" s="286"/>
      <c r="H709" s="286"/>
    </row>
    <row r="710" spans="1:8" ht="15">
      <c r="A710" s="286"/>
      <c r="B710" s="286"/>
      <c r="C710" s="286"/>
      <c r="D710" s="286"/>
      <c r="E710" s="286"/>
      <c r="F710" s="286"/>
      <c r="G710" s="286"/>
      <c r="H710" s="286"/>
    </row>
    <row r="711" spans="1:8" ht="15">
      <c r="A711" s="286"/>
      <c r="B711" s="286"/>
      <c r="C711" s="286"/>
      <c r="D711" s="286"/>
      <c r="E711" s="286"/>
      <c r="F711" s="286"/>
      <c r="G711" s="286"/>
      <c r="H711" s="286"/>
    </row>
    <row r="712" spans="1:8" ht="15">
      <c r="A712" s="286"/>
      <c r="B712" s="286"/>
      <c r="C712" s="286"/>
      <c r="D712" s="286"/>
      <c r="E712" s="286"/>
      <c r="F712" s="286"/>
      <c r="G712" s="286"/>
      <c r="H712" s="286"/>
    </row>
    <row r="713" spans="1:8" ht="15">
      <c r="A713" s="286"/>
      <c r="B713" s="286"/>
      <c r="C713" s="286"/>
      <c r="D713" s="286"/>
      <c r="E713" s="286"/>
      <c r="F713" s="286"/>
      <c r="G713" s="286"/>
      <c r="H713" s="286"/>
    </row>
    <row r="714" spans="1:8" ht="15">
      <c r="A714" s="286"/>
      <c r="B714" s="286"/>
      <c r="C714" s="286"/>
      <c r="D714" s="286"/>
      <c r="E714" s="286"/>
      <c r="F714" s="286"/>
      <c r="G714" s="286"/>
      <c r="H714" s="286"/>
    </row>
    <row r="715" spans="1:8" ht="15">
      <c r="A715" s="286"/>
      <c r="B715" s="286"/>
      <c r="C715" s="286"/>
      <c r="D715" s="286"/>
      <c r="E715" s="286"/>
      <c r="F715" s="286"/>
      <c r="G715" s="286"/>
      <c r="H715" s="286"/>
    </row>
    <row r="716" spans="1:8" ht="15">
      <c r="A716" s="286"/>
      <c r="B716" s="286"/>
      <c r="C716" s="286"/>
      <c r="D716" s="286"/>
      <c r="E716" s="286"/>
      <c r="F716" s="286"/>
      <c r="G716" s="286"/>
      <c r="H716" s="286"/>
    </row>
    <row r="717" spans="1:8" ht="15">
      <c r="A717" s="286"/>
      <c r="B717" s="286"/>
      <c r="C717" s="286"/>
      <c r="D717" s="286"/>
      <c r="E717" s="286"/>
      <c r="F717" s="286"/>
      <c r="G717" s="286"/>
      <c r="H717" s="286"/>
    </row>
    <row r="718" spans="1:8" ht="15">
      <c r="A718" s="286"/>
      <c r="B718" s="286"/>
      <c r="C718" s="286"/>
      <c r="D718" s="286"/>
      <c r="E718" s="286"/>
      <c r="F718" s="286"/>
      <c r="G718" s="286"/>
      <c r="H718" s="286"/>
    </row>
    <row r="719" spans="1:8" ht="15">
      <c r="A719" s="286"/>
      <c r="B719" s="286"/>
      <c r="C719" s="286"/>
      <c r="D719" s="286"/>
      <c r="E719" s="286"/>
      <c r="F719" s="286"/>
      <c r="G719" s="286"/>
      <c r="H719" s="286"/>
    </row>
    <row r="720" spans="1:8" ht="15">
      <c r="A720" s="286"/>
      <c r="B720" s="286"/>
      <c r="C720" s="286"/>
      <c r="D720" s="286"/>
      <c r="E720" s="286"/>
      <c r="F720" s="286"/>
      <c r="G720" s="286"/>
      <c r="H720" s="286"/>
    </row>
    <row r="721" spans="1:8" ht="15">
      <c r="A721" s="286"/>
      <c r="B721" s="286"/>
      <c r="C721" s="286"/>
      <c r="D721" s="286"/>
      <c r="E721" s="286"/>
      <c r="F721" s="286"/>
      <c r="G721" s="286"/>
      <c r="H721" s="286"/>
    </row>
    <row r="722" spans="1:8" ht="15">
      <c r="A722" s="286"/>
      <c r="B722" s="286"/>
      <c r="C722" s="286"/>
      <c r="D722" s="286"/>
      <c r="E722" s="286"/>
      <c r="F722" s="286"/>
      <c r="G722" s="286"/>
      <c r="H722" s="286"/>
    </row>
    <row r="723" spans="1:8" ht="15">
      <c r="A723" s="286"/>
      <c r="B723" s="286"/>
      <c r="C723" s="286"/>
      <c r="D723" s="286"/>
      <c r="E723" s="286"/>
      <c r="F723" s="286"/>
      <c r="G723" s="286"/>
      <c r="H723" s="286"/>
    </row>
    <row r="724" spans="1:8" ht="15">
      <c r="A724" s="286"/>
      <c r="B724" s="286"/>
      <c r="C724" s="286"/>
      <c r="D724" s="286"/>
      <c r="E724" s="286"/>
      <c r="F724" s="286"/>
      <c r="G724" s="286"/>
      <c r="H724" s="286"/>
    </row>
    <row r="725" spans="1:8" ht="15">
      <c r="A725" s="286"/>
      <c r="B725" s="286"/>
      <c r="C725" s="286"/>
      <c r="D725" s="286"/>
      <c r="E725" s="286"/>
      <c r="F725" s="286"/>
      <c r="G725" s="286"/>
      <c r="H725" s="286"/>
    </row>
    <row r="726" spans="1:8" ht="15">
      <c r="A726" s="286"/>
      <c r="B726" s="286"/>
      <c r="C726" s="286"/>
      <c r="D726" s="286"/>
      <c r="E726" s="286"/>
      <c r="F726" s="286"/>
      <c r="G726" s="286"/>
      <c r="H726" s="286"/>
    </row>
    <row r="727" spans="1:8" ht="15">
      <c r="A727" s="286"/>
      <c r="B727" s="286"/>
      <c r="C727" s="286"/>
      <c r="D727" s="286"/>
      <c r="E727" s="286"/>
      <c r="F727" s="286"/>
      <c r="G727" s="286"/>
      <c r="H727" s="286"/>
    </row>
    <row r="728" spans="1:8" ht="15">
      <c r="A728" s="286"/>
      <c r="B728" s="286"/>
      <c r="C728" s="286"/>
      <c r="D728" s="286"/>
      <c r="E728" s="286"/>
      <c r="F728" s="286"/>
      <c r="G728" s="286"/>
      <c r="H728" s="286"/>
    </row>
    <row r="729" spans="1:8" ht="15">
      <c r="A729" s="286"/>
      <c r="B729" s="286"/>
      <c r="C729" s="286"/>
      <c r="D729" s="286"/>
      <c r="E729" s="286"/>
      <c r="F729" s="286"/>
      <c r="G729" s="286"/>
      <c r="H729" s="286"/>
    </row>
    <row r="730" spans="1:8" ht="15">
      <c r="A730" s="286"/>
      <c r="B730" s="286"/>
      <c r="C730" s="286"/>
      <c r="D730" s="286"/>
      <c r="E730" s="286"/>
      <c r="F730" s="286"/>
      <c r="G730" s="286"/>
      <c r="H730" s="286"/>
    </row>
    <row r="731" spans="1:8" ht="15">
      <c r="A731" s="286"/>
      <c r="B731" s="286"/>
      <c r="C731" s="286"/>
      <c r="D731" s="286"/>
      <c r="E731" s="286"/>
      <c r="F731" s="286"/>
      <c r="G731" s="286"/>
      <c r="H731" s="286"/>
    </row>
    <row r="732" spans="1:8" ht="15">
      <c r="A732" s="286"/>
      <c r="B732" s="286"/>
      <c r="C732" s="286"/>
      <c r="D732" s="286"/>
      <c r="E732" s="286"/>
      <c r="F732" s="286"/>
      <c r="G732" s="286"/>
      <c r="H732" s="286"/>
    </row>
    <row r="733" spans="1:8" ht="15">
      <c r="A733" s="286"/>
      <c r="B733" s="286"/>
      <c r="C733" s="286"/>
      <c r="D733" s="286"/>
      <c r="E733" s="286"/>
      <c r="F733" s="286"/>
      <c r="G733" s="286"/>
      <c r="H733" s="286"/>
    </row>
    <row r="734" spans="1:8" ht="15">
      <c r="A734" s="286"/>
      <c r="B734" s="286"/>
      <c r="C734" s="286"/>
      <c r="D734" s="286"/>
      <c r="E734" s="286"/>
      <c r="F734" s="286"/>
      <c r="G734" s="286"/>
      <c r="H734" s="286"/>
    </row>
    <row r="735" spans="1:8" ht="15">
      <c r="A735" s="286"/>
      <c r="B735" s="286"/>
      <c r="C735" s="286"/>
      <c r="D735" s="286"/>
      <c r="E735" s="286"/>
      <c r="F735" s="286"/>
      <c r="G735" s="286"/>
      <c r="H735" s="286"/>
    </row>
    <row r="736" spans="1:8" ht="15">
      <c r="A736" s="286"/>
      <c r="B736" s="286"/>
      <c r="C736" s="286"/>
      <c r="D736" s="286"/>
      <c r="E736" s="286"/>
      <c r="F736" s="286"/>
      <c r="G736" s="286"/>
      <c r="H736" s="286"/>
    </row>
    <row r="737" spans="1:8" ht="15">
      <c r="A737" s="286"/>
      <c r="B737" s="286"/>
      <c r="C737" s="286"/>
      <c r="D737" s="286"/>
      <c r="E737" s="286"/>
      <c r="F737" s="286"/>
      <c r="G737" s="286"/>
      <c r="H737" s="286"/>
    </row>
    <row r="738" spans="1:8" ht="15">
      <c r="A738" s="286"/>
      <c r="B738" s="286"/>
      <c r="C738" s="286"/>
      <c r="D738" s="286"/>
      <c r="E738" s="286"/>
      <c r="F738" s="286"/>
      <c r="G738" s="286"/>
      <c r="H738" s="286"/>
    </row>
    <row r="739" spans="1:8" ht="15">
      <c r="A739" s="286"/>
      <c r="B739" s="286"/>
      <c r="C739" s="286"/>
      <c r="D739" s="286"/>
      <c r="E739" s="286"/>
      <c r="F739" s="286"/>
      <c r="G739" s="286"/>
      <c r="H739" s="286"/>
    </row>
    <row r="740" spans="1:8" ht="15">
      <c r="A740" s="286"/>
      <c r="B740" s="286"/>
      <c r="C740" s="286"/>
      <c r="D740" s="286"/>
      <c r="E740" s="286"/>
      <c r="F740" s="286"/>
      <c r="G740" s="286"/>
      <c r="H740" s="286"/>
    </row>
    <row r="741" spans="1:8" ht="15">
      <c r="A741" s="286"/>
      <c r="B741" s="286"/>
      <c r="C741" s="286"/>
      <c r="D741" s="286"/>
      <c r="E741" s="286"/>
      <c r="F741" s="286"/>
      <c r="G741" s="286"/>
      <c r="H741" s="286"/>
    </row>
    <row r="742" spans="1:8" ht="15">
      <c r="A742" s="286"/>
      <c r="B742" s="286"/>
      <c r="C742" s="286"/>
      <c r="D742" s="286"/>
      <c r="E742" s="286"/>
      <c r="F742" s="286"/>
      <c r="G742" s="286"/>
      <c r="H742" s="286"/>
    </row>
    <row r="743" spans="1:8" ht="15">
      <c r="A743" s="286"/>
      <c r="B743" s="286"/>
      <c r="C743" s="286"/>
      <c r="D743" s="286"/>
      <c r="E743" s="286"/>
      <c r="F743" s="286"/>
      <c r="G743" s="286"/>
      <c r="H743" s="286"/>
    </row>
    <row r="744" spans="1:8" ht="15">
      <c r="A744" s="286"/>
      <c r="B744" s="286"/>
      <c r="C744" s="286"/>
      <c r="D744" s="286"/>
      <c r="E744" s="286"/>
      <c r="F744" s="286"/>
      <c r="G744" s="286"/>
      <c r="H744" s="286"/>
    </row>
    <row r="745" spans="1:8" ht="15">
      <c r="A745" s="286"/>
      <c r="B745" s="286"/>
      <c r="C745" s="286"/>
      <c r="D745" s="286"/>
      <c r="E745" s="286"/>
      <c r="F745" s="286"/>
      <c r="G745" s="286"/>
      <c r="H745" s="286"/>
    </row>
    <row r="746" spans="1:8" ht="15">
      <c r="A746" s="286"/>
      <c r="B746" s="286"/>
      <c r="C746" s="286"/>
      <c r="D746" s="286"/>
      <c r="E746" s="286"/>
      <c r="F746" s="286"/>
      <c r="G746" s="286"/>
      <c r="H746" s="286"/>
    </row>
    <row r="747" spans="1:8" ht="15">
      <c r="A747" s="286"/>
      <c r="B747" s="286"/>
      <c r="C747" s="286"/>
      <c r="D747" s="286"/>
      <c r="E747" s="286"/>
      <c r="F747" s="286"/>
      <c r="G747" s="286"/>
      <c r="H747" s="286"/>
    </row>
    <row r="748" spans="1:8" ht="15">
      <c r="A748" s="286"/>
      <c r="B748" s="286"/>
      <c r="C748" s="286"/>
      <c r="D748" s="286"/>
      <c r="E748" s="286"/>
      <c r="F748" s="286"/>
      <c r="G748" s="286"/>
      <c r="H748" s="286"/>
    </row>
    <row r="749" spans="1:8" ht="15">
      <c r="A749" s="286"/>
      <c r="B749" s="286"/>
      <c r="C749" s="286"/>
      <c r="D749" s="286"/>
      <c r="E749" s="286"/>
      <c r="F749" s="286"/>
      <c r="G749" s="286"/>
      <c r="H749" s="286"/>
    </row>
    <row r="750" spans="1:8" ht="15">
      <c r="A750" s="286"/>
      <c r="B750" s="286"/>
      <c r="C750" s="286"/>
      <c r="D750" s="286"/>
      <c r="E750" s="286"/>
      <c r="F750" s="286"/>
      <c r="G750" s="286"/>
      <c r="H750" s="286"/>
    </row>
    <row r="751" spans="1:8" ht="15">
      <c r="A751" s="286"/>
      <c r="B751" s="286"/>
      <c r="C751" s="286"/>
      <c r="D751" s="286"/>
      <c r="E751" s="286"/>
      <c r="F751" s="286"/>
      <c r="G751" s="286"/>
      <c r="H751" s="286"/>
    </row>
    <row r="752" spans="1:8" ht="15">
      <c r="A752" s="286"/>
      <c r="B752" s="286"/>
      <c r="C752" s="286"/>
      <c r="D752" s="286"/>
      <c r="E752" s="286"/>
      <c r="F752" s="286"/>
      <c r="G752" s="286"/>
      <c r="H752" s="286"/>
    </row>
    <row r="753" spans="1:8" ht="15">
      <c r="A753" s="286"/>
      <c r="B753" s="286"/>
      <c r="C753" s="286"/>
      <c r="D753" s="286"/>
      <c r="E753" s="286"/>
      <c r="F753" s="286"/>
      <c r="G753" s="286"/>
      <c r="H753" s="286"/>
    </row>
    <row r="754" spans="1:8" ht="15">
      <c r="A754" s="286"/>
      <c r="B754" s="286"/>
      <c r="C754" s="286"/>
      <c r="D754" s="286"/>
      <c r="E754" s="286"/>
      <c r="F754" s="286"/>
      <c r="G754" s="286"/>
      <c r="H754" s="286"/>
    </row>
    <row r="755" spans="1:8" ht="15">
      <c r="A755" s="286"/>
      <c r="B755" s="286"/>
      <c r="C755" s="286"/>
      <c r="D755" s="286"/>
      <c r="E755" s="286"/>
      <c r="F755" s="286"/>
      <c r="G755" s="286"/>
      <c r="H755" s="286"/>
    </row>
    <row r="756" spans="1:8" ht="15">
      <c r="A756" s="286"/>
      <c r="B756" s="286"/>
      <c r="C756" s="286"/>
      <c r="D756" s="286"/>
      <c r="E756" s="286"/>
      <c r="F756" s="286"/>
      <c r="G756" s="286"/>
      <c r="H756" s="286"/>
    </row>
    <row r="757" spans="1:8" ht="15">
      <c r="A757" s="286"/>
      <c r="B757" s="286"/>
      <c r="C757" s="286"/>
      <c r="D757" s="286"/>
      <c r="E757" s="286"/>
      <c r="F757" s="286"/>
      <c r="G757" s="286"/>
      <c r="H757" s="286"/>
    </row>
    <row r="758" spans="1:8" ht="15">
      <c r="A758" s="286"/>
      <c r="B758" s="286"/>
      <c r="C758" s="286"/>
      <c r="D758" s="286"/>
      <c r="E758" s="286"/>
      <c r="F758" s="286"/>
      <c r="G758" s="286"/>
      <c r="H758" s="286"/>
    </row>
    <row r="759" spans="1:8" ht="15">
      <c r="A759" s="286"/>
      <c r="B759" s="286"/>
      <c r="C759" s="286"/>
      <c r="D759" s="286"/>
      <c r="E759" s="286"/>
      <c r="F759" s="286"/>
      <c r="G759" s="286"/>
      <c r="H759" s="286"/>
    </row>
    <row r="760" spans="1:8" ht="15">
      <c r="A760" s="286"/>
      <c r="B760" s="286"/>
      <c r="C760" s="286"/>
      <c r="D760" s="286"/>
      <c r="E760" s="286"/>
      <c r="F760" s="286"/>
      <c r="G760" s="286"/>
      <c r="H760" s="286"/>
    </row>
    <row r="761" spans="1:8" ht="15">
      <c r="A761" s="286"/>
      <c r="B761" s="286"/>
      <c r="C761" s="286"/>
      <c r="D761" s="286"/>
      <c r="E761" s="286"/>
      <c r="F761" s="286"/>
      <c r="G761" s="286"/>
      <c r="H761" s="286"/>
    </row>
    <row r="762" spans="1:8" ht="15">
      <c r="A762" s="286"/>
      <c r="B762" s="286"/>
      <c r="C762" s="286"/>
      <c r="D762" s="286"/>
      <c r="E762" s="286"/>
      <c r="F762" s="286"/>
      <c r="G762" s="286"/>
      <c r="H762" s="286"/>
    </row>
    <row r="763" spans="1:8" ht="15">
      <c r="A763" s="286"/>
      <c r="B763" s="286"/>
      <c r="C763" s="286"/>
      <c r="D763" s="286"/>
      <c r="E763" s="286"/>
      <c r="F763" s="286"/>
      <c r="G763" s="286"/>
      <c r="H763" s="286"/>
    </row>
    <row r="764" spans="1:8" ht="15">
      <c r="A764" s="286"/>
      <c r="B764" s="286"/>
      <c r="C764" s="286"/>
      <c r="D764" s="286"/>
      <c r="E764" s="286"/>
      <c r="F764" s="286"/>
      <c r="G764" s="286"/>
      <c r="H764" s="286"/>
    </row>
    <row r="765" spans="1:8" ht="15">
      <c r="A765" s="286"/>
      <c r="B765" s="286"/>
      <c r="C765" s="286"/>
      <c r="D765" s="286"/>
      <c r="E765" s="286"/>
      <c r="F765" s="286"/>
      <c r="G765" s="286"/>
      <c r="H765" s="286"/>
    </row>
    <row r="766" spans="1:8" ht="15">
      <c r="A766" s="286"/>
      <c r="B766" s="286"/>
      <c r="C766" s="286"/>
      <c r="D766" s="286"/>
      <c r="E766" s="286"/>
      <c r="F766" s="286"/>
      <c r="G766" s="286"/>
      <c r="H766" s="286"/>
    </row>
    <row r="767" spans="1:8" ht="15">
      <c r="A767" s="286"/>
      <c r="B767" s="286"/>
      <c r="C767" s="286"/>
      <c r="D767" s="286"/>
      <c r="E767" s="286"/>
      <c r="F767" s="286"/>
      <c r="G767" s="286"/>
      <c r="H767" s="286"/>
    </row>
  </sheetData>
  <mergeCells count="2">
    <mergeCell ref="A4:A6"/>
    <mergeCell ref="B4:B6"/>
  </mergeCells>
  <printOptions horizontalCentered="1" verticalCentered="1"/>
  <pageMargins left="0.5905511811023623" right="0.3937007874015748" top="0" bottom="0" header="0" footer="0"/>
  <pageSetup horizontalDpi="300" verticalDpi="300" orientation="portrait" scale="80" r:id="rId3"/>
  <headerFooter alignWithMargins="0">
    <oddFooter>&amp;CPágina &amp;P de &amp;N</oddFooter>
  </headerFooter>
  <rowBreaks count="7" manualBreakCount="7">
    <brk id="69" max="255" man="1"/>
    <brk id="104" max="7" man="1"/>
    <brk id="165" max="7" man="1"/>
    <brk id="228" max="7" man="1"/>
    <brk id="261" max="7" man="1"/>
    <brk id="320" max="7" man="1"/>
    <brk id="3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Bertha</cp:lastModifiedBy>
  <cp:lastPrinted>2007-12-14T05:48:58Z</cp:lastPrinted>
  <dcterms:created xsi:type="dcterms:W3CDTF">1996-11-27T10:00:04Z</dcterms:created>
  <dcterms:modified xsi:type="dcterms:W3CDTF">2007-12-14T05:49:04Z</dcterms:modified>
  <cp:category/>
  <cp:version/>
  <cp:contentType/>
  <cp:contentStatus/>
</cp:coreProperties>
</file>