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90" windowWidth="7980" windowHeight="6285" activeTab="3"/>
  </bookViews>
  <sheets>
    <sheet name="Por fuentes financiacion" sheetId="1" r:id="rId1"/>
    <sheet name="Resumen presupuesto ejecutado" sheetId="2" r:id="rId2"/>
    <sheet name="Eje Economico" sheetId="3" r:id="rId3"/>
    <sheet name="Eje social" sheetId="4" r:id="rId4"/>
    <sheet name="Eje instrumental" sheetId="5" r:id="rId5"/>
  </sheets>
  <definedNames>
    <definedName name="_xlnm.Print_Area" localSheetId="2">'Eje Economico'!$A$1:$Q$119</definedName>
    <definedName name="_xlnm.Print_Area" localSheetId="4">'Eje instrumental'!$A$1:$Q$928</definedName>
    <definedName name="_xlnm.Print_Area" localSheetId="3">'Eje social'!$A$1:$Q$682</definedName>
    <definedName name="_xlnm.Print_Area" localSheetId="0">'Por fuentes financiacion'!$A$1:$L$325</definedName>
    <definedName name="_xlnm.Print_Area" localSheetId="1">'Resumen presupuesto ejecutado'!$A$1:$I$334</definedName>
    <definedName name="_xlnm.Print_Titles" localSheetId="0">'Por fuentes financiacion'!$1:$1</definedName>
    <definedName name="_xlnm.Print_Titles" localSheetId="1">'Resumen presupuesto ejecutado'!$1:$1</definedName>
  </definedNames>
  <calcPr fullCalcOnLoad="1"/>
</workbook>
</file>

<file path=xl/comments3.xml><?xml version="1.0" encoding="utf-8"?>
<comments xmlns="http://schemas.openxmlformats.org/spreadsheetml/2006/main">
  <authors>
    <author>gob2003admin</author>
  </authors>
  <commentList>
    <comment ref="B44" authorId="0">
      <text>
        <r>
          <rPr>
            <b/>
            <sz val="8"/>
            <rFont val="Tahoma"/>
            <family val="0"/>
          </rPr>
          <t>gob2003admin:</t>
        </r>
        <r>
          <rPr>
            <sz val="8"/>
            <rFont val="Tahoma"/>
            <family val="0"/>
          </rPr>
          <t xml:space="preserve">
</t>
        </r>
      </text>
    </comment>
    <comment ref="B68" authorId="0">
      <text>
        <r>
          <rPr>
            <b/>
            <sz val="8"/>
            <rFont val="Tahoma"/>
            <family val="0"/>
          </rPr>
          <t>gob2003admin:</t>
        </r>
        <r>
          <rPr>
            <sz val="8"/>
            <rFont val="Tahoma"/>
            <family val="0"/>
          </rPr>
          <t xml:space="preserve">
</t>
        </r>
      </text>
    </comment>
    <comment ref="B92" authorId="0">
      <text>
        <r>
          <rPr>
            <b/>
            <sz val="8"/>
            <rFont val="Tahoma"/>
            <family val="0"/>
          </rPr>
          <t>gob2003admin:</t>
        </r>
        <r>
          <rPr>
            <sz val="8"/>
            <rFont val="Tahoma"/>
            <family val="0"/>
          </rPr>
          <t xml:space="preserve">
</t>
        </r>
      </text>
    </comment>
  </commentList>
</comments>
</file>

<file path=xl/comments5.xml><?xml version="1.0" encoding="utf-8"?>
<comments xmlns="http://schemas.openxmlformats.org/spreadsheetml/2006/main">
  <authors>
    <author>06062003</author>
    <author>PLANEACION</author>
  </authors>
  <commentList>
    <comment ref="O784" authorId="0">
      <text>
        <r>
          <rPr>
            <b/>
            <sz val="8"/>
            <rFont val="Tahoma"/>
            <family val="0"/>
          </rPr>
          <t>06062003:</t>
        </r>
        <r>
          <rPr>
            <sz val="8"/>
            <rFont val="Tahoma"/>
            <family val="0"/>
          </rPr>
          <t xml:space="preserve">
ya esta en el eje instrumental</t>
        </r>
      </text>
    </comment>
    <comment ref="I373" authorId="1">
      <text>
        <r>
          <rPr>
            <b/>
            <sz val="8"/>
            <rFont val="Tahoma"/>
            <family val="0"/>
          </rPr>
          <t>PLANEACION:</t>
        </r>
        <r>
          <rPr>
            <sz val="8"/>
            <rFont val="Tahoma"/>
            <family val="0"/>
          </rPr>
          <t xml:space="preserve">
aun no estan incorporados en el presupuesto municipal</t>
        </r>
      </text>
    </comment>
    <comment ref="B531" authorId="1">
      <text>
        <r>
          <rPr>
            <b/>
            <sz val="8"/>
            <rFont val="Tahoma"/>
            <family val="0"/>
          </rPr>
          <t>PLANEACION:</t>
        </r>
        <r>
          <rPr>
            <sz val="8"/>
            <rFont val="Tahoma"/>
            <family val="0"/>
          </rPr>
          <t xml:space="preserve">
ojo sacar </t>
        </r>
      </text>
    </comment>
  </commentList>
</comments>
</file>

<file path=xl/sharedStrings.xml><?xml version="1.0" encoding="utf-8"?>
<sst xmlns="http://schemas.openxmlformats.org/spreadsheetml/2006/main" count="3323" uniqueCount="852">
  <si>
    <t xml:space="preserve">Disminuir  al termino del periodo  de gobierno el porcentaje del 20 % al 10%,es decir 847 casos menos, de población infantil que poseen problemas de maltrato infantil,  desnutrición, abuso sexual mediante la vinculación a programas de protecciòn al menor.y cuidado integral al menor vulnerado </t>
  </si>
  <si>
    <t>Lograr  al termino del periodo de gobierno crear y mantener funcionando la Secretaria de Desarrollo Social, con el fin de centralizar todos los programas sociales que desarrolle el municipio, y de igual manera lograr que atienda las necesidades y  brinde bienestar a la población en general, dando prioridad a los grupos que representan mayor vulnerabilidad (17,102 habitantes niveles 1 y 2 del SISBEN).</t>
  </si>
  <si>
    <t>Lograr al finalizar el periodo de gobierno(2 años) que no se creen ni fortalezcan grupos al marge de la ley; que puedan colocar en riesgo la seguridad de los menores de nuestro municipio</t>
  </si>
  <si>
    <t>Lograr  al termino del periodo de gobierno aumetar la cobertura del 60% al  70% es decir 280 familias nuevas, con servicio de luz eléctricas en las veredas</t>
  </si>
  <si>
    <t>Aumentar  al termino del periodo de gobierno del 30% al  55%, el número de veredas que cuenten con teléfono comunal( aumentar 18 veredas) , lo cual beneficiara a  1.680 nuevas personas.</t>
  </si>
  <si>
    <t>Al termino del periodo de gobierno aumentar del 11% al 20%, es decir  1.000 nuevas familias con beneficios en mejoramiento de vivienda rural y urbana a fin de mejorar sus condiciones de calidad de vida y su NBI en vivienda.</t>
  </si>
  <si>
    <t>Conv 278-07  construccion y puesta en marcha de planta de tratamiento de residuos solidos</t>
  </si>
  <si>
    <t>Mantenimiento, renovacion y ampliación alcantarillado urbano</t>
  </si>
  <si>
    <t>Mantenimiento,ampliación alcantarillado corregimiento de pasuncha</t>
  </si>
  <si>
    <t>Alcantarillado</t>
  </si>
  <si>
    <t>Total alcantarillado</t>
  </si>
  <si>
    <t>Residuos solidos</t>
  </si>
  <si>
    <t>Manejo y aprovechamiento y disposición final de residuos sólidos</t>
  </si>
  <si>
    <t>Total residuos solidos</t>
  </si>
  <si>
    <t>Proteccion de fuentes hidricas</t>
  </si>
  <si>
    <t>Implementacion de planes de manejo para la proteccion de la cuenta del Rio San Antonio</t>
  </si>
  <si>
    <t>Adquisición de areas de importancia estrategica para la conservación de recursos hidricos</t>
  </si>
  <si>
    <t>Total proteccion fuentes</t>
  </si>
  <si>
    <t>Total plantas de tratamiento</t>
  </si>
  <si>
    <t>Tasa retributiva por vertimientos puntuales fuentes hidricas</t>
  </si>
  <si>
    <t>Medio ambiente</t>
  </si>
  <si>
    <t>Implantacion de procesos ambientales comunitarios a través de la educación ambiental</t>
  </si>
  <si>
    <t>Construccion de un sistema para el manejo de residuos solidos</t>
  </si>
  <si>
    <t>Conservacion y proteccion de las fuentes de agua donde se surten los acueductos y areas de importancia hidrica rural</t>
  </si>
  <si>
    <t>Tasa retributiva por vertimientos puntuales fuentes hidricas rurales</t>
  </si>
  <si>
    <t>Compra de tanques de almacenamiento</t>
  </si>
  <si>
    <t>Mejoramiento y adecuacion de parques del area urbana del municipio</t>
  </si>
  <si>
    <t>Ampliacion, mantenimiento y adecuacion de zonas verdes del area urbana</t>
  </si>
  <si>
    <t>Terminacion del parque principal de pacho</t>
  </si>
  <si>
    <t>Contribuciones inherentes a la nomina</t>
  </si>
  <si>
    <t>Fortalecimiento del sistema penal acusatorio</t>
  </si>
  <si>
    <t>Actaualizacion plan de desarrollo, pbot y estratificacion rural</t>
  </si>
  <si>
    <t>Fortalecimiento e implementacion de sistemas agricolas para frutales de clima frio moderado</t>
  </si>
  <si>
    <t xml:space="preserve">Al  termino del periodo de gobierno mitigar el efecto ambiental negativo, producido por la ubicación del matadero municipal dentro del casco urbano, para de esta manera beneficiar al 100% de la población afectada.  Tomar acciones para la disminución de la contaminación por descarga a la fuente hidrica,  realizando anualmente el mantenimiento y adecuacion de las instalaciones del matadero para cumplir con los requerimientos de la Secretaria de Salud y la Autoridad ambiental CAR. </t>
  </si>
  <si>
    <t>Mantener  al termino del periodo de gobierno a 24,244  la poblaciòn total del minicipio involucrada en  los programas de seguridad, Fondo de seguridad y   alarmas funcionando, para el mejor funcionamiento de la seguridad y protección municipal.</t>
  </si>
  <si>
    <t>Lograr al termino de éste gobierno que el municipio quede ubicado dentro del los primeros 20 municiios  del Departamento, es decir subir en el ranking Departamental por lo menos 26 puestos.</t>
  </si>
  <si>
    <t>Interventoria de proyectos financiados con regalias</t>
  </si>
  <si>
    <t>Apoyo para los cultivadores de ALOE- VERA</t>
  </si>
  <si>
    <t>Servicios públicos de las instituciones educativas urbanas y rurales del municipio (No de personas  beneficiadas)</t>
  </si>
  <si>
    <t>Mejoramiento de las condiciones nutricionales, ambiente y de salud de la comunidad educativa ( número de persona atendidas )</t>
  </si>
  <si>
    <t>Atención a 1372estudiantes, refrigerio reforzado</t>
  </si>
  <si>
    <t>Adquisición de sistemas de comunicación para las veredas ( número de sistemas de comuncación adquirido )</t>
  </si>
  <si>
    <t>Adquisición de áreas de importancia estrategica de fuentes hidricas (número de hectáreas adquiridas en el año)</t>
  </si>
  <si>
    <t>2000/7920</t>
  </si>
  <si>
    <t>600/6900</t>
  </si>
  <si>
    <t>Total medio ambiente</t>
  </si>
  <si>
    <t>Justicia, seguridad y vigilancia</t>
  </si>
  <si>
    <t>Generacion de negocios</t>
  </si>
  <si>
    <t>Total Generacion de Negocios</t>
  </si>
  <si>
    <t>Total</t>
  </si>
  <si>
    <t>Compra del lote en donde se construira la planta de tratamiento de Aguas Residuales de nuestro municipio</t>
  </si>
  <si>
    <t>Dismunir al termino del periodo de gobierno del 90% al 40%, es decir 8  viajes a mondoñedo, con la opción de realizar dentro del municipio el tratamiento de residuos solidos, y de esta manera generar por lo menos 10 empleos para dicho fin.</t>
  </si>
  <si>
    <t>4/17</t>
  </si>
  <si>
    <t>Celebracion del dia blanco para discapacitados ( N° de discapacitados participantes)</t>
  </si>
  <si>
    <t>Realiza un mantenimiento periodico por año a la piscina municipal para los diferentes eventos que se realizan durante el año, con esto se beneficia a 2,500 personas que es la capacidad maxima con la que cuenta este recinto.</t>
  </si>
  <si>
    <t>2.500/2.500</t>
  </si>
  <si>
    <t>Lograr al termino del periodo de gobierno que las instalaciones de todos los parques del casco urbano, permanezcan en buen estado y se conserven como reserva natural de nuestro municipio., beneficiando de esta manera al 100% de los habitantes ya que esto permite una identidad y sentido de pertenencia hacia el municipio.</t>
  </si>
  <si>
    <t>Garantizar al termino del gobierno mayor conectividad a 889 hab. del área urbana  mediante mejoramiento del sistema vial con el 1,71 Km en pavimento flexible y  1,62 Km de pavimento rigido de los pendientes por pavimentar.</t>
  </si>
  <si>
    <t>Obras de protección de laderas, manejo de aguas superificiales urbanas y rurales</t>
  </si>
  <si>
    <t>Total prevención</t>
  </si>
  <si>
    <t>Convenio para la prevención y control de incendios y demás calamidades</t>
  </si>
  <si>
    <t>Garantizar el acceso a la población joven en formación técbica</t>
  </si>
  <si>
    <t>Manejo de 5 Has para  plantaciones de follajes tropicales</t>
  </si>
  <si>
    <t>Construcción de infraestructura en guadua para promoción de productos</t>
  </si>
  <si>
    <t>Asistencia técnica para la producción más limpia de orellanas</t>
  </si>
  <si>
    <t>Incentivar la participación de productores en cultivos de heliconas y follajes tropicales</t>
  </si>
  <si>
    <t>Coofinanciación adhesión al Fondo Emprender para la financiación de planes de negocios</t>
  </si>
  <si>
    <t>226081141/1245</t>
  </si>
  <si>
    <t>Mejoramiento de las condiciones nutricionales ambientales y de salud de la comunidad educativa</t>
  </si>
  <si>
    <t>Divulgación y promoción de espacios de participación ciudadana</t>
  </si>
  <si>
    <t>TOTAL  cultura</t>
  </si>
  <si>
    <t>Reforestación zonas inestables</t>
  </si>
  <si>
    <t>Fecha de elaboración:</t>
  </si>
  <si>
    <t xml:space="preserve">SUBPROGRAMA </t>
  </si>
  <si>
    <t>hoja No 1 de ----</t>
  </si>
  <si>
    <t>JEFE DE PLANEACIÓN:  ANGELA MARIA LOMBANA V.</t>
  </si>
  <si>
    <t>DEPARTAMENTO: CUNDINAMARCA</t>
  </si>
  <si>
    <t>MUNICIPIO Y CODIGO DANE: Pacho</t>
  </si>
  <si>
    <t>ECONOMICO</t>
  </si>
  <si>
    <t>AGRICULTURA, EMPLEO Y PRODUCCION</t>
  </si>
  <si>
    <t>Generación de Negocios</t>
  </si>
  <si>
    <t>Extensión de redes electricas en áreas urbana ( Número de personas beneficiadas)</t>
  </si>
  <si>
    <t>Construccion de proyectos de urbanización de vivienda de intéres social en el municipio.( número de familias beneficiadas )</t>
  </si>
  <si>
    <t>Coordinar y garantizar soporte técnico en temas técnicos, contables, venta, mercadeo, financieros, estratégicos, logísticos, etc.</t>
  </si>
  <si>
    <t>Mercadeo del municipio y la región de Ríonegro como potencial para la inversión en flores, plantas aromáticas, etc., por ejemplo promocionando los incentivos tributarios</t>
  </si>
  <si>
    <t>Definir y apoyar la búsqueda a financiación para los proyectos a nivel departamental, nacional e internacional para beneficio regional</t>
  </si>
  <si>
    <t>Gestionar recursos para apoyar mediante capital, semilla modelos productivos como cacao, caucho, etc.</t>
  </si>
  <si>
    <t>Mejorando Procesos productivos</t>
  </si>
  <si>
    <t>10/40</t>
  </si>
  <si>
    <t>Transferencia de tecnologías</t>
  </si>
  <si>
    <t>FORMATO DAPC  No 3</t>
  </si>
  <si>
    <t>FORMATO DAPC  No 4</t>
  </si>
  <si>
    <t>Pacho naranjero</t>
  </si>
  <si>
    <t>FORMATO DAPC  No 5</t>
  </si>
  <si>
    <t>Creando estructura agropecuaria</t>
  </si>
  <si>
    <t>75/300</t>
  </si>
  <si>
    <t>FORMATO DAPC  No 6</t>
  </si>
  <si>
    <t>SOCIAL</t>
  </si>
  <si>
    <t>EDUCACION</t>
  </si>
  <si>
    <t>FORMATO DAPC  No 7</t>
  </si>
  <si>
    <t>FORMATO DAPC  No 8</t>
  </si>
  <si>
    <t>Disminución de deserción</t>
  </si>
  <si>
    <t>Infraestructura y equipamento</t>
  </si>
  <si>
    <t>fomento y apoyo a la practica del deporte</t>
  </si>
  <si>
    <t>compra es instalacion de parque vereda la moya</t>
  </si>
  <si>
    <t>Ampliacion de polideportivos</t>
  </si>
  <si>
    <t>Compra de lote vereda limoncitos</t>
  </si>
  <si>
    <t>Cumpleaños 403 años del municipio</t>
  </si>
  <si>
    <t>Reinado de la naranja</t>
  </si>
  <si>
    <t>Ejecutado a Diciembre 31-07</t>
  </si>
  <si>
    <t xml:space="preserve">Lograr al termino del periodo de gobierno aumentar del 30% al 32,8%, 460,35 nuevas hectareas reforestadas para la protección y recuperación de las áreas de importancia estrategica ambiental a fin de garantizar el equilibrio ecologico para las futuras generaciones de territorio y la región  </t>
  </si>
  <si>
    <t>Ampliacion regimen subsidiado</t>
  </si>
  <si>
    <t>4,01% salud publica, ampliacion regimen subsidiado</t>
  </si>
  <si>
    <t>Regimen subsidiado continuidad, liquidacion contrato 01-04-04</t>
  </si>
  <si>
    <t>Regimen subsidiado Ampliacion, liquidacion contrato 01-04-04</t>
  </si>
  <si>
    <t>Regimen subsidiado continuidad, liquidacion contrato UPC</t>
  </si>
  <si>
    <t>Sitios de interes historico y cultural</t>
  </si>
  <si>
    <t>construccion de biblioteca del japon</t>
  </si>
  <si>
    <t>Adecuacion de lote para biblioteca del japon</t>
  </si>
  <si>
    <t>Participacion de ferias de exposición a nivel nacional ( número de ferias en las que participamos)</t>
  </si>
  <si>
    <t xml:space="preserve">Convenios y/o contratos para la puesta en marcha de un sistema para el manejo de residuos sólidos en Pasuncha </t>
  </si>
  <si>
    <t>225/911</t>
  </si>
  <si>
    <t>Lograr  al termino del periodo de gobierno aumentar del 78% al 85% es decir  62 veredas con mas rutas a precios razonables para el beneficio de la población, en donde se beneficiaran a 911 personas nuevas.</t>
  </si>
  <si>
    <t>ANGELA MARIA LOMBANA VELASQUEZ.</t>
  </si>
  <si>
    <t xml:space="preserve">JEFE DE PLANEACIÓN: </t>
  </si>
  <si>
    <t>Educacion</t>
  </si>
  <si>
    <t>Excelencia educativa</t>
  </si>
  <si>
    <t>Provision canasta educativo</t>
  </si>
  <si>
    <t>Señalización y demarcación de vías rurales (número de paraderos en guadua construidos )</t>
  </si>
  <si>
    <t>Compra de lote para ampliación del parque infantil ( número de lotes comprados )</t>
  </si>
  <si>
    <t>Compra de lote para la construccion de campo deportivo comunitario Barrio el TAO ( número de lote comprado )</t>
  </si>
  <si>
    <t>Talleres de integracion con las comunidades, organizaciones civicas, institucionales y comunales para desarrollar la participación comunitaria y convivencia pacifica( número de personas beneficiadas al año)</t>
  </si>
  <si>
    <t>Diseñar programas de educación ciudadana para la convivencia pacifica ( número de programas diseñados)</t>
  </si>
  <si>
    <t>Arreglo e instalación de alarmas comunitarias ( número de alarmas comunitarias en funcionamiento)</t>
  </si>
  <si>
    <t>Fortalecimiento fondo de seguridad y vigilancia del municipio de pacho (número personas beneficiadas al año)</t>
  </si>
  <si>
    <t>Convenio y/o contratos para el funcionamiento de centros de conciliación (número de personas atendidas)</t>
  </si>
  <si>
    <t>Esta actividad de conciliacion, la realiza el municipio a traves de la inspeccion de policia en aras de maximizar los recursos destinados para este fin</t>
  </si>
  <si>
    <t>Capacitación y fortalecimiento de las organizaciones sociales de base (número de organizaciones sociales de base)</t>
  </si>
  <si>
    <t xml:space="preserve">Casa de cultura </t>
  </si>
  <si>
    <t>Apoyo para la prestación de servicios de cooperación de ordenamiento vial del municipio de Pacho ( N de personas beneficiadas )</t>
  </si>
  <si>
    <t>Empresa de servicios públicos</t>
  </si>
  <si>
    <t>Mantenimiento, renovacion y ampliacion de las redes de alcantarillado urbano con la instalacion de la tuberia en pvc en sectores del casco urbano en donde se esten manejando las aguas residuales a traves de pozos sépticos ( metros lineales de redes ampliadas )</t>
  </si>
  <si>
    <t>Elaboración de Estudios,diseños e interventoria de la Planta de Tratamiento de Aguas Residuales ( Nº de personas beneficiadas)</t>
  </si>
  <si>
    <t>Construccion e interventoria del tramo 1 del colector final barrio la Palmita, con el fin de contribuir a la descontaminacion de la Quebrada los leones y el río San Antonio del Municipio de Pacho</t>
  </si>
  <si>
    <t>Tratamiento y disposicion final de Basuras en el corregimiento de Pasuncha ( Número de personas beneficiadas)</t>
  </si>
  <si>
    <t xml:space="preserve">Construccion, montaje y puesta en marcha primera fase de la planta de aprovechamiento de residuos sólidos </t>
  </si>
  <si>
    <t>Mejoramiento de vivienda construccion de unidades sanitarias en el area rural del Municipio de Pacho ( número de personas beneficiadas)</t>
  </si>
  <si>
    <t>Cofinanciación para proyectos de mejoramiento de vivienda rural - Proyectos Banco Agrario ( número de proyectos confinanciados)</t>
  </si>
  <si>
    <t>Construccion de obras de arte y obras de drenaje (alcantarillas y filtros)  (número de obras )</t>
  </si>
  <si>
    <t>FORMATO DAPC  No 28</t>
  </si>
  <si>
    <t>Comunicaciones y teléfonos para la veredas</t>
  </si>
  <si>
    <t>FORMATO DAPC  No 29</t>
  </si>
  <si>
    <t xml:space="preserve">Mejoramiento de vivienda rural y urbana </t>
  </si>
  <si>
    <t>FORMATO DAPC  No 30</t>
  </si>
  <si>
    <t>Vivienda Nueva</t>
  </si>
  <si>
    <t>FORMATO DAPC  No 31</t>
  </si>
  <si>
    <t>FORMATO DAPC  No 32</t>
  </si>
  <si>
    <t>Mantenimiento de vias Rurales</t>
  </si>
  <si>
    <t>FORMATO DAPC  No 33</t>
  </si>
  <si>
    <t>FORMATO DAPC  No 34</t>
  </si>
  <si>
    <t>Casa de gobierno</t>
  </si>
  <si>
    <t>FORMATO DAPC  No 35</t>
  </si>
  <si>
    <t>plaza de ferias</t>
  </si>
  <si>
    <t>FORMATO DAPC  No 36</t>
  </si>
  <si>
    <t>FORMATO DAPC  No 37</t>
  </si>
  <si>
    <t>FORMATO DAPC  No 38</t>
  </si>
  <si>
    <t>Parques urbanos</t>
  </si>
  <si>
    <t>FORMATO DAPC  No 39</t>
  </si>
  <si>
    <t>FORMATO DAPC  No 40</t>
  </si>
  <si>
    <t>Programa SAT, pertenece al programa PER</t>
  </si>
  <si>
    <t>Programas que brindan opcion educativa para adultos -Sistema de Aprendizaje Tutorial (No de adultos beneficiados)</t>
  </si>
  <si>
    <t>Dotacion de mobiliario, material educativo para  las escuelas Rurales del municipio ( Nº de personas beneficiados)</t>
  </si>
  <si>
    <t>Atencion estudiantes de las instituciones educativa de Pacho con refrigerio reforzado por 41 dias ( Numero de personas atendidas)</t>
  </si>
  <si>
    <t>Programa de saneamiento basico rural</t>
  </si>
  <si>
    <t>Conservacion y proteccion de las fuentes de agua donde se surten los acueductos y areas de importancia hidrica pasuncha</t>
  </si>
  <si>
    <t>Apropiado</t>
  </si>
  <si>
    <t>dotacion de sistemas de tratamiento de agua potable</t>
  </si>
  <si>
    <t>Tratamiento disposición final de residuos solidos pasuncha</t>
  </si>
  <si>
    <t>Dotacion de insumos para la prestacion de servicios de acueductos rurales</t>
  </si>
  <si>
    <t>Dotacion de equipos de laboratorio acueducto urbano de pasuncha</t>
  </si>
  <si>
    <t>Cofinanciación proyectos de mejoramiento y ordenamiento ambiental</t>
  </si>
  <si>
    <t>Ampliación, remodelacion y mantennimiento de redes de alumbrado publico casco urbano</t>
  </si>
  <si>
    <t>Señalización, demarcacion de vias rurales y costrucción de paraderos rurales del municipio de pacho</t>
  </si>
  <si>
    <t>Costos nómica inspección de policia y aportes patronales seguridad social y parafiscal</t>
  </si>
  <si>
    <t>Costos inherentes nómina técnicos UDRATA</t>
  </si>
  <si>
    <t>Fortalecimiento y difusion de las expresiones artisticas y culturales del area rural ( número de personas beneficiadas)</t>
  </si>
  <si>
    <t>Convenio para implantar escuelas de formacion artistica y cultural - etapa II ( número de personas beneficiadas)</t>
  </si>
  <si>
    <t>Rescatar las tradiciones historicas y culturales, recuperacion de grupos musicales, arreglistas y compositores del municipio ( Número de eventos realizados)</t>
  </si>
  <si>
    <t>Se proyecta la construccion en el año 2007</t>
  </si>
  <si>
    <t>Construcción y Extensión de redes electricas en áreas rural y corregimiento de pasuncha (Número de personas beneficiadas)</t>
  </si>
  <si>
    <t>Este proyectos lo ejecuta el municipio pero los recursos se manejan a traves de una cuenta exclusiva para el proyecto, abierta por el municipio en el Banco Agrario de Supata</t>
  </si>
  <si>
    <t>Implementar huertas escolares autosostenibles en los centros educativos</t>
  </si>
  <si>
    <t>Desarrollar eventos de capacitacion y formación empresarial, dirigido a comunidades</t>
  </si>
  <si>
    <t>Desarrollo agropecuario mediantes sistemas tecnificados y alternativos de produccion</t>
  </si>
  <si>
    <t>Programa de saneamiento basico pasuncha</t>
  </si>
  <si>
    <t>Convenios y/o contratos para la puesta en macha de un sistema de manejo de residuos sólidos Pasuncha</t>
  </si>
  <si>
    <t>Total tanque de almacenamiento</t>
  </si>
  <si>
    <t>Total subsidios</t>
  </si>
  <si>
    <t>TOTAL SANEAMIENTO BASICO Y AGUA POTABLE</t>
  </si>
  <si>
    <t>Servicio de alumbrado público</t>
  </si>
  <si>
    <t>Construccion de redes electricas en la zona rural del municipio</t>
  </si>
  <si>
    <t>Extensión de redes de electrificacion en la zona rural de pasuncha</t>
  </si>
  <si>
    <t>Apoyo para el mejoramiento de vivienda para la población con NBI - urbana</t>
  </si>
  <si>
    <t>Subsidio para programas de vivienda de interes social en el municipio</t>
  </si>
  <si>
    <t>Apoyo para el mejoramiento de vivienda para la población con NBI - Rural</t>
  </si>
  <si>
    <t>Ampliacion, mantenimiento  y pavimentacion de vias urbanas</t>
  </si>
  <si>
    <t>Ampliacion y mantenimiento de puentes urbanos</t>
  </si>
  <si>
    <t>FORMATO DAPC  No 14</t>
  </si>
  <si>
    <t>FORMATO DAPC  No 46</t>
  </si>
  <si>
    <t>FORMATO DAPC  No 47</t>
  </si>
  <si>
    <t>FORMATO DAPC  No 48</t>
  </si>
  <si>
    <t>FORMATO DAPC  No 49</t>
  </si>
  <si>
    <t>FORMATO DAPC  No 50</t>
  </si>
  <si>
    <t>FORMATO DAPC  No 51</t>
  </si>
  <si>
    <t>FORMATO DAPC  No 52</t>
  </si>
  <si>
    <t>FORMATO DAPC  No 24</t>
  </si>
  <si>
    <t>Tratamiento de aguas residuales</t>
  </si>
  <si>
    <t>FORMATO DAPC  No 25</t>
  </si>
  <si>
    <t>FORMATO DAPC  No 26</t>
  </si>
  <si>
    <t>Disposición de residuos sólidos</t>
  </si>
  <si>
    <t>FORMATO DAPC  No 27</t>
  </si>
  <si>
    <t>Compra de maquinaria agricola para el mejoramiento de la produccion agricola</t>
  </si>
  <si>
    <t>Mejoramiento de vivienda familias reforma agraria</t>
  </si>
  <si>
    <t>Cofinanciacion convenios CAR - Adquisición de areas de importancia estrategica para la conservación de recursos hidricos</t>
  </si>
  <si>
    <t>Adquisicion de predios que se encuentren en ecosistemas estrategicos para la adquisicion de predios para la conservacion de fuentes hidricas abastecedoreas de acueductos</t>
  </si>
  <si>
    <t>Conv 232-07 CAR Establecer,mantener y aislar plantaciones forestales en el municipio de pacho</t>
  </si>
  <si>
    <t>Disminuciono del analfabetismo en mayores de 15 años</t>
  </si>
  <si>
    <t>Tratamiento de aguas residuales cumpliendo con el decreto 475 de MINSALUD</t>
  </si>
  <si>
    <t>Plan maestro de alcantarillado según RAS -2000</t>
  </si>
  <si>
    <t>Matadero muncipal</t>
  </si>
  <si>
    <t>Reforestacion, Proteccion y conservacion de fuentes hidricas</t>
  </si>
  <si>
    <t>Total matadero municipal</t>
  </si>
  <si>
    <t>Total  agricultura</t>
  </si>
  <si>
    <t>900/3600</t>
  </si>
  <si>
    <t>Ampliación, adecuación y mantenimiento de parque central del municipio de pacho (número de parques mantenidos )</t>
  </si>
  <si>
    <t>Programa saneamiento basico rural - compra de tanques de almacenamiento de agua potable( número de familias beneficiadas)</t>
  </si>
  <si>
    <t>Contratación de instructores para escuelas de formación deportiva en el área rural y urbana (número de instructores contratados)</t>
  </si>
  <si>
    <t>Ampliación, adecuación y mantenimientos polideportivos rurales (número de polideportivos atendidos en el año)</t>
  </si>
  <si>
    <t>Programa de mejoramiento de vivienda construcción de cocina, y baños. ( numero de familias beneficiadas)</t>
  </si>
  <si>
    <t xml:space="preserve">Reparcheo en pavimento flexible (en m2 reparchados ) </t>
  </si>
  <si>
    <t xml:space="preserve">Reparcheo en pavimento rigido ( en m2  reparchados ) </t>
  </si>
  <si>
    <t>Construcción y reparacion puentes rurales (número de puentes reparados y/o construidos)</t>
  </si>
  <si>
    <t>Compra de combustible para la maquinaria (galones de combustible )</t>
  </si>
  <si>
    <t>Mejoramiento de la  vía Zipaquirá - Pacho (número de sitios intervenidos )</t>
  </si>
  <si>
    <t>540/2160</t>
  </si>
  <si>
    <t xml:space="preserve">JEFE DE PLANEACIÓN:  </t>
  </si>
  <si>
    <t>ANGELA MARIA LOMBANA VELASQUEZ</t>
  </si>
  <si>
    <t>360/1461</t>
  </si>
  <si>
    <t>Centro comunitario la palmita</t>
  </si>
  <si>
    <t>Compra del lote para el manejo, aprovechamiento y disposición final de residuos sólidos</t>
  </si>
  <si>
    <t>Fortalecimiento de la unidad de asistencia técnica y apoyo a programas agropecuarios y psicolas (Número de personas beneficiadas)</t>
  </si>
  <si>
    <t>total inversion</t>
  </si>
  <si>
    <t>Total infraestructura y equipamento</t>
  </si>
  <si>
    <t>Implantación de clubes juveniles informaticos del municipio (No de personas beneficiadas)</t>
  </si>
  <si>
    <t>FORMATO DAPC  No 1</t>
  </si>
  <si>
    <t>FORMATO DAPC  No 9</t>
  </si>
  <si>
    <t>FORMATO DAPC  No 43</t>
  </si>
  <si>
    <t>Programa de alimentación escolar para la poblacion en edad escolar en la zona urbana y rural, incluye los financiados por ICBF y Alcaldia  ( número de alumnos beneficiados )</t>
  </si>
  <si>
    <t>Adquisición de elementos para el funcionamiento de las instituciones educativas( Nº de personas beneficiadas)</t>
  </si>
  <si>
    <t>Continuidad del Régimen Subsidiado ( número de cupos )</t>
  </si>
  <si>
    <t>MUNICIPIO Y CÓDIGO DANE: Pacho</t>
  </si>
  <si>
    <t>Visitas iniciales y de seguimiento a los restaurantes escolares para asesoria en la preparación y manejo de alimentos ( número de restaurantes visitados )</t>
  </si>
  <si>
    <t>Programas especialmente dirigidos a personas discapacitadas física y mentalmente. (No de personas beneficiadas)</t>
  </si>
  <si>
    <t>Atención integral grupo de personas albergadas en el centro bienestar del ancianato ( número de adultos mayores beneficiados)</t>
  </si>
  <si>
    <t>Mejoramiento de las condiciones nutricionales, ambiente y salud de la comunidad ( número de persona atendidas )</t>
  </si>
  <si>
    <t>Optimización planta de tratamiento de acueducto urbano( número de personas beneficiadas )</t>
  </si>
  <si>
    <t>Mantenimiento, reparación y adecuación del pabellon de carnes y plaza de mercado (No de personas beneficiadas)</t>
  </si>
  <si>
    <t>Mantenimiento, acueductos rurales corregimiento de pasuncha</t>
  </si>
  <si>
    <t>Construccion de acueductos rurales corregimiento de pasuncha</t>
  </si>
  <si>
    <t>Acueductos Urbanos</t>
  </si>
  <si>
    <t>Acueductos Rurales y pasuncha</t>
  </si>
  <si>
    <t>Proyecto educativo rural PER (No de alumnos atendidos)</t>
  </si>
  <si>
    <t>Programas de fortalecimiento de la opción educativa. CAFAM Y PER (No de personas beneficiadas)</t>
  </si>
  <si>
    <t>Programas que brindan opcion educativa para adultos -Sistema de Aprendizaje tutorial (No de adultos beneficiados)</t>
  </si>
  <si>
    <t>Programas de capacitación para la comunidad (numero de personas beneficiadas)</t>
  </si>
  <si>
    <t>Implementación de núcleos de salud móviles en el área rural (No de personas atendidas en el año)</t>
  </si>
  <si>
    <t>Programas para  fortalecer las acciones  de detección y remisión de casos asociados a violencia intrafamiliar - conformación de red de atención (No de familias atendidas)</t>
  </si>
  <si>
    <t>Programa nacional para la alimentación Juan Luis Londoño de la Cuesta</t>
  </si>
  <si>
    <t>Compra para lote para apreovechamiento y disposicion final de residuos solidos</t>
  </si>
  <si>
    <t>Desayunos infantiles apoyados por el ICBF para menores entre 6 meses y 6 años</t>
  </si>
  <si>
    <t>Coordinación y seguimiento a los programas sociales, enfocados al mejoramiento de la calidad de vida de la población adulta vulnerable ( número de personas atendidas )</t>
  </si>
  <si>
    <t>Atencion mediante tamizaje auditivo ( N° de discapacitados atendidos)</t>
  </si>
  <si>
    <t>Apoyo integral a la población infantil y a la familia. Programas madres comunitarias, hogar múltiple, violencia intrafamiliar y asociación de hogares comunitarios. Educadores Hogares multiples (No de personas  beneficiadas)</t>
  </si>
  <si>
    <t>Atención integral a la población desplazada por la violencia ( número de desplazados atendidos por año )</t>
  </si>
  <si>
    <t>Conectividad internet para capacitaciones para la población del municipio de pacho ( número de personas beneficiadas)</t>
  </si>
  <si>
    <t>Implementación de Proyectos de educacion para el sector rural. (No de personas beneficiadas)</t>
  </si>
  <si>
    <t>Lograr al término del periodo de gobierno aumentar la cobertura del 60% al 90% es decir 400  productores de los sistemas de caña, maíz, plátano, café y cítricos en acciones de asistencia que permitan el apoyo en la creación de nuevas empresas legalmente constituidas que representen un medio de sustento para ellos.</t>
  </si>
  <si>
    <t>Programas de Escuela Papera y Frutales</t>
  </si>
  <si>
    <t>Programa de biocomercio sostenible - flores nativas y follajes tropicales (Numero de personas beneficiadas)</t>
  </si>
  <si>
    <t>Alianzas productivas (Ministerio de Agricultura) - Convenio CAR- Municipio de Pacho</t>
  </si>
  <si>
    <t>Convenio de Cooperación entre ASCUSAB y la Alcaldía de Pacho.</t>
  </si>
  <si>
    <t>Adjudicatarios de los programas de Reforma Agraria</t>
  </si>
  <si>
    <t>Programa del comite de Cafeteros, tales como: Patios de secado, seguridad alimentaria, mantenimiento de maquinaria, mantenimiento de beneficiaderos, mantenimiento de maquinaria, jovenes cafeteros, escuela y café a los productores mas eficientes(Numero de personas beneficiadas)</t>
  </si>
  <si>
    <t>Programa para el mantenimiento de praderas y establecimientos de sistemas silvopastoriles medido en Hectarea ( Numero de beneficiarios)</t>
  </si>
  <si>
    <t>Desarrollo agropecuario mediante sistemas tecnificados y alternativos de produccion ( numero de Beneficiarios)</t>
  </si>
  <si>
    <t>Costos inherentes a la nomina de asistencia tecnica UDRATA ( Numero de personas beneficiadas)</t>
  </si>
  <si>
    <t>Cofinanciacion de convenios con Entidades de Apoyo al Sector Agropecuario - Asonormando- ( Numero de caficultores Beneficios)</t>
  </si>
  <si>
    <t>Fortalecimiento y difusion de las expresiones artisticas y culturales</t>
  </si>
  <si>
    <t xml:space="preserve">Apoyo para campañas y eventos orientados a promover la salud y en general el bienestar social de la comunidad(número de personas beneficiadas) </t>
  </si>
  <si>
    <t>Ampliación, adecuación y mantenimientos polideportivos urbanos (número de personas beneficiadas)</t>
  </si>
  <si>
    <t>Asistencia a menores a traves de la ludoteca municipal ( numero de personas atendidas )</t>
  </si>
  <si>
    <t>Fortalecimiento, organización y dotación biblioteca municipal ( numero de personas atendidas)</t>
  </si>
  <si>
    <t>Terminación, mantenimiento y remodelación casa de la cultura ( número de personas beneficiadas)</t>
  </si>
  <si>
    <t>ojo descontar lo del parque, y lo de los proyectos de vivienda y biblioteca</t>
  </si>
  <si>
    <t>menos subsidios de ley</t>
  </si>
  <si>
    <t>Construcción parcial de acueductos rurales nuevos ( número de personas benefiadas )</t>
  </si>
  <si>
    <t>Estudios y diseños para la construcción de acueductos rurales ( No de personas benefiadas )</t>
  </si>
  <si>
    <t>Mantenimiento de la infraestructura de la casa de gobierno.( numero de personas beneficiadas)</t>
  </si>
  <si>
    <t>Mantenimiento de la infraestructura de los depositos y campamentos municipales ( número de personas beneficiadas)</t>
  </si>
  <si>
    <t>Mantenimiento de la infraestructura de la plaza de ferias (No personas beneficiadas)</t>
  </si>
  <si>
    <t>Mantenimiento, reparación y adecuación piscina municipal (No de personas beneficiadas)</t>
  </si>
  <si>
    <t>Mantenimiento de parque urbano, corregimiento de pasuncha ( número de personas beneficiadas )</t>
  </si>
  <si>
    <t>Mantenimiento, reparación y adecuación del matadero municipal del casco urbano de pasuncha (No de personas beneficiadas)</t>
  </si>
  <si>
    <t>Apoyo para las acciones atención integral a la población desplazada por la violencia ( Número de personas beneficiadas )</t>
  </si>
  <si>
    <t>Convenio de cooperación entre la Alcaldía Municipal y el Servicio Nacional de Aprendizaje (SENA)</t>
  </si>
  <si>
    <t>Programa saneamiento y mejoramiento de vivienda rural veredsa el Palmar y San Jeronimo</t>
  </si>
  <si>
    <t>Proyecto plantación de cacao en zonas marginales de menos de 1300 m.s.n.m.</t>
  </si>
  <si>
    <t>Programas de capacitación agropecuaria para el mejoramiento de la productividad y elevacion de la competitividad</t>
  </si>
  <si>
    <t>Cofinanciación de convenios con entidades de apoyo al sector agropecuario</t>
  </si>
  <si>
    <t>Aportes institucionales a microempresas y mujeres cabeza de familia rurales, para la implementación de proyectos productivos agropecuarios</t>
  </si>
  <si>
    <t>Formacion tecnica agropecuaria</t>
  </si>
  <si>
    <t>Garantizar acceso y permanencia a la población en formación técnica y agricola</t>
  </si>
  <si>
    <t>Mejoramiento productividad y comercialización de la naranja en Pacho</t>
  </si>
  <si>
    <t>Costos de produccion sistemas productivos agropecuarios granja municipal</t>
  </si>
  <si>
    <t>Mejoramiento de la infraestructura agricola, pecuaria de la granja municipal</t>
  </si>
  <si>
    <t>Mantenimiento y operación de la maquinaria y automotores utilizados en las actividades agropecuarias</t>
  </si>
  <si>
    <t>Desarrollo Agropecuario mediante sistemas tecnificados y alternativos de produccion</t>
  </si>
  <si>
    <t>Presupuesto inversion</t>
  </si>
  <si>
    <t>Desarrollo institucional</t>
  </si>
  <si>
    <t>Capacitación, asesoría, y asistencia técnica a programas de desarrollo institucional</t>
  </si>
  <si>
    <t>Fortalecimiento a la capacidad institucional del municipio</t>
  </si>
  <si>
    <t>subsidios de ley</t>
  </si>
  <si>
    <t>Prevencion y atencion de zonas de desastre</t>
  </si>
  <si>
    <t>Total Prevencion y atencion de zonas de desastre</t>
  </si>
  <si>
    <t>Total AGUA POTABLE Y SANEAMIENTO BASICO</t>
  </si>
  <si>
    <t>Agua Potable</t>
  </si>
  <si>
    <t>Total AGUA POTABLE Y SANEAMIENTO BASICO SIN SUBSIDIOS DE LEY</t>
  </si>
  <si>
    <t>Proteccion de fuentes hidricas -ORDENAMIENTO AMBIENTAL</t>
  </si>
  <si>
    <t>Aumentar al termino de periodo de gobierno del 4,63% al 8,6%; que corresponden a 1600 nuevas hectareas, las areas sembradas en los sistemas de mora, lulo, tomate de arbol, freijoba, granadilla, helecho cuero, sabila, flores tropicales, cafe y cacao, en acciones de asistencia y transferencia de nuevas tecnologias para ampliar las fronteras de sus cultivos.</t>
  </si>
  <si>
    <t>Mejoramiento de infraestructura cultural y declaratoria de bienes de interes nacional ( Número de bienes de interes nacional atendidos )</t>
  </si>
  <si>
    <t>Convenio Escuelas de formacion artistica modalidad danzas, teatro y música (No de personas beneficiadas)</t>
  </si>
  <si>
    <t>Apoyo y fomento de las diversas modalidades de turismo en el municipio de pacho (No de turistas atendidos)</t>
  </si>
  <si>
    <t>Lograr al termino del periodo de gobierno aumentar la cobertura en salud para los niveles 1 y 2 del SISBEN del 71,16% al 83,32%, es decir 2,079  nuevos cupos al regimen de subsidio.</t>
  </si>
  <si>
    <t>Ampliación Régimen subsidiado (numero de cupos)</t>
  </si>
  <si>
    <t>Aporte institucionales a microempresas y mujeres cabeza de familia, rurales, para la implementación de proyectos productivos agropecuarios ( Número de beneficiarios)</t>
  </si>
  <si>
    <t>Apoyo para los cultivadores de ALOE- VERA. Programas fomento actividades campesinas inmersas en el tema de biocomercio sostenible (Número de Familias beneficiarias).</t>
  </si>
  <si>
    <t>Subsidio de ley</t>
  </si>
  <si>
    <t>Adecuacion y mejoramiento instalaciones ancianato municipal</t>
  </si>
  <si>
    <t>Reducción de muertes violentas en niños por suicidio, homicidios, accidentes de transito</t>
  </si>
  <si>
    <t>Prevención a la vinculación de niños y adolescentes a grupos armados</t>
  </si>
  <si>
    <t xml:space="preserve">Legalización  y control de los nacimientos producidos en el área urbana y rural </t>
  </si>
  <si>
    <t xml:space="preserve">Disminucion de  la pobreza en el Municipio </t>
  </si>
  <si>
    <t>Señalizacion de las vías ( número de señales )</t>
  </si>
  <si>
    <t>Pavimentación en adoquin ( m2 a adoquinar)</t>
  </si>
  <si>
    <t>Ampliación y mantenimiento de Puentes Urbanos (número de puentes rehabilitados )</t>
  </si>
  <si>
    <t>Atención población vinculada y servicios complementarios POS, según sisben (No de personas atendidas)</t>
  </si>
  <si>
    <t>Mantenimiento de vias sin pavimentar( km de vias mantenidas)</t>
  </si>
  <si>
    <t>Mantenimiento de vias rurales ( km de vias mantenidas)</t>
  </si>
  <si>
    <t>Ampliación, mejoramiento y mantenimiento de vías rurales municipio de pacho</t>
  </si>
  <si>
    <t>Mejoramiento de la vía zipaquira- pacho- la palma</t>
  </si>
  <si>
    <t>Mantenimiento de vias rurales pasuncha</t>
  </si>
  <si>
    <t>Mantenimiento y pavimentación de vias urbanas de pasuncha</t>
  </si>
  <si>
    <t>Mantenimiento de puentes rurales de pasuncha</t>
  </si>
  <si>
    <t>Matadero municipal</t>
  </si>
  <si>
    <t>Plaza de ferias</t>
  </si>
  <si>
    <t>Depositos municipales</t>
  </si>
  <si>
    <t>Menos biblioteca</t>
  </si>
  <si>
    <t>Secretaria de agricultura, Desarrollo Economico, Cultura y turismo</t>
  </si>
  <si>
    <t>Secretaria de Desarrollo Social</t>
  </si>
  <si>
    <t>Almacen municipal</t>
  </si>
  <si>
    <t>Secretaria de Desarrollo social</t>
  </si>
  <si>
    <t>Secretaria de Planeacion y Obras publicas</t>
  </si>
  <si>
    <t>Secretaria de Gestion institucional</t>
  </si>
  <si>
    <t>Empresa de servicios publicos</t>
  </si>
  <si>
    <t>Secretaria de Gobierno</t>
  </si>
  <si>
    <t>Despacho alcalde</t>
  </si>
  <si>
    <t>Convenio y/o contrato para el funcionamiento del centro de conciliación</t>
  </si>
  <si>
    <t>Convenios / o contratos para Prestación de servicios adicionales de policía ( convenio de bachilleres)</t>
  </si>
  <si>
    <t>Fortalecimiento del fondo de seguridad y vigilancia</t>
  </si>
  <si>
    <t xml:space="preserve">Atención al menor infractor </t>
  </si>
  <si>
    <t>Apoyo para las acciones de atención integral a la población desplazada por la violencia</t>
  </si>
  <si>
    <t>Construccion de locales en guadua para el fomento del turismo ( número de personas beneficiadas )</t>
  </si>
  <si>
    <t>Renovación de redes de acueducto de AC a PVC. ( metros lineales de tuberia instalada)</t>
  </si>
  <si>
    <t>Mantenimiento, optimización y ampliación acueducto corregimiento de pasuncha ( número de personas beneficiadas)</t>
  </si>
  <si>
    <t>Programa de deteccion de fugas de las redes de acueducto urbano ( Número de viviendas con servicio ilegal detectadas)</t>
  </si>
  <si>
    <t>Monitoreo permanente de la calidad del agua y programa de potabilización, a traves de la toma de muestras periodicas del agua tratada ( número de poblacion beneficiada)</t>
  </si>
  <si>
    <t>Mantenimiento y ampliación  de las redes de alcantarillado del corregimiento de pasuncha.( Número de personas beneficiadas)</t>
  </si>
  <si>
    <t>Ampliación, remodelación y Mantenimiento alumbrado público ( Número de personas beneficiadas al año)</t>
  </si>
  <si>
    <t>Costo alumbrado público ( número de personas beneficiadas al año)</t>
  </si>
  <si>
    <t>Elaboración y presentación de proyectos de colas de electrificacion en la parte rural ( Número de proyectos presentados de colas de electrificación9</t>
  </si>
  <si>
    <t>Estudios y diseños para la ampliación de redes de electrificación ( Número de estudios elaborados)</t>
  </si>
  <si>
    <t>Mejoramiento de vivienda campesina para familias objeto del programa de reforma agraria ( numero de familias beneficiadas)</t>
  </si>
  <si>
    <t>Ampliación y mejoramiento de cobertura del servicio de agua  potable, en la zona rural</t>
  </si>
  <si>
    <t>Aumentar  al termino del periodo de gobierno del 48% al 56% es decir vincular a  336 nuevas familias de la población rural que no cuentan en la actualidad con el servicio de agua para consumo humano</t>
  </si>
  <si>
    <t>Subsidio Ley 142/94</t>
  </si>
  <si>
    <t>Compra de repuestos y mantenimiento de maquinaria pesada, que se utiliza para el mantenimiento de vias rurales.( Gl )</t>
  </si>
  <si>
    <t>270/1080</t>
  </si>
  <si>
    <t>Optimización planta de tratamiento de acueducto corregimiento de pasuncha y rurales ( número de personas beneficiadas )</t>
  </si>
  <si>
    <t>Montaje y puesta en marcha de la planta de tratamiento integral de residuos solidos</t>
  </si>
  <si>
    <t>Establecimiento y mantenimiento de plantacion forestal protectora a la conservacion de ecosistemas estrategicos</t>
  </si>
  <si>
    <t>10/65</t>
  </si>
  <si>
    <t>120/489</t>
  </si>
  <si>
    <t>520/2079</t>
  </si>
  <si>
    <t>278/1,113</t>
  </si>
  <si>
    <t>450/450</t>
  </si>
  <si>
    <t>100/178</t>
  </si>
  <si>
    <t>Lactancia materna exclusiva hasta los 6 meses ( numero de maternas capacitadas)</t>
  </si>
  <si>
    <t>2500/2500</t>
  </si>
  <si>
    <t>8500/8500</t>
  </si>
  <si>
    <t>408/408</t>
  </si>
  <si>
    <t>Atencion nutricional a personas de la tercera edad a traves de mercados</t>
  </si>
  <si>
    <t>13%/10%</t>
  </si>
  <si>
    <t>17,102/17,102</t>
  </si>
  <si>
    <t>Al terminar el gobierno (2 años) esperamos que del 100% de los nacimientos cada año, minimo el 90% registre a sus menores antes del año.</t>
  </si>
  <si>
    <t>Lograr al termino del periodo de gobierno (2 años), crear y apoyar programas que generen de alguna manera ingresos que soporten el cubrimiento  de las necesidades basicas de estos habitantes, impulsando las principales actividades economicas del municipio, como son la agricultura y el turismo.( 10 programas en los dos años de gobierno que quedan)</t>
  </si>
  <si>
    <t>Lograr al termino del periodo de gobierno que las instalaciones de la casa de gobierno, permanezcan en buen estado y se conserven como patrimonio historico y cultural de nuestro municipio., beneficiando de esta manera al 100% de los habitantes ya que esto permite una identidad y sentido de pertenencia hacia el municipio.</t>
  </si>
  <si>
    <t>24,000/24,000</t>
  </si>
  <si>
    <t>4500/4500</t>
  </si>
  <si>
    <t>Lograr al termino del periodo de gobierno aumentar del 50% al  70% el funcionamiento del centro comunitario la palmita que requiere apoyo , para de esta manera beneficiar a 6,900 habitantes del casco urbano, que corresponde al 56% de la población del casco urbano.</t>
  </si>
  <si>
    <t>Dotar la biblioteca del centro comunitario. ( número de programas )</t>
  </si>
  <si>
    <t xml:space="preserve">SISTEMA DEPARTAMENTAL DE EVALUACIÓN A LA GESTIÓN MUNICIPAL </t>
  </si>
  <si>
    <t>FORMATO DAPC  No 2</t>
  </si>
  <si>
    <t>SECTOR:</t>
  </si>
  <si>
    <t>PROGRAMA:</t>
  </si>
  <si>
    <t xml:space="preserve">EJE / AREA/ DIMENSIÓN: </t>
  </si>
  <si>
    <t xml:space="preserve">META DE RESULTADO PARA EL PERIODO DE GOBIERNO: </t>
  </si>
  <si>
    <t xml:space="preserve">META DE RESULTADO ANUAL: </t>
  </si>
  <si>
    <t xml:space="preserve">FUENTES DE RECURSOS DE INVERSIÓN EN EL PRESENTE AÑO </t>
  </si>
  <si>
    <t>ENTIDAD RESPONSABLE</t>
  </si>
  <si>
    <t xml:space="preserve">OBSERVACIONES </t>
  </si>
  <si>
    <t>No</t>
  </si>
  <si>
    <t xml:space="preserve">PROYECTO Y SUS ACCIONES </t>
  </si>
  <si>
    <t xml:space="preserve">NOMBRE DEL PROYECTO </t>
  </si>
  <si>
    <t>META FISICA</t>
  </si>
  <si>
    <t>AVANCE FISICO A LA FECHA</t>
  </si>
  <si>
    <t xml:space="preserve">% DE AVANCE FISICO A LA FECHA </t>
  </si>
  <si>
    <t>SGP</t>
  </si>
  <si>
    <t>PROPIOS</t>
  </si>
  <si>
    <t>NACIONALES</t>
  </si>
  <si>
    <t xml:space="preserve">DEPARTAMENTALES </t>
  </si>
  <si>
    <t xml:space="preserve">REGALIAS </t>
  </si>
  <si>
    <t xml:space="preserve">CREDITO </t>
  </si>
  <si>
    <t>OTROS</t>
  </si>
  <si>
    <t xml:space="preserve"> $ TOTAL PROGRAMADO</t>
  </si>
  <si>
    <t xml:space="preserve"> $ TOTAL EJECUTADO</t>
  </si>
  <si>
    <t>TOTAL PROGRAMA</t>
  </si>
  <si>
    <t>% logro de avance de resultado</t>
  </si>
  <si>
    <t>Atención a 1372estudiantes</t>
  </si>
  <si>
    <t>Implementos para hogares comunitarios</t>
  </si>
  <si>
    <t>Lograr al termino del periodo de gobierno aumentar del 5.2% al 50% cada año, es decir 2.163 nuevas personas cada año que se involucren en actos culturales como danzas, pinturas, banda, literatura, lectura y teatro, para de esta manera culturizar a la ciudadana (8.652 en los cuatro años).</t>
  </si>
  <si>
    <t>Aumentar  al termino del periodo de gobierno del 22,64% al  49%,  es decir 7.000 nuevos turistas que visitan nuestro municipo con la  implementación de programas como visitas a centros historicos, y centros turisticos.</t>
  </si>
  <si>
    <t>Lograr  al termino del periodo de gobierno renovar el 60% de las redes que en la actualidad estan en A.C. en Pvc, es decir 6,480 metros, para de esta manera beneficiar a 1,402 familias con el mejoramiento del servicio de agua potable .</t>
  </si>
  <si>
    <t>DPTLES</t>
  </si>
  <si>
    <t>NLES</t>
  </si>
  <si>
    <t>REGALIAS</t>
  </si>
  <si>
    <t>Al finalizar el periodo de gobierno aumentar el numero de capacitaciones orientadas a fomentar el cuidado de la salud sexual y reproductiva, con estas capacitaciones se pretende educar a la poblacion en general sobre los derechos y deberes sobre la sexualidad, prevención del abuso sexual, promocion de una sexualidad sana y prevencion de ITS Y VIH SIDA (de 70 a 80 capacitaciones); de igual manera aumentar el numero de personas beneficiadas con estas capacitaciones al año (de 8,000 a 8,500 por año).</t>
  </si>
  <si>
    <t>Lograr al temino del periodo de gobierno aumentar la cobertura del 4,66% al 50% de la poblacion discapacitada, es decir 408 personas discapacitadas atendida por año  con la implementacion de  nuevos programas como deporte, educacion, salud, nutricion y ocupacional..</t>
  </si>
  <si>
    <t>Logra al termino del periodo de gobierno aumentar la cobertura de servicios por año del 9,08% al 31% de la poblacion de la tercera edad, es decir 987 adultos mayores por año con los servicios de bienestar social integral para su desarrollo sicosocial.</t>
  </si>
  <si>
    <t>Aumentar  al termino del periodo de gobierno del 89% al 95% es decir vincular a  195 nuevas familias de la población urbana a la red de acueducto urbano municipal.</t>
  </si>
  <si>
    <t xml:space="preserve">Aumentar  al termino del periodo de gobierno del 89% al 95% , las familias que consumen agua tratada que cumpla con los parametros fisico-quimicos exigidos por la secretaria de salud, es decir a 195 familias nuevas.  </t>
  </si>
  <si>
    <t>Mantener  al termino del periodo de gobierno en los estratos 1,2 y 3  los subsidios para el servicio de acueducto establecidos en la ley 142/94, es decir 2,297 de la población que estan en estrato 1,2 y 3.</t>
  </si>
  <si>
    <t>Lograr al termino del periodo de gobierno aumentar la cobertura de servicio de alcantarillado urbano del 81% al  90%, es decir 248 nuevas familias conectadas al servicio, mediante el cambio de las redes de alcantarillado tal como lo define el Plan Maestro de Alcantarillado Urbano, separando las aguas Lluvias de las Aguas Negras.</t>
  </si>
  <si>
    <t>Al finalizar el gobierno garantizar la elaboración de estudios y diseños de la planta de tratamiento de aguas residuales del casco urbano, que permita disminuir el número de descargas de 22 a 1, para de esta manera reducir el % de contaminación del Río San Antonio, y por ende el pago que tiene que realizar el municipio por estos vertimientos puntutales a la CAR</t>
  </si>
  <si>
    <t>Al finalizar el periodo de gobierno aumentar del 7,04% al 35,21% el aprovechamiento de los residuos solidos organicos del municipio, es decir 40 toneladas de residuos solidos organicos aprovechadas y tratadas directamente por el municipio</t>
  </si>
  <si>
    <t>Lograr  al termino del periodo de gobierno ampliar del 90% al 98%, es decir 220 nuevas familias benefiadas con la cobertura urbana del servicio de redes de alumbrado público.</t>
  </si>
  <si>
    <t>programa inmunizaciones</t>
  </si>
  <si>
    <t>Salud sexual reproductiva, maternidad segura</t>
  </si>
  <si>
    <t>Salud sexual reproductiva, planificacion familiar</t>
  </si>
  <si>
    <t>Salud sexual reproductiva, cancer cuello uterino</t>
  </si>
  <si>
    <t>Salud sexual reproductiva, prevencion VIH SIDA</t>
  </si>
  <si>
    <t>Salud sexual reproductiva, violencia domestica familiar</t>
  </si>
  <si>
    <t>Salud sexual reproductiva, adolecencia salud sexual y reproductiva</t>
  </si>
  <si>
    <t>Salud mental y reduccion de impacto</t>
  </si>
  <si>
    <t>Plan de alimentacion y nutricion</t>
  </si>
  <si>
    <t>Estilo de vida saludable</t>
  </si>
  <si>
    <t>Vigilancia y control de enfermedades de interes publico</t>
  </si>
  <si>
    <t>Continuidad regimen subsidiado</t>
  </si>
  <si>
    <t>4,01% salud publica, continuidad regimen subsidiado</t>
  </si>
  <si>
    <t>GIROS</t>
  </si>
  <si>
    <t>SALDO REGISTRO</t>
  </si>
  <si>
    <t>Disposición, eliminación y reciclaje de residuos sólidos</t>
  </si>
  <si>
    <t>Reforestación y control de erosión para prevención de desastres</t>
  </si>
  <si>
    <t>Asistencia técnica y transferencia relacionado con la defensa del medio ambiente</t>
  </si>
  <si>
    <t>Alimentación para personas retenidas</t>
  </si>
  <si>
    <t>Convenio para la ejecución de programas y tratamientos de la población reclusa</t>
  </si>
  <si>
    <t>Mantener  al termino del periodo de gobierno el 37,5% de vias rurales en promedio cada año, para de esta manera satisfacer las necesidades mobilidad en el mercadeo,  traslado y comercialización productiva de  7,920 personas al finalizar el periodo de gobierno.</t>
  </si>
  <si>
    <t>Al termino del periodo de gobierno lograr hacer minimo un mantenimiento por año y lograr mejorar la dotacion de la casa de la cultura, para de esta manera brindar espacios agradables para las personas que acceden y participan de los programas desarrollados por el municipio a traves de la casa de la cultura</t>
  </si>
  <si>
    <t>Al finalizar el gobierno construir una biblioteca nueva en otro sector del casco urbano, para de esta manera aumentar la capacidad de usuarios que utilizan los servicios de la biblioteca muncipal</t>
  </si>
  <si>
    <t>Realiza un mantenimiento periodico por año a la plaza de ferias para los diferentes eventos que se realizan durante el año( ferias, exposiciones y corridas), con esto se beneficia a 4,500 personas que es la capacidad maxima con la que cuenta este recinto</t>
  </si>
  <si>
    <t>ejecutado a Diciembre 31-07</t>
  </si>
  <si>
    <t>Infraestructura urbana, rural y pasuncha</t>
  </si>
  <si>
    <t>Poblacion desplazada</t>
  </si>
  <si>
    <t>Compra de buseta</t>
  </si>
  <si>
    <t>Programa adulto mayor ancianato</t>
  </si>
  <si>
    <t>Alcantarillado sector buenos aires</t>
  </si>
  <si>
    <t>Manejo y aprovechamiento y disposición final de residuos sólidos pasuncha</t>
  </si>
  <si>
    <t>Atencion a Estudiantes de las instituciones educativa de Pacho</t>
  </si>
  <si>
    <t>Lograr al termino del periodo de gobierno aumentar el mantenimiento anual del 54% al  75% (61) de los establecimientos educativos cada año para que la población beneficiada es decir a 4,547 de la población estudiantil (correspondiente al 75% de la población) estudie en ambientes aptos y armonicos para el aprendizaje</t>
  </si>
  <si>
    <t>4.547/4,547</t>
  </si>
  <si>
    <t>Implementación de la politica de salud sexual, reproductiva cancer cuello uterino (No de personas beneficiadas en el año)</t>
  </si>
  <si>
    <t>Implementacion de la politica de salud mental y reduccion de impacto (No de personas beneficiadas en el año)</t>
  </si>
  <si>
    <t>Promocion de estilo de vida saludable (No de personas beneficiadas en el año)</t>
  </si>
  <si>
    <t>Acciones de inspeccion, vigilancia y control de enfermedades de interes publico (No de personas beneficiadas en el año)</t>
  </si>
  <si>
    <t>Afiliación al SGSSS de mujeres en edad fértil (No de personas beneficiadas en el año)</t>
  </si>
  <si>
    <t>Control prenatal, parto y postparto (No de personas beneficiadas en el año)</t>
  </si>
  <si>
    <t>Atención especial a la adolescente gestante (No de personas beneficiadas en el año)</t>
  </si>
  <si>
    <t>Afiliación al SGSSS de menores de 5 años (No de personas beneficiadas en el año)</t>
  </si>
  <si>
    <t>Coberturas de vacunación (No de personas beneficiadas en el año)</t>
  </si>
  <si>
    <t>Reducción de muertes infantiles por desnutrición, diarrea e infecciones respiratorias (No de personas beneficiadas en el año)</t>
  </si>
  <si>
    <t>Acceso a alimentación adecuada (No de personas beneficiadas en el año)</t>
  </si>
  <si>
    <t>Enfermedades infecciosas y parasitarias  (No de personas beneficiadas en el año)</t>
  </si>
  <si>
    <t>Complementación alimentaria y deficiencia de micronutrientes (población vulnerada: mayor adulto, niñez, desplazados, madres cabeza de familia, etc) (No de personas beneficiadas en el año)</t>
  </si>
  <si>
    <t>Afiliación al SGSSS entre 5 y 18 años (No de personas beneficiadas en el año)</t>
  </si>
  <si>
    <t>Servicios de salud sexual y reproductiva (No de personas beneficiadas en el año)</t>
  </si>
  <si>
    <t>Prevención de VIH/SIDA y ITS (No de personas beneficiadas en el año)</t>
  </si>
  <si>
    <t>Servicios  de información, educación y sexualidad humana (No de personas beneficiadas en el año)</t>
  </si>
  <si>
    <t>Regulación de la fecundidad(No de personas beneficiadas en el año)</t>
  </si>
  <si>
    <t>Implementacion de politicas de salud sexual, reproductiva violencia domestica y sexual(No de personas beneficiadas en el año)</t>
  </si>
  <si>
    <t>Construccion y dotacion de una biblioteca publica para ninos, donacion Embajada del Japon(numero de bibliotecas construidas)</t>
  </si>
  <si>
    <t>Adecuacion lote de terreno para la construccion de la biblioteca publica para ninos, donada por la Embajada del Japon( numero de adecuaciones realizadas)</t>
  </si>
  <si>
    <t>Cofinanciacion de obras de adecuacion biblioteca municipal, construida por el FIP(numero de poblacion atendida)</t>
  </si>
  <si>
    <t>Atencion a poblacion vulnerable ( número de personas beneficiadas)</t>
  </si>
  <si>
    <t>Prevención, detección y atención de niños victimas de la violencia, explotación sexual, abuso sexual, trabajo infantil, maltrato infantil, conflicto armado, niños en conflicto con la Ley (numero de personas beneficiadas)</t>
  </si>
  <si>
    <t>Crear comisarias de familia (numero de comisarias creadas)</t>
  </si>
  <si>
    <t>Talleres de higiene metal (numero de personas atendidas en el año)</t>
  </si>
  <si>
    <t>Establecimientos de turismo favorecidos con las politicas del municipio (número de establecimientos beneficiados)</t>
  </si>
  <si>
    <t>Actualizacion Plan de Desarrollo, PBOT y Estratificacion Rural( numero de estudios realizados)</t>
  </si>
  <si>
    <t>Compra e instalacion de parque recreacional vereda la moya, ejecucion a traves del IMDER Municipal</t>
  </si>
  <si>
    <t>IMDER</t>
  </si>
  <si>
    <t>Secretaria de Planeacion y Obras Publicas</t>
  </si>
  <si>
    <t>Fortalecimiento de bandas marciales</t>
  </si>
  <si>
    <t>Organización, promocion y desarrollo del 403 aniversario municipal, para atender parte de los gastos de la celebracion( número de personas beneficiadas)</t>
  </si>
  <si>
    <t>Realizacion del XVII festival y reinado de la naranja del Municipio de Pacho</t>
  </si>
  <si>
    <t>Fortalecimiento bandas marciales</t>
  </si>
  <si>
    <t>Festival de comparsas por cumpleaños 403 años de pacho</t>
  </si>
  <si>
    <t>Estudios, diseños e interventoria para PTAR casco urbano</t>
  </si>
  <si>
    <t>FORMATO DAPC  No 10</t>
  </si>
  <si>
    <t>Calidad y pertenencia educativa</t>
  </si>
  <si>
    <t>FORMATO DAPC  No 11</t>
  </si>
  <si>
    <t>Educando empresarios</t>
  </si>
  <si>
    <t>SALUD</t>
  </si>
  <si>
    <t>Aumento de Cobertura</t>
  </si>
  <si>
    <t>FORMATO DAPC  No 12</t>
  </si>
  <si>
    <t>Pacho saludable</t>
  </si>
  <si>
    <t>FORMATO DAPC  No 13</t>
  </si>
  <si>
    <t>Atención a discapacitados</t>
  </si>
  <si>
    <t>BIENESTAR SOCIAL</t>
  </si>
  <si>
    <t>Atención a abuelitos</t>
  </si>
  <si>
    <t>289/289</t>
  </si>
  <si>
    <t>FORMATO DAPC  No 15</t>
  </si>
  <si>
    <t>Los niños primero</t>
  </si>
  <si>
    <t>FORMATO DAPC  No 16</t>
  </si>
  <si>
    <t>Pacho Social</t>
  </si>
  <si>
    <t>FORMATO DAPC  No 17</t>
  </si>
  <si>
    <t>FORMATO DAPC  No 18</t>
  </si>
  <si>
    <t>Uso adecuado del tiempo libre</t>
  </si>
  <si>
    <t>Fortalecimiento de las instituciones culturales del municipio y fomento y preparación de actividades culturales en el municipio</t>
  </si>
  <si>
    <t>Construyendo la personalidad turistica de pacho</t>
  </si>
  <si>
    <t>FORMATO DAPC  No 19</t>
  </si>
  <si>
    <t>INSTRUMENTAL</t>
  </si>
  <si>
    <t>Renovación  redes de acueducto urbano</t>
  </si>
  <si>
    <t>Agua con calidad</t>
  </si>
  <si>
    <t>2297/2297</t>
  </si>
  <si>
    <t>FORMATO DAPC  No 20</t>
  </si>
  <si>
    <t>FORMATO DAPC  No 21</t>
  </si>
  <si>
    <t>FORMATO DAPC  No 22</t>
  </si>
  <si>
    <t>FORMATO DAPC  No 23</t>
  </si>
  <si>
    <t>Bienestar Social</t>
  </si>
  <si>
    <t>Terminación, mantenimiento, remodelacion casa de la cultura</t>
  </si>
  <si>
    <t>Dotacion mobiliario, e implementos para la casa de la cultura</t>
  </si>
  <si>
    <t>TOTAL AGUA POTABLE</t>
  </si>
  <si>
    <t>Plantas de tratamiento Agua Potable</t>
  </si>
  <si>
    <t>Planta de tratamiento acueducto urbano</t>
  </si>
  <si>
    <t>Subsidio de Ley a estratos subsidiables</t>
  </si>
  <si>
    <t>Saneamiento basico</t>
  </si>
  <si>
    <t>Estudios y diseños acueductos rurales del corregimiento de pasuncha</t>
  </si>
  <si>
    <t>Construccion tramo 1 del colector final barrio la palmita</t>
  </si>
  <si>
    <t>Conv 296-07 CAR, Establecimiento, mantenimiento y aislamiento de una plantacion forestal mediantew el cultivo de guadua en las cuencas y microcuencas de importancia hidirica en el municipio de pacho</t>
  </si>
  <si>
    <t>Estudios y diseños para la ampliación de redes de electrificacion rural</t>
  </si>
  <si>
    <t>SOP-A-145-07 convenio de electrificacion rural</t>
  </si>
  <si>
    <t>SOP-A-003-07 Convenio de electrificacion rural</t>
  </si>
  <si>
    <t>Programa de mejoramiento de vivienda para la poblacion con NBI - pasuncha</t>
  </si>
  <si>
    <t>Total vivienda</t>
  </si>
  <si>
    <t>sop-v-196-07 pavimentacion clle 7 entre cra 18 y 20</t>
  </si>
  <si>
    <t>sop-v-195-07 pavimentacion cra 20 entre calles 9 y 10</t>
  </si>
  <si>
    <t>sop-v-072-07 pavimentacion vias urbanas</t>
  </si>
  <si>
    <t>Mejoramiento y mantenimiento de la via que conduce del sector paraiso a la vereda la cuesta</t>
  </si>
  <si>
    <t>Mejoramiento y mantenimiento de la via que conduce vereda compera, la moya, betania y san miguel</t>
  </si>
  <si>
    <t>Mejoramiento y mantenimiento de la via que conduce a la carretera principal de venadillo</t>
  </si>
  <si>
    <t>Mejoramiento y mantenimiento de la via que conduce a pan de azucar</t>
  </si>
  <si>
    <t>Sop-v-239-07 mejoramiento via pacho - el florido</t>
  </si>
  <si>
    <t>Sop-v-240-07 reparacion de maquinaria pesada para el mantenimiento de vias rurales</t>
  </si>
  <si>
    <t>conv 446 de 2007 mantenimiento de vias rurales pacho hato viejo y pacho el florido</t>
  </si>
  <si>
    <t>Señalizacion transito de areas vias urbanas</t>
  </si>
  <si>
    <t>Estudio tecnico para incremento de tarifas de transporte publico y estudio tecnico para el transporte publico</t>
  </si>
  <si>
    <t xml:space="preserve">Campañas de sensibilizacion transporte, prevencion, seguridad vial y cultura ciudadana </t>
  </si>
  <si>
    <t>Plaza de mercado y pabellon de carnes</t>
  </si>
  <si>
    <t>Ancianato municipal</t>
  </si>
  <si>
    <t>Biblioteca publica municipal construida con recursos del FIP</t>
  </si>
  <si>
    <t>Mejoramiento del campo deportivo de veraguas</t>
  </si>
  <si>
    <t>Manejo de residuos sólidos realizando su aprovechamiento, mejorando el medio ambiente y produciendo fuentes de ingreso para las personas que realizan dicho tratamiento( toneladas de basura a tratar)</t>
  </si>
  <si>
    <t>Construcción de un sistema para el manejo de residuos sólidos</t>
  </si>
  <si>
    <t>Mantenimiento, reparación y adecuación del matadero municipal del casco urbano (No de personas beneficiadas)</t>
  </si>
  <si>
    <t>Atención a centros de reclusión ( número de reclusos atendidos )</t>
  </si>
  <si>
    <t>Atención al menor infractor ( número de menores infractores atendidos )</t>
  </si>
  <si>
    <t xml:space="preserve">Fortalecimiento organizaciones juveniles y prejuveniles a traves de clubes, orientados por el  ICBF ( número de jóvenes atendidos) </t>
  </si>
  <si>
    <t>Dotacion y mantenimiento de equipos de computo, medios audiovisuales y laboratorios para los centros educativos municipales (No de personas  beneficiadas)</t>
  </si>
  <si>
    <t>Construccion y ampliacion de acueductos rurales</t>
  </si>
  <si>
    <t>Mantenimiento y optimizacion de acueductos rurales</t>
  </si>
  <si>
    <t>COMPONENTE DE EFICACIA - PLAN DE ACCIÓN - AÑO 2007</t>
  </si>
  <si>
    <t>Bibliotecas municipales.</t>
  </si>
  <si>
    <t>Secretaria de Planeación y Obras públicas</t>
  </si>
  <si>
    <t>Compra de lote para construccion de salon cultural en la Vereda Balconcitos</t>
  </si>
  <si>
    <t>Ampliación, adecuación y mantenimiento de parques y zonas verdes del area urbana (número de personas beneficiadas )</t>
  </si>
  <si>
    <t>Fortalecimiento a la capacidad institucional del municipio ( número de personas beneficiadas )</t>
  </si>
  <si>
    <t>Capacitación, asesoria y asistencia técnica a programas de desarrollo institucional, orientados al desarrollo eficiente de las competencias municipales ( número de personas beneficiadas)</t>
  </si>
  <si>
    <t>Contratos de servicios especiales de policía en convenio con la Policia ( número de auxiliares bachilleres)</t>
  </si>
  <si>
    <t>Fortalecimiento del Sistema Penal Acusatorio</t>
  </si>
  <si>
    <t>Reforestacion y control de erosion para prevencion de desastres</t>
  </si>
  <si>
    <t>Implantación de  procesos ambientales comunitarios, educación ambiental, servicios de asistencia tecnica y transferencia de tecnologia en lo relacionado con la defensa del medio ambiente y la proteccion de los recursos naturales (número de procesos ambientales implementados)</t>
  </si>
  <si>
    <t>Contratos y/o convenios para la prevención y control de incendios y demás calamidades conexas al cuerpo de bomberos ( número de personas beneficiadas)</t>
  </si>
  <si>
    <t>Costo nómina inspección de policia y aportes patronales seguridad social y parafiscales              ( Número de personas beneficiadas)</t>
  </si>
  <si>
    <t>Realizar el correspondiente mantenimiento a la antenas de radio y televisión (Número de mantenimientos al año)</t>
  </si>
  <si>
    <t>Acceso a preescolar a partir de 5 años ( Número de alumnos beneficiados)</t>
  </si>
  <si>
    <t>Cobertura en la educacion primaria ( Número de alumnos beneficiados)</t>
  </si>
  <si>
    <t>Cobertura en la educacion secundaria ( Número de alumnos beneficiados)</t>
  </si>
  <si>
    <t>Cobertura en la educacion media ( Número de alumnos beneficiados)</t>
  </si>
  <si>
    <t>Cobertura en la educacion Media ( Número de alumnos beneficiados)</t>
  </si>
  <si>
    <t>Servicios publicos y funcionamiento ins educativos</t>
  </si>
  <si>
    <t>COMPONENTE DE EFICACIA - PLAN DE ACCIÓN - AÑO 2005</t>
  </si>
  <si>
    <t>Piscina municipal</t>
  </si>
  <si>
    <t>Crear programas para el beneficio de los niños especiales ( número de programas)</t>
  </si>
  <si>
    <t>Mantenimiento y ampliación de las redes de acueducto Urbano, en algunos sectores de municipio ( en metros lineales de tuberia de pvc )</t>
  </si>
  <si>
    <t>Adecuación y apoyo para la prevención de áreas en zonas de alto riesgo ( Número de familias beneficiadas )</t>
  </si>
  <si>
    <t>construccion de vivienda nueva para desplazados ( número de familias beneficiadas)</t>
  </si>
  <si>
    <t>apropiado</t>
  </si>
  <si>
    <t>Alimentacion escolar</t>
  </si>
  <si>
    <t>TOTAL</t>
  </si>
  <si>
    <t>Clubes juveniles informativos</t>
  </si>
  <si>
    <t>total educacion</t>
  </si>
  <si>
    <t>Clubes juveniles de informatica</t>
  </si>
  <si>
    <t>Fortalecimiento organizaciones juveniles y prejuveniles a traves de clubes, orientados por el  ICBF</t>
  </si>
  <si>
    <t>Atencion a discapacitados</t>
  </si>
  <si>
    <t>Atencion abuelitos</t>
  </si>
  <si>
    <t>Pacho social</t>
  </si>
  <si>
    <t>TOTAL SALUD</t>
  </si>
  <si>
    <t>TOTAL SOCIAL</t>
  </si>
  <si>
    <t>Recreacion y Deporte</t>
  </si>
  <si>
    <t>TOTAL RECREACION Y DEPORTES</t>
  </si>
  <si>
    <t>Cofinanciacion convenios con Entidades de apoyo al Sector Agropecuario - Cultivo de Heliconias (Numero de personas beneficiadas)</t>
  </si>
  <si>
    <t>20/80</t>
  </si>
  <si>
    <t>Fortalecimiento e implementacion de sistemas agricolas para frutales de clima moderado ( Numero de personas beneficiadas)</t>
  </si>
  <si>
    <t>400/1600</t>
  </si>
  <si>
    <t>Sostenimiento y compra de pie de cría porcina (numero de inseminaciones a pequeños a pequeños productores)</t>
  </si>
  <si>
    <t>Secretaria de agricultura, Desarrollo Económico, Cultura y turismo</t>
  </si>
  <si>
    <t>Presupuesto de inversión 2006</t>
  </si>
  <si>
    <t>Suma ejes plan acción</t>
  </si>
  <si>
    <t>Proyecto de plantación de cacao en zonas marginales de menos de 1300 metros sobre el Nivel del Mar ( numero de beneficiarios)</t>
  </si>
  <si>
    <t>Implementación de proyectos productivos en los predios de reforma agraria (Numero de personas beneficiadas)</t>
  </si>
  <si>
    <t>Mejoramiento de infraestructura agrícola pecuario granja municipal</t>
  </si>
  <si>
    <t>ECONÓMICO</t>
  </si>
  <si>
    <t>AGRICULTURA, EMPLEO Y PRODUCCIÓN</t>
  </si>
  <si>
    <t>Ampliar al termino del periodo de gobierno del 60% al 78,75%, es decir 150 nuevos productores de naranja que se requieren para mejorar la producción de la naranja.</t>
  </si>
  <si>
    <t xml:space="preserve">REGALÍAS </t>
  </si>
  <si>
    <t xml:space="preserve">CRÉDITO </t>
  </si>
  <si>
    <t>Lograr al termino del periodo de gobierno construir, habilitar y poner a funcionar nuevos sistemas agropecuarios, con sus respectivas estructuras (cultivos hidropónicos, porquerizas, piscicultura, lombricultura, corralejas para ganado, sistemas de riego, centro de germinación, etc.), para de esta manera poder beneficiar a 800 personas con la venta de bienes y servicios de la granja municipal</t>
  </si>
  <si>
    <t>Implantación de sistemas productivos agropecuarios en la Granja Municipal( Numero de sistemas demostrativos)</t>
  </si>
  <si>
    <t>Mejoramiento de la Infraestructura agrícola, pecuaria de la Granja Municipal (Numero de personas beneficiadas)</t>
  </si>
  <si>
    <t>Implementar huertas Escolares auto sostenibles en los centros educativos (</t>
  </si>
  <si>
    <t>Mantenimiento y operación de la maquinaria y automotores utilizados en las actividades agropecuarias ( número de personas Beneficiadas)</t>
  </si>
  <si>
    <t>Programas de capacitación agropecuaria para el mejoramiento de la productividad y elevación de la competitividad, incluyendo giras de observación y trabajo de campo (Número de beneficiarios)</t>
  </si>
  <si>
    <t>Créditos Madres Cabeza de Familia</t>
  </si>
  <si>
    <t>Implantación de proyectos de generación de empleo urbano y rural - Agricultura Urbana ( número de personal beneficiada)</t>
  </si>
  <si>
    <t>Desarrollar capacitaciones de formación empresarial dirigidas a las comunidades con interés empresarial ( número de personas beneficiadas)</t>
  </si>
  <si>
    <t>Fondo Emprender en ejecución</t>
  </si>
  <si>
    <t>Programas de agricultura de trópico alto ( Frutales) ( Numero de familias beneficiarias)</t>
  </si>
  <si>
    <t>Manejo de 5 Has de plantación productora de follaje tropicales, veredas Las Águilas, El Palmar, Florido, Capitán, La Hoya y Las Huertas (Numero de personas beneficiadas)</t>
  </si>
  <si>
    <t>Asistencia técnica , capacitación y acompañamiento para la producción mas limpia del cultivo de orellanas en el Municipio de Pacho  (Numero de personas beneficiadas)</t>
  </si>
  <si>
    <t>Incentivar la participación de productores, el cultivo de heliconias follajes tropicales fomentando la aplicación de buenos practicas  agrícolas (Numero de personas beneficiadas)</t>
  </si>
  <si>
    <t>Fondo Emprender, para multiplicar recursos para la financiación de planes de negocios en el área urbana y rural( Numero de planes de negocios)</t>
  </si>
  <si>
    <t>Lograr al termino del periodo de gobierno mejorar la cobertura del 25% al 94% es decir  80 nuevas familias productoras de los sistemas de heliconias y follajes con el fin de optimizar y mejorar los procesos de sus  cultivos promisorios.</t>
  </si>
  <si>
    <t>Fortalecimiento de la Granja Modelo para la transferencia tecnológica,fomento de agroturismo, fomento de la creación de parques ecológicos, desarrollo agropecuario mediante sistemas tecnificados y alternativos de producción (Numero de visitas a la granja)</t>
  </si>
  <si>
    <t>Construccion alcantarillado del sector Buenos Aires ( numero de familias beneficiadas)</t>
  </si>
  <si>
    <t>urbana</t>
  </si>
  <si>
    <t>Rural</t>
  </si>
  <si>
    <t>Manejo, aprovechamiento y disposicion final de residuos solidos (Número de personas beneficiadas )</t>
  </si>
  <si>
    <t>Empresa prestadora de este servicios públicos</t>
  </si>
  <si>
    <t>,50/1,793</t>
  </si>
  <si>
    <t>Esta actividad se realiza con maquinaria de propiedad del municipio</t>
  </si>
  <si>
    <t>FORMATO DAPC  No 41</t>
  </si>
  <si>
    <t>Manejo integral de  residuos solidos</t>
  </si>
  <si>
    <t>FORMATO DAPC  No 42</t>
  </si>
  <si>
    <t>Matadero municipal.</t>
  </si>
  <si>
    <t>Medioambiente</t>
  </si>
  <si>
    <t>Transporte para Pacho</t>
  </si>
  <si>
    <t>Transito y Transporte</t>
  </si>
  <si>
    <t>FORMATO DAPC  No 44</t>
  </si>
  <si>
    <t>JUSTICIA, SEGURIDAD Y PROTECCION CIUDADANA</t>
  </si>
  <si>
    <t>Fortalecimiento del tejido social y convivencia pacifica</t>
  </si>
  <si>
    <t>Apoyo para el mejoramiento de vivienda población NBI (Compra de materiales de construcción en general para entregar a la gente de escasos recursos)( número de familias beneficiadas)</t>
  </si>
  <si>
    <t>FORMATO DAPC  No 45</t>
  </si>
  <si>
    <t>25199/25199</t>
  </si>
  <si>
    <t>Atención a centros de reclusión</t>
  </si>
  <si>
    <t>DESARROLLO INSTITUCIONAL</t>
  </si>
  <si>
    <t>Alcaldia eficiente y eficaz</t>
  </si>
  <si>
    <t>Ampliación de cobertura en la parte rural</t>
  </si>
  <si>
    <t>Ampliación de cobertura en la parte urbana</t>
  </si>
  <si>
    <t>300/1,120</t>
  </si>
  <si>
    <t>Subsidio de transporte escolar ( número de cupos )</t>
  </si>
  <si>
    <t>Servicio para la preparacion de alimentos en los restaurantes escolares( personas beneficiadas)</t>
  </si>
  <si>
    <t xml:space="preserve">Disminución de las tasas de mortalidad materna realizando un seguimiento a las adolescentes y a los niños en el área urbana y rural. </t>
  </si>
  <si>
    <t xml:space="preserve">Disminución de las tasas de mortalidad infantil realizando un seguimiento a las adolescentes y a los niños en el área urbana y rural. </t>
  </si>
  <si>
    <t>Dotacion de menaje e implementos para restaurantes escolares ( personas beneficiada )</t>
  </si>
  <si>
    <t>Programa de Subsidio Ley 142/94 para estratos subsidiables( número de cupos bimestrales )</t>
  </si>
  <si>
    <t>Crear instituciones de educación formal y no formal, con creacion de nuevos establecimientos educativos. Programa EFA (No de alumnos atendidos)</t>
  </si>
  <si>
    <t>Mantener y mejorar la infraestructura de las instituciones educativas urbanas del municipio. (No  de instituciones mejoradas)</t>
  </si>
  <si>
    <t>Mantener y mejorar la infraestructura de las instituciones educativas rurales del municipio.(No  de instituciones mejoradas)</t>
  </si>
  <si>
    <t>Organización, promoción y financiación de eventos culturales</t>
  </si>
  <si>
    <t>Fortalecimiento y difusión de la musica a traves de bandas musicales</t>
  </si>
  <si>
    <t xml:space="preserve">Asistencia a menores a traves de la ludoteca municipal </t>
  </si>
  <si>
    <t>Fortalecimiento, organización y dotación biblioteca municipal</t>
  </si>
  <si>
    <t xml:space="preserve">Fortalecimiento y difusion de las expresiones artisticas y culturales en el area rural </t>
  </si>
  <si>
    <t xml:space="preserve">Implantación de escuelas de formación artisticas y culturales  </t>
  </si>
  <si>
    <t>Cultura</t>
  </si>
  <si>
    <t>Turismo</t>
  </si>
  <si>
    <t>Total turismo</t>
  </si>
  <si>
    <t>84/336</t>
  </si>
  <si>
    <t>Saneamiento Basico y Agua Potable</t>
  </si>
  <si>
    <t>Electrificacion</t>
  </si>
  <si>
    <t>Total electrificacion</t>
  </si>
  <si>
    <t>Comunicaciones</t>
  </si>
  <si>
    <t>Total Comunicaciones</t>
  </si>
  <si>
    <t>Vivienda</t>
  </si>
  <si>
    <t>Total Vivienda</t>
  </si>
  <si>
    <t>Vias</t>
  </si>
  <si>
    <t>Total Vias</t>
  </si>
  <si>
    <t>Equipamento municipal</t>
  </si>
  <si>
    <t>Total Equipamento municipal</t>
  </si>
  <si>
    <t>Salud</t>
  </si>
  <si>
    <t>META FÍSICA</t>
  </si>
  <si>
    <t>AVANCE FÍSICO A LA FECHA</t>
  </si>
  <si>
    <t xml:space="preserve">% DE AVANCE FÍSICO A LA FECHA </t>
  </si>
  <si>
    <t>Por inconvenientes en la ejecución de los avaluos comerciales, por parte de la Empresa Inmobiliaria Cundinamarquesa, el convenio de Asociación de compra de predio con la CAR fue ampliado en tiempo por seis meses más.</t>
  </si>
  <si>
    <t>Mejoramiento de la infraestructura del Horno de la Ferrería, (Declarado como bien de interés Cultural).</t>
  </si>
  <si>
    <t>Participación en Reinados Nacionales y Departamentales</t>
  </si>
  <si>
    <t>Giras, eventos y cursos de capacitación, asistencia técnica y transferencia de tecnología</t>
  </si>
  <si>
    <t>Estudios y diseños acueductos rurales</t>
  </si>
  <si>
    <t>Compra de lote para acueducto rural</t>
  </si>
  <si>
    <t>Mantenimiento, optimizacion y ampliacion acueducto corregimiento de pasuncha</t>
  </si>
  <si>
    <t>Ganadería, Porcicultura, Frutales, Cereales, Lombricultura, Centro de Germinación, Forraje Verde Hidropónico, Follajes y Flores.</t>
  </si>
  <si>
    <t>RECREACION Y DEPORTE</t>
  </si>
  <si>
    <t>CULTURA Y TURISMO</t>
  </si>
  <si>
    <t>Apoyo y fomento diversas modalidades turismo en pacho</t>
  </si>
  <si>
    <t>Contrucción de locales para el fomento del turismo</t>
  </si>
  <si>
    <t>Soportar y apoyar las gestiones de comercialización, mediante la creación de canales para cada mini cadena y que puedan ser aprovechados por la región</t>
  </si>
  <si>
    <t>hoja No 1 de 1</t>
  </si>
  <si>
    <t>hoja No 1 de 2</t>
  </si>
  <si>
    <t>hoja No 1 de 3</t>
  </si>
  <si>
    <t>hoja No 1 de 4</t>
  </si>
  <si>
    <t>hoja No 1 de 5</t>
  </si>
  <si>
    <t>Desarrollo de servicios de electrificación en el area urbana</t>
  </si>
  <si>
    <t>Desarrollo de servicios de electrificación en el area rural</t>
  </si>
  <si>
    <t>26/80</t>
  </si>
  <si>
    <t>10/70</t>
  </si>
  <si>
    <t>(-)75/300</t>
  </si>
  <si>
    <t>60/195</t>
  </si>
  <si>
    <t>90/280</t>
  </si>
  <si>
    <t>275/1000</t>
  </si>
  <si>
    <t>0/100</t>
  </si>
  <si>
    <t>24.000/24.000</t>
  </si>
  <si>
    <t>Reforestacion de zonas para la recuperacion de fuentes hidricas ( Número de Hectareas Reforestadas)</t>
  </si>
  <si>
    <t>Tasa retributiva por vertimientos puntuales sobre fuentes hidricas (número de personas beneficiadas mensualmente)</t>
  </si>
  <si>
    <t>Residuos solidos sanem</t>
  </si>
  <si>
    <t>Total medio ambiente+ proteccion fuentes</t>
  </si>
  <si>
    <t>Mantenimiento del lote donde estan ubicados los sistemas de comunicación</t>
  </si>
  <si>
    <t>Reparacion y mantenimiento de equipo de repetidora de television, vereda san miguel</t>
  </si>
  <si>
    <t>Poblacion rural dispersa</t>
  </si>
  <si>
    <t xml:space="preserve">Brindar protección a niños y adolescentes vulnerables contra a ctos violentos </t>
  </si>
  <si>
    <t>INCLUYE TURISTAS EVENTOS GRANDES DEL MPIO</t>
  </si>
  <si>
    <t>Se contrato para digirir  4 bandas beneficiando a 200 integrantes aprox.2500 benef.</t>
  </si>
  <si>
    <t>Garantizar el acceso a la población joven a través de Proyectos de formación técnica agropecuaria ( capacitaciones de asociatividad y empresiarismo, contabilidad y liquidación)( Nº de personas beneficiadas )</t>
  </si>
  <si>
    <t>Conectividad internet escuelas urbanas y colegios secundaria Municipio de Pacho</t>
  </si>
  <si>
    <t>Dotacion de mobiliario, material educativo para  las escuelas urbanas y rurales del municipio ( Nº de personas beneficiados)</t>
  </si>
  <si>
    <t>COMPONENTE DE EFICACIA - PLAN DE ACCIÓN - AÑO 2006</t>
  </si>
  <si>
    <t>Programa población rural dispersa ( número de personas beneficiadas)</t>
  </si>
  <si>
    <t>Fortalecimiento y difusión de las expresiones artisticas y culturales en el área urbana y rural ( numero de eventos )</t>
  </si>
  <si>
    <t>Ampliación, mantenimiento y optimización de acueductos rurales existentes ( número de personas beneficiadas )</t>
  </si>
  <si>
    <t>Al termino del periodo de gobierno aumentar del 20% al 40% el numero de familias con vivienda propia, es decir 100 familias con vivienda nueva</t>
  </si>
  <si>
    <t>Pavimentacion y Mantenimiento de vias urbanas</t>
  </si>
  <si>
    <t>L= 6 m iva RDE 21 200 psi</t>
  </si>
  <si>
    <t>Pavimentacion de Vías en mezcla densa en caliente ( km a pavimentar )</t>
  </si>
  <si>
    <t>Pavimentacion de vias en concreto hidraulico ( km a pavimentar )</t>
  </si>
  <si>
    <t>Estrategia IAMI (Instituciones amigas de la mujer y la infancia)</t>
  </si>
  <si>
    <t>Fomentar buenos hábitos alimenticios dentro de la población vulnerable del Municipio</t>
  </si>
  <si>
    <t xml:space="preserve">Incentivar el cuidado de la  salud sexual y reproductiva en niños y adolescentes </t>
  </si>
  <si>
    <t>Planta de tratamiento acueducto pasuncha</t>
  </si>
  <si>
    <t>Programa centro de vida sensorial para brindar atención integral de los discapacitados.  (No de personas beneficiadas)</t>
  </si>
  <si>
    <t>Atención integral especializada para la población con limitaciones o con capacidades excepcionales. Centro  Elkin  Armando (No de personas beneficiadas)</t>
  </si>
  <si>
    <t>Programas para el uso del tiempo libre, campeonatos, torneos, pesca deportiva, etc (número de campeonatos realizados durante el año )</t>
  </si>
  <si>
    <t>Dotación mobiliario, e implementos para la casa de la cultura (No de personas beneficiadas)</t>
  </si>
  <si>
    <r>
      <t>PLAN DE DESARROLLO</t>
    </r>
    <r>
      <rPr>
        <sz val="10"/>
        <rFont val="Arial"/>
        <family val="2"/>
      </rPr>
      <t>: CUATRO SIGLOS DE LUCHA, HOY UNA NUEVA OPORTUNIDAD</t>
    </r>
  </si>
  <si>
    <t>Implementación de escuelas de formación deportiva en el área rural y urbana (número de personas beneficiadsa con las escuelas deportivas)</t>
  </si>
  <si>
    <t>Programas de alfabetización, gimnasia y mantenimiento a adulto mayor (No  de adultos  beneficiados)</t>
  </si>
  <si>
    <t>Dotación de indumentos y elementos a las agrupaciones artisticas y culturales ( numero de personas beneficiadas)</t>
  </si>
  <si>
    <t>Fortalecimiento y difusión de la musica a traves de bandas musicales ( numero de personas beneficiadas )</t>
  </si>
  <si>
    <t>Organización, promoción y financiación de eventos culturales ( número de personas beneficiadas )</t>
  </si>
  <si>
    <t>Optimización del sistema de transporte intermunicipal y veredal ( número de rutas nuevas )</t>
  </si>
  <si>
    <t>Redes de seguridad en barrios y veredas y prevención de desastres ( número de redes de seguridad)</t>
  </si>
  <si>
    <t>PLAN DE DESARROLLO: CUATRO SIGLOS DE LUCHA, HOY UNA NUEVA OPORTUNIDAD</t>
  </si>
  <si>
    <t>INFRAESTRUCTURA Y EQUIPAMENTO PUBLICO</t>
  </si>
  <si>
    <t>Ampliación y mejoramiento de cobertura del servicio de agua  potable en la zona urbana</t>
  </si>
  <si>
    <t>Integracion con las comunidades, organizaciones civicas, instiutcionales y comulas para desarrollar participación comunitaria</t>
  </si>
  <si>
    <t>Mantenimiento, reparación y adecuacion matadero de pasuncha</t>
  </si>
  <si>
    <t>Mantenimiento parque urbano corregimiento de pasuncha</t>
  </si>
  <si>
    <t>Adecuacion de áreas urbanas en zonas de alto riesgo</t>
  </si>
  <si>
    <t>Apoyo para la prevención, atención de emergencias y desastres</t>
  </si>
  <si>
    <t>Adecuacion de áreas rurales en zonas de alto riesgo, reubicacón de asentamiento y prevención de desastres</t>
  </si>
  <si>
    <t>Adecuacion de áreas pasuncha en zonas de alto riesgo, reubicacón de asentamiento y prevención de desastres</t>
  </si>
  <si>
    <t>Fortalecimiento de la unidad de asistencia técnica y apoyo a programas agropecuarios y psicolas</t>
  </si>
  <si>
    <t>Sostenimiento y compra de pie de cria porcicola</t>
  </si>
  <si>
    <t>Lograr al termino del periodo de Gobierno aumentar la cobertura del 74,8% al  87,73% , es decir, vincular  a 398 nuevos estudiantes de la cobertura rural que estan en edad escolar</t>
  </si>
  <si>
    <t>Lograr al termino del periodo de Gobierno mantener el 100% de la cobertura urbana y aumentar del 18,17%  al  21% los estudiantes de la zona rural que inician su educacion basica y media secundaria en instituciones del casco urbano, es decir vincular  a 101 estudiantes de la cobertura rural que estan en edad escolar.</t>
  </si>
  <si>
    <t>Lograr al termino del periodo de gobierno disminuir cada año la descersión escolar del 10% al 6,7%, es decir 198 alumnos menos que deserten cada año, es decir 198 alumnos mas que se terminan el año escolar (en los cuatro años 792 alumnos menos que desertan  y 792 alumnos mas que se quedan)</t>
  </si>
  <si>
    <t>Lograr al termino del periodo de gobierno aumentar el acceso de los estudiantes del municipio a redes de conectividad y buenos equipos de computo, que les permita mejorar sus calidades y capacidades intelectuales y laborales en el futuro ( aumentar de 20 computadores a 85 computadores).</t>
  </si>
  <si>
    <t>Aumentar  al termino del periodo de gobierno la cobertura del 7,49% al  15%( es decir 489 nuevos alumnos) de la población que tiene especialidad en temas tecnicos y empresariales, es decir a 489 alumnos nuevos, que ingresen a instituciones educativas que tengan enfasis en temas tecnicos y empresariales.</t>
  </si>
  <si>
    <t>0/0</t>
  </si>
  <si>
    <t>90%/100%</t>
  </si>
  <si>
    <t>Registro civil en menores de 5 años ( numero de niños registrados)</t>
  </si>
  <si>
    <t>Registro civil en instituciones que atienden partos( numero de instituciones que registran a los recien nacidos)</t>
  </si>
  <si>
    <t>Registros masivos a población mayor de 1 año ( numero de jornadas durante el año)</t>
  </si>
  <si>
    <t>Violencia intrafamiliar ( numero de casos )</t>
  </si>
  <si>
    <t>Atención de niños y adolescentes desplazados ( numero de niños atendidos)</t>
  </si>
  <si>
    <t>´10/10</t>
  </si>
  <si>
    <t>100/400</t>
  </si>
  <si>
    <t>2163/8652</t>
  </si>
  <si>
    <t>1750/7000</t>
  </si>
  <si>
    <t>1,620/6480</t>
  </si>
  <si>
    <t>50/195</t>
  </si>
  <si>
    <t>55/248</t>
  </si>
  <si>
    <t>1/1</t>
  </si>
  <si>
    <t>56/220</t>
  </si>
  <si>
    <t>2/18</t>
  </si>
  <si>
    <t>Aumentar al termino del periodo de gobierno la cobertura del 8,04% al  21,44%, es decir  (400) nuevos habitantes del municipio que se inscriban en alguna de las disciplinas deportivas a traves de las escuelas de formacion,  para que de esta forma adquieran mayores niveles deportivos y de competencia en las diferentes disciplinas deportivas.</t>
  </si>
  <si>
    <t xml:space="preserve"> </t>
  </si>
  <si>
    <t>Convenio Consorcio Prosperar- pension de adulto mayor</t>
  </si>
  <si>
    <t>Programa inmunizaciones</t>
  </si>
  <si>
    <t>Atencion a la poblacion vinculada y servicios complementarios POS, Municipio de Pacho</t>
  </si>
  <si>
    <t>Garantizar el acceso a la población joven en formación técnica</t>
  </si>
  <si>
    <t>Lograr al termino del periodo de gobierno aumentar la cobertura en salud subsidiada ( ver meta de resultado del programa aumento de cobertura en salud) y de igual manera apoyar en el periodo al 20% de la poblacion (1,113)  de las personas que pertenecen a la población de niveles 1, 2 y 3 que siguen en riesgo de vulnerabilidad, para de esta manera garantizar el acceso a servicios de salud a toda la poblacion vulnerable en salud del municipio</t>
  </si>
  <si>
    <t>Disminuir  al termino del periodo de Gobierno (2 años) la mortalidad materna de 0,49% al  0%, es decir que ninguna de las mujeres embarazadas mueran durante su periodo de gestación (aunque es impredecible controlar estas muertes) y mantener el 100% (405 embarazadas en control ) de la cobertura del seguimiento y control prenatal y puerperio de las mujeres en estado de gestacion.</t>
  </si>
  <si>
    <t>Aumentar al termino del periodo de Gobierno (2 años) la atencion medica del 95% al 97% ( 178 nuevos niños y adolescentes atendindos) prestada por el hospital gracias a las acciones conjuntas entre la Secretaria de Desarrollo Social y el Hospital.</t>
  </si>
  <si>
    <t>Al finalizar el periodo de gobierno aumentar el numero de capacitaciones orientadas a promover la lactancia materna y los estilos de vida saludables ( de 23 a 30 capacitaciones); de igual manera aumentar el numero de niños valorados en el SISVAN que en la actualidad valora en promedio 1,500 al año (de 1,500 a 2,500 por año).</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</si>
</sst>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 #,##0.00_-;\-* #,##0.00_-;_-* &quot;-&quot;??_-;_-@_-"/>
    <numFmt numFmtId="181" formatCode="_ * #,##0_ ;_ * \-#,##0_ ;_ * &quot;-&quot;??_ ;_ @_ "/>
    <numFmt numFmtId="182" formatCode="_ * #,##0.0_ ;_ * \-#,##0.0_ ;_ * &quot;-&quot;??_ ;_ @_ "/>
    <numFmt numFmtId="183" formatCode="_ [$€]\ * #,##0.00_ ;_ [$€]\ * \-#,##0.00_ ;_ [$€]\ * &quot;-&quot;??_ ;_ @_ "/>
    <numFmt numFmtId="184" formatCode="_ * #,##0.000_ ;_ * \-#,##0.000_ ;_ * &quot;-&quot;??_ ;_ @_ "/>
    <numFmt numFmtId="185" formatCode="_-* #,##0\ _€_-;\-* #,##0\ _€_-;_-* &quot;-&quot;??\ _€_-;_-@_-"/>
    <numFmt numFmtId="186" formatCode="_-* #,##0.000\ _€_-;\-* #,##0.000\ _€_-;_-* &quot;-&quot;???\ _€_-;_-@_-"/>
    <numFmt numFmtId="187" formatCode="_ * #,##0.0_ ;_ * \-#,##0.0_ ;_ * &quot;-&quot;_ ;_ @_ "/>
    <numFmt numFmtId="188" formatCode="_ * #,##0.000_ ;_ * \-#,##0.000_ ;_ * &quot;-&quot;_ ;_ @_ "/>
    <numFmt numFmtId="189" formatCode="_-* #,##0.000\ _€_-;\-* #,##0.000\ _€_-;_-* &quot;-&quot;??\ _€_-;_-@_-"/>
    <numFmt numFmtId="190" formatCode="_-* #,##0.0000\ _€_-;\-* #,##0.0000\ _€_-;_-* &quot;-&quot;??\ _€_-;_-@_-"/>
    <numFmt numFmtId="191" formatCode="_-* #,##0.00000\ _€_-;\-* #,##0.00000\ _€_-;_-* &quot;-&quot;??\ _€_-;_-@_-"/>
    <numFmt numFmtId="192" formatCode="_ * #,##0.000_ ;_ * \-#,##0.000_ ;_ * &quot;-&quot;???_ ;_ @_ "/>
    <numFmt numFmtId="193" formatCode="_ * #,##0.0_ ;_ * \-#,##0.0_ ;_ * &quot;-&quot;?_ ;_ @_ "/>
    <numFmt numFmtId="194" formatCode="_ * #,##0.00_ ;_ * \-#,##0.00_ ;_ * &quot;-&quot;_ ;_ @_ "/>
    <numFmt numFmtId="195" formatCode="_ * #,##0.0000_ ;_ * \-#,##0.0000_ ;_ * &quot;-&quot;_ ;_ @_ "/>
    <numFmt numFmtId="196" formatCode="_ * #,##0.00000_ ;_ * \-#,##0.00000_ ;_ * &quot;-&quot;_ ;_ @_ "/>
    <numFmt numFmtId="197" formatCode="_ * #,##0.000000_ ;_ * \-#,##0.000000_ ;_ * &quot;-&quot;_ ;_ @_ "/>
    <numFmt numFmtId="198" formatCode="_ * #,##0.0000_ ;_ * \-#,##0.0000_ ;_ * &quot;-&quot;??_ ;_ @_ "/>
    <numFmt numFmtId="199" formatCode="_ * #,##0.00000_ ;_ * \-#,##0.00000_ ;_ * &quot;-&quot;??_ ;_ @_ "/>
    <numFmt numFmtId="200" formatCode="_ * #,##0.000000_ ;_ * \-#,##0.000000_ ;_ * &quot;-&quot;??_ ;_ @_ "/>
    <numFmt numFmtId="201" formatCode="#,##0.000"/>
    <numFmt numFmtId="202" formatCode="#,##0.0000"/>
    <numFmt numFmtId="203" formatCode="#,##0.0"/>
    <numFmt numFmtId="204" formatCode="_ * #,##0.00000_ ;_ * \-#,##0.00000_ ;_ * &quot;-&quot;?????_ ;_ @_ "/>
    <numFmt numFmtId="205" formatCode="0.000"/>
    <numFmt numFmtId="206" formatCode="_-* #,##0.0\ _€_-;\-* #,##0.0\ _€_-;_-* &quot;-&quot;?\ _€_-;_-@_-"/>
    <numFmt numFmtId="207" formatCode="_ * #,##0.0000000_ ;_ * \-#,##0.0000000_ ;_ * &quot;-&quot;_ ;_ @_ "/>
    <numFmt numFmtId="208" formatCode="_ * #,##0.0000_ ;_ * \-#,##0.0000_ ;_ * &quot;-&quot;????_ ;_ @_ "/>
    <numFmt numFmtId="209" formatCode="0.0"/>
  </numFmts>
  <fonts count="35">
    <font>
      <sz val="10"/>
      <name val="Arial"/>
      <family val="0"/>
    </font>
    <font>
      <b/>
      <sz val="10"/>
      <name val="Arial"/>
      <family val="2"/>
    </font>
    <font>
      <b/>
      <sz val="12"/>
      <name val="Arial"/>
      <family val="2"/>
    </font>
    <font>
      <sz val="8"/>
      <name val="Tahoma"/>
      <family val="0"/>
    </font>
    <font>
      <b/>
      <sz val="8"/>
      <name val="Tahoma"/>
      <family val="0"/>
    </font>
    <font>
      <sz val="8"/>
      <name val="Arial"/>
      <family val="0"/>
    </font>
    <font>
      <sz val="12"/>
      <name val="Arial"/>
      <family val="0"/>
    </font>
    <font>
      <u val="single"/>
      <sz val="10"/>
      <color indexed="12"/>
      <name val="Arial"/>
      <family val="0"/>
    </font>
    <font>
      <u val="single"/>
      <sz val="10"/>
      <color indexed="36"/>
      <name val="Arial"/>
      <family val="0"/>
    </font>
    <font>
      <b/>
      <i/>
      <sz val="10"/>
      <name val="Arial"/>
      <family val="2"/>
    </font>
    <font>
      <sz val="10"/>
      <color indexed="10"/>
      <name val="Arial"/>
      <family val="0"/>
    </font>
    <font>
      <sz val="9"/>
      <name val="Arial"/>
      <family val="2"/>
    </font>
    <font>
      <sz val="10"/>
      <color indexed="12"/>
      <name val="Arial"/>
      <family val="2"/>
    </font>
    <font>
      <b/>
      <sz val="10"/>
      <color indexed="10"/>
      <name val="Arial"/>
      <family val="2"/>
    </font>
    <font>
      <b/>
      <sz val="10"/>
      <color indexed="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10"/>
      <color indexed="14"/>
      <name val="Arial"/>
      <family val="0"/>
    </font>
    <font>
      <sz val="8"/>
      <color indexed="10"/>
      <name val="Arial"/>
      <family val="0"/>
    </font>
    <font>
      <sz val="10"/>
      <color indexed="48"/>
      <name val="Arial"/>
      <family val="0"/>
    </font>
    <font>
      <b/>
      <sz val="8"/>
      <name val="Arial"/>
      <family val="2"/>
    </font>
  </fonts>
  <fills count="30">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indexed="11"/>
        <bgColor indexed="64"/>
      </patternFill>
    </fill>
    <fill>
      <patternFill patternType="solid">
        <fgColor indexed="46"/>
        <bgColor indexed="64"/>
      </patternFill>
    </fill>
    <fill>
      <patternFill patternType="solid">
        <fgColor indexed="14"/>
        <bgColor indexed="64"/>
      </patternFill>
    </fill>
    <fill>
      <patternFill patternType="solid">
        <fgColor indexed="10"/>
        <bgColor indexed="64"/>
      </patternFill>
    </fill>
    <fill>
      <patternFill patternType="solid">
        <fgColor indexed="22"/>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thin"/>
      <bottom style="medium"/>
    </border>
    <border>
      <left style="medium"/>
      <right style="thin"/>
      <top style="medium"/>
      <bottom>
        <color indexed="63"/>
      </bottom>
    </border>
    <border>
      <left style="thin"/>
      <right style="thin"/>
      <top style="medium"/>
      <bottom>
        <color indexed="63"/>
      </bottom>
    </border>
    <border>
      <left style="medium"/>
      <right style="medium"/>
      <top style="thin"/>
      <bottom style="thin"/>
    </border>
    <border>
      <left style="thin"/>
      <right style="thin"/>
      <top style="medium"/>
      <bottom style="medium"/>
    </border>
    <border>
      <left style="medium"/>
      <right style="medium"/>
      <top style="medium"/>
      <bottom style="thin"/>
    </border>
    <border>
      <left style="medium"/>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top style="medium"/>
      <bottom>
        <color indexed="63"/>
      </bottom>
    </border>
    <border>
      <left style="thin"/>
      <right>
        <color indexed="63"/>
      </right>
      <top style="medium"/>
      <bottom>
        <color indexed="63"/>
      </bottom>
    </border>
    <border>
      <left>
        <color indexed="63"/>
      </left>
      <right style="medium"/>
      <top>
        <color indexed="63"/>
      </top>
      <bottom style="thin"/>
    </border>
    <border>
      <left style="medium"/>
      <right>
        <color indexed="63"/>
      </right>
      <top style="medium"/>
      <bottom style="medium"/>
    </border>
    <border>
      <left style="medium"/>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style="medium"/>
      <top style="medium"/>
      <bottom style="medium"/>
    </border>
    <border>
      <left>
        <color indexed="63"/>
      </left>
      <right style="thin"/>
      <top style="medium"/>
      <bottom style="medium"/>
    </border>
    <border>
      <left>
        <color indexed="63"/>
      </left>
      <right style="medium"/>
      <top style="medium"/>
      <bottom style="thin"/>
    </border>
    <border>
      <left style="medium"/>
      <right style="medium"/>
      <top>
        <color indexed="63"/>
      </top>
      <bottom>
        <color indexed="63"/>
      </bottom>
    </border>
    <border>
      <left>
        <color indexed="63"/>
      </left>
      <right style="medium"/>
      <top style="thin"/>
      <bottom style="thin"/>
    </border>
    <border>
      <left>
        <color indexed="63"/>
      </left>
      <right style="medium"/>
      <top style="thin"/>
      <bottom style="medium"/>
    </border>
    <border>
      <left style="hair"/>
      <right style="hair"/>
      <top style="hair"/>
      <bottom style="hair"/>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color indexed="63"/>
      </right>
      <top style="medium"/>
      <bottom style="medium"/>
    </border>
    <border>
      <left style="hair"/>
      <right style="hair"/>
      <top>
        <color indexed="63"/>
      </top>
      <bottom style="hair"/>
    </border>
    <border>
      <left style="thin"/>
      <right style="hair"/>
      <top>
        <color indexed="63"/>
      </top>
      <bottom style="hair"/>
    </border>
    <border>
      <left style="thin"/>
      <right style="hair"/>
      <top style="hair"/>
      <bottom>
        <color indexed="63"/>
      </bottom>
    </border>
    <border>
      <left style="hair"/>
      <right style="hair"/>
      <top style="hair"/>
      <bottom>
        <color indexed="63"/>
      </bottom>
    </border>
    <border>
      <left style="medium"/>
      <right style="medium"/>
      <top style="thin"/>
      <bottom>
        <color indexed="63"/>
      </bottom>
    </border>
    <border>
      <left style="thin"/>
      <right style="hair"/>
      <top>
        <color indexed="63"/>
      </top>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hair"/>
      <right>
        <color indexed="63"/>
      </right>
      <top style="hair"/>
      <bottom>
        <color indexed="63"/>
      </bottom>
    </border>
    <border>
      <left style="hair"/>
      <right>
        <color indexed="63"/>
      </right>
      <top>
        <color indexed="63"/>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hair"/>
      <bottom>
        <color indexed="63"/>
      </bottom>
    </border>
    <border>
      <left style="medium"/>
      <right style="hair"/>
      <top>
        <color indexed="63"/>
      </top>
      <bottom style="hair"/>
    </border>
    <border>
      <left style="hair"/>
      <right style="hair"/>
      <top>
        <color indexed="63"/>
      </top>
      <bottom>
        <color indexed="63"/>
      </bottom>
    </border>
    <border>
      <left style="thin"/>
      <right style="medium"/>
      <top style="medium"/>
      <bottom>
        <color indexed="63"/>
      </bottom>
    </border>
    <border>
      <left>
        <color indexed="63"/>
      </left>
      <right>
        <color indexed="63"/>
      </right>
      <top style="thin"/>
      <bottom style="hair"/>
    </border>
    <border>
      <left>
        <color indexed="63"/>
      </left>
      <right style="hair"/>
      <top style="thin"/>
      <bottom style="hair"/>
    </border>
    <border>
      <left style="medium"/>
      <right style="medium"/>
      <top style="medium"/>
      <bottom>
        <color indexed="63"/>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25" fillId="3" borderId="1" applyNumberFormat="0" applyAlignment="0" applyProtection="0"/>
    <xf numFmtId="0" fontId="27" fillId="4" borderId="2" applyNumberFormat="0" applyAlignment="0" applyProtection="0"/>
    <xf numFmtId="0" fontId="26" fillId="0" borderId="3" applyNumberFormat="0" applyFill="0" applyAlignment="0" applyProtection="0"/>
    <xf numFmtId="0" fontId="18" fillId="0" borderId="0" applyNumberFormat="0" applyFill="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30" fillId="12" borderId="0" applyNumberFormat="0" applyBorder="0" applyAlignment="0" applyProtection="0"/>
    <xf numFmtId="0" fontId="30" fillId="2" borderId="0" applyNumberFormat="0" applyBorder="0" applyAlignment="0" applyProtection="0"/>
    <xf numFmtId="0" fontId="29" fillId="13"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9"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29" fillId="17" borderId="0" applyNumberFormat="0" applyBorder="0" applyAlignment="0" applyProtection="0"/>
    <xf numFmtId="0" fontId="23" fillId="17" borderId="1" applyNumberFormat="0" applyAlignment="0" applyProtection="0"/>
    <xf numFmtId="183"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0"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19" borderId="0" applyNumberFormat="0" applyBorder="0" applyAlignment="0" applyProtection="0"/>
    <xf numFmtId="0" fontId="0" fillId="12" borderId="4" applyNumberFormat="0" applyFont="0" applyAlignment="0" applyProtection="0"/>
    <xf numFmtId="9" fontId="0" fillId="0" borderId="0" applyFont="0" applyFill="0" applyBorder="0" applyAlignment="0" applyProtection="0"/>
    <xf numFmtId="0" fontId="24" fillId="3" borderId="5" applyNumberFormat="0" applyAlignment="0" applyProtection="0"/>
    <xf numFmtId="0" fontId="28"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5" fillId="0" borderId="0" applyNumberFormat="0" applyFill="0" applyBorder="0" applyAlignment="0" applyProtection="0"/>
    <xf numFmtId="0" fontId="22" fillId="0" borderId="9" applyNumberFormat="0" applyFill="0" applyAlignment="0" applyProtection="0"/>
  </cellStyleXfs>
  <cellXfs count="939">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textRotation="90" wrapText="1"/>
    </xf>
    <xf numFmtId="0" fontId="1" fillId="0" borderId="0" xfId="0" applyFont="1" applyAlignment="1">
      <alignment/>
    </xf>
    <xf numFmtId="0" fontId="6" fillId="0" borderId="14" xfId="0" applyFont="1" applyBorder="1" applyAlignment="1">
      <alignment/>
    </xf>
    <xf numFmtId="49" fontId="6" fillId="0" borderId="14" xfId="0" applyNumberFormat="1" applyFont="1" applyBorder="1" applyAlignment="1">
      <alignment/>
    </xf>
    <xf numFmtId="0" fontId="0" fillId="0" borderId="18" xfId="0" applyFont="1" applyBorder="1" applyAlignment="1">
      <alignment/>
    </xf>
    <xf numFmtId="41" fontId="1" fillId="0" borderId="15" xfId="0" applyNumberFormat="1" applyFont="1" applyBorder="1" applyAlignment="1">
      <alignment/>
    </xf>
    <xf numFmtId="49" fontId="6" fillId="0" borderId="14" xfId="52" applyNumberFormat="1" applyFont="1" applyBorder="1" applyAlignment="1">
      <alignment/>
    </xf>
    <xf numFmtId="0" fontId="1" fillId="0" borderId="19" xfId="0" applyFont="1" applyBorder="1" applyAlignment="1">
      <alignment horizontal="center" vertical="center" textRotation="90" wrapText="1"/>
    </xf>
    <xf numFmtId="181" fontId="1" fillId="0" borderId="15" xfId="52" applyNumberFormat="1" applyFont="1" applyBorder="1" applyAlignment="1">
      <alignment/>
    </xf>
    <xf numFmtId="181" fontId="1" fillId="0" borderId="0" xfId="52" applyNumberFormat="1" applyFont="1" applyAlignment="1">
      <alignment/>
    </xf>
    <xf numFmtId="181" fontId="1" fillId="0" borderId="0" xfId="0" applyNumberFormat="1" applyFont="1" applyAlignment="1">
      <alignment/>
    </xf>
    <xf numFmtId="9" fontId="0" fillId="0" borderId="20" xfId="0" applyNumberFormat="1" applyFont="1" applyBorder="1" applyAlignment="1">
      <alignment horizontal="center"/>
    </xf>
    <xf numFmtId="41" fontId="0" fillId="0" borderId="20" xfId="53" applyFont="1" applyBorder="1" applyAlignment="1">
      <alignment/>
    </xf>
    <xf numFmtId="0" fontId="0" fillId="0" borderId="0" xfId="0" applyAlignment="1">
      <alignment wrapText="1"/>
    </xf>
    <xf numFmtId="0" fontId="0" fillId="0" borderId="0" xfId="0" applyFont="1" applyAlignment="1">
      <alignment/>
    </xf>
    <xf numFmtId="0" fontId="0" fillId="0" borderId="0" xfId="0" applyBorder="1" applyAlignment="1">
      <alignment horizontal="justify" wrapText="1"/>
    </xf>
    <xf numFmtId="0" fontId="6" fillId="0" borderId="14" xfId="0" applyFont="1" applyBorder="1" applyAlignment="1">
      <alignment/>
    </xf>
    <xf numFmtId="0" fontId="0" fillId="0" borderId="18" xfId="0" applyFont="1" applyBorder="1" applyAlignment="1">
      <alignment wrapText="1"/>
    </xf>
    <xf numFmtId="41" fontId="0" fillId="0" borderId="18" xfId="53" applyFont="1" applyBorder="1" applyAlignment="1">
      <alignment/>
    </xf>
    <xf numFmtId="181" fontId="0" fillId="0" borderId="18" xfId="52" applyNumberFormat="1" applyFont="1" applyBorder="1" applyAlignment="1">
      <alignment/>
    </xf>
    <xf numFmtId="181" fontId="0" fillId="0" borderId="0" xfId="0" applyNumberFormat="1" applyFont="1" applyAlignment="1">
      <alignment/>
    </xf>
    <xf numFmtId="181" fontId="0" fillId="0" borderId="21" xfId="52" applyNumberFormat="1" applyFont="1" applyBorder="1" applyAlignment="1">
      <alignment/>
    </xf>
    <xf numFmtId="43" fontId="1" fillId="0" borderId="0" xfId="0" applyNumberFormat="1"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1" fontId="0" fillId="0" borderId="0" xfId="0" applyNumberFormat="1" applyFont="1" applyAlignment="1">
      <alignment horizontal="center"/>
    </xf>
    <xf numFmtId="17" fontId="0" fillId="0" borderId="0" xfId="0" applyNumberFormat="1" applyFont="1" applyAlignment="1">
      <alignment/>
    </xf>
    <xf numFmtId="0" fontId="1" fillId="20" borderId="10" xfId="0" applyFont="1" applyFill="1" applyBorder="1" applyAlignment="1">
      <alignment/>
    </xf>
    <xf numFmtId="0" fontId="1" fillId="20" borderId="11" xfId="0" applyFont="1" applyFill="1" applyBorder="1" applyAlignment="1">
      <alignment/>
    </xf>
    <xf numFmtId="1" fontId="1" fillId="20" borderId="11" xfId="0" applyNumberFormat="1" applyFont="1" applyFill="1" applyBorder="1" applyAlignment="1">
      <alignment horizontal="center"/>
    </xf>
    <xf numFmtId="0" fontId="1" fillId="20" borderId="12" xfId="0" applyFont="1" applyFill="1" applyBorder="1" applyAlignment="1">
      <alignment/>
    </xf>
    <xf numFmtId="0" fontId="1" fillId="20" borderId="13" xfId="0" applyFont="1" applyFill="1" applyBorder="1" applyAlignment="1">
      <alignment/>
    </xf>
    <xf numFmtId="0" fontId="1" fillId="20" borderId="0" xfId="0" applyFont="1" applyFill="1" applyBorder="1" applyAlignment="1">
      <alignment/>
    </xf>
    <xf numFmtId="1" fontId="1" fillId="20" borderId="0" xfId="0" applyNumberFormat="1" applyFont="1" applyFill="1" applyBorder="1" applyAlignment="1">
      <alignment horizontal="center"/>
    </xf>
    <xf numFmtId="0" fontId="1" fillId="20" borderId="14" xfId="0" applyFont="1" applyFill="1" applyBorder="1" applyAlignment="1">
      <alignment/>
    </xf>
    <xf numFmtId="0" fontId="0" fillId="0" borderId="13" xfId="0" applyFont="1" applyBorder="1" applyAlignment="1">
      <alignment/>
    </xf>
    <xf numFmtId="0" fontId="1" fillId="0" borderId="22" xfId="0" applyFont="1" applyBorder="1" applyAlignment="1">
      <alignment/>
    </xf>
    <xf numFmtId="0" fontId="1" fillId="0" borderId="23" xfId="0" applyFont="1" applyBorder="1" applyAlignment="1">
      <alignment/>
    </xf>
    <xf numFmtId="1" fontId="1" fillId="0" borderId="23" xfId="0" applyNumberFormat="1" applyFont="1" applyBorder="1" applyAlignment="1">
      <alignment horizontal="center"/>
    </xf>
    <xf numFmtId="0" fontId="1" fillId="0" borderId="24" xfId="0" applyFont="1" applyBorder="1" applyAlignment="1">
      <alignment/>
    </xf>
    <xf numFmtId="0" fontId="0" fillId="0" borderId="22" xfId="0" applyFont="1" applyBorder="1" applyAlignment="1">
      <alignment/>
    </xf>
    <xf numFmtId="0" fontId="0" fillId="0" borderId="24" xfId="0" applyFont="1" applyBorder="1" applyAlignment="1">
      <alignment/>
    </xf>
    <xf numFmtId="0" fontId="1" fillId="0" borderId="0" xfId="0" applyFont="1" applyAlignment="1">
      <alignment/>
    </xf>
    <xf numFmtId="181" fontId="0" fillId="0" borderId="0" xfId="52" applyNumberFormat="1" applyFont="1" applyAlignment="1">
      <alignment/>
    </xf>
    <xf numFmtId="182" fontId="0" fillId="0" borderId="0" xfId="52" applyNumberFormat="1" applyFont="1" applyAlignment="1">
      <alignment/>
    </xf>
    <xf numFmtId="182" fontId="0" fillId="0" borderId="0" xfId="0" applyNumberFormat="1" applyFont="1" applyAlignment="1">
      <alignment/>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1" fontId="0" fillId="0" borderId="0" xfId="0" applyNumberFormat="1" applyFont="1" applyBorder="1" applyAlignment="1">
      <alignment horizontal="center" vertical="center" wrapText="1"/>
    </xf>
    <xf numFmtId="0" fontId="0" fillId="0" borderId="14" xfId="0" applyFont="1" applyBorder="1" applyAlignment="1">
      <alignment horizontal="center" vertical="center" wrapText="1"/>
    </xf>
    <xf numFmtId="0" fontId="1" fillId="0" borderId="16"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16"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0" fontId="0" fillId="0" borderId="20" xfId="0" applyFont="1" applyBorder="1" applyAlignment="1">
      <alignment/>
    </xf>
    <xf numFmtId="0" fontId="0" fillId="0" borderId="20" xfId="0" applyFont="1" applyBorder="1" applyAlignment="1">
      <alignment horizontal="justify" wrapText="1"/>
    </xf>
    <xf numFmtId="9" fontId="0" fillId="0" borderId="20" xfId="58" applyFont="1" applyBorder="1" applyAlignment="1">
      <alignment horizontal="center"/>
    </xf>
    <xf numFmtId="41" fontId="0" fillId="0" borderId="20" xfId="53" applyFont="1" applyBorder="1" applyAlignment="1">
      <alignment/>
    </xf>
    <xf numFmtId="0" fontId="0" fillId="0" borderId="18" xfId="0" applyFont="1" applyBorder="1" applyAlignment="1">
      <alignment/>
    </xf>
    <xf numFmtId="0" fontId="0" fillId="0" borderId="18" xfId="0" applyFont="1" applyBorder="1" applyAlignment="1">
      <alignment wrapText="1"/>
    </xf>
    <xf numFmtId="9" fontId="0" fillId="0" borderId="18" xfId="58" applyFont="1" applyBorder="1" applyAlignment="1">
      <alignment horizontal="center"/>
    </xf>
    <xf numFmtId="41" fontId="0" fillId="0" borderId="21" xfId="53" applyFont="1" applyBorder="1" applyAlignment="1">
      <alignment/>
    </xf>
    <xf numFmtId="41" fontId="0" fillId="0" borderId="18" xfId="53" applyFont="1" applyBorder="1" applyAlignment="1">
      <alignment/>
    </xf>
    <xf numFmtId="41" fontId="0" fillId="0" borderId="18" xfId="53" applyNumberFormat="1" applyFont="1" applyBorder="1" applyAlignment="1">
      <alignment/>
    </xf>
    <xf numFmtId="1" fontId="0" fillId="0" borderId="18" xfId="0" applyNumberFormat="1" applyFont="1" applyBorder="1" applyAlignment="1">
      <alignment horizontal="center"/>
    </xf>
    <xf numFmtId="181" fontId="0" fillId="0" borderId="0" xfId="0" applyNumberFormat="1" applyFont="1" applyAlignment="1">
      <alignment/>
    </xf>
    <xf numFmtId="0" fontId="0" fillId="0" borderId="15" xfId="0" applyFont="1" applyBorder="1" applyAlignment="1">
      <alignment/>
    </xf>
    <xf numFmtId="0" fontId="1" fillId="0" borderId="15" xfId="0" applyFont="1" applyBorder="1" applyAlignment="1">
      <alignment/>
    </xf>
    <xf numFmtId="1" fontId="0" fillId="0" borderId="15" xfId="0" applyNumberFormat="1" applyFont="1" applyBorder="1" applyAlignment="1">
      <alignment horizontal="center"/>
    </xf>
    <xf numFmtId="41" fontId="1" fillId="0" borderId="15" xfId="0" applyNumberFormat="1" applyFont="1" applyBorder="1" applyAlignment="1">
      <alignment/>
    </xf>
    <xf numFmtId="41" fontId="0" fillId="0" borderId="15" xfId="0" applyNumberFormat="1" applyFont="1" applyBorder="1" applyAlignment="1">
      <alignment/>
    </xf>
    <xf numFmtId="41" fontId="1" fillId="0" borderId="15" xfId="53" applyFont="1" applyBorder="1" applyAlignment="1">
      <alignment/>
    </xf>
    <xf numFmtId="41" fontId="0" fillId="0" borderId="0" xfId="0" applyNumberFormat="1" applyFont="1" applyAlignment="1">
      <alignment/>
    </xf>
    <xf numFmtId="9" fontId="0" fillId="0" borderId="18" xfId="0" applyNumberFormat="1" applyFont="1" applyBorder="1" applyAlignment="1">
      <alignment horizontal="center"/>
    </xf>
    <xf numFmtId="41" fontId="0" fillId="0" borderId="18" xfId="0" applyNumberFormat="1" applyFont="1" applyBorder="1" applyAlignment="1">
      <alignment/>
    </xf>
    <xf numFmtId="0" fontId="1" fillId="0" borderId="25" xfId="0" applyFont="1" applyBorder="1" applyAlignment="1">
      <alignment horizontal="center" vertical="center" wrapText="1"/>
    </xf>
    <xf numFmtId="1" fontId="1" fillId="0" borderId="26" xfId="0" applyNumberFormat="1" applyFont="1" applyBorder="1" applyAlignment="1">
      <alignment horizontal="center" vertical="center" wrapText="1"/>
    </xf>
    <xf numFmtId="0" fontId="0" fillId="0" borderId="21" xfId="0" applyFont="1" applyBorder="1" applyAlignment="1">
      <alignment wrapText="1"/>
    </xf>
    <xf numFmtId="9" fontId="0" fillId="0" borderId="20" xfId="0" applyNumberFormat="1" applyFont="1" applyBorder="1" applyAlignment="1">
      <alignment horizontal="center"/>
    </xf>
    <xf numFmtId="0" fontId="0" fillId="0" borderId="18" xfId="0" applyFont="1" applyBorder="1" applyAlignment="1">
      <alignment horizontal="justify"/>
    </xf>
    <xf numFmtId="181" fontId="0" fillId="0" borderId="18" xfId="52" applyNumberFormat="1" applyFont="1" applyBorder="1" applyAlignment="1">
      <alignment/>
    </xf>
    <xf numFmtId="171" fontId="0" fillId="0" borderId="0" xfId="0" applyNumberFormat="1" applyFont="1" applyAlignment="1">
      <alignment/>
    </xf>
    <xf numFmtId="0" fontId="1" fillId="21" borderId="10" xfId="0" applyFont="1" applyFill="1" applyBorder="1" applyAlignment="1">
      <alignment/>
    </xf>
    <xf numFmtId="0" fontId="1" fillId="21" borderId="11" xfId="0" applyFont="1" applyFill="1" applyBorder="1" applyAlignment="1">
      <alignment/>
    </xf>
    <xf numFmtId="1" fontId="1" fillId="21" borderId="11" xfId="0" applyNumberFormat="1" applyFont="1" applyFill="1" applyBorder="1" applyAlignment="1">
      <alignment horizontal="center"/>
    </xf>
    <xf numFmtId="0" fontId="1" fillId="21" borderId="12" xfId="0" applyFont="1" applyFill="1" applyBorder="1" applyAlignment="1">
      <alignment/>
    </xf>
    <xf numFmtId="0" fontId="1" fillId="21" borderId="13" xfId="0" applyFont="1" applyFill="1" applyBorder="1" applyAlignment="1">
      <alignment/>
    </xf>
    <xf numFmtId="0" fontId="1" fillId="21" borderId="0" xfId="0" applyFont="1" applyFill="1" applyBorder="1" applyAlignment="1">
      <alignment/>
    </xf>
    <xf numFmtId="1" fontId="1" fillId="21" borderId="0" xfId="0" applyNumberFormat="1" applyFont="1" applyFill="1" applyBorder="1" applyAlignment="1">
      <alignment horizontal="center"/>
    </xf>
    <xf numFmtId="0" fontId="1" fillId="21" borderId="14" xfId="0" applyFont="1" applyFill="1" applyBorder="1" applyAlignment="1">
      <alignment/>
    </xf>
    <xf numFmtId="0" fontId="0" fillId="0" borderId="20" xfId="0" applyFont="1" applyBorder="1" applyAlignment="1">
      <alignment vertical="center"/>
    </xf>
    <xf numFmtId="0" fontId="0" fillId="0" borderId="21" xfId="0" applyFont="1" applyBorder="1" applyAlignment="1">
      <alignment horizontal="justify" wrapText="1"/>
    </xf>
    <xf numFmtId="181" fontId="0" fillId="0" borderId="20" xfId="52" applyNumberFormat="1" applyFont="1" applyBorder="1" applyAlignment="1">
      <alignment/>
    </xf>
    <xf numFmtId="41" fontId="0" fillId="0" borderId="20" xfId="0" applyNumberFormat="1" applyFont="1" applyBorder="1" applyAlignment="1">
      <alignment/>
    </xf>
    <xf numFmtId="0" fontId="0" fillId="0" borderId="18" xfId="0" applyFont="1" applyBorder="1" applyAlignment="1">
      <alignment horizontal="justify" wrapText="1"/>
    </xf>
    <xf numFmtId="181" fontId="0" fillId="0" borderId="18" xfId="0" applyNumberFormat="1" applyFont="1" applyBorder="1" applyAlignment="1">
      <alignment/>
    </xf>
    <xf numFmtId="0" fontId="0" fillId="0" borderId="18" xfId="0" applyFont="1" applyBorder="1" applyAlignment="1">
      <alignment horizontal="center"/>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181" fontId="0" fillId="0" borderId="28" xfId="52" applyNumberFormat="1" applyFont="1" applyBorder="1" applyAlignment="1">
      <alignment/>
    </xf>
    <xf numFmtId="0" fontId="0" fillId="0" borderId="21" xfId="0" applyFont="1" applyBorder="1" applyAlignment="1">
      <alignment vertical="center"/>
    </xf>
    <xf numFmtId="0" fontId="0" fillId="0" borderId="21" xfId="0" applyFont="1" applyBorder="1" applyAlignment="1">
      <alignment/>
    </xf>
    <xf numFmtId="0" fontId="0" fillId="0" borderId="21" xfId="0" applyFont="1" applyBorder="1" applyAlignment="1">
      <alignment horizontal="left" wrapText="1"/>
    </xf>
    <xf numFmtId="0" fontId="0" fillId="0" borderId="18" xfId="0" applyFont="1" applyBorder="1" applyAlignment="1">
      <alignment horizontal="left" wrapText="1"/>
    </xf>
    <xf numFmtId="181" fontId="0" fillId="0" borderId="21" xfId="52" applyNumberFormat="1" applyFont="1" applyBorder="1" applyAlignment="1">
      <alignment/>
    </xf>
    <xf numFmtId="181" fontId="1" fillId="0" borderId="15" xfId="0" applyNumberFormat="1" applyFont="1" applyBorder="1" applyAlignment="1">
      <alignment/>
    </xf>
    <xf numFmtId="41" fontId="0" fillId="0" borderId="21" xfId="0" applyNumberFormat="1" applyFont="1" applyBorder="1" applyAlignment="1">
      <alignment/>
    </xf>
    <xf numFmtId="0" fontId="0" fillId="0" borderId="21" xfId="0" applyFont="1" applyBorder="1" applyAlignment="1">
      <alignment horizontal="justify" vertical="justify" wrapText="1"/>
    </xf>
    <xf numFmtId="0" fontId="0" fillId="0" borderId="18" xfId="0" applyFont="1" applyBorder="1" applyAlignment="1">
      <alignment horizontal="justify" vertical="justify" wrapText="1"/>
    </xf>
    <xf numFmtId="41" fontId="0" fillId="0" borderId="21" xfId="53" applyFont="1" applyBorder="1" applyAlignment="1">
      <alignment/>
    </xf>
    <xf numFmtId="41" fontId="0" fillId="0" borderId="18" xfId="53" applyFont="1" applyBorder="1" applyAlignment="1">
      <alignment/>
    </xf>
    <xf numFmtId="17" fontId="0" fillId="0" borderId="0" xfId="0" applyNumberFormat="1" applyFont="1" applyAlignment="1">
      <alignment/>
    </xf>
    <xf numFmtId="0" fontId="0" fillId="0" borderId="13" xfId="0" applyFont="1" applyBorder="1" applyAlignment="1">
      <alignment/>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xf>
    <xf numFmtId="0" fontId="0" fillId="0" borderId="20" xfId="0" applyFont="1" applyBorder="1" applyAlignment="1">
      <alignment wrapText="1"/>
    </xf>
    <xf numFmtId="9" fontId="0" fillId="0" borderId="18" xfId="58" applyFont="1" applyBorder="1" applyAlignment="1">
      <alignment horizontal="center"/>
    </xf>
    <xf numFmtId="0" fontId="0" fillId="0" borderId="18" xfId="0" applyFont="1" applyBorder="1" applyAlignment="1">
      <alignment horizontal="justify" wrapText="1"/>
    </xf>
    <xf numFmtId="0" fontId="0" fillId="0" borderId="15" xfId="0" applyFont="1" applyBorder="1" applyAlignment="1">
      <alignment/>
    </xf>
    <xf numFmtId="41" fontId="0" fillId="0" borderId="0" xfId="0" applyNumberFormat="1" applyFont="1" applyAlignment="1">
      <alignment/>
    </xf>
    <xf numFmtId="49" fontId="6" fillId="0" borderId="14" xfId="0" applyNumberFormat="1" applyFont="1" applyBorder="1" applyAlignment="1">
      <alignment/>
    </xf>
    <xf numFmtId="0" fontId="1" fillId="0" borderId="17" xfId="0" applyFont="1" applyBorder="1" applyAlignment="1">
      <alignment horizontal="center" vertical="center" wrapText="1"/>
    </xf>
    <xf numFmtId="0" fontId="0" fillId="0" borderId="20" xfId="0" applyFont="1" applyBorder="1" applyAlignment="1">
      <alignment horizontal="left" wrapText="1"/>
    </xf>
    <xf numFmtId="3" fontId="0" fillId="0" borderId="18" xfId="0" applyNumberFormat="1" applyFont="1" applyBorder="1" applyAlignment="1">
      <alignment/>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9" fontId="0" fillId="0" borderId="21" xfId="58" applyFont="1" applyBorder="1" applyAlignment="1">
      <alignment horizontal="center"/>
    </xf>
    <xf numFmtId="43" fontId="0" fillId="0" borderId="21" xfId="52" applyFont="1" applyBorder="1" applyAlignment="1">
      <alignment/>
    </xf>
    <xf numFmtId="43" fontId="0" fillId="0" borderId="18" xfId="52" applyFont="1" applyBorder="1" applyAlignment="1">
      <alignment/>
    </xf>
    <xf numFmtId="43" fontId="1" fillId="0" borderId="15" xfId="0" applyNumberFormat="1" applyFont="1" applyBorder="1" applyAlignment="1">
      <alignment/>
    </xf>
    <xf numFmtId="43" fontId="0" fillId="0" borderId="0" xfId="52" applyFont="1" applyAlignment="1">
      <alignment/>
    </xf>
    <xf numFmtId="0" fontId="1" fillId="0" borderId="26" xfId="0" applyFont="1" applyBorder="1" applyAlignment="1">
      <alignment horizontal="center" vertical="center" wrapText="1"/>
    </xf>
    <xf numFmtId="0" fontId="0" fillId="0" borderId="20" xfId="0" applyFont="1" applyBorder="1" applyAlignment="1">
      <alignment horizontal="center"/>
    </xf>
    <xf numFmtId="181" fontId="1" fillId="0" borderId="15" xfId="52" applyNumberFormat="1" applyFont="1" applyBorder="1" applyAlignment="1">
      <alignment/>
    </xf>
    <xf numFmtId="49" fontId="0" fillId="0" borderId="14" xfId="0" applyNumberFormat="1" applyFont="1" applyBorder="1" applyAlignment="1">
      <alignment horizontal="center"/>
    </xf>
    <xf numFmtId="0" fontId="0" fillId="0" borderId="24" xfId="0" applyFont="1" applyBorder="1" applyAlignment="1">
      <alignment horizontal="center"/>
    </xf>
    <xf numFmtId="43" fontId="0" fillId="0" borderId="20" xfId="52" applyFont="1" applyBorder="1" applyAlignment="1">
      <alignment/>
    </xf>
    <xf numFmtId="16" fontId="0" fillId="0" borderId="0" xfId="0" applyNumberFormat="1" applyFont="1" applyAlignment="1">
      <alignment/>
    </xf>
    <xf numFmtId="16" fontId="0" fillId="0" borderId="22" xfId="0" applyNumberFormat="1" applyFont="1" applyBorder="1" applyAlignment="1">
      <alignment/>
    </xf>
    <xf numFmtId="16" fontId="0" fillId="0" borderId="24" xfId="0" applyNumberFormat="1" applyFont="1" applyBorder="1" applyAlignment="1">
      <alignment horizontal="center"/>
    </xf>
    <xf numFmtId="16" fontId="0" fillId="0" borderId="18" xfId="0" applyNumberFormat="1" applyFont="1" applyBorder="1" applyAlignment="1">
      <alignment/>
    </xf>
    <xf numFmtId="3" fontId="0" fillId="0" borderId="18" xfId="0" applyNumberFormat="1" applyFont="1" applyBorder="1" applyAlignment="1">
      <alignment horizontal="center"/>
    </xf>
    <xf numFmtId="49" fontId="0" fillId="0" borderId="13" xfId="0" applyNumberFormat="1" applyFont="1" applyBorder="1" applyAlignment="1">
      <alignment horizontal="center"/>
    </xf>
    <xf numFmtId="49" fontId="0" fillId="0" borderId="24" xfId="0" applyNumberFormat="1" applyFont="1" applyBorder="1" applyAlignment="1">
      <alignment horizontal="center"/>
    </xf>
    <xf numFmtId="0" fontId="1" fillId="0" borderId="34" xfId="0" applyFont="1" applyBorder="1" applyAlignment="1">
      <alignment horizontal="center" vertical="center" textRotation="90" wrapText="1"/>
    </xf>
    <xf numFmtId="41" fontId="0" fillId="0" borderId="35" xfId="53"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18" xfId="0" applyFont="1" applyBorder="1" applyAlignment="1">
      <alignment horizontal="justify" vertical="justify"/>
    </xf>
    <xf numFmtId="41" fontId="1" fillId="0" borderId="38" xfId="0" applyNumberFormat="1" applyFont="1" applyBorder="1" applyAlignment="1">
      <alignment/>
    </xf>
    <xf numFmtId="1" fontId="0" fillId="0" borderId="18" xfId="0" applyNumberFormat="1" applyFont="1" applyBorder="1" applyAlignment="1">
      <alignment/>
    </xf>
    <xf numFmtId="181" fontId="0" fillId="0" borderId="37" xfId="52" applyNumberFormat="1" applyFont="1" applyBorder="1" applyAlignment="1">
      <alignment/>
    </xf>
    <xf numFmtId="0" fontId="0" fillId="0" borderId="0" xfId="0" applyFont="1" applyAlignment="1">
      <alignment vertical="center"/>
    </xf>
    <xf numFmtId="0" fontId="0" fillId="0" borderId="0" xfId="0" applyFont="1" applyAlignment="1">
      <alignment vertical="center"/>
    </xf>
    <xf numFmtId="0" fontId="1" fillId="20" borderId="10" xfId="0" applyFont="1" applyFill="1" applyBorder="1" applyAlignment="1">
      <alignment vertical="center"/>
    </xf>
    <xf numFmtId="0" fontId="1" fillId="20" borderId="13" xfId="0" applyFont="1" applyFill="1" applyBorder="1" applyAlignment="1">
      <alignment vertical="center"/>
    </xf>
    <xf numFmtId="0" fontId="1" fillId="0" borderId="22" xfId="0" applyFont="1" applyBorder="1" applyAlignment="1">
      <alignment vertical="center"/>
    </xf>
    <xf numFmtId="0" fontId="0" fillId="0" borderId="18" xfId="0" applyFont="1" applyBorder="1" applyAlignment="1">
      <alignment vertical="center"/>
    </xf>
    <xf numFmtId="0" fontId="0" fillId="0" borderId="15" xfId="0" applyFont="1" applyBorder="1" applyAlignment="1">
      <alignment vertical="center"/>
    </xf>
    <xf numFmtId="0" fontId="1" fillId="21" borderId="10" xfId="0" applyFont="1" applyFill="1" applyBorder="1" applyAlignment="1">
      <alignment vertical="center"/>
    </xf>
    <xf numFmtId="0" fontId="1" fillId="21" borderId="13" xfId="0" applyFont="1" applyFill="1" applyBorder="1" applyAlignment="1">
      <alignment vertical="center"/>
    </xf>
    <xf numFmtId="43" fontId="0" fillId="0" borderId="0" xfId="52" applyFont="1" applyAlignment="1">
      <alignment/>
    </xf>
    <xf numFmtId="10" fontId="1" fillId="0" borderId="0" xfId="58" applyNumberFormat="1" applyFont="1" applyAlignment="1">
      <alignment/>
    </xf>
    <xf numFmtId="0" fontId="14" fillId="0" borderId="0" xfId="0" applyFont="1" applyAlignment="1">
      <alignment/>
    </xf>
    <xf numFmtId="43" fontId="0" fillId="0" borderId="0" xfId="0" applyNumberFormat="1" applyAlignment="1">
      <alignment/>
    </xf>
    <xf numFmtId="0" fontId="0" fillId="0" borderId="39" xfId="0" applyBorder="1" applyAlignment="1">
      <alignment horizontal="center"/>
    </xf>
    <xf numFmtId="0" fontId="0" fillId="0" borderId="39" xfId="0" applyBorder="1" applyAlignment="1">
      <alignment/>
    </xf>
    <xf numFmtId="0" fontId="0" fillId="22" borderId="39" xfId="0" applyFill="1" applyBorder="1" applyAlignment="1">
      <alignment wrapText="1"/>
    </xf>
    <xf numFmtId="0" fontId="0" fillId="23" borderId="39" xfId="0" applyFill="1" applyBorder="1" applyAlignment="1">
      <alignment wrapText="1"/>
    </xf>
    <xf numFmtId="0" fontId="0" fillId="24" borderId="39" xfId="0" applyFill="1" applyBorder="1" applyAlignment="1">
      <alignment wrapText="1"/>
    </xf>
    <xf numFmtId="0" fontId="0" fillId="25" borderId="39" xfId="0" applyFill="1" applyBorder="1" applyAlignment="1">
      <alignment wrapText="1"/>
    </xf>
    <xf numFmtId="181" fontId="10" fillId="0" borderId="39" xfId="52" applyNumberFormat="1" applyFont="1" applyBorder="1" applyAlignment="1">
      <alignment/>
    </xf>
    <xf numFmtId="0" fontId="0" fillId="0" borderId="39" xfId="0" applyBorder="1" applyAlignment="1">
      <alignment wrapText="1"/>
    </xf>
    <xf numFmtId="181" fontId="1" fillId="0" borderId="39" xfId="52" applyNumberFormat="1" applyFont="1" applyBorder="1" applyAlignment="1">
      <alignment/>
    </xf>
    <xf numFmtId="181" fontId="0" fillId="25" borderId="39" xfId="0" applyNumberFormat="1" applyFill="1" applyBorder="1" applyAlignment="1">
      <alignment wrapText="1"/>
    </xf>
    <xf numFmtId="0" fontId="0" fillId="26" borderId="39" xfId="0" applyFill="1" applyBorder="1" applyAlignment="1">
      <alignment wrapText="1"/>
    </xf>
    <xf numFmtId="0" fontId="0" fillId="0" borderId="39" xfId="0" applyFill="1" applyBorder="1" applyAlignment="1">
      <alignment wrapText="1"/>
    </xf>
    <xf numFmtId="181" fontId="1" fillId="0" borderId="39" xfId="0" applyNumberFormat="1" applyFont="1" applyBorder="1" applyAlignment="1">
      <alignment/>
    </xf>
    <xf numFmtId="181" fontId="0" fillId="0" borderId="39" xfId="52" applyNumberFormat="1" applyFont="1" applyBorder="1" applyAlignment="1">
      <alignment/>
    </xf>
    <xf numFmtId="0" fontId="0" fillId="0" borderId="40" xfId="0" applyBorder="1" applyAlignment="1">
      <alignment/>
    </xf>
    <xf numFmtId="0" fontId="0" fillId="0" borderId="41" xfId="0" applyBorder="1" applyAlignment="1">
      <alignment wrapText="1"/>
    </xf>
    <xf numFmtId="0" fontId="0" fillId="0" borderId="41" xfId="0" applyBorder="1" applyAlignment="1">
      <alignment/>
    </xf>
    <xf numFmtId="0" fontId="9" fillId="0" borderId="42" xfId="0" applyFont="1" applyBorder="1" applyAlignment="1">
      <alignment/>
    </xf>
    <xf numFmtId="0" fontId="0" fillId="0" borderId="42" xfId="0" applyBorder="1" applyAlignment="1">
      <alignment/>
    </xf>
    <xf numFmtId="0" fontId="1" fillId="0" borderId="42" xfId="0" applyFont="1" applyBorder="1" applyAlignment="1">
      <alignment/>
    </xf>
    <xf numFmtId="0" fontId="0" fillId="0" borderId="42" xfId="0" applyFont="1" applyBorder="1" applyAlignment="1">
      <alignment/>
    </xf>
    <xf numFmtId="0" fontId="1" fillId="0" borderId="43" xfId="0" applyFont="1" applyBorder="1" applyAlignment="1">
      <alignment/>
    </xf>
    <xf numFmtId="181" fontId="1" fillId="0" borderId="44" xfId="52" applyNumberFormat="1" applyFont="1" applyBorder="1" applyAlignment="1">
      <alignment/>
    </xf>
    <xf numFmtId="0" fontId="0" fillId="0" borderId="44" xfId="0" applyBorder="1" applyAlignment="1">
      <alignment/>
    </xf>
    <xf numFmtId="0" fontId="9" fillId="0" borderId="40" xfId="0" applyFont="1" applyBorder="1" applyAlignment="1">
      <alignment/>
    </xf>
    <xf numFmtId="181" fontId="1" fillId="0" borderId="41" xfId="52" applyNumberFormat="1" applyFont="1" applyBorder="1" applyAlignment="1">
      <alignment/>
    </xf>
    <xf numFmtId="181" fontId="1" fillId="0" borderId="41" xfId="52" applyNumberFormat="1" applyFont="1" applyBorder="1" applyAlignment="1">
      <alignment horizontal="center"/>
    </xf>
    <xf numFmtId="0" fontId="1" fillId="0" borderId="40" xfId="0" applyFont="1" applyBorder="1" applyAlignment="1">
      <alignment/>
    </xf>
    <xf numFmtId="0" fontId="0" fillId="22" borderId="39" xfId="0" applyFill="1" applyBorder="1" applyAlignment="1">
      <alignment/>
    </xf>
    <xf numFmtId="0" fontId="0" fillId="27" borderId="39" xfId="0" applyFill="1" applyBorder="1" applyAlignment="1">
      <alignment/>
    </xf>
    <xf numFmtId="0" fontId="0" fillId="26" borderId="39" xfId="0" applyFill="1" applyBorder="1" applyAlignment="1">
      <alignment/>
    </xf>
    <xf numFmtId="0" fontId="0" fillId="20" borderId="39" xfId="0" applyFill="1" applyBorder="1" applyAlignment="1">
      <alignment/>
    </xf>
    <xf numFmtId="181" fontId="0" fillId="0" borderId="39" xfId="52" applyNumberFormat="1" applyFont="1" applyBorder="1" applyAlignment="1">
      <alignment/>
    </xf>
    <xf numFmtId="181" fontId="1" fillId="0" borderId="44" xfId="0" applyNumberFormat="1" applyFont="1" applyBorder="1" applyAlignment="1">
      <alignment/>
    </xf>
    <xf numFmtId="0" fontId="0" fillId="0" borderId="44" xfId="0" applyBorder="1" applyAlignment="1">
      <alignment wrapText="1"/>
    </xf>
    <xf numFmtId="181" fontId="0" fillId="0" borderId="41" xfId="0" applyNumberFormat="1" applyBorder="1" applyAlignment="1">
      <alignment/>
    </xf>
    <xf numFmtId="0" fontId="0" fillId="0" borderId="39" xfId="0" applyBorder="1" applyAlignment="1">
      <alignment horizontal="justify" wrapText="1"/>
    </xf>
    <xf numFmtId="43" fontId="1" fillId="0" borderId="44" xfId="52" applyFont="1" applyBorder="1" applyAlignment="1">
      <alignment/>
    </xf>
    <xf numFmtId="0" fontId="13" fillId="0" borderId="42" xfId="0" applyFont="1" applyBorder="1" applyAlignment="1">
      <alignment/>
    </xf>
    <xf numFmtId="0" fontId="1" fillId="0" borderId="39" xfId="0" applyFont="1" applyBorder="1" applyAlignment="1">
      <alignment horizontal="justify" wrapText="1"/>
    </xf>
    <xf numFmtId="0" fontId="0" fillId="0" borderId="41" xfId="0" applyBorder="1" applyAlignment="1">
      <alignment horizontal="justify" wrapText="1"/>
    </xf>
    <xf numFmtId="181" fontId="0" fillId="0" borderId="39" xfId="0" applyNumberFormat="1" applyFont="1" applyBorder="1" applyAlignment="1">
      <alignment/>
    </xf>
    <xf numFmtId="181" fontId="12" fillId="0" borderId="39" xfId="0" applyNumberFormat="1" applyFont="1" applyBorder="1" applyAlignment="1">
      <alignment/>
    </xf>
    <xf numFmtId="0" fontId="1" fillId="0" borderId="0" xfId="0" applyFont="1" applyBorder="1" applyAlignment="1">
      <alignment/>
    </xf>
    <xf numFmtId="0" fontId="0" fillId="0" borderId="0" xfId="0" applyBorder="1" applyAlignment="1">
      <alignment/>
    </xf>
    <xf numFmtId="181" fontId="1" fillId="0" borderId="0" xfId="0" applyNumberFormat="1" applyFont="1" applyBorder="1" applyAlignment="1">
      <alignment/>
    </xf>
    <xf numFmtId="0" fontId="0" fillId="0" borderId="43" xfId="0" applyBorder="1" applyAlignment="1">
      <alignment/>
    </xf>
    <xf numFmtId="43" fontId="1" fillId="0" borderId="44" xfId="0" applyNumberFormat="1" applyFont="1" applyBorder="1" applyAlignment="1">
      <alignment/>
    </xf>
    <xf numFmtId="43" fontId="0" fillId="0" borderId="39" xfId="0" applyNumberFormat="1" applyFont="1" applyBorder="1" applyAlignment="1">
      <alignment/>
    </xf>
    <xf numFmtId="191" fontId="0" fillId="0" borderId="0" xfId="0" applyNumberFormat="1" applyFont="1" applyAlignment="1">
      <alignment/>
    </xf>
    <xf numFmtId="185" fontId="0" fillId="0" borderId="0" xfId="0" applyNumberFormat="1" applyFont="1" applyAlignment="1">
      <alignment/>
    </xf>
    <xf numFmtId="188" fontId="0" fillId="0" borderId="0" xfId="0" applyNumberFormat="1" applyFont="1" applyAlignment="1">
      <alignment/>
    </xf>
    <xf numFmtId="184" fontId="0" fillId="0" borderId="0" xfId="0" applyNumberFormat="1" applyFont="1" applyAlignment="1">
      <alignment/>
    </xf>
    <xf numFmtId="184" fontId="0" fillId="0" borderId="0" xfId="52" applyNumberFormat="1" applyFont="1" applyAlignment="1">
      <alignment/>
    </xf>
    <xf numFmtId="188" fontId="0" fillId="0" borderId="0" xfId="0" applyNumberFormat="1" applyFont="1" applyAlignment="1">
      <alignment/>
    </xf>
    <xf numFmtId="1" fontId="1" fillId="0" borderId="19" xfId="0" applyNumberFormat="1" applyFont="1" applyBorder="1" applyAlignment="1">
      <alignment horizontal="center" vertical="center" wrapText="1"/>
    </xf>
    <xf numFmtId="1" fontId="1" fillId="0" borderId="34" xfId="0" applyNumberFormat="1" applyFont="1" applyBorder="1" applyAlignment="1">
      <alignment horizontal="center" vertical="center" wrapText="1"/>
    </xf>
    <xf numFmtId="16" fontId="0" fillId="0" borderId="21" xfId="0" applyNumberFormat="1" applyFont="1" applyBorder="1" applyAlignment="1">
      <alignment/>
    </xf>
    <xf numFmtId="0" fontId="1" fillId="0" borderId="45" xfId="0" applyFont="1" applyBorder="1" applyAlignment="1">
      <alignment horizontal="center" vertical="center" textRotation="90" wrapText="1"/>
    </xf>
    <xf numFmtId="0" fontId="1" fillId="0" borderId="34" xfId="0" applyFont="1" applyBorder="1" applyAlignment="1">
      <alignment horizontal="center" vertical="center" wrapText="1"/>
    </xf>
    <xf numFmtId="184" fontId="0" fillId="0" borderId="0" xfId="52" applyNumberFormat="1" applyFont="1" applyAlignment="1">
      <alignment/>
    </xf>
    <xf numFmtId="3" fontId="0" fillId="0" borderId="20" xfId="0" applyNumberFormat="1" applyFont="1" applyBorder="1" applyAlignment="1">
      <alignment horizontal="center"/>
    </xf>
    <xf numFmtId="0" fontId="0" fillId="0" borderId="46" xfId="0" applyBorder="1" applyAlignment="1">
      <alignment/>
    </xf>
    <xf numFmtId="0" fontId="0" fillId="0" borderId="46" xfId="0" applyBorder="1" applyAlignment="1">
      <alignment wrapText="1"/>
    </xf>
    <xf numFmtId="0" fontId="0" fillId="0" borderId="47" xfId="0" applyFont="1" applyBorder="1" applyAlignment="1">
      <alignment/>
    </xf>
    <xf numFmtId="41" fontId="0" fillId="0" borderId="21" xfId="53" applyNumberFormat="1" applyFont="1" applyBorder="1" applyAlignment="1">
      <alignment/>
    </xf>
    <xf numFmtId="0" fontId="0" fillId="0" borderId="48" xfId="0" applyBorder="1" applyAlignment="1">
      <alignment/>
    </xf>
    <xf numFmtId="0" fontId="0" fillId="0" borderId="49" xfId="0" applyBorder="1" applyAlignment="1">
      <alignment wrapText="1"/>
    </xf>
    <xf numFmtId="0" fontId="0" fillId="0" borderId="49" xfId="0" applyBorder="1" applyAlignment="1">
      <alignment/>
    </xf>
    <xf numFmtId="43" fontId="0" fillId="0" borderId="0" xfId="0" applyNumberFormat="1" applyFont="1" applyAlignment="1">
      <alignment/>
    </xf>
    <xf numFmtId="181" fontId="1" fillId="0" borderId="41" xfId="0" applyNumberFormat="1" applyFont="1" applyBorder="1" applyAlignment="1">
      <alignment/>
    </xf>
    <xf numFmtId="181" fontId="0" fillId="0" borderId="49" xfId="0" applyNumberFormat="1" applyFont="1" applyBorder="1" applyAlignment="1">
      <alignment/>
    </xf>
    <xf numFmtId="0" fontId="0" fillId="0" borderId="49" xfId="0" applyBorder="1" applyAlignment="1">
      <alignment horizontal="justify" wrapText="1"/>
    </xf>
    <xf numFmtId="43" fontId="1" fillId="0" borderId="0" xfId="0" applyNumberFormat="1" applyFont="1" applyBorder="1" applyAlignment="1">
      <alignment/>
    </xf>
    <xf numFmtId="0" fontId="0" fillId="0" borderId="0" xfId="0" applyBorder="1" applyAlignment="1">
      <alignment wrapText="1"/>
    </xf>
    <xf numFmtId="0" fontId="0" fillId="0" borderId="0" xfId="0" applyFont="1" applyBorder="1" applyAlignment="1">
      <alignment vertical="center"/>
    </xf>
    <xf numFmtId="0" fontId="1" fillId="0" borderId="0" xfId="0" applyFont="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41" fontId="1" fillId="0" borderId="0" xfId="0" applyNumberFormat="1" applyFont="1" applyBorder="1" applyAlignment="1">
      <alignment/>
    </xf>
    <xf numFmtId="0" fontId="0" fillId="0" borderId="13" xfId="0" applyFont="1" applyBorder="1" applyAlignment="1">
      <alignment vertical="center"/>
    </xf>
    <xf numFmtId="0" fontId="0" fillId="0" borderId="14" xfId="0" applyFont="1" applyBorder="1" applyAlignment="1">
      <alignment/>
    </xf>
    <xf numFmtId="41" fontId="1" fillId="0" borderId="13" xfId="0" applyNumberFormat="1" applyFont="1" applyBorder="1" applyAlignment="1">
      <alignment/>
    </xf>
    <xf numFmtId="0" fontId="0" fillId="0" borderId="23" xfId="0" applyFont="1" applyBorder="1" applyAlignment="1">
      <alignment/>
    </xf>
    <xf numFmtId="41" fontId="1" fillId="0" borderId="11" xfId="0" applyNumberFormat="1" applyFont="1" applyBorder="1" applyAlignment="1">
      <alignment/>
    </xf>
    <xf numFmtId="0" fontId="0" fillId="0" borderId="11" xfId="0" applyFont="1" applyBorder="1" applyAlignment="1">
      <alignment/>
    </xf>
    <xf numFmtId="0" fontId="0" fillId="0" borderId="48" xfId="0" applyFont="1" applyBorder="1" applyAlignment="1">
      <alignment/>
    </xf>
    <xf numFmtId="0" fontId="0" fillId="0" borderId="39" xfId="0" applyFont="1" applyBorder="1" applyAlignment="1">
      <alignment horizontal="center"/>
    </xf>
    <xf numFmtId="182" fontId="0" fillId="0" borderId="39" xfId="52" applyNumberFormat="1" applyFont="1" applyBorder="1" applyAlignment="1">
      <alignment/>
    </xf>
    <xf numFmtId="181" fontId="1" fillId="0" borderId="39" xfId="52" applyNumberFormat="1" applyFont="1" applyBorder="1" applyAlignment="1">
      <alignment/>
    </xf>
    <xf numFmtId="181" fontId="0" fillId="0" borderId="39" xfId="52" applyNumberFormat="1" applyFont="1" applyBorder="1" applyAlignment="1">
      <alignment/>
    </xf>
    <xf numFmtId="181" fontId="1" fillId="0" borderId="44" xfId="52" applyNumberFormat="1" applyFont="1" applyBorder="1" applyAlignment="1">
      <alignment/>
    </xf>
    <xf numFmtId="181" fontId="1" fillId="0" borderId="0" xfId="52" applyNumberFormat="1" applyFont="1" applyAlignment="1">
      <alignment/>
    </xf>
    <xf numFmtId="181" fontId="1" fillId="0" borderId="41" xfId="52" applyNumberFormat="1" applyFont="1" applyBorder="1" applyAlignment="1">
      <alignment horizontal="center"/>
    </xf>
    <xf numFmtId="0" fontId="0" fillId="0" borderId="39" xfId="0" applyFont="1" applyBorder="1" applyAlignment="1">
      <alignment horizontal="center"/>
    </xf>
    <xf numFmtId="182" fontId="0" fillId="0" borderId="39" xfId="52" applyNumberFormat="1" applyFont="1" applyBorder="1" applyAlignment="1">
      <alignment/>
    </xf>
    <xf numFmtId="182" fontId="0" fillId="0" borderId="49" xfId="52" applyNumberFormat="1" applyFont="1" applyBorder="1" applyAlignment="1">
      <alignment/>
    </xf>
    <xf numFmtId="181" fontId="0" fillId="0" borderId="44" xfId="52" applyNumberFormat="1" applyFont="1" applyBorder="1" applyAlignment="1">
      <alignment/>
    </xf>
    <xf numFmtId="181" fontId="1" fillId="0" borderId="44" xfId="0" applyNumberFormat="1" applyFont="1" applyBorder="1" applyAlignment="1">
      <alignment/>
    </xf>
    <xf numFmtId="181" fontId="0" fillId="0" borderId="41" xfId="0" applyNumberFormat="1" applyFont="1" applyBorder="1" applyAlignment="1">
      <alignment/>
    </xf>
    <xf numFmtId="43" fontId="0" fillId="0" borderId="39" xfId="52" applyFont="1" applyBorder="1" applyAlignment="1">
      <alignment/>
    </xf>
    <xf numFmtId="43" fontId="1" fillId="0" borderId="44" xfId="52" applyFont="1" applyBorder="1" applyAlignment="1">
      <alignment/>
    </xf>
    <xf numFmtId="0" fontId="0" fillId="0" borderId="41" xfId="0" applyFont="1" applyBorder="1" applyAlignment="1">
      <alignment/>
    </xf>
    <xf numFmtId="0" fontId="0" fillId="0" borderId="39" xfId="0" applyFont="1" applyBorder="1" applyAlignment="1">
      <alignment/>
    </xf>
    <xf numFmtId="181" fontId="1" fillId="0" borderId="0" xfId="0" applyNumberFormat="1" applyFont="1" applyAlignment="1">
      <alignment/>
    </xf>
    <xf numFmtId="181" fontId="0" fillId="0" borderId="41" xfId="52" applyNumberFormat="1" applyFont="1" applyBorder="1" applyAlignment="1">
      <alignment/>
    </xf>
    <xf numFmtId="181" fontId="0" fillId="0" borderId="39" xfId="0" applyNumberFormat="1" applyFont="1" applyBorder="1" applyAlignment="1">
      <alignment/>
    </xf>
    <xf numFmtId="43" fontId="0" fillId="0" borderId="39" xfId="0" applyNumberFormat="1" applyFont="1" applyBorder="1" applyAlignment="1">
      <alignment/>
    </xf>
    <xf numFmtId="181" fontId="0" fillId="0" borderId="49" xfId="0" applyNumberFormat="1" applyFont="1" applyBorder="1" applyAlignment="1">
      <alignment/>
    </xf>
    <xf numFmtId="181" fontId="1" fillId="0" borderId="0" xfId="0" applyNumberFormat="1" applyFont="1" applyBorder="1" applyAlignment="1">
      <alignment/>
    </xf>
    <xf numFmtId="181" fontId="1" fillId="0" borderId="41" xfId="0" applyNumberFormat="1" applyFont="1" applyBorder="1" applyAlignment="1">
      <alignment/>
    </xf>
    <xf numFmtId="43" fontId="1" fillId="0" borderId="44" xfId="0" applyNumberFormat="1" applyFont="1" applyBorder="1" applyAlignment="1">
      <alignment/>
    </xf>
    <xf numFmtId="43" fontId="1" fillId="0" borderId="0" xfId="0" applyNumberFormat="1" applyFont="1" applyBorder="1" applyAlignment="1">
      <alignment/>
    </xf>
    <xf numFmtId="43" fontId="1" fillId="0" borderId="0" xfId="0" applyNumberFormat="1" applyFont="1" applyAlignment="1">
      <alignment/>
    </xf>
    <xf numFmtId="43" fontId="0" fillId="0" borderId="49" xfId="52" applyFont="1" applyBorder="1" applyAlignment="1">
      <alignment/>
    </xf>
    <xf numFmtId="0" fontId="0" fillId="0" borderId="50" xfId="0" applyFont="1" applyBorder="1" applyAlignment="1">
      <alignment vertical="center"/>
    </xf>
    <xf numFmtId="0" fontId="0" fillId="0" borderId="50" xfId="0" applyFont="1" applyBorder="1" applyAlignment="1">
      <alignment horizontal="justify" vertical="justify" wrapText="1"/>
    </xf>
    <xf numFmtId="9" fontId="0" fillId="0" borderId="50" xfId="58" applyFont="1" applyBorder="1" applyAlignment="1">
      <alignment horizontal="center"/>
    </xf>
    <xf numFmtId="181" fontId="0" fillId="0" borderId="50" xfId="52" applyNumberFormat="1" applyFont="1" applyBorder="1" applyAlignment="1">
      <alignment/>
    </xf>
    <xf numFmtId="181" fontId="0" fillId="0" borderId="50" xfId="0" applyNumberFormat="1" applyFont="1" applyBorder="1" applyAlignment="1">
      <alignment/>
    </xf>
    <xf numFmtId="0" fontId="0" fillId="0" borderId="50" xfId="0" applyFont="1" applyBorder="1" applyAlignment="1">
      <alignment/>
    </xf>
    <xf numFmtId="9" fontId="0" fillId="0" borderId="21" xfId="58" applyFont="1" applyBorder="1" applyAlignment="1">
      <alignment horizontal="center"/>
    </xf>
    <xf numFmtId="0" fontId="1" fillId="0" borderId="33" xfId="0" applyFont="1" applyBorder="1" applyAlignment="1">
      <alignment horizontal="center" vertical="center" wrapText="1"/>
    </xf>
    <xf numFmtId="1" fontId="1" fillId="0" borderId="30"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5" fillId="0" borderId="18" xfId="0" applyFont="1" applyBorder="1" applyAlignment="1">
      <alignment wrapText="1"/>
    </xf>
    <xf numFmtId="0" fontId="0" fillId="0" borderId="51" xfId="0" applyFill="1" applyBorder="1" applyAlignment="1">
      <alignment/>
    </xf>
    <xf numFmtId="181" fontId="0" fillId="0" borderId="49" xfId="52" applyNumberFormat="1" applyFont="1" applyBorder="1" applyAlignment="1">
      <alignment/>
    </xf>
    <xf numFmtId="193" fontId="0" fillId="0" borderId="0" xfId="0" applyNumberFormat="1" applyAlignment="1">
      <alignment/>
    </xf>
    <xf numFmtId="181" fontId="0" fillId="0" borderId="0" xfId="0" applyNumberFormat="1" applyBorder="1" applyAlignment="1">
      <alignment horizontal="justify" wrapText="1"/>
    </xf>
    <xf numFmtId="43" fontId="12" fillId="0" borderId="39" xfId="0" applyNumberFormat="1" applyFont="1" applyBorder="1" applyAlignment="1">
      <alignment/>
    </xf>
    <xf numFmtId="181" fontId="1" fillId="0" borderId="0" xfId="0" applyNumberFormat="1" applyFont="1" applyBorder="1" applyAlignment="1">
      <alignment horizontal="center"/>
    </xf>
    <xf numFmtId="43" fontId="12" fillId="0" borderId="46" xfId="52" applyFont="1" applyBorder="1" applyAlignment="1">
      <alignment/>
    </xf>
    <xf numFmtId="43" fontId="12" fillId="0" borderId="49" xfId="52" applyFont="1" applyBorder="1" applyAlignment="1">
      <alignment/>
    </xf>
    <xf numFmtId="0" fontId="1" fillId="22" borderId="11" xfId="0" applyFont="1" applyFill="1" applyBorder="1" applyAlignment="1">
      <alignment/>
    </xf>
    <xf numFmtId="0" fontId="1" fillId="0" borderId="19" xfId="0" applyFont="1" applyBorder="1" applyAlignment="1">
      <alignment horizontal="center" vertical="center" wrapText="1"/>
    </xf>
    <xf numFmtId="0" fontId="0" fillId="0" borderId="18" xfId="0" applyFont="1" applyBorder="1" applyAlignment="1">
      <alignment horizontal="center"/>
    </xf>
    <xf numFmtId="0" fontId="1" fillId="0" borderId="17" xfId="0" applyFont="1" applyBorder="1" applyAlignment="1">
      <alignment horizontal="center" vertical="center" wrapText="1"/>
    </xf>
    <xf numFmtId="0" fontId="0" fillId="0" borderId="20" xfId="0" applyFont="1" applyBorder="1" applyAlignment="1">
      <alignment horizontal="center"/>
    </xf>
    <xf numFmtId="9" fontId="0" fillId="0" borderId="18" xfId="58" applyNumberFormat="1" applyFont="1" applyBorder="1" applyAlignment="1">
      <alignment horizontal="center"/>
    </xf>
    <xf numFmtId="9" fontId="0" fillId="0" borderId="21" xfId="0" applyNumberFormat="1" applyFont="1" applyBorder="1" applyAlignment="1">
      <alignment horizontal="center"/>
    </xf>
    <xf numFmtId="188" fontId="0" fillId="0" borderId="18" xfId="53" applyNumberFormat="1" applyFont="1" applyBorder="1" applyAlignment="1">
      <alignment/>
    </xf>
    <xf numFmtId="3" fontId="0" fillId="0" borderId="20" xfId="0" applyNumberFormat="1" applyFont="1" applyBorder="1" applyAlignment="1">
      <alignment/>
    </xf>
    <xf numFmtId="43" fontId="5" fillId="0" borderId="0" xfId="52" applyFont="1" applyBorder="1" applyAlignment="1">
      <alignment horizontal="center" vertical="center" wrapText="1"/>
    </xf>
    <xf numFmtId="184" fontId="5" fillId="0" borderId="0" xfId="52" applyNumberFormat="1" applyFont="1" applyBorder="1" applyAlignment="1">
      <alignment horizontal="center" vertical="center" wrapText="1"/>
    </xf>
    <xf numFmtId="43" fontId="0" fillId="0" borderId="18" xfId="52" applyFont="1" applyBorder="1" applyAlignment="1">
      <alignment/>
    </xf>
    <xf numFmtId="0" fontId="0" fillId="0" borderId="21" xfId="0" applyFont="1" applyBorder="1" applyAlignment="1">
      <alignment horizontal="center"/>
    </xf>
    <xf numFmtId="3" fontId="0" fillId="0" borderId="21" xfId="0" applyNumberFormat="1" applyFont="1" applyBorder="1" applyAlignment="1">
      <alignment horizontal="center" wrapText="1"/>
    </xf>
    <xf numFmtId="196" fontId="0" fillId="0" borderId="0" xfId="0" applyNumberFormat="1" applyFont="1" applyAlignment="1">
      <alignment/>
    </xf>
    <xf numFmtId="204" fontId="0" fillId="0" borderId="0" xfId="0" applyNumberFormat="1" applyFont="1" applyAlignment="1">
      <alignment/>
    </xf>
    <xf numFmtId="43" fontId="5" fillId="0" borderId="0" xfId="52" applyFont="1" applyAlignment="1">
      <alignment/>
    </xf>
    <xf numFmtId="43" fontId="0" fillId="0" borderId="0" xfId="52" applyFont="1" applyBorder="1" applyAlignment="1">
      <alignment/>
    </xf>
    <xf numFmtId="41" fontId="0" fillId="0" borderId="18" xfId="53" applyFont="1" applyBorder="1" applyAlignment="1">
      <alignment horizontal="center" vertical="center" wrapText="1"/>
    </xf>
    <xf numFmtId="41" fontId="0" fillId="0" borderId="20" xfId="53" applyFont="1" applyBorder="1" applyAlignment="1">
      <alignment horizontal="center" vertical="center" wrapText="1"/>
    </xf>
    <xf numFmtId="41" fontId="0" fillId="0" borderId="21" xfId="53"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9" fontId="0" fillId="0" borderId="18" xfId="58" applyFont="1" applyBorder="1" applyAlignment="1">
      <alignment horizontal="center" vertical="center" wrapText="1"/>
    </xf>
    <xf numFmtId="0" fontId="0" fillId="0" borderId="18" xfId="0" applyFont="1" applyBorder="1" applyAlignment="1">
      <alignment horizontal="center" vertical="center" wrapText="1"/>
    </xf>
    <xf numFmtId="41" fontId="0" fillId="0" borderId="20" xfId="0" applyNumberFormat="1" applyFont="1" applyBorder="1" applyAlignment="1">
      <alignment horizontal="center" vertical="center" wrapText="1"/>
    </xf>
    <xf numFmtId="43" fontId="0" fillId="0" borderId="18" xfId="52" applyFont="1" applyBorder="1" applyAlignment="1">
      <alignment horizontal="center" vertical="center" wrapText="1"/>
    </xf>
    <xf numFmtId="41" fontId="0" fillId="0" borderId="21" xfId="0" applyNumberFormat="1" applyFont="1" applyBorder="1" applyAlignment="1">
      <alignment horizontal="center" vertical="center" wrapText="1"/>
    </xf>
    <xf numFmtId="0" fontId="5" fillId="0" borderId="21" xfId="0" applyFont="1" applyBorder="1" applyAlignment="1">
      <alignment wrapText="1"/>
    </xf>
    <xf numFmtId="0" fontId="0" fillId="0" borderId="20" xfId="0" applyFont="1" applyBorder="1" applyAlignment="1">
      <alignment horizontal="center" vertical="center"/>
    </xf>
    <xf numFmtId="0" fontId="0" fillId="0" borderId="18" xfId="0" applyFont="1" applyBorder="1" applyAlignment="1">
      <alignment horizontal="center" vertical="center"/>
    </xf>
    <xf numFmtId="16" fontId="5" fillId="0" borderId="21" xfId="0" applyNumberFormat="1" applyFont="1" applyBorder="1" applyAlignment="1">
      <alignment wrapText="1"/>
    </xf>
    <xf numFmtId="0" fontId="0" fillId="0" borderId="50" xfId="0" applyFont="1" applyBorder="1" applyAlignment="1">
      <alignment wrapText="1"/>
    </xf>
    <xf numFmtId="0" fontId="5" fillId="0" borderId="20" xfId="0" applyFont="1" applyBorder="1" applyAlignment="1">
      <alignment wrapText="1"/>
    </xf>
    <xf numFmtId="0" fontId="5" fillId="0" borderId="18" xfId="0" applyFont="1" applyBorder="1" applyAlignment="1">
      <alignment wrapText="1"/>
    </xf>
    <xf numFmtId="1" fontId="0" fillId="0" borderId="21" xfId="0" applyNumberFormat="1" applyFont="1" applyBorder="1" applyAlignment="1">
      <alignment/>
    </xf>
    <xf numFmtId="41" fontId="0" fillId="0" borderId="0" xfId="52" applyNumberFormat="1" applyFont="1" applyAlignment="1">
      <alignment/>
    </xf>
    <xf numFmtId="9" fontId="0" fillId="0" borderId="24" xfId="0" applyNumberFormat="1" applyFont="1" applyBorder="1" applyAlignment="1">
      <alignment/>
    </xf>
    <xf numFmtId="16" fontId="0" fillId="0" borderId="24" xfId="0" applyNumberFormat="1" applyFont="1" applyBorder="1" applyAlignment="1">
      <alignment/>
    </xf>
    <xf numFmtId="184" fontId="0" fillId="0" borderId="13" xfId="52" applyNumberFormat="1" applyFont="1" applyBorder="1" applyAlignment="1">
      <alignment horizontal="center" vertical="center" wrapText="1"/>
    </xf>
    <xf numFmtId="184" fontId="0" fillId="0" borderId="0" xfId="0" applyNumberFormat="1" applyFont="1" applyBorder="1" applyAlignment="1">
      <alignment horizontal="center" vertical="center" wrapText="1"/>
    </xf>
    <xf numFmtId="1" fontId="0" fillId="0" borderId="20" xfId="0" applyNumberFormat="1" applyFont="1" applyBorder="1" applyAlignment="1">
      <alignment horizontal="center"/>
    </xf>
    <xf numFmtId="41" fontId="0" fillId="0" borderId="21" xfId="53" applyFont="1" applyBorder="1" applyAlignment="1">
      <alignment horizontal="center" vertical="center" wrapText="1"/>
    </xf>
    <xf numFmtId="41" fontId="0" fillId="0" borderId="18" xfId="53" applyFont="1" applyBorder="1" applyAlignment="1">
      <alignment horizontal="center" vertical="center" wrapText="1"/>
    </xf>
    <xf numFmtId="3" fontId="0" fillId="0" borderId="20" xfId="52" applyNumberFormat="1" applyFont="1" applyBorder="1" applyAlignment="1">
      <alignment horizontal="center"/>
    </xf>
    <xf numFmtId="1" fontId="0" fillId="0" borderId="21" xfId="0" applyNumberFormat="1" applyFont="1" applyBorder="1" applyAlignment="1">
      <alignment horizontal="center"/>
    </xf>
    <xf numFmtId="3" fontId="0" fillId="0" borderId="21" xfId="0" applyNumberFormat="1" applyFont="1" applyBorder="1" applyAlignment="1">
      <alignment horizontal="center"/>
    </xf>
    <xf numFmtId="0" fontId="0" fillId="26" borderId="49" xfId="0" applyFill="1" applyBorder="1" applyAlignment="1">
      <alignment/>
    </xf>
    <xf numFmtId="0" fontId="0" fillId="0" borderId="41" xfId="0" applyBorder="1" applyAlignment="1">
      <alignment horizontal="center" wrapText="1"/>
    </xf>
    <xf numFmtId="0" fontId="1" fillId="0" borderId="41" xfId="0" applyFont="1" applyBorder="1" applyAlignment="1">
      <alignment horizontal="center" wrapText="1"/>
    </xf>
    <xf numFmtId="181" fontId="0" fillId="0" borderId="39" xfId="0" applyNumberFormat="1" applyFont="1" applyBorder="1" applyAlignment="1">
      <alignment/>
    </xf>
    <xf numFmtId="43" fontId="0" fillId="0" borderId="39" xfId="0" applyNumberFormat="1" applyFont="1" applyBorder="1" applyAlignment="1">
      <alignment/>
    </xf>
    <xf numFmtId="43" fontId="0" fillId="0" borderId="39" xfId="52" applyFont="1" applyBorder="1" applyAlignment="1">
      <alignment/>
    </xf>
    <xf numFmtId="181" fontId="31" fillId="0" borderId="39" xfId="52" applyNumberFormat="1" applyFont="1" applyBorder="1" applyAlignment="1">
      <alignment/>
    </xf>
    <xf numFmtId="43" fontId="31" fillId="0" borderId="39" xfId="0" applyNumberFormat="1" applyFont="1" applyBorder="1" applyAlignment="1">
      <alignment/>
    </xf>
    <xf numFmtId="43" fontId="31" fillId="0" borderId="39" xfId="52" applyFont="1" applyBorder="1" applyAlignment="1">
      <alignment/>
    </xf>
    <xf numFmtId="181" fontId="0" fillId="0" borderId="46" xfId="52" applyNumberFormat="1" applyFont="1" applyBorder="1" applyAlignment="1">
      <alignment/>
    </xf>
    <xf numFmtId="0" fontId="0" fillId="21" borderId="42" xfId="0" applyFont="1" applyFill="1" applyBorder="1" applyAlignment="1">
      <alignment/>
    </xf>
    <xf numFmtId="181" fontId="0" fillId="21" borderId="39" xfId="52" applyNumberFormat="1" applyFont="1" applyFill="1" applyBorder="1" applyAlignment="1">
      <alignment/>
    </xf>
    <xf numFmtId="181" fontId="1" fillId="21" borderId="39" xfId="52" applyNumberFormat="1" applyFont="1" applyFill="1" applyBorder="1" applyAlignment="1">
      <alignment/>
    </xf>
    <xf numFmtId="181" fontId="0" fillId="21" borderId="39" xfId="52" applyNumberFormat="1" applyFont="1" applyFill="1" applyBorder="1" applyAlignment="1">
      <alignment/>
    </xf>
    <xf numFmtId="0" fontId="0" fillId="21" borderId="42" xfId="0" applyFill="1" applyBorder="1" applyAlignment="1">
      <alignment/>
    </xf>
    <xf numFmtId="0" fontId="0" fillId="21" borderId="39" xfId="0" applyFill="1" applyBorder="1" applyAlignment="1">
      <alignment/>
    </xf>
    <xf numFmtId="181" fontId="0" fillId="21" borderId="39" xfId="0" applyNumberFormat="1" applyFont="1" applyFill="1" applyBorder="1" applyAlignment="1">
      <alignment/>
    </xf>
    <xf numFmtId="181" fontId="0" fillId="21" borderId="39" xfId="0" applyNumberFormat="1" applyFont="1" applyFill="1" applyBorder="1" applyAlignment="1">
      <alignment/>
    </xf>
    <xf numFmtId="0" fontId="0" fillId="28" borderId="0" xfId="0" applyFill="1" applyAlignment="1">
      <alignment/>
    </xf>
    <xf numFmtId="181" fontId="1" fillId="28" borderId="0" xfId="0" applyNumberFormat="1" applyFont="1" applyFill="1" applyAlignment="1">
      <alignment/>
    </xf>
    <xf numFmtId="181" fontId="0" fillId="28" borderId="0" xfId="0" applyNumberFormat="1" applyFont="1" applyFill="1" applyAlignment="1">
      <alignment/>
    </xf>
    <xf numFmtId="0" fontId="0" fillId="28" borderId="42" xfId="0" applyFill="1" applyBorder="1" applyAlignment="1">
      <alignment/>
    </xf>
    <xf numFmtId="0" fontId="0" fillId="21" borderId="42" xfId="0" applyFont="1" applyFill="1" applyBorder="1" applyAlignment="1">
      <alignment/>
    </xf>
    <xf numFmtId="0" fontId="0" fillId="0" borderId="42" xfId="0" applyFont="1" applyFill="1" applyBorder="1" applyAlignment="1">
      <alignment/>
    </xf>
    <xf numFmtId="0" fontId="0" fillId="0" borderId="39" xfId="0" applyFill="1" applyBorder="1" applyAlignment="1">
      <alignment/>
    </xf>
    <xf numFmtId="181" fontId="0" fillId="0" borderId="39" xfId="52" applyNumberFormat="1" applyFont="1" applyFill="1" applyBorder="1" applyAlignment="1">
      <alignment/>
    </xf>
    <xf numFmtId="0" fontId="0" fillId="21" borderId="39" xfId="0" applyFill="1" applyBorder="1" applyAlignment="1">
      <alignment wrapText="1"/>
    </xf>
    <xf numFmtId="0" fontId="1" fillId="29" borderId="43" xfId="0" applyFont="1" applyFill="1" applyBorder="1" applyAlignment="1">
      <alignment/>
    </xf>
    <xf numFmtId="181" fontId="1" fillId="29" borderId="44" xfId="52" applyNumberFormat="1" applyFont="1" applyFill="1" applyBorder="1" applyAlignment="1">
      <alignment/>
    </xf>
    <xf numFmtId="181" fontId="1" fillId="29" borderId="44" xfId="52" applyNumberFormat="1" applyFont="1" applyFill="1" applyBorder="1" applyAlignment="1">
      <alignment/>
    </xf>
    <xf numFmtId="0" fontId="0" fillId="29" borderId="44" xfId="0" applyFill="1" applyBorder="1" applyAlignment="1">
      <alignment/>
    </xf>
    <xf numFmtId="0" fontId="0" fillId="29" borderId="0" xfId="0" applyFill="1" applyAlignment="1">
      <alignment/>
    </xf>
    <xf numFmtId="182" fontId="1" fillId="29" borderId="44" xfId="52" applyNumberFormat="1" applyFont="1" applyFill="1" applyBorder="1" applyAlignment="1">
      <alignment/>
    </xf>
    <xf numFmtId="182" fontId="1" fillId="29" borderId="44" xfId="52" applyNumberFormat="1" applyFont="1" applyFill="1" applyBorder="1" applyAlignment="1">
      <alignment/>
    </xf>
    <xf numFmtId="0" fontId="1" fillId="29" borderId="44" xfId="0" applyFont="1" applyFill="1" applyBorder="1" applyAlignment="1">
      <alignment/>
    </xf>
    <xf numFmtId="0" fontId="1" fillId="29" borderId="42" xfId="0" applyFont="1" applyFill="1" applyBorder="1" applyAlignment="1">
      <alignment/>
    </xf>
    <xf numFmtId="181" fontId="1" fillId="29" borderId="39" xfId="52" applyNumberFormat="1" applyFont="1" applyFill="1" applyBorder="1" applyAlignment="1">
      <alignment/>
    </xf>
    <xf numFmtId="181" fontId="1" fillId="29" borderId="39" xfId="52" applyNumberFormat="1" applyFont="1" applyFill="1" applyBorder="1" applyAlignment="1">
      <alignment/>
    </xf>
    <xf numFmtId="0" fontId="0" fillId="29" borderId="39" xfId="0" applyFill="1" applyBorder="1" applyAlignment="1">
      <alignment/>
    </xf>
    <xf numFmtId="181" fontId="1" fillId="29" borderId="44" xfId="0" applyNumberFormat="1" applyFont="1" applyFill="1" applyBorder="1" applyAlignment="1">
      <alignment/>
    </xf>
    <xf numFmtId="181" fontId="1" fillId="29" borderId="44" xfId="0" applyNumberFormat="1" applyFont="1" applyFill="1" applyBorder="1" applyAlignment="1">
      <alignment/>
    </xf>
    <xf numFmtId="0" fontId="0" fillId="29" borderId="44" xfId="0" applyFill="1" applyBorder="1" applyAlignment="1">
      <alignment wrapText="1"/>
    </xf>
    <xf numFmtId="43" fontId="1" fillId="29" borderId="44" xfId="52" applyFont="1" applyFill="1" applyBorder="1" applyAlignment="1">
      <alignment/>
    </xf>
    <xf numFmtId="43" fontId="1" fillId="29" borderId="44" xfId="52" applyFont="1" applyFill="1" applyBorder="1" applyAlignment="1">
      <alignment/>
    </xf>
    <xf numFmtId="0" fontId="0" fillId="29" borderId="39" xfId="0" applyFill="1" applyBorder="1" applyAlignment="1">
      <alignment horizontal="justify" wrapText="1"/>
    </xf>
    <xf numFmtId="0" fontId="1" fillId="29" borderId="39" xfId="0" applyFont="1" applyFill="1" applyBorder="1" applyAlignment="1">
      <alignment horizontal="justify" wrapText="1"/>
    </xf>
    <xf numFmtId="0" fontId="0" fillId="29" borderId="44" xfId="0" applyFill="1" applyBorder="1" applyAlignment="1">
      <alignment horizontal="justify" wrapText="1"/>
    </xf>
    <xf numFmtId="181" fontId="0" fillId="29" borderId="39" xfId="0" applyNumberFormat="1" applyFont="1" applyFill="1" applyBorder="1" applyAlignment="1">
      <alignment/>
    </xf>
    <xf numFmtId="181" fontId="1" fillId="29" borderId="39" xfId="0" applyNumberFormat="1" applyFont="1" applyFill="1" applyBorder="1" applyAlignment="1">
      <alignment/>
    </xf>
    <xf numFmtId="0" fontId="14" fillId="29" borderId="43" xfId="0" applyFont="1" applyFill="1" applyBorder="1" applyAlignment="1">
      <alignment/>
    </xf>
    <xf numFmtId="43" fontId="1" fillId="29" borderId="44" xfId="52" applyNumberFormat="1" applyFont="1" applyFill="1" applyBorder="1" applyAlignment="1">
      <alignment/>
    </xf>
    <xf numFmtId="43" fontId="0" fillId="0" borderId="0" xfId="52" applyFont="1" applyAlignment="1">
      <alignment/>
    </xf>
    <xf numFmtId="43" fontId="0" fillId="29" borderId="0" xfId="52" applyFont="1" applyFill="1" applyAlignment="1">
      <alignment/>
    </xf>
    <xf numFmtId="181" fontId="0" fillId="0" borderId="49" xfId="52" applyNumberFormat="1" applyFont="1" applyBorder="1" applyAlignment="1">
      <alignment/>
    </xf>
    <xf numFmtId="182" fontId="0" fillId="0" borderId="49" xfId="52" applyNumberFormat="1" applyFont="1" applyBorder="1" applyAlignment="1">
      <alignment/>
    </xf>
    <xf numFmtId="181" fontId="0" fillId="29" borderId="44" xfId="52" applyNumberFormat="1" applyFont="1" applyFill="1" applyBorder="1" applyAlignment="1">
      <alignment/>
    </xf>
    <xf numFmtId="181" fontId="0" fillId="0" borderId="0" xfId="52" applyNumberFormat="1" applyFont="1" applyAlignment="1">
      <alignment/>
    </xf>
    <xf numFmtId="181" fontId="0" fillId="0" borderId="41" xfId="52" applyNumberFormat="1" applyFont="1" applyBorder="1" applyAlignment="1">
      <alignment/>
    </xf>
    <xf numFmtId="181" fontId="0" fillId="29" borderId="39" xfId="52" applyNumberFormat="1" applyFont="1" applyFill="1" applyBorder="1" applyAlignment="1">
      <alignment/>
    </xf>
    <xf numFmtId="181" fontId="0" fillId="0" borderId="44" xfId="52" applyNumberFormat="1" applyFont="1" applyBorder="1" applyAlignment="1">
      <alignment/>
    </xf>
    <xf numFmtId="181" fontId="0" fillId="0" borderId="41" xfId="0" applyNumberFormat="1" applyFont="1" applyBorder="1" applyAlignment="1">
      <alignment/>
    </xf>
    <xf numFmtId="0" fontId="0" fillId="0" borderId="41" xfId="0" applyFont="1" applyBorder="1" applyAlignment="1">
      <alignment/>
    </xf>
    <xf numFmtId="0" fontId="0" fillId="0" borderId="39" xfId="0" applyFont="1" applyBorder="1" applyAlignment="1">
      <alignment/>
    </xf>
    <xf numFmtId="43" fontId="0" fillId="0" borderId="39" xfId="52" applyNumberFormat="1" applyFont="1" applyBorder="1" applyAlignment="1">
      <alignment/>
    </xf>
    <xf numFmtId="0" fontId="0" fillId="0" borderId="0" xfId="0" applyFont="1" applyAlignment="1">
      <alignment/>
    </xf>
    <xf numFmtId="181" fontId="0" fillId="28" borderId="39" xfId="52" applyNumberFormat="1" applyFont="1" applyFill="1" applyBorder="1" applyAlignment="1">
      <alignment/>
    </xf>
    <xf numFmtId="181" fontId="0" fillId="0" borderId="49" xfId="0" applyNumberFormat="1" applyFont="1" applyBorder="1" applyAlignment="1">
      <alignment/>
    </xf>
    <xf numFmtId="43" fontId="0" fillId="0" borderId="41" xfId="52" applyFont="1" applyBorder="1" applyAlignment="1">
      <alignment/>
    </xf>
    <xf numFmtId="181" fontId="0" fillId="21" borderId="39" xfId="0" applyNumberFormat="1" applyFont="1" applyFill="1" applyBorder="1" applyAlignment="1">
      <alignment/>
    </xf>
    <xf numFmtId="181" fontId="0" fillId="0" borderId="39" xfId="52" applyNumberFormat="1" applyFont="1" applyFill="1" applyBorder="1" applyAlignment="1">
      <alignment/>
    </xf>
    <xf numFmtId="10" fontId="0" fillId="0" borderId="41" xfId="58" applyNumberFormat="1" applyFont="1" applyBorder="1" applyAlignment="1">
      <alignment/>
    </xf>
    <xf numFmtId="43" fontId="0" fillId="0" borderId="46" xfId="52" applyFont="1" applyBorder="1" applyAlignment="1">
      <alignment/>
    </xf>
    <xf numFmtId="43" fontId="0" fillId="0" borderId="49" xfId="52" applyFont="1" applyBorder="1" applyAlignment="1">
      <alignment/>
    </xf>
    <xf numFmtId="43" fontId="0" fillId="0" borderId="0" xfId="52" applyFont="1" applyAlignment="1">
      <alignment wrapText="1"/>
    </xf>
    <xf numFmtId="43" fontId="0" fillId="0" borderId="0" xfId="52" applyNumberFormat="1" applyFont="1" applyAlignment="1">
      <alignment/>
    </xf>
    <xf numFmtId="43" fontId="0" fillId="0" borderId="0" xfId="0" applyNumberFormat="1" applyFont="1" applyAlignment="1">
      <alignment/>
    </xf>
    <xf numFmtId="0" fontId="1" fillId="0" borderId="52" xfId="0" applyFont="1" applyBorder="1" applyAlignment="1">
      <alignment wrapText="1"/>
    </xf>
    <xf numFmtId="0" fontId="0" fillId="0" borderId="53" xfId="0" applyBorder="1" applyAlignment="1">
      <alignment horizontal="center"/>
    </xf>
    <xf numFmtId="182" fontId="0" fillId="0" borderId="53" xfId="52" applyNumberFormat="1" applyFont="1" applyBorder="1" applyAlignment="1">
      <alignment/>
    </xf>
    <xf numFmtId="181" fontId="0" fillId="0" borderId="53" xfId="52" applyNumberFormat="1" applyFont="1" applyBorder="1" applyAlignment="1">
      <alignment/>
    </xf>
    <xf numFmtId="181" fontId="1" fillId="0" borderId="53" xfId="52" applyNumberFormat="1" applyFont="1" applyBorder="1" applyAlignment="1">
      <alignment/>
    </xf>
    <xf numFmtId="43" fontId="0" fillId="0" borderId="53" xfId="52" applyFont="1" applyBorder="1" applyAlignment="1">
      <alignment/>
    </xf>
    <xf numFmtId="181" fontId="0" fillId="21" borderId="53" xfId="52" applyNumberFormat="1" applyFont="1" applyFill="1" applyBorder="1" applyAlignment="1">
      <alignment/>
    </xf>
    <xf numFmtId="181" fontId="1" fillId="0" borderId="53" xfId="52" applyNumberFormat="1" applyFont="1" applyBorder="1" applyAlignment="1">
      <alignment/>
    </xf>
    <xf numFmtId="181" fontId="0" fillId="0" borderId="53" xfId="52" applyNumberFormat="1" applyFont="1" applyBorder="1" applyAlignment="1">
      <alignment/>
    </xf>
    <xf numFmtId="181" fontId="1" fillId="29" borderId="54" xfId="52" applyNumberFormat="1" applyFont="1" applyFill="1" applyBorder="1" applyAlignment="1">
      <alignment/>
    </xf>
    <xf numFmtId="0" fontId="0" fillId="0" borderId="52" xfId="0" applyBorder="1" applyAlignment="1">
      <alignment wrapText="1"/>
    </xf>
    <xf numFmtId="0" fontId="0" fillId="0" borderId="53" xfId="0" applyFont="1" applyBorder="1" applyAlignment="1">
      <alignment horizontal="center"/>
    </xf>
    <xf numFmtId="182" fontId="0" fillId="0" borderId="55" xfId="52" applyNumberFormat="1" applyFont="1" applyBorder="1" applyAlignment="1">
      <alignment/>
    </xf>
    <xf numFmtId="182" fontId="1" fillId="29" borderId="54" xfId="52" applyNumberFormat="1" applyFont="1" applyFill="1" applyBorder="1" applyAlignment="1">
      <alignment/>
    </xf>
    <xf numFmtId="0" fontId="1" fillId="0" borderId="52" xfId="0" applyFont="1" applyBorder="1" applyAlignment="1">
      <alignment horizontal="center" wrapText="1"/>
    </xf>
    <xf numFmtId="181" fontId="0" fillId="0" borderId="55" xfId="52" applyNumberFormat="1" applyFont="1" applyBorder="1" applyAlignment="1">
      <alignment/>
    </xf>
    <xf numFmtId="0" fontId="0" fillId="0" borderId="52" xfId="0" applyBorder="1" applyAlignment="1">
      <alignment horizontal="center" wrapText="1"/>
    </xf>
    <xf numFmtId="181" fontId="1" fillId="29" borderId="53" xfId="52" applyNumberFormat="1" applyFont="1" applyFill="1" applyBorder="1" applyAlignment="1">
      <alignment/>
    </xf>
    <xf numFmtId="181" fontId="0" fillId="0" borderId="54" xfId="52" applyNumberFormat="1" applyFont="1" applyBorder="1" applyAlignment="1">
      <alignment/>
    </xf>
    <xf numFmtId="181" fontId="1" fillId="29" borderId="54" xfId="0" applyNumberFormat="1" applyFont="1" applyFill="1" applyBorder="1" applyAlignment="1">
      <alignment/>
    </xf>
    <xf numFmtId="181" fontId="0" fillId="0" borderId="52" xfId="0" applyNumberFormat="1" applyBorder="1" applyAlignment="1">
      <alignment/>
    </xf>
    <xf numFmtId="43" fontId="1" fillId="29" borderId="54" xfId="52" applyFont="1" applyFill="1" applyBorder="1" applyAlignment="1">
      <alignment/>
    </xf>
    <xf numFmtId="0" fontId="0" fillId="0" borderId="52" xfId="0" applyBorder="1" applyAlignment="1">
      <alignment/>
    </xf>
    <xf numFmtId="0" fontId="0" fillId="0" borderId="53" xfId="0" applyBorder="1" applyAlignment="1">
      <alignment/>
    </xf>
    <xf numFmtId="181" fontId="10" fillId="0" borderId="53" xfId="52" applyNumberFormat="1" applyFont="1" applyBorder="1" applyAlignment="1">
      <alignment/>
    </xf>
    <xf numFmtId="181" fontId="0" fillId="28" borderId="53" xfId="52" applyNumberFormat="1" applyFont="1" applyFill="1" applyBorder="1" applyAlignment="1">
      <alignment/>
    </xf>
    <xf numFmtId="43" fontId="1" fillId="29" borderId="54" xfId="52" applyNumberFormat="1" applyFont="1" applyFill="1" applyBorder="1" applyAlignment="1">
      <alignment/>
    </xf>
    <xf numFmtId="181" fontId="0" fillId="0" borderId="52" xfId="52" applyNumberFormat="1" applyFont="1" applyBorder="1" applyAlignment="1">
      <alignment/>
    </xf>
    <xf numFmtId="181" fontId="0" fillId="0" borderId="53" xfId="0" applyNumberFormat="1" applyFont="1" applyBorder="1" applyAlignment="1">
      <alignment/>
    </xf>
    <xf numFmtId="181" fontId="0" fillId="0" borderId="53" xfId="0" applyNumberFormat="1" applyFont="1" applyBorder="1" applyAlignment="1">
      <alignment/>
    </xf>
    <xf numFmtId="181" fontId="0" fillId="0" borderId="55" xfId="0" applyNumberFormat="1" applyFont="1" applyBorder="1" applyAlignment="1">
      <alignment/>
    </xf>
    <xf numFmtId="0" fontId="1" fillId="29" borderId="54" xfId="0" applyFont="1" applyFill="1" applyBorder="1" applyAlignment="1">
      <alignment/>
    </xf>
    <xf numFmtId="181" fontId="1" fillId="29" borderId="53" xfId="0" applyNumberFormat="1" applyFont="1" applyFill="1" applyBorder="1" applyAlignment="1">
      <alignment/>
    </xf>
    <xf numFmtId="43" fontId="0" fillId="0" borderId="53" xfId="0" applyNumberFormat="1" applyFont="1" applyBorder="1" applyAlignment="1">
      <alignment/>
    </xf>
    <xf numFmtId="43" fontId="0" fillId="0" borderId="53" xfId="0" applyNumberFormat="1" applyFont="1" applyBorder="1" applyAlignment="1">
      <alignment/>
    </xf>
    <xf numFmtId="181" fontId="0" fillId="0" borderId="55" xfId="0" applyNumberFormat="1" applyFont="1" applyBorder="1" applyAlignment="1">
      <alignment/>
    </xf>
    <xf numFmtId="43" fontId="0" fillId="0" borderId="52" xfId="52" applyFont="1" applyBorder="1" applyAlignment="1">
      <alignment/>
    </xf>
    <xf numFmtId="181" fontId="1" fillId="0" borderId="54" xfId="0" applyNumberFormat="1" applyFont="1" applyBorder="1" applyAlignment="1">
      <alignment/>
    </xf>
    <xf numFmtId="181" fontId="1" fillId="0" borderId="52" xfId="0" applyNumberFormat="1" applyFont="1" applyBorder="1" applyAlignment="1">
      <alignment/>
    </xf>
    <xf numFmtId="181" fontId="0" fillId="21" borderId="53" xfId="0" applyNumberFormat="1" applyFont="1" applyFill="1" applyBorder="1" applyAlignment="1">
      <alignment/>
    </xf>
    <xf numFmtId="181" fontId="12" fillId="0" borderId="53" xfId="0" applyNumberFormat="1" applyFont="1" applyBorder="1" applyAlignment="1">
      <alignment/>
    </xf>
    <xf numFmtId="43" fontId="1" fillId="0" borderId="54" xfId="0" applyNumberFormat="1" applyFont="1" applyBorder="1" applyAlignment="1">
      <alignment/>
    </xf>
    <xf numFmtId="43" fontId="1" fillId="0" borderId="54" xfId="52" applyFont="1" applyBorder="1" applyAlignment="1">
      <alignment/>
    </xf>
    <xf numFmtId="181" fontId="0" fillId="0" borderId="53" xfId="52" applyNumberFormat="1" applyFont="1" applyFill="1" applyBorder="1" applyAlignment="1">
      <alignment/>
    </xf>
    <xf numFmtId="181" fontId="1" fillId="0" borderId="54" xfId="52" applyNumberFormat="1" applyFont="1" applyBorder="1" applyAlignment="1">
      <alignment/>
    </xf>
    <xf numFmtId="10" fontId="0" fillId="0" borderId="52" xfId="58" applyNumberFormat="1" applyFont="1" applyBorder="1" applyAlignment="1">
      <alignment/>
    </xf>
    <xf numFmtId="43" fontId="12" fillId="0" borderId="56" xfId="52" applyFont="1" applyBorder="1" applyAlignment="1">
      <alignment/>
    </xf>
    <xf numFmtId="43" fontId="1" fillId="0" borderId="54" xfId="52" applyFont="1" applyBorder="1" applyAlignment="1">
      <alignment/>
    </xf>
    <xf numFmtId="43" fontId="12" fillId="0" borderId="55" xfId="52" applyFont="1" applyBorder="1" applyAlignment="1">
      <alignment/>
    </xf>
    <xf numFmtId="43" fontId="0" fillId="0" borderId="55" xfId="52" applyFont="1" applyBorder="1" applyAlignment="1">
      <alignment/>
    </xf>
    <xf numFmtId="0" fontId="0" fillId="0" borderId="57" xfId="0" applyBorder="1" applyAlignment="1">
      <alignment horizontal="center"/>
    </xf>
    <xf numFmtId="182" fontId="0" fillId="0" borderId="57" xfId="52" applyNumberFormat="1" applyFont="1" applyBorder="1" applyAlignment="1">
      <alignment/>
    </xf>
    <xf numFmtId="181" fontId="0" fillId="0" borderId="57" xfId="52" applyNumberFormat="1" applyFont="1" applyBorder="1" applyAlignment="1">
      <alignment/>
    </xf>
    <xf numFmtId="181" fontId="1" fillId="0" borderId="57" xfId="52" applyNumberFormat="1" applyFont="1" applyBorder="1" applyAlignment="1">
      <alignment/>
    </xf>
    <xf numFmtId="43" fontId="0" fillId="0" borderId="57" xfId="52" applyFont="1" applyBorder="1" applyAlignment="1">
      <alignment/>
    </xf>
    <xf numFmtId="181" fontId="0" fillId="21" borderId="57" xfId="52" applyNumberFormat="1" applyFont="1" applyFill="1" applyBorder="1" applyAlignment="1">
      <alignment/>
    </xf>
    <xf numFmtId="181" fontId="1" fillId="0" borderId="57" xfId="52" applyNumberFormat="1" applyFont="1" applyBorder="1" applyAlignment="1">
      <alignment/>
    </xf>
    <xf numFmtId="181" fontId="0" fillId="0" borderId="57" xfId="52" applyNumberFormat="1" applyFont="1" applyBorder="1" applyAlignment="1">
      <alignment/>
    </xf>
    <xf numFmtId="181" fontId="1" fillId="29" borderId="58" xfId="52" applyNumberFormat="1" applyFont="1" applyFill="1" applyBorder="1" applyAlignment="1">
      <alignment/>
    </xf>
    <xf numFmtId="10" fontId="1" fillId="0" borderId="13" xfId="58" applyNumberFormat="1" applyFont="1" applyBorder="1" applyAlignment="1">
      <alignment/>
    </xf>
    <xf numFmtId="0" fontId="0" fillId="0" borderId="59" xfId="0" applyBorder="1" applyAlignment="1">
      <alignment wrapText="1"/>
    </xf>
    <xf numFmtId="0" fontId="0" fillId="0" borderId="57" xfId="0" applyFont="1" applyBorder="1" applyAlignment="1">
      <alignment horizontal="center"/>
    </xf>
    <xf numFmtId="182" fontId="0" fillId="0" borderId="60" xfId="52" applyNumberFormat="1" applyFont="1" applyBorder="1" applyAlignment="1">
      <alignment/>
    </xf>
    <xf numFmtId="182" fontId="1" fillId="29" borderId="58" xfId="52" applyNumberFormat="1" applyFont="1" applyFill="1" applyBorder="1" applyAlignment="1">
      <alignment/>
    </xf>
    <xf numFmtId="181" fontId="0" fillId="0" borderId="13" xfId="52" applyNumberFormat="1" applyFont="1" applyBorder="1" applyAlignment="1">
      <alignment/>
    </xf>
    <xf numFmtId="0" fontId="1" fillId="0" borderId="59" xfId="0" applyFont="1" applyBorder="1" applyAlignment="1">
      <alignment horizontal="center" wrapText="1"/>
    </xf>
    <xf numFmtId="181" fontId="0" fillId="0" borderId="60" xfId="52" applyNumberFormat="1" applyFont="1" applyBorder="1" applyAlignment="1">
      <alignment/>
    </xf>
    <xf numFmtId="0" fontId="0" fillId="0" borderId="59" xfId="0" applyBorder="1" applyAlignment="1">
      <alignment horizontal="center" wrapText="1"/>
    </xf>
    <xf numFmtId="181" fontId="1" fillId="29" borderId="57" xfId="52" applyNumberFormat="1" applyFont="1" applyFill="1" applyBorder="1" applyAlignment="1">
      <alignment/>
    </xf>
    <xf numFmtId="181" fontId="0" fillId="0" borderId="58" xfId="52" applyNumberFormat="1" applyFont="1" applyBorder="1" applyAlignment="1">
      <alignment/>
    </xf>
    <xf numFmtId="181" fontId="1" fillId="29" borderId="58" xfId="0" applyNumberFormat="1" applyFont="1" applyFill="1" applyBorder="1" applyAlignment="1">
      <alignment/>
    </xf>
    <xf numFmtId="181" fontId="0" fillId="0" borderId="59" xfId="0" applyNumberFormat="1" applyBorder="1" applyAlignment="1">
      <alignment/>
    </xf>
    <xf numFmtId="43" fontId="1" fillId="29" borderId="58" xfId="52" applyFont="1" applyFill="1" applyBorder="1" applyAlignment="1">
      <alignment/>
    </xf>
    <xf numFmtId="0" fontId="0" fillId="0" borderId="59" xfId="0" applyBorder="1" applyAlignment="1">
      <alignment/>
    </xf>
    <xf numFmtId="0" fontId="0" fillId="0" borderId="57" xfId="0" applyBorder="1" applyAlignment="1">
      <alignment/>
    </xf>
    <xf numFmtId="181" fontId="10" fillId="0" borderId="57" xfId="52" applyNumberFormat="1" applyFont="1" applyBorder="1" applyAlignment="1">
      <alignment/>
    </xf>
    <xf numFmtId="0" fontId="0" fillId="0" borderId="13" xfId="0" applyBorder="1" applyAlignment="1">
      <alignment/>
    </xf>
    <xf numFmtId="181" fontId="1" fillId="0" borderId="13" xfId="0" applyNumberFormat="1" applyFont="1" applyBorder="1" applyAlignment="1">
      <alignment/>
    </xf>
    <xf numFmtId="181" fontId="0" fillId="28" borderId="57" xfId="52" applyNumberFormat="1" applyFont="1" applyFill="1" applyBorder="1" applyAlignment="1">
      <alignment/>
    </xf>
    <xf numFmtId="181" fontId="0" fillId="28" borderId="13" xfId="0" applyNumberFormat="1" applyFont="1" applyFill="1" applyBorder="1" applyAlignment="1">
      <alignment/>
    </xf>
    <xf numFmtId="43" fontId="1" fillId="29" borderId="58" xfId="52" applyNumberFormat="1" applyFont="1" applyFill="1" applyBorder="1" applyAlignment="1">
      <alignment/>
    </xf>
    <xf numFmtId="181" fontId="1" fillId="0" borderId="13" xfId="52" applyNumberFormat="1" applyFont="1" applyBorder="1" applyAlignment="1">
      <alignment/>
    </xf>
    <xf numFmtId="181" fontId="0" fillId="0" borderId="59" xfId="52" applyNumberFormat="1" applyFont="1" applyBorder="1" applyAlignment="1">
      <alignment/>
    </xf>
    <xf numFmtId="181" fontId="0" fillId="0" borderId="57" xfId="0" applyNumberFormat="1" applyFont="1" applyBorder="1" applyAlignment="1">
      <alignment/>
    </xf>
    <xf numFmtId="181" fontId="0" fillId="0" borderId="57" xfId="0" applyNumberFormat="1" applyFont="1" applyBorder="1" applyAlignment="1">
      <alignment/>
    </xf>
    <xf numFmtId="181" fontId="0" fillId="0" borderId="60" xfId="0" applyNumberFormat="1" applyFont="1" applyBorder="1" applyAlignment="1">
      <alignment/>
    </xf>
    <xf numFmtId="0" fontId="1" fillId="29" borderId="58" xfId="0" applyFont="1" applyFill="1" applyBorder="1" applyAlignment="1">
      <alignment/>
    </xf>
    <xf numFmtId="181" fontId="1" fillId="29" borderId="57" xfId="0" applyNumberFormat="1" applyFont="1" applyFill="1" applyBorder="1" applyAlignment="1">
      <alignment/>
    </xf>
    <xf numFmtId="43" fontId="0" fillId="0" borderId="57" xfId="0" applyNumberFormat="1" applyFont="1" applyBorder="1" applyAlignment="1">
      <alignment/>
    </xf>
    <xf numFmtId="43" fontId="0" fillId="0" borderId="57" xfId="0" applyNumberFormat="1" applyFont="1" applyBorder="1" applyAlignment="1">
      <alignment/>
    </xf>
    <xf numFmtId="181" fontId="0" fillId="0" borderId="60" xfId="0" applyNumberFormat="1" applyFont="1" applyBorder="1" applyAlignment="1">
      <alignment/>
    </xf>
    <xf numFmtId="43" fontId="0" fillId="0" borderId="59" xfId="52" applyFont="1" applyBorder="1" applyAlignment="1">
      <alignment/>
    </xf>
    <xf numFmtId="181" fontId="1" fillId="0" borderId="13" xfId="52" applyNumberFormat="1" applyFont="1" applyBorder="1" applyAlignment="1">
      <alignment/>
    </xf>
    <xf numFmtId="181" fontId="1" fillId="0" borderId="58" xfId="0" applyNumberFormat="1" applyFont="1" applyBorder="1" applyAlignment="1">
      <alignment/>
    </xf>
    <xf numFmtId="181" fontId="1" fillId="0" borderId="13" xfId="0" applyNumberFormat="1" applyFont="1" applyBorder="1" applyAlignment="1">
      <alignment horizontal="center"/>
    </xf>
    <xf numFmtId="181" fontId="1" fillId="0" borderId="59" xfId="0" applyNumberFormat="1" applyFont="1" applyBorder="1" applyAlignment="1">
      <alignment/>
    </xf>
    <xf numFmtId="181" fontId="1" fillId="0" borderId="13" xfId="0" applyNumberFormat="1" applyFont="1" applyBorder="1" applyAlignment="1">
      <alignment/>
    </xf>
    <xf numFmtId="181" fontId="0" fillId="21" borderId="57" xfId="0" applyNumberFormat="1" applyFont="1" applyFill="1" applyBorder="1" applyAlignment="1">
      <alignment/>
    </xf>
    <xf numFmtId="181" fontId="12" fillId="0" borderId="57" xfId="0" applyNumberFormat="1" applyFont="1" applyBorder="1" applyAlignment="1">
      <alignment/>
    </xf>
    <xf numFmtId="43" fontId="1" fillId="0" borderId="58" xfId="0" applyNumberFormat="1" applyFont="1" applyBorder="1" applyAlignment="1">
      <alignment/>
    </xf>
    <xf numFmtId="43" fontId="1" fillId="0" borderId="58" xfId="52" applyFont="1" applyBorder="1" applyAlignment="1">
      <alignment/>
    </xf>
    <xf numFmtId="181" fontId="0" fillId="0" borderId="61" xfId="52" applyNumberFormat="1" applyFont="1" applyBorder="1" applyAlignment="1">
      <alignment/>
    </xf>
    <xf numFmtId="181" fontId="0" fillId="0" borderId="57" xfId="52" applyNumberFormat="1" applyFont="1" applyFill="1" applyBorder="1" applyAlignment="1">
      <alignment/>
    </xf>
    <xf numFmtId="181" fontId="1" fillId="0" borderId="58" xfId="52" applyNumberFormat="1" applyFont="1" applyBorder="1" applyAlignment="1">
      <alignment/>
    </xf>
    <xf numFmtId="10" fontId="0" fillId="0" borderId="59" xfId="58" applyNumberFormat="1" applyFont="1" applyBorder="1" applyAlignment="1">
      <alignment/>
    </xf>
    <xf numFmtId="43" fontId="12" fillId="0" borderId="61" xfId="52" applyFont="1" applyBorder="1" applyAlignment="1">
      <alignment/>
    </xf>
    <xf numFmtId="43" fontId="1" fillId="0" borderId="58" xfId="52" applyFont="1" applyBorder="1" applyAlignment="1">
      <alignment/>
    </xf>
    <xf numFmtId="43" fontId="12" fillId="0" borderId="60" xfId="52" applyFont="1" applyBorder="1" applyAlignment="1">
      <alignment/>
    </xf>
    <xf numFmtId="43" fontId="1" fillId="0" borderId="13" xfId="0" applyNumberFormat="1" applyFont="1" applyBorder="1" applyAlignment="1">
      <alignment/>
    </xf>
    <xf numFmtId="43" fontId="1" fillId="0" borderId="13" xfId="0" applyNumberFormat="1" applyFont="1" applyBorder="1" applyAlignment="1">
      <alignment/>
    </xf>
    <xf numFmtId="43" fontId="0" fillId="0" borderId="60" xfId="52" applyFont="1" applyBorder="1" applyAlignment="1">
      <alignment/>
    </xf>
    <xf numFmtId="181" fontId="1" fillId="0" borderId="39" xfId="52" applyNumberFormat="1" applyFont="1" applyFill="1" applyBorder="1" applyAlignment="1">
      <alignment/>
    </xf>
    <xf numFmtId="181" fontId="1" fillId="0" borderId="0" xfId="52" applyNumberFormat="1" applyFont="1" applyBorder="1" applyAlignment="1">
      <alignment/>
    </xf>
    <xf numFmtId="43" fontId="1" fillId="29" borderId="62" xfId="52" applyNumberFormat="1" applyFont="1" applyFill="1" applyBorder="1" applyAlignment="1">
      <alignment/>
    </xf>
    <xf numFmtId="0" fontId="0" fillId="0" borderId="40" xfId="0" applyFont="1" applyFill="1" applyBorder="1" applyAlignment="1">
      <alignment/>
    </xf>
    <xf numFmtId="0" fontId="1" fillId="0" borderId="41" xfId="0" applyFont="1" applyFill="1" applyBorder="1" applyAlignment="1">
      <alignment wrapText="1"/>
    </xf>
    <xf numFmtId="0" fontId="1" fillId="0" borderId="41" xfId="0" applyFont="1" applyBorder="1" applyAlignment="1">
      <alignment wrapText="1"/>
    </xf>
    <xf numFmtId="0" fontId="9" fillId="0" borderId="42" xfId="0" applyFont="1" applyFill="1" applyBorder="1" applyAlignment="1">
      <alignment/>
    </xf>
    <xf numFmtId="0" fontId="0" fillId="0" borderId="39" xfId="0" applyFont="1" applyFill="1" applyBorder="1" applyAlignment="1">
      <alignment horizontal="center"/>
    </xf>
    <xf numFmtId="0" fontId="0" fillId="0" borderId="39" xfId="0" applyFont="1" applyBorder="1" applyAlignment="1">
      <alignment horizontal="center"/>
    </xf>
    <xf numFmtId="0" fontId="0" fillId="0" borderId="39" xfId="0" applyFont="1" applyBorder="1" applyAlignment="1">
      <alignment/>
    </xf>
    <xf numFmtId="43" fontId="0" fillId="0" borderId="0" xfId="52" applyFont="1" applyAlignment="1">
      <alignment/>
    </xf>
    <xf numFmtId="0" fontId="0" fillId="0" borderId="0" xfId="0" applyFont="1" applyAlignment="1">
      <alignment/>
    </xf>
    <xf numFmtId="0" fontId="0" fillId="0" borderId="42" xfId="0" applyFont="1" applyFill="1" applyBorder="1" applyAlignment="1">
      <alignment/>
    </xf>
    <xf numFmtId="182" fontId="0" fillId="0" borderId="39" xfId="52" applyNumberFormat="1" applyFont="1" applyFill="1" applyBorder="1" applyAlignment="1">
      <alignment/>
    </xf>
    <xf numFmtId="182" fontId="0" fillId="0" borderId="39" xfId="52" applyNumberFormat="1" applyFont="1" applyBorder="1" applyAlignment="1">
      <alignment/>
    </xf>
    <xf numFmtId="0" fontId="0" fillId="22" borderId="39" xfId="0" applyFont="1" applyFill="1" applyBorder="1" applyAlignment="1">
      <alignment wrapText="1"/>
    </xf>
    <xf numFmtId="181" fontId="0" fillId="0" borderId="39" xfId="52" applyNumberFormat="1" applyFont="1" applyFill="1" applyBorder="1" applyAlignment="1">
      <alignment/>
    </xf>
    <xf numFmtId="181" fontId="0" fillId="0" borderId="39" xfId="52" applyNumberFormat="1" applyFont="1" applyBorder="1" applyAlignment="1">
      <alignment/>
    </xf>
    <xf numFmtId="0" fontId="0" fillId="23" borderId="39" xfId="0" applyFont="1" applyFill="1" applyBorder="1" applyAlignment="1">
      <alignment wrapText="1"/>
    </xf>
    <xf numFmtId="0" fontId="0" fillId="24" borderId="39" xfId="0" applyFont="1" applyFill="1" applyBorder="1" applyAlignment="1">
      <alignment wrapText="1"/>
    </xf>
    <xf numFmtId="0" fontId="0" fillId="25" borderId="39" xfId="0" applyFont="1" applyFill="1" applyBorder="1" applyAlignment="1">
      <alignment wrapText="1"/>
    </xf>
    <xf numFmtId="0" fontId="1" fillId="0" borderId="42" xfId="0" applyFont="1" applyFill="1" applyBorder="1" applyAlignment="1">
      <alignment/>
    </xf>
    <xf numFmtId="0" fontId="0" fillId="25" borderId="39" xfId="0" applyFont="1" applyFill="1" applyBorder="1" applyAlignment="1">
      <alignment wrapText="1"/>
    </xf>
    <xf numFmtId="43" fontId="0" fillId="0" borderId="39" xfId="52" applyFont="1" applyFill="1" applyBorder="1" applyAlignment="1">
      <alignment/>
    </xf>
    <xf numFmtId="181" fontId="0" fillId="25" borderId="39" xfId="0" applyNumberFormat="1" applyFont="1" applyFill="1" applyBorder="1" applyAlignment="1">
      <alignment wrapText="1"/>
    </xf>
    <xf numFmtId="0" fontId="0" fillId="0" borderId="42" xfId="0" applyFont="1" applyFill="1" applyBorder="1" applyAlignment="1">
      <alignment/>
    </xf>
    <xf numFmtId="0" fontId="0" fillId="26" borderId="39" xfId="0" applyFont="1" applyFill="1" applyBorder="1" applyAlignment="1">
      <alignment wrapText="1"/>
    </xf>
    <xf numFmtId="0" fontId="0" fillId="21" borderId="39" xfId="0" applyFont="1" applyFill="1" applyBorder="1" applyAlignment="1">
      <alignment wrapText="1"/>
    </xf>
    <xf numFmtId="0" fontId="0" fillId="0" borderId="39" xfId="0" applyFont="1" applyFill="1" applyBorder="1" applyAlignment="1">
      <alignment wrapText="1"/>
    </xf>
    <xf numFmtId="0" fontId="0" fillId="0" borderId="39" xfId="0" applyFont="1" applyFill="1" applyBorder="1" applyAlignment="1">
      <alignment/>
    </xf>
    <xf numFmtId="0" fontId="1" fillId="0" borderId="43" xfId="0" applyFont="1" applyFill="1" applyBorder="1" applyAlignment="1">
      <alignment/>
    </xf>
    <xf numFmtId="181" fontId="1" fillId="0" borderId="44" xfId="52" applyNumberFormat="1" applyFont="1" applyFill="1" applyBorder="1" applyAlignment="1">
      <alignment/>
    </xf>
    <xf numFmtId="0" fontId="0" fillId="29" borderId="44" xfId="0" applyFont="1" applyFill="1" applyBorder="1" applyAlignment="1">
      <alignment/>
    </xf>
    <xf numFmtId="43" fontId="0" fillId="29" borderId="0" xfId="52" applyFont="1" applyFill="1" applyAlignment="1">
      <alignment/>
    </xf>
    <xf numFmtId="0" fontId="0" fillId="29" borderId="0" xfId="0" applyFont="1" applyFill="1" applyAlignment="1">
      <alignment/>
    </xf>
    <xf numFmtId="0" fontId="0" fillId="0" borderId="0" xfId="0" applyFont="1" applyFill="1" applyAlignment="1">
      <alignment/>
    </xf>
    <xf numFmtId="181" fontId="1" fillId="0" borderId="0" xfId="52" applyNumberFormat="1" applyFont="1" applyFill="1" applyAlignment="1">
      <alignment/>
    </xf>
    <xf numFmtId="10" fontId="1" fillId="0" borderId="0" xfId="58" applyNumberFormat="1" applyFont="1" applyFill="1" applyAlignment="1">
      <alignment/>
    </xf>
    <xf numFmtId="10" fontId="1" fillId="0" borderId="0" xfId="58" applyNumberFormat="1" applyFont="1" applyAlignment="1">
      <alignment/>
    </xf>
    <xf numFmtId="0" fontId="9" fillId="0" borderId="40" xfId="0" applyFont="1" applyFill="1" applyBorder="1" applyAlignment="1">
      <alignment/>
    </xf>
    <xf numFmtId="181" fontId="1" fillId="0" borderId="41" xfId="52" applyNumberFormat="1" applyFont="1" applyFill="1" applyBorder="1" applyAlignment="1">
      <alignment/>
    </xf>
    <xf numFmtId="181" fontId="1" fillId="0" borderId="41" xfId="52" applyNumberFormat="1" applyFont="1" applyFill="1" applyBorder="1" applyAlignment="1">
      <alignment horizontal="center"/>
    </xf>
    <xf numFmtId="0" fontId="0" fillId="0" borderId="41" xfId="0" applyFont="1" applyFill="1" applyBorder="1" applyAlignment="1">
      <alignment wrapText="1"/>
    </xf>
    <xf numFmtId="0" fontId="0" fillId="0" borderId="41" xfId="0" applyFont="1" applyBorder="1" applyAlignment="1">
      <alignment wrapText="1"/>
    </xf>
    <xf numFmtId="0" fontId="0" fillId="0" borderId="39" xfId="0" applyFont="1" applyFill="1" applyBorder="1" applyAlignment="1">
      <alignment horizontal="center"/>
    </xf>
    <xf numFmtId="182" fontId="0" fillId="0" borderId="39" xfId="52" applyNumberFormat="1" applyFont="1" applyFill="1" applyBorder="1" applyAlignment="1">
      <alignment/>
    </xf>
    <xf numFmtId="181" fontId="0" fillId="0" borderId="49" xfId="52" applyNumberFormat="1" applyFont="1" applyFill="1" applyBorder="1" applyAlignment="1">
      <alignment/>
    </xf>
    <xf numFmtId="182" fontId="0" fillId="0" borderId="49" xfId="52" applyNumberFormat="1" applyFont="1" applyFill="1" applyBorder="1" applyAlignment="1">
      <alignment/>
    </xf>
    <xf numFmtId="0" fontId="0" fillId="0" borderId="49" xfId="0" applyFont="1" applyBorder="1" applyAlignment="1">
      <alignment/>
    </xf>
    <xf numFmtId="181" fontId="0" fillId="0" borderId="44" xfId="52" applyNumberFormat="1" applyFont="1" applyFill="1" applyBorder="1" applyAlignment="1">
      <alignment/>
    </xf>
    <xf numFmtId="182" fontId="1" fillId="0" borderId="44" xfId="52" applyNumberFormat="1" applyFont="1" applyFill="1" applyBorder="1" applyAlignment="1">
      <alignment/>
    </xf>
    <xf numFmtId="181" fontId="0" fillId="0" borderId="0" xfId="52" applyNumberFormat="1" applyFont="1" applyFill="1" applyAlignment="1">
      <alignment/>
    </xf>
    <xf numFmtId="193" fontId="0" fillId="0" borderId="0" xfId="0" applyNumberFormat="1" applyFont="1" applyAlignment="1">
      <alignment/>
    </xf>
    <xf numFmtId="0" fontId="1" fillId="0" borderId="40" xfId="0" applyFont="1" applyFill="1" applyBorder="1" applyAlignment="1">
      <alignment/>
    </xf>
    <xf numFmtId="181" fontId="0" fillId="0" borderId="41" xfId="52" applyNumberFormat="1" applyFont="1" applyFill="1" applyBorder="1" applyAlignment="1">
      <alignment/>
    </xf>
    <xf numFmtId="0" fontId="1" fillId="0" borderId="41" xfId="0" applyFont="1" applyFill="1" applyBorder="1" applyAlignment="1">
      <alignment horizontal="center" wrapText="1"/>
    </xf>
    <xf numFmtId="0" fontId="1" fillId="0" borderId="41" xfId="0" applyFont="1" applyBorder="1" applyAlignment="1">
      <alignment horizontal="center" wrapText="1"/>
    </xf>
    <xf numFmtId="0" fontId="0" fillId="22" borderId="39" xfId="0" applyFont="1" applyFill="1" applyBorder="1" applyAlignment="1">
      <alignment/>
    </xf>
    <xf numFmtId="0" fontId="0" fillId="27" borderId="39" xfId="0" applyFont="1" applyFill="1" applyBorder="1" applyAlignment="1">
      <alignment/>
    </xf>
    <xf numFmtId="0" fontId="0" fillId="26" borderId="39" xfId="0" applyFont="1" applyFill="1" applyBorder="1" applyAlignment="1">
      <alignment/>
    </xf>
    <xf numFmtId="0" fontId="0" fillId="20" borderId="39" xfId="0" applyFont="1" applyFill="1" applyBorder="1" applyAlignment="1">
      <alignment/>
    </xf>
    <xf numFmtId="0" fontId="0" fillId="26" borderId="49" xfId="0" applyFont="1" applyFill="1" applyBorder="1" applyAlignment="1">
      <alignment/>
    </xf>
    <xf numFmtId="0" fontId="1" fillId="29" borderId="44" xfId="0" applyFont="1" applyFill="1" applyBorder="1" applyAlignment="1">
      <alignment/>
    </xf>
    <xf numFmtId="0" fontId="1" fillId="0" borderId="0" xfId="0" applyFont="1" applyFill="1" applyAlignment="1">
      <alignment/>
    </xf>
    <xf numFmtId="0" fontId="0" fillId="0" borderId="41" xfId="0" applyFont="1" applyFill="1" applyBorder="1" applyAlignment="1">
      <alignment horizontal="center" wrapText="1"/>
    </xf>
    <xf numFmtId="0" fontId="0" fillId="0" borderId="41" xfId="0" applyFont="1" applyBorder="1" applyAlignment="1">
      <alignment horizontal="center" wrapText="1"/>
    </xf>
    <xf numFmtId="0" fontId="0" fillId="29" borderId="39" xfId="0" applyFont="1" applyFill="1" applyBorder="1" applyAlignment="1">
      <alignment/>
    </xf>
    <xf numFmtId="0" fontId="0" fillId="0" borderId="44" xfId="0" applyFont="1" applyBorder="1" applyAlignment="1">
      <alignment/>
    </xf>
    <xf numFmtId="0" fontId="0" fillId="0" borderId="39" xfId="0" applyFont="1" applyBorder="1" applyAlignment="1">
      <alignment wrapText="1"/>
    </xf>
    <xf numFmtId="0" fontId="0" fillId="0" borderId="48" xfId="0" applyFont="1" applyFill="1" applyBorder="1" applyAlignment="1">
      <alignment/>
    </xf>
    <xf numFmtId="0" fontId="0" fillId="0" borderId="49" xfId="0" applyFont="1" applyFill="1" applyBorder="1" applyAlignment="1">
      <alignment/>
    </xf>
    <xf numFmtId="0" fontId="0" fillId="0" borderId="49" xfId="0" applyFont="1" applyBorder="1" applyAlignment="1">
      <alignment wrapText="1"/>
    </xf>
    <xf numFmtId="0" fontId="0" fillId="0" borderId="44" xfId="0" applyFont="1" applyFill="1" applyBorder="1" applyAlignment="1">
      <alignment/>
    </xf>
    <xf numFmtId="181" fontId="1" fillId="0" borderId="44" xfId="0" applyNumberFormat="1" applyFont="1" applyFill="1" applyBorder="1" applyAlignment="1">
      <alignment/>
    </xf>
    <xf numFmtId="0" fontId="0" fillId="29" borderId="44" xfId="0" applyFont="1" applyFill="1" applyBorder="1" applyAlignment="1">
      <alignment wrapText="1"/>
    </xf>
    <xf numFmtId="0" fontId="0" fillId="0" borderId="41" xfId="0" applyFont="1" applyFill="1" applyBorder="1" applyAlignment="1">
      <alignment/>
    </xf>
    <xf numFmtId="181" fontId="0" fillId="0" borderId="41" xfId="0" applyNumberFormat="1" applyFont="1" applyFill="1" applyBorder="1" applyAlignment="1">
      <alignment/>
    </xf>
    <xf numFmtId="0" fontId="0" fillId="0" borderId="39" xfId="0" applyFont="1" applyBorder="1" applyAlignment="1">
      <alignment horizontal="justify" wrapText="1"/>
    </xf>
    <xf numFmtId="43" fontId="1" fillId="0" borderId="44" xfId="52" applyFont="1" applyFill="1" applyBorder="1" applyAlignment="1">
      <alignment/>
    </xf>
    <xf numFmtId="43" fontId="0" fillId="0" borderId="39" xfId="52" applyNumberFormat="1" applyFont="1" applyFill="1" applyBorder="1" applyAlignment="1">
      <alignment/>
    </xf>
    <xf numFmtId="0" fontId="0" fillId="29" borderId="39" xfId="0" applyFont="1" applyFill="1" applyBorder="1" applyAlignment="1">
      <alignment horizontal="justify" wrapText="1"/>
    </xf>
    <xf numFmtId="0" fontId="1" fillId="29" borderId="39" xfId="0" applyFont="1" applyFill="1" applyBorder="1" applyAlignment="1">
      <alignment horizontal="justify" wrapText="1"/>
    </xf>
    <xf numFmtId="181" fontId="0" fillId="0" borderId="0" xfId="0" applyNumberFormat="1" applyFont="1" applyFill="1" applyAlignment="1">
      <alignment/>
    </xf>
    <xf numFmtId="0" fontId="1" fillId="0" borderId="39" xfId="0" applyFont="1" applyBorder="1" applyAlignment="1">
      <alignment horizontal="justify" wrapText="1"/>
    </xf>
    <xf numFmtId="0" fontId="0" fillId="0" borderId="51" xfId="0" applyFont="1" applyFill="1" applyBorder="1" applyAlignment="1">
      <alignment/>
    </xf>
    <xf numFmtId="0" fontId="1" fillId="0" borderId="0" xfId="0" applyFont="1" applyFill="1" applyBorder="1" applyAlignment="1">
      <alignment/>
    </xf>
    <xf numFmtId="181" fontId="0" fillId="0" borderId="0" xfId="52" applyNumberFormat="1" applyFont="1" applyFill="1" applyBorder="1" applyAlignment="1">
      <alignment/>
    </xf>
    <xf numFmtId="181" fontId="1" fillId="0" borderId="0" xfId="52" applyNumberFormat="1" applyFont="1" applyFill="1" applyBorder="1" applyAlignment="1">
      <alignment/>
    </xf>
    <xf numFmtId="0" fontId="0" fillId="0" borderId="0" xfId="0" applyFont="1" applyBorder="1" applyAlignment="1">
      <alignment horizontal="justify" wrapText="1"/>
    </xf>
    <xf numFmtId="181" fontId="1" fillId="0" borderId="0" xfId="0" applyNumberFormat="1" applyFont="1" applyFill="1" applyAlignment="1">
      <alignment/>
    </xf>
    <xf numFmtId="43" fontId="1" fillId="0" borderId="44" xfId="52" applyNumberFormat="1" applyFont="1" applyFill="1" applyBorder="1" applyAlignment="1">
      <alignment/>
    </xf>
    <xf numFmtId="0" fontId="0" fillId="29" borderId="44" xfId="0" applyFont="1" applyFill="1" applyBorder="1" applyAlignment="1">
      <alignment horizontal="justify" wrapText="1"/>
    </xf>
    <xf numFmtId="0" fontId="1" fillId="0" borderId="51" xfId="0" applyFont="1" applyFill="1" applyBorder="1" applyAlignment="1">
      <alignment/>
    </xf>
    <xf numFmtId="181" fontId="0" fillId="0" borderId="62" xfId="52" applyNumberFormat="1" applyFont="1" applyFill="1" applyBorder="1" applyAlignment="1">
      <alignment/>
    </xf>
    <xf numFmtId="181" fontId="1" fillId="0" borderId="62" xfId="52" applyNumberFormat="1" applyFont="1" applyFill="1" applyBorder="1" applyAlignment="1">
      <alignment/>
    </xf>
    <xf numFmtId="43" fontId="1" fillId="0" borderId="62" xfId="52" applyNumberFormat="1" applyFont="1" applyFill="1" applyBorder="1" applyAlignment="1">
      <alignment/>
    </xf>
    <xf numFmtId="0" fontId="0" fillId="29" borderId="62" xfId="0" applyFont="1" applyFill="1" applyBorder="1" applyAlignment="1">
      <alignment horizontal="justify" wrapText="1"/>
    </xf>
    <xf numFmtId="0" fontId="0" fillId="0" borderId="41" xfId="0" applyFont="1" applyBorder="1" applyAlignment="1">
      <alignment horizontal="justify" wrapText="1"/>
    </xf>
    <xf numFmtId="181" fontId="1" fillId="0" borderId="39" xfId="0" applyNumberFormat="1" applyFont="1" applyFill="1" applyBorder="1" applyAlignment="1">
      <alignment/>
    </xf>
    <xf numFmtId="181" fontId="0" fillId="0" borderId="39" xfId="0" applyNumberFormat="1" applyFont="1" applyFill="1" applyBorder="1" applyAlignment="1">
      <alignment/>
    </xf>
    <xf numFmtId="181" fontId="0" fillId="0" borderId="49" xfId="0" applyNumberFormat="1" applyFont="1" applyFill="1" applyBorder="1" applyAlignment="1">
      <alignment/>
    </xf>
    <xf numFmtId="0" fontId="0" fillId="0" borderId="49" xfId="0" applyFont="1" applyBorder="1" applyAlignment="1">
      <alignment horizontal="justify" wrapText="1"/>
    </xf>
    <xf numFmtId="181" fontId="1" fillId="29" borderId="39" xfId="0" applyNumberFormat="1" applyFont="1" applyFill="1" applyBorder="1" applyAlignment="1">
      <alignment/>
    </xf>
    <xf numFmtId="0" fontId="0" fillId="0" borderId="0" xfId="0" applyFont="1" applyFill="1" applyBorder="1" applyAlignment="1">
      <alignment/>
    </xf>
    <xf numFmtId="181" fontId="1" fillId="0" borderId="0" xfId="0" applyNumberFormat="1" applyFont="1" applyFill="1" applyBorder="1" applyAlignment="1">
      <alignment/>
    </xf>
    <xf numFmtId="43" fontId="0" fillId="0" borderId="39" xfId="0" applyNumberFormat="1" applyFont="1" applyFill="1" applyBorder="1" applyAlignment="1">
      <alignment/>
    </xf>
    <xf numFmtId="43" fontId="0" fillId="0" borderId="41" xfId="52" applyFont="1" applyFill="1" applyBorder="1" applyAlignment="1">
      <alignment/>
    </xf>
    <xf numFmtId="43" fontId="0" fillId="0" borderId="41" xfId="52" applyFont="1" applyBorder="1" applyAlignment="1">
      <alignment/>
    </xf>
    <xf numFmtId="181" fontId="1" fillId="0" borderId="0" xfId="0" applyNumberFormat="1" applyFont="1" applyFill="1" applyBorder="1" applyAlignment="1">
      <alignment horizontal="center"/>
    </xf>
    <xf numFmtId="181" fontId="1" fillId="0" borderId="41" xfId="0" applyNumberFormat="1" applyFont="1" applyFill="1" applyBorder="1" applyAlignment="1">
      <alignment/>
    </xf>
    <xf numFmtId="0" fontId="0" fillId="0" borderId="43" xfId="0" applyFont="1" applyFill="1" applyBorder="1" applyAlignment="1">
      <alignment/>
    </xf>
    <xf numFmtId="43" fontId="1" fillId="0" borderId="44" xfId="0" applyNumberFormat="1" applyFont="1" applyFill="1" applyBorder="1" applyAlignment="1">
      <alignment/>
    </xf>
    <xf numFmtId="0" fontId="0" fillId="0" borderId="44" xfId="0" applyFont="1" applyBorder="1" applyAlignment="1">
      <alignment wrapText="1"/>
    </xf>
    <xf numFmtId="0" fontId="0" fillId="0" borderId="47" xfId="0" applyFont="1" applyFill="1" applyBorder="1" applyAlignment="1">
      <alignment/>
    </xf>
    <xf numFmtId="0" fontId="0" fillId="0" borderId="46" xfId="0" applyFont="1" applyFill="1" applyBorder="1" applyAlignment="1">
      <alignment/>
    </xf>
    <xf numFmtId="181" fontId="0" fillId="0" borderId="46" xfId="52" applyNumberFormat="1" applyFont="1" applyFill="1" applyBorder="1" applyAlignment="1">
      <alignment/>
    </xf>
    <xf numFmtId="181" fontId="0" fillId="0" borderId="46" xfId="52" applyNumberFormat="1" applyFont="1" applyBorder="1" applyAlignment="1">
      <alignment/>
    </xf>
    <xf numFmtId="0" fontId="0" fillId="0" borderId="46" xfId="0" applyFont="1" applyBorder="1" applyAlignment="1">
      <alignment wrapText="1"/>
    </xf>
    <xf numFmtId="10" fontId="0" fillId="0" borderId="41" xfId="58" applyNumberFormat="1" applyFont="1" applyFill="1" applyBorder="1" applyAlignment="1">
      <alignment/>
    </xf>
    <xf numFmtId="10" fontId="0" fillId="0" borderId="41" xfId="58" applyNumberFormat="1" applyFont="1" applyBorder="1" applyAlignment="1">
      <alignment/>
    </xf>
    <xf numFmtId="0" fontId="0" fillId="0" borderId="0" xfId="0" applyFont="1" applyAlignment="1">
      <alignment wrapText="1"/>
    </xf>
    <xf numFmtId="43" fontId="0" fillId="0" borderId="49" xfId="52" applyFont="1" applyFill="1" applyBorder="1" applyAlignment="1">
      <alignment/>
    </xf>
    <xf numFmtId="43" fontId="1" fillId="0" borderId="0" xfId="0" applyNumberFormat="1" applyFont="1" applyFill="1" applyBorder="1" applyAlignment="1">
      <alignment/>
    </xf>
    <xf numFmtId="0" fontId="0" fillId="0" borderId="0" xfId="0" applyFont="1" applyBorder="1" applyAlignment="1">
      <alignment wrapText="1"/>
    </xf>
    <xf numFmtId="43" fontId="1" fillId="0" borderId="0" xfId="0" applyNumberFormat="1" applyFont="1" applyFill="1" applyAlignment="1">
      <alignment/>
    </xf>
    <xf numFmtId="43" fontId="0" fillId="0" borderId="0" xfId="52" applyFont="1" applyAlignment="1">
      <alignment wrapText="1"/>
    </xf>
    <xf numFmtId="43" fontId="0" fillId="0" borderId="0" xfId="52" applyFont="1" applyFill="1" applyAlignment="1">
      <alignment/>
    </xf>
    <xf numFmtId="43" fontId="0" fillId="0" borderId="0" xfId="52" applyNumberFormat="1" applyFont="1" applyFill="1" applyAlignment="1">
      <alignment/>
    </xf>
    <xf numFmtId="43" fontId="0" fillId="0" borderId="0" xfId="0" applyNumberFormat="1" applyFont="1" applyFill="1" applyAlignment="1">
      <alignment/>
    </xf>
    <xf numFmtId="0" fontId="0" fillId="0" borderId="0" xfId="0" applyFont="1" applyBorder="1" applyAlignment="1">
      <alignment/>
    </xf>
    <xf numFmtId="41" fontId="1" fillId="0" borderId="0" xfId="0" applyNumberFormat="1" applyFont="1" applyBorder="1" applyAlignment="1">
      <alignment/>
    </xf>
    <xf numFmtId="182" fontId="31" fillId="0" borderId="39" xfId="52" applyNumberFormat="1" applyFont="1" applyFill="1" applyBorder="1" applyAlignment="1">
      <alignment/>
    </xf>
    <xf numFmtId="182" fontId="31" fillId="0" borderId="49" xfId="52" applyNumberFormat="1" applyFont="1" applyFill="1" applyBorder="1" applyAlignment="1">
      <alignment/>
    </xf>
    <xf numFmtId="182" fontId="0" fillId="0" borderId="39" xfId="52" applyNumberFormat="1" applyFont="1" applyFill="1" applyBorder="1" applyAlignment="1">
      <alignment/>
    </xf>
    <xf numFmtId="181" fontId="14" fillId="0" borderId="39" xfId="52" applyNumberFormat="1" applyFont="1" applyFill="1" applyBorder="1" applyAlignment="1">
      <alignment/>
    </xf>
    <xf numFmtId="181" fontId="31" fillId="0" borderId="39" xfId="52" applyNumberFormat="1" applyFont="1" applyFill="1" applyBorder="1" applyAlignment="1">
      <alignment/>
    </xf>
    <xf numFmtId="181" fontId="0" fillId="0" borderId="41" xfId="0" applyNumberFormat="1" applyFont="1" applyBorder="1" applyAlignment="1">
      <alignment wrapText="1"/>
    </xf>
    <xf numFmtId="0" fontId="0" fillId="0" borderId="18" xfId="0" applyFont="1" applyBorder="1" applyAlignment="1">
      <alignment horizontal="center" wrapText="1"/>
    </xf>
    <xf numFmtId="188" fontId="0" fillId="0" borderId="18" xfId="0" applyNumberFormat="1" applyFont="1" applyBorder="1" applyAlignment="1">
      <alignment/>
    </xf>
    <xf numFmtId="188" fontId="0" fillId="0" borderId="21" xfId="0" applyNumberFormat="1" applyFont="1" applyBorder="1" applyAlignment="1">
      <alignment/>
    </xf>
    <xf numFmtId="188" fontId="1" fillId="0" borderId="15" xfId="0" applyNumberFormat="1" applyFont="1" applyBorder="1" applyAlignment="1">
      <alignment/>
    </xf>
    <xf numFmtId="188" fontId="0" fillId="0" borderId="0" xfId="52" applyNumberFormat="1" applyFont="1" applyAlignment="1">
      <alignment/>
    </xf>
    <xf numFmtId="188" fontId="31" fillId="0" borderId="18" xfId="0" applyNumberFormat="1" applyFont="1" applyBorder="1" applyAlignment="1">
      <alignment/>
    </xf>
    <xf numFmtId="0" fontId="0" fillId="0" borderId="18" xfId="0" applyFont="1" applyBorder="1" applyAlignment="1">
      <alignment horizontal="justify" vertical="justify" wrapText="1"/>
    </xf>
    <xf numFmtId="0" fontId="0" fillId="0" borderId="18" xfId="0" applyFont="1" applyBorder="1" applyAlignment="1">
      <alignment horizontal="center" wrapText="1"/>
    </xf>
    <xf numFmtId="0" fontId="11" fillId="0" borderId="18" xfId="0" applyFont="1" applyBorder="1" applyAlignment="1">
      <alignment horizontal="justify" vertical="justify" wrapText="1"/>
    </xf>
    <xf numFmtId="43" fontId="0" fillId="0" borderId="18" xfId="52" applyFont="1" applyBorder="1" applyAlignment="1">
      <alignment/>
    </xf>
    <xf numFmtId="0" fontId="32" fillId="0" borderId="18" xfId="0" applyFont="1" applyBorder="1" applyAlignment="1">
      <alignment wrapText="1"/>
    </xf>
    <xf numFmtId="16" fontId="32" fillId="0" borderId="18" xfId="0" applyNumberFormat="1" applyFont="1" applyBorder="1" applyAlignment="1">
      <alignment wrapText="1"/>
    </xf>
    <xf numFmtId="186" fontId="0" fillId="0" borderId="0" xfId="0" applyNumberFormat="1" applyFont="1" applyAlignment="1">
      <alignment/>
    </xf>
    <xf numFmtId="186" fontId="0" fillId="0" borderId="18" xfId="0" applyNumberFormat="1" applyFont="1" applyBorder="1" applyAlignment="1">
      <alignment/>
    </xf>
    <xf numFmtId="41" fontId="31" fillId="0" borderId="21" xfId="53" applyNumberFormat="1" applyFont="1" applyBorder="1" applyAlignment="1">
      <alignment/>
    </xf>
    <xf numFmtId="184" fontId="0" fillId="0" borderId="18" xfId="52" applyNumberFormat="1" applyFont="1" applyBorder="1" applyAlignment="1">
      <alignment/>
    </xf>
    <xf numFmtId="41" fontId="0" fillId="0" borderId="18" xfId="53" applyFont="1" applyBorder="1" applyAlignment="1">
      <alignment/>
    </xf>
    <xf numFmtId="184" fontId="5" fillId="0" borderId="0" xfId="52" applyNumberFormat="1" applyFont="1" applyAlignment="1">
      <alignment/>
    </xf>
    <xf numFmtId="184" fontId="31" fillId="0" borderId="0" xfId="52" applyNumberFormat="1" applyFont="1" applyAlignment="1">
      <alignment/>
    </xf>
    <xf numFmtId="181" fontId="14" fillId="0" borderId="15" xfId="0" applyNumberFormat="1" applyFont="1" applyBorder="1" applyAlignment="1">
      <alignment/>
    </xf>
    <xf numFmtId="0" fontId="0" fillId="0" borderId="20" xfId="0" applyFont="1" applyBorder="1" applyAlignment="1">
      <alignment horizontal="center" wrapText="1"/>
    </xf>
    <xf numFmtId="198" fontId="0" fillId="0" borderId="0" xfId="52" applyNumberFormat="1" applyFont="1" applyAlignment="1">
      <alignment/>
    </xf>
    <xf numFmtId="192" fontId="0" fillId="0" borderId="18" xfId="0" applyNumberFormat="1" applyFont="1" applyBorder="1" applyAlignment="1">
      <alignment/>
    </xf>
    <xf numFmtId="188" fontId="1" fillId="0" borderId="18" xfId="0" applyNumberFormat="1" applyFont="1" applyBorder="1" applyAlignment="1">
      <alignment/>
    </xf>
    <xf numFmtId="198" fontId="0" fillId="0" borderId="0" xfId="52" applyNumberFormat="1" applyFont="1" applyAlignment="1">
      <alignment/>
    </xf>
    <xf numFmtId="0" fontId="0" fillId="0" borderId="50" xfId="0" applyFont="1" applyBorder="1" applyAlignment="1">
      <alignment/>
    </xf>
    <xf numFmtId="0" fontId="0" fillId="0" borderId="50" xfId="0" applyFont="1" applyBorder="1" applyAlignment="1">
      <alignment horizontal="justify" wrapText="1"/>
    </xf>
    <xf numFmtId="0" fontId="0" fillId="0" borderId="50" xfId="0" applyFont="1" applyBorder="1" applyAlignment="1">
      <alignment horizontal="center"/>
    </xf>
    <xf numFmtId="9" fontId="0" fillId="0" borderId="50" xfId="58" applyFont="1" applyBorder="1" applyAlignment="1">
      <alignment horizontal="center"/>
    </xf>
    <xf numFmtId="0" fontId="5" fillId="0" borderId="50" xfId="0" applyFont="1" applyBorder="1" applyAlignment="1">
      <alignment wrapText="1"/>
    </xf>
    <xf numFmtId="0" fontId="0" fillId="0" borderId="0" xfId="0" applyFont="1" applyBorder="1" applyAlignment="1">
      <alignment wrapText="1"/>
    </xf>
    <xf numFmtId="41" fontId="0" fillId="0" borderId="0" xfId="53" applyFont="1" applyBorder="1" applyAlignment="1">
      <alignment/>
    </xf>
    <xf numFmtId="43" fontId="1" fillId="0" borderId="0" xfId="52" applyFont="1" applyAlignment="1">
      <alignment wrapText="1"/>
    </xf>
    <xf numFmtId="43" fontId="0" fillId="0" borderId="0" xfId="52" applyFont="1" applyAlignment="1">
      <alignment/>
    </xf>
    <xf numFmtId="181" fontId="0" fillId="0" borderId="0" xfId="52" applyNumberFormat="1" applyFont="1" applyAlignment="1">
      <alignment/>
    </xf>
    <xf numFmtId="181" fontId="0" fillId="0" borderId="13" xfId="52" applyNumberFormat="1" applyFont="1" applyBorder="1" applyAlignment="1">
      <alignment horizontal="center" vertical="center" wrapText="1"/>
    </xf>
    <xf numFmtId="181" fontId="1" fillId="0" borderId="16" xfId="52" applyNumberFormat="1" applyFont="1" applyBorder="1" applyAlignment="1">
      <alignment horizontal="center" vertical="center" textRotation="90" wrapText="1"/>
    </xf>
    <xf numFmtId="181" fontId="0" fillId="0" borderId="20" xfId="52" applyNumberFormat="1" applyFont="1" applyBorder="1" applyAlignment="1">
      <alignment/>
    </xf>
    <xf numFmtId="181" fontId="1" fillId="0" borderId="30" xfId="52" applyNumberFormat="1" applyFont="1" applyBorder="1" applyAlignment="1">
      <alignment horizontal="center" vertical="center" textRotation="90" wrapText="1"/>
    </xf>
    <xf numFmtId="181" fontId="0" fillId="0" borderId="0" xfId="52" applyNumberFormat="1" applyFont="1" applyBorder="1" applyAlignment="1">
      <alignment/>
    </xf>
    <xf numFmtId="181" fontId="1" fillId="0" borderId="0" xfId="52" applyNumberFormat="1" applyFont="1" applyBorder="1" applyAlignment="1">
      <alignment/>
    </xf>
    <xf numFmtId="0" fontId="5" fillId="0" borderId="18" xfId="0" applyFont="1" applyBorder="1" applyAlignment="1">
      <alignment horizontal="center" wrapText="1"/>
    </xf>
    <xf numFmtId="0" fontId="0" fillId="0" borderId="50" xfId="0" applyFont="1" applyBorder="1" applyAlignment="1">
      <alignment wrapText="1"/>
    </xf>
    <xf numFmtId="0" fontId="0" fillId="0" borderId="18" xfId="0" applyFont="1" applyBorder="1" applyAlignment="1">
      <alignment horizontal="justify" vertical="justify" wrapText="1"/>
    </xf>
    <xf numFmtId="0" fontId="0" fillId="0" borderId="21" xfId="0" applyFont="1" applyBorder="1" applyAlignment="1">
      <alignment/>
    </xf>
    <xf numFmtId="0" fontId="0" fillId="0" borderId="21" xfId="0" applyFont="1" applyBorder="1" applyAlignment="1">
      <alignment wrapText="1"/>
    </xf>
    <xf numFmtId="0" fontId="5" fillId="0" borderId="21" xfId="0" applyFont="1" applyBorder="1" applyAlignment="1">
      <alignment wrapText="1"/>
    </xf>
    <xf numFmtId="181" fontId="0" fillId="0" borderId="50" xfId="52" applyNumberFormat="1" applyFont="1" applyBorder="1" applyAlignment="1">
      <alignment/>
    </xf>
    <xf numFmtId="41" fontId="0" fillId="0" borderId="50" xfId="53" applyFont="1" applyBorder="1" applyAlignment="1">
      <alignment/>
    </xf>
    <xf numFmtId="41" fontId="0" fillId="0" borderId="50" xfId="53" applyFont="1" applyBorder="1" applyAlignment="1">
      <alignment horizontal="center" vertical="center" wrapText="1"/>
    </xf>
    <xf numFmtId="0" fontId="5" fillId="0" borderId="18" xfId="0" applyFont="1" applyBorder="1" applyAlignment="1">
      <alignment vertical="center" wrapText="1"/>
    </xf>
    <xf numFmtId="9" fontId="31" fillId="0" borderId="18" xfId="58" applyFont="1" applyBorder="1" applyAlignment="1">
      <alignment horizontal="center"/>
    </xf>
    <xf numFmtId="9" fontId="31" fillId="0" borderId="21" xfId="58" applyFont="1" applyBorder="1" applyAlignment="1">
      <alignment horizontal="center"/>
    </xf>
    <xf numFmtId="9" fontId="31" fillId="0" borderId="21" xfId="0" applyNumberFormat="1" applyFont="1" applyBorder="1" applyAlignment="1">
      <alignment horizontal="center"/>
    </xf>
    <xf numFmtId="9" fontId="31" fillId="0" borderId="20" xfId="0" applyNumberFormat="1" applyFont="1" applyBorder="1" applyAlignment="1">
      <alignment horizontal="center"/>
    </xf>
    <xf numFmtId="9" fontId="31" fillId="0" borderId="20" xfId="58" applyFont="1" applyBorder="1" applyAlignment="1">
      <alignment horizontal="center"/>
    </xf>
    <xf numFmtId="0" fontId="11" fillId="0" borderId="18" xfId="0" applyFont="1" applyBorder="1" applyAlignment="1">
      <alignment horizontal="center" vertical="center" wrapText="1"/>
    </xf>
    <xf numFmtId="9" fontId="31" fillId="0" borderId="18" xfId="0" applyNumberFormat="1" applyFont="1" applyBorder="1" applyAlignment="1">
      <alignment horizontal="center"/>
    </xf>
    <xf numFmtId="41" fontId="0" fillId="0" borderId="0" xfId="0" applyNumberFormat="1" applyFont="1" applyAlignment="1">
      <alignment/>
    </xf>
    <xf numFmtId="41" fontId="0" fillId="0" borderId="0" xfId="0" applyNumberFormat="1" applyFont="1" applyBorder="1" applyAlignment="1">
      <alignment horizontal="center" vertical="center" wrapText="1"/>
    </xf>
    <xf numFmtId="41" fontId="0" fillId="0" borderId="14" xfId="0" applyNumberFormat="1" applyFont="1" applyBorder="1" applyAlignment="1">
      <alignment horizontal="center" vertical="center" wrapText="1"/>
    </xf>
    <xf numFmtId="41" fontId="1" fillId="0" borderId="17" xfId="0" applyNumberFormat="1" applyFont="1" applyBorder="1" applyAlignment="1">
      <alignment horizontal="center" vertical="center" textRotation="90" wrapText="1"/>
    </xf>
    <xf numFmtId="41" fontId="1" fillId="0" borderId="63" xfId="0" applyNumberFormat="1" applyFont="1" applyBorder="1" applyAlignment="1">
      <alignment horizontal="center" vertical="center" textRotation="90" wrapText="1"/>
    </xf>
    <xf numFmtId="41" fontId="31" fillId="0" borderId="20" xfId="53" applyNumberFormat="1" applyFont="1" applyBorder="1" applyAlignment="1">
      <alignment/>
    </xf>
    <xf numFmtId="41" fontId="31" fillId="0" borderId="18" xfId="0" applyNumberFormat="1" applyFont="1" applyBorder="1" applyAlignment="1">
      <alignment/>
    </xf>
    <xf numFmtId="41" fontId="14" fillId="0" borderId="15" xfId="0" applyNumberFormat="1" applyFont="1" applyBorder="1" applyAlignment="1">
      <alignment/>
    </xf>
    <xf numFmtId="41" fontId="1" fillId="0" borderId="19" xfId="0" applyNumberFormat="1" applyFont="1" applyBorder="1" applyAlignment="1">
      <alignment horizontal="center" vertical="center" textRotation="90" wrapText="1"/>
    </xf>
    <xf numFmtId="41" fontId="1" fillId="0" borderId="33" xfId="0" applyNumberFormat="1" applyFont="1" applyBorder="1" applyAlignment="1">
      <alignment horizontal="center" vertical="center" textRotation="90" wrapText="1"/>
    </xf>
    <xf numFmtId="41" fontId="31" fillId="0" borderId="18" xfId="52" applyNumberFormat="1" applyFont="1" applyBorder="1" applyAlignment="1">
      <alignment/>
    </xf>
    <xf numFmtId="41" fontId="31" fillId="0" borderId="21" xfId="0" applyNumberFormat="1" applyFont="1" applyBorder="1" applyAlignment="1">
      <alignment/>
    </xf>
    <xf numFmtId="41" fontId="0" fillId="0" borderId="18" xfId="52" applyNumberFormat="1" applyFont="1" applyBorder="1" applyAlignment="1">
      <alignment/>
    </xf>
    <xf numFmtId="41" fontId="31" fillId="0" borderId="21" xfId="0" applyNumberFormat="1" applyFont="1" applyBorder="1" applyAlignment="1">
      <alignment/>
    </xf>
    <xf numFmtId="41" fontId="31" fillId="0" borderId="21" xfId="52" applyNumberFormat="1" applyFont="1" applyBorder="1" applyAlignment="1">
      <alignment/>
    </xf>
    <xf numFmtId="41" fontId="0" fillId="0" borderId="20" xfId="52" applyNumberFormat="1" applyFont="1" applyBorder="1" applyAlignment="1">
      <alignment/>
    </xf>
    <xf numFmtId="41" fontId="0" fillId="0" borderId="21" xfId="52" applyNumberFormat="1" applyFont="1" applyBorder="1" applyAlignment="1">
      <alignment/>
    </xf>
    <xf numFmtId="41" fontId="14" fillId="0" borderId="15" xfId="52" applyNumberFormat="1" applyFont="1" applyBorder="1" applyAlignment="1">
      <alignment/>
    </xf>
    <xf numFmtId="41" fontId="1" fillId="0" borderId="27" xfId="0" applyNumberFormat="1" applyFont="1" applyBorder="1" applyAlignment="1">
      <alignment horizontal="center" vertical="center" textRotation="90" wrapText="1"/>
    </xf>
    <xf numFmtId="41" fontId="1" fillId="0" borderId="25" xfId="0" applyNumberFormat="1" applyFont="1" applyBorder="1" applyAlignment="1">
      <alignment horizontal="center" vertical="center" textRotation="90" wrapText="1"/>
    </xf>
    <xf numFmtId="41" fontId="31" fillId="0" borderId="20" xfId="0" applyNumberFormat="1" applyFont="1" applyBorder="1" applyAlignment="1">
      <alignment/>
    </xf>
    <xf numFmtId="41" fontId="31" fillId="0" borderId="21" xfId="52" applyNumberFormat="1" applyFont="1" applyBorder="1" applyAlignment="1">
      <alignment/>
    </xf>
    <xf numFmtId="41" fontId="31" fillId="0" borderId="20" xfId="52" applyNumberFormat="1" applyFont="1" applyBorder="1" applyAlignment="1">
      <alignment/>
    </xf>
    <xf numFmtId="41" fontId="0" fillId="0" borderId="20" xfId="53" applyNumberFormat="1" applyFont="1" applyBorder="1" applyAlignment="1">
      <alignment/>
    </xf>
    <xf numFmtId="41" fontId="1" fillId="0" borderId="45" xfId="0" applyNumberFormat="1" applyFont="1" applyBorder="1" applyAlignment="1">
      <alignment horizontal="center" vertical="center" textRotation="90" wrapText="1"/>
    </xf>
    <xf numFmtId="41" fontId="31" fillId="0" borderId="18" xfId="53" applyNumberFormat="1" applyFont="1" applyBorder="1" applyAlignment="1">
      <alignment/>
    </xf>
    <xf numFmtId="41" fontId="1" fillId="0" borderId="12" xfId="0" applyNumberFormat="1" applyFont="1" applyBorder="1" applyAlignment="1">
      <alignment horizontal="center" vertical="center" textRotation="90" wrapText="1"/>
    </xf>
    <xf numFmtId="41" fontId="1" fillId="0" borderId="30" xfId="0" applyNumberFormat="1" applyFont="1" applyBorder="1" applyAlignment="1">
      <alignment horizontal="center" vertical="center" textRotation="90" wrapText="1"/>
    </xf>
    <xf numFmtId="41" fontId="14" fillId="0" borderId="15" xfId="0" applyNumberFormat="1" applyFont="1" applyBorder="1" applyAlignment="1">
      <alignment/>
    </xf>
    <xf numFmtId="41" fontId="1" fillId="0" borderId="15" xfId="52" applyNumberFormat="1" applyFont="1" applyBorder="1" applyAlignment="1">
      <alignment/>
    </xf>
    <xf numFmtId="41" fontId="0" fillId="0" borderId="28" xfId="52" applyNumberFormat="1" applyFont="1" applyBorder="1" applyAlignment="1">
      <alignment/>
    </xf>
    <xf numFmtId="41" fontId="31" fillId="0" borderId="28" xfId="52" applyNumberFormat="1" applyFont="1" applyBorder="1" applyAlignment="1">
      <alignment/>
    </xf>
    <xf numFmtId="41" fontId="14" fillId="0" borderId="15" xfId="53" applyNumberFormat="1" applyFont="1" applyBorder="1" applyAlignment="1">
      <alignment/>
    </xf>
    <xf numFmtId="41" fontId="33" fillId="0" borderId="18" xfId="53" applyNumberFormat="1" applyFont="1" applyBorder="1" applyAlignment="1">
      <alignment/>
    </xf>
    <xf numFmtId="41" fontId="0" fillId="0" borderId="50" xfId="52" applyNumberFormat="1" applyFont="1" applyBorder="1" applyAlignment="1">
      <alignment/>
    </xf>
    <xf numFmtId="41" fontId="31" fillId="0" borderId="50" xfId="52" applyNumberFormat="1" applyFont="1" applyBorder="1" applyAlignment="1">
      <alignment/>
    </xf>
    <xf numFmtId="41" fontId="0" fillId="0" borderId="0" xfId="0" applyNumberFormat="1" applyFont="1" applyBorder="1" applyAlignment="1">
      <alignment horizontal="center" vertical="center" wrapText="1"/>
    </xf>
    <xf numFmtId="41" fontId="0" fillId="0" borderId="14" xfId="0" applyNumberFormat="1" applyFont="1" applyBorder="1" applyAlignment="1">
      <alignment horizontal="center" vertical="center" wrapText="1"/>
    </xf>
    <xf numFmtId="41" fontId="1" fillId="0" borderId="27" xfId="0" applyNumberFormat="1" applyFont="1" applyBorder="1" applyAlignment="1">
      <alignment horizontal="center" vertical="center" textRotation="90" wrapText="1"/>
    </xf>
    <xf numFmtId="41" fontId="1" fillId="0" borderId="25" xfId="0" applyNumberFormat="1" applyFont="1" applyBorder="1" applyAlignment="1">
      <alignment horizontal="center" vertical="center" textRotation="90" wrapText="1"/>
    </xf>
    <xf numFmtId="41" fontId="1" fillId="0" borderId="19" xfId="0" applyNumberFormat="1" applyFont="1" applyBorder="1" applyAlignment="1">
      <alignment horizontal="center" vertical="center" textRotation="90" wrapText="1"/>
    </xf>
    <xf numFmtId="41" fontId="1" fillId="0" borderId="33" xfId="0" applyNumberFormat="1" applyFont="1" applyBorder="1" applyAlignment="1">
      <alignment horizontal="center" vertical="center" textRotation="90" wrapText="1"/>
    </xf>
    <xf numFmtId="41" fontId="0" fillId="0" borderId="0" xfId="52" applyNumberFormat="1" applyFont="1" applyAlignment="1">
      <alignment/>
    </xf>
    <xf numFmtId="41" fontId="1" fillId="0" borderId="45" xfId="0" applyNumberFormat="1" applyFont="1" applyBorder="1" applyAlignment="1">
      <alignment horizontal="center" vertical="center" textRotation="90" wrapText="1"/>
    </xf>
    <xf numFmtId="41" fontId="0" fillId="0" borderId="21" xfId="52" applyNumberFormat="1" applyFont="1" applyBorder="1" applyAlignment="1">
      <alignment/>
    </xf>
    <xf numFmtId="41" fontId="0" fillId="0" borderId="18" xfId="53" applyNumberFormat="1" applyFont="1" applyBorder="1" applyAlignment="1">
      <alignment/>
    </xf>
    <xf numFmtId="41" fontId="1" fillId="0" borderId="15" xfId="52" applyNumberFormat="1" applyFont="1" applyBorder="1" applyAlignment="1">
      <alignment/>
    </xf>
    <xf numFmtId="10" fontId="0" fillId="0" borderId="24" xfId="0" applyNumberFormat="1" applyFont="1" applyBorder="1" applyAlignment="1">
      <alignment horizontal="justify" vertical="justify" wrapText="1"/>
    </xf>
    <xf numFmtId="0" fontId="0" fillId="0" borderId="11" xfId="0" applyFont="1" applyBorder="1" applyAlignment="1">
      <alignment horizontal="left"/>
    </xf>
    <xf numFmtId="10" fontId="0" fillId="0" borderId="12" xfId="0" applyNumberFormat="1" applyFont="1" applyBorder="1" applyAlignment="1">
      <alignment horizontal="justify" vertical="justify" wrapText="1"/>
    </xf>
    <xf numFmtId="10" fontId="0" fillId="0" borderId="22" xfId="0" applyNumberFormat="1" applyFont="1" applyBorder="1" applyAlignment="1">
      <alignment horizontal="justify" vertical="justify" wrapText="1"/>
    </xf>
    <xf numFmtId="10" fontId="0" fillId="0" borderId="23" xfId="0" applyNumberFormat="1" applyFont="1" applyBorder="1" applyAlignment="1">
      <alignment horizontal="justify" vertical="justify" wrapText="1"/>
    </xf>
    <xf numFmtId="0" fontId="1" fillId="0" borderId="22"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0" fillId="0" borderId="24" xfId="0" applyFont="1" applyBorder="1" applyAlignment="1">
      <alignment/>
    </xf>
    <xf numFmtId="3" fontId="0" fillId="0" borderId="21" xfId="0" applyNumberFormat="1" applyFont="1" applyBorder="1" applyAlignment="1">
      <alignment horizontal="center"/>
    </xf>
    <xf numFmtId="41" fontId="0" fillId="0" borderId="20" xfId="53" applyNumberFormat="1" applyFont="1" applyBorder="1" applyAlignment="1">
      <alignment/>
    </xf>
    <xf numFmtId="41" fontId="0" fillId="0" borderId="18" xfId="52" applyNumberFormat="1" applyFont="1" applyBorder="1" applyAlignment="1">
      <alignment/>
    </xf>
    <xf numFmtId="3" fontId="0" fillId="0" borderId="18" xfId="0" applyNumberFormat="1" applyFont="1" applyBorder="1" applyAlignment="1">
      <alignment horizontal="center"/>
    </xf>
    <xf numFmtId="41" fontId="0" fillId="0" borderId="18" xfId="0" applyNumberFormat="1" applyFont="1" applyBorder="1" applyAlignment="1">
      <alignment/>
    </xf>
    <xf numFmtId="41" fontId="0" fillId="0" borderId="50" xfId="53" applyNumberFormat="1" applyFont="1" applyBorder="1" applyAlignment="1">
      <alignment/>
    </xf>
    <xf numFmtId="41" fontId="0" fillId="0" borderId="0" xfId="52" applyNumberFormat="1" applyFont="1" applyBorder="1" applyAlignment="1">
      <alignment/>
    </xf>
    <xf numFmtId="41" fontId="0" fillId="0" borderId="0" xfId="53" applyNumberFormat="1" applyFont="1" applyBorder="1" applyAlignment="1">
      <alignment/>
    </xf>
    <xf numFmtId="0" fontId="0" fillId="0" borderId="21" xfId="0" applyFont="1" applyBorder="1" applyAlignment="1">
      <alignment horizontal="center"/>
    </xf>
    <xf numFmtId="41" fontId="0" fillId="0" borderId="50" xfId="52" applyNumberFormat="1" applyFont="1" applyBorder="1" applyAlignment="1">
      <alignment/>
    </xf>
    <xf numFmtId="1" fontId="0" fillId="0" borderId="0" xfId="0" applyNumberFormat="1" applyFont="1" applyAlignment="1">
      <alignment horizontal="center"/>
    </xf>
    <xf numFmtId="1" fontId="0" fillId="0" borderId="20" xfId="53" applyNumberFormat="1" applyFont="1" applyBorder="1" applyAlignment="1">
      <alignment horizontal="center"/>
    </xf>
    <xf numFmtId="1" fontId="0" fillId="0" borderId="18" xfId="53" applyNumberFormat="1" applyFont="1" applyBorder="1" applyAlignment="1">
      <alignment horizontal="center"/>
    </xf>
    <xf numFmtId="1" fontId="0" fillId="0" borderId="18" xfId="0" applyNumberFormat="1" applyFont="1" applyBorder="1" applyAlignment="1">
      <alignment horizontal="center" wrapText="1"/>
    </xf>
    <xf numFmtId="1" fontId="0" fillId="0" borderId="21" xfId="53" applyNumberFormat="1" applyFont="1" applyBorder="1" applyAlignment="1">
      <alignment horizontal="center"/>
    </xf>
    <xf numFmtId="3" fontId="0" fillId="0" borderId="50" xfId="0" applyNumberFormat="1" applyFont="1" applyBorder="1" applyAlignment="1">
      <alignment horizontal="center"/>
    </xf>
    <xf numFmtId="3" fontId="0" fillId="0" borderId="18" xfId="52" applyNumberFormat="1" applyFont="1" applyBorder="1" applyAlignment="1">
      <alignment horizontal="center"/>
    </xf>
    <xf numFmtId="205" fontId="0" fillId="0" borderId="20" xfId="0" applyNumberFormat="1" applyFont="1" applyBorder="1" applyAlignment="1">
      <alignment horizontal="center"/>
    </xf>
    <xf numFmtId="205" fontId="0" fillId="0" borderId="18" xfId="0" applyNumberFormat="1" applyFont="1" applyBorder="1" applyAlignment="1">
      <alignment horizontal="center"/>
    </xf>
    <xf numFmtId="0" fontId="1" fillId="0" borderId="52" xfId="0" applyFont="1" applyBorder="1" applyAlignment="1">
      <alignment horizontal="center"/>
    </xf>
    <xf numFmtId="0" fontId="1" fillId="0" borderId="64" xfId="0" applyFont="1" applyBorder="1" applyAlignment="1">
      <alignment horizontal="center"/>
    </xf>
    <xf numFmtId="0" fontId="1" fillId="0" borderId="65" xfId="0" applyFont="1" applyBorder="1" applyAlignment="1">
      <alignment horizontal="center"/>
    </xf>
    <xf numFmtId="0" fontId="1" fillId="0" borderId="52" xfId="0" applyFont="1" applyFill="1" applyBorder="1" applyAlignment="1">
      <alignment horizontal="center"/>
    </xf>
    <xf numFmtId="0" fontId="1" fillId="0" borderId="64" xfId="0" applyFont="1" applyFill="1" applyBorder="1" applyAlignment="1">
      <alignment horizontal="center"/>
    </xf>
    <xf numFmtId="0" fontId="1" fillId="0" borderId="65" xfId="0" applyFont="1" applyFill="1" applyBorder="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horizontal="left"/>
    </xf>
    <xf numFmtId="0" fontId="0" fillId="0" borderId="0" xfId="0" applyFont="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10" fontId="0" fillId="0" borderId="10" xfId="0" applyNumberFormat="1" applyFont="1" applyBorder="1" applyAlignment="1">
      <alignment horizontal="justify" vertical="justify" wrapText="1"/>
    </xf>
    <xf numFmtId="10" fontId="0" fillId="0" borderId="11" xfId="0" applyNumberFormat="1" applyFont="1" applyBorder="1" applyAlignment="1">
      <alignment horizontal="justify" vertical="justify" wrapText="1"/>
    </xf>
    <xf numFmtId="0" fontId="1" fillId="0" borderId="0" xfId="0" applyFont="1" applyAlignment="1">
      <alignment horizontal="center"/>
    </xf>
    <xf numFmtId="0" fontId="2" fillId="0" borderId="0" xfId="0" applyFont="1" applyAlignment="1">
      <alignment horizontal="center"/>
    </xf>
    <xf numFmtId="0" fontId="0" fillId="0" borderId="29" xfId="0" applyFont="1" applyBorder="1" applyAlignment="1">
      <alignment horizontal="left"/>
    </xf>
    <xf numFmtId="0" fontId="0" fillId="0" borderId="31" xfId="0" applyFont="1" applyBorder="1" applyAlignment="1">
      <alignment horizontal="left"/>
    </xf>
    <xf numFmtId="10" fontId="0" fillId="0" borderId="13" xfId="0" applyNumberFormat="1" applyFont="1" applyBorder="1" applyAlignment="1">
      <alignment vertical="justify" wrapText="1"/>
    </xf>
    <xf numFmtId="10" fontId="0" fillId="0" borderId="0" xfId="0" applyNumberFormat="1" applyFont="1" applyBorder="1" applyAlignment="1">
      <alignment vertical="justify" wrapText="1"/>
    </xf>
    <xf numFmtId="10" fontId="0" fillId="0" borderId="14" xfId="0" applyNumberFormat="1" applyFont="1" applyBorder="1" applyAlignment="1">
      <alignment vertical="justify" wrapText="1"/>
    </xf>
    <xf numFmtId="10" fontId="0" fillId="0" borderId="22" xfId="0" applyNumberFormat="1" applyFont="1" applyBorder="1" applyAlignment="1">
      <alignment vertical="justify" wrapText="1"/>
    </xf>
    <xf numFmtId="10" fontId="0" fillId="0" borderId="23" xfId="0" applyNumberFormat="1" applyFont="1" applyBorder="1" applyAlignment="1">
      <alignment vertical="justify" wrapText="1"/>
    </xf>
    <xf numFmtId="10" fontId="0" fillId="0" borderId="24" xfId="0" applyNumberFormat="1" applyFont="1" applyBorder="1" applyAlignment="1">
      <alignment vertical="justify" wrapText="1"/>
    </xf>
    <xf numFmtId="10" fontId="0" fillId="0" borderId="10" xfId="0" applyNumberFormat="1" applyFont="1" applyBorder="1" applyAlignment="1">
      <alignment vertical="justify" wrapText="1"/>
    </xf>
    <xf numFmtId="10" fontId="0" fillId="0" borderId="11" xfId="0" applyNumberFormat="1" applyFont="1" applyBorder="1" applyAlignment="1">
      <alignment vertical="justify" wrapText="1"/>
    </xf>
    <xf numFmtId="10" fontId="0" fillId="0" borderId="12" xfId="0" applyNumberFormat="1" applyFont="1" applyBorder="1" applyAlignment="1">
      <alignment vertical="justify" wrapText="1"/>
    </xf>
    <xf numFmtId="10" fontId="0" fillId="0" borderId="13" xfId="0" applyNumberFormat="1" applyFont="1" applyBorder="1" applyAlignment="1">
      <alignment horizontal="justify" vertical="justify" wrapText="1"/>
    </xf>
    <xf numFmtId="10" fontId="0" fillId="0" borderId="0" xfId="0" applyNumberFormat="1" applyFont="1" applyBorder="1" applyAlignment="1">
      <alignment horizontal="justify" vertical="justify" wrapText="1"/>
    </xf>
    <xf numFmtId="10" fontId="0" fillId="0" borderId="14" xfId="0" applyNumberFormat="1" applyFont="1" applyBorder="1" applyAlignment="1">
      <alignment horizontal="justify" vertical="justify" wrapText="1"/>
    </xf>
    <xf numFmtId="0" fontId="11" fillId="0" borderId="0" xfId="0" applyFont="1" applyAlignment="1">
      <alignment horizontal="left"/>
    </xf>
    <xf numFmtId="1" fontId="1" fillId="0" borderId="10"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4" xfId="0" applyFont="1" applyBorder="1" applyAlignment="1">
      <alignment horizontal="center" vertical="center" wrapText="1"/>
    </xf>
    <xf numFmtId="1" fontId="1" fillId="0" borderId="0" xfId="0" applyNumberFormat="1" applyFont="1" applyAlignment="1">
      <alignment horizontal="center" vertical="center"/>
    </xf>
    <xf numFmtId="1" fontId="0" fillId="0" borderId="0" xfId="0" applyNumberFormat="1" applyFont="1" applyAlignment="1">
      <alignment horizontal="center" vertic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22" xfId="0" applyFont="1" applyBorder="1" applyAlignment="1">
      <alignment horizontal="left" wrapText="1"/>
    </xf>
    <xf numFmtId="0" fontId="0" fillId="0" borderId="23" xfId="0" applyFont="1" applyBorder="1" applyAlignment="1">
      <alignment horizontal="left" wrapText="1"/>
    </xf>
    <xf numFmtId="0" fontId="0" fillId="0" borderId="24" xfId="0" applyFont="1" applyBorder="1" applyAlignment="1">
      <alignment horizontal="left" wrapText="1"/>
    </xf>
    <xf numFmtId="0" fontId="0" fillId="0" borderId="11" xfId="0" applyFont="1" applyBorder="1" applyAlignment="1">
      <alignment horizontal="left"/>
    </xf>
    <xf numFmtId="0" fontId="0" fillId="0" borderId="0" xfId="0" applyFont="1" applyAlignment="1">
      <alignment horizontal="left"/>
    </xf>
    <xf numFmtId="0" fontId="2" fillId="0" borderId="0" xfId="0" applyFont="1" applyAlignment="1">
      <alignment horizontal="center"/>
    </xf>
    <xf numFmtId="0" fontId="0" fillId="0" borderId="29" xfId="0" applyFont="1" applyBorder="1" applyAlignment="1">
      <alignment horizontal="left"/>
    </xf>
    <xf numFmtId="0" fontId="0" fillId="0" borderId="31" xfId="0" applyFont="1" applyBorder="1" applyAlignment="1">
      <alignment horizontal="left"/>
    </xf>
    <xf numFmtId="1" fontId="1" fillId="0" borderId="23" xfId="0" applyNumberFormat="1" applyFont="1" applyBorder="1" applyAlignment="1">
      <alignment horizontal="center" wrapText="1"/>
    </xf>
    <xf numFmtId="1" fontId="1" fillId="0" borderId="24" xfId="0" applyNumberFormat="1" applyFont="1" applyBorder="1" applyAlignment="1">
      <alignment horizontal="center" wrapText="1"/>
    </xf>
    <xf numFmtId="9" fontId="0" fillId="0" borderId="10" xfId="0" applyNumberFormat="1" applyFont="1" applyBorder="1" applyAlignment="1">
      <alignment horizontal="left" wrapText="1"/>
    </xf>
    <xf numFmtId="0" fontId="0" fillId="0" borderId="13" xfId="0" applyFont="1" applyBorder="1" applyAlignment="1">
      <alignment horizontal="left" wrapText="1"/>
    </xf>
    <xf numFmtId="0" fontId="0" fillId="0" borderId="0" xfId="0" applyFont="1" applyBorder="1" applyAlignment="1">
      <alignment horizontal="left" wrapText="1"/>
    </xf>
    <xf numFmtId="0" fontId="0" fillId="0" borderId="14" xfId="0" applyFont="1" applyBorder="1" applyAlignment="1">
      <alignment horizontal="left" wrapText="1"/>
    </xf>
    <xf numFmtId="0" fontId="1" fillId="0" borderId="67" xfId="0" applyFont="1" applyBorder="1" applyAlignment="1">
      <alignment horizontal="center" vertical="center" wrapText="1"/>
    </xf>
    <xf numFmtId="0" fontId="1" fillId="0" borderId="24" xfId="0" applyFont="1" applyBorder="1" applyAlignment="1">
      <alignment horizontal="center" vertical="center" wrapText="1"/>
    </xf>
    <xf numFmtId="0" fontId="0" fillId="0" borderId="10" xfId="0" applyFont="1" applyBorder="1" applyAlignment="1">
      <alignment horizontal="justify" wrapText="1"/>
    </xf>
    <xf numFmtId="0" fontId="0" fillId="0" borderId="11" xfId="0" applyFont="1" applyBorder="1" applyAlignment="1">
      <alignment horizontal="justify" wrapText="1"/>
    </xf>
    <xf numFmtId="0" fontId="0" fillId="0" borderId="12" xfId="0" applyFont="1" applyBorder="1" applyAlignment="1">
      <alignment horizontal="justify" wrapText="1"/>
    </xf>
    <xf numFmtId="0" fontId="0" fillId="0" borderId="22" xfId="0" applyFont="1" applyBorder="1" applyAlignment="1">
      <alignment horizontal="justify" wrapText="1"/>
    </xf>
    <xf numFmtId="0" fontId="0" fillId="0" borderId="23" xfId="0" applyFont="1" applyBorder="1" applyAlignment="1">
      <alignment horizontal="justify" wrapText="1"/>
    </xf>
    <xf numFmtId="0" fontId="0" fillId="0" borderId="24" xfId="0" applyFont="1" applyBorder="1" applyAlignment="1">
      <alignment horizontal="justify" wrapText="1"/>
    </xf>
    <xf numFmtId="10" fontId="0" fillId="0" borderId="13" xfId="0" applyNumberFormat="1" applyFont="1" applyBorder="1" applyAlignment="1">
      <alignment horizontal="justify" vertical="justify" wrapText="1"/>
    </xf>
    <xf numFmtId="10" fontId="0" fillId="0" borderId="0" xfId="0" applyNumberFormat="1" applyFont="1" applyBorder="1" applyAlignment="1">
      <alignment horizontal="justify" vertical="justify" wrapText="1"/>
    </xf>
    <xf numFmtId="10" fontId="0" fillId="0" borderId="14" xfId="0" applyNumberFormat="1" applyFont="1" applyBorder="1" applyAlignment="1">
      <alignment horizontal="justify" vertical="justify" wrapText="1"/>
    </xf>
    <xf numFmtId="10" fontId="0" fillId="0" borderId="22" xfId="0" applyNumberFormat="1" applyFont="1" applyBorder="1" applyAlignment="1">
      <alignment horizontal="justify" vertical="justify" wrapText="1"/>
    </xf>
    <xf numFmtId="10" fontId="0" fillId="0" borderId="23" xfId="0" applyNumberFormat="1" applyFont="1" applyBorder="1" applyAlignment="1">
      <alignment horizontal="justify" vertical="justify" wrapText="1"/>
    </xf>
    <xf numFmtId="10" fontId="0" fillId="0" borderId="24" xfId="0" applyNumberFormat="1" applyFont="1" applyBorder="1" applyAlignment="1">
      <alignment horizontal="justify" vertical="justify" wrapText="1"/>
    </xf>
    <xf numFmtId="10" fontId="0" fillId="0" borderId="10" xfId="0" applyNumberFormat="1" applyFont="1" applyBorder="1" applyAlignment="1">
      <alignment horizontal="justify" vertical="justify" wrapText="1"/>
    </xf>
    <xf numFmtId="10" fontId="0" fillId="0" borderId="11" xfId="0" applyNumberFormat="1" applyFont="1" applyBorder="1" applyAlignment="1">
      <alignment horizontal="justify" vertical="justify" wrapText="1"/>
    </xf>
    <xf numFmtId="10" fontId="0" fillId="0" borderId="12" xfId="0" applyNumberFormat="1" applyFont="1" applyBorder="1" applyAlignment="1">
      <alignment horizontal="justify" vertical="justify" wrapText="1"/>
    </xf>
    <xf numFmtId="0" fontId="1" fillId="0" borderId="0" xfId="0" applyFont="1" applyAlignment="1">
      <alignment horizontal="left"/>
    </xf>
    <xf numFmtId="0" fontId="1" fillId="0" borderId="0" xfId="0" applyFont="1" applyAlignment="1">
      <alignment horizontal="center"/>
    </xf>
    <xf numFmtId="42" fontId="0" fillId="0" borderId="29" xfId="55" applyFont="1" applyBorder="1" applyAlignment="1">
      <alignment horizontal="left"/>
    </xf>
    <xf numFmtId="42" fontId="0" fillId="0" borderId="31" xfId="55" applyFont="1" applyBorder="1" applyAlignment="1">
      <alignment horizontal="left"/>
    </xf>
    <xf numFmtId="9" fontId="0" fillId="0" borderId="10" xfId="0" applyNumberFormat="1" applyFont="1" applyBorder="1" applyAlignment="1">
      <alignment horizontal="justify" wrapText="1"/>
    </xf>
    <xf numFmtId="0" fontId="0" fillId="0" borderId="10" xfId="0" applyFont="1" applyBorder="1" applyAlignment="1">
      <alignment horizontal="justify" vertical="justify" wrapText="1"/>
    </xf>
    <xf numFmtId="0" fontId="0" fillId="0" borderId="11" xfId="0" applyFont="1" applyBorder="1" applyAlignment="1">
      <alignment horizontal="justify" vertical="justify" wrapText="1"/>
    </xf>
    <xf numFmtId="0" fontId="0" fillId="0" borderId="12" xfId="0" applyFont="1" applyBorder="1" applyAlignment="1">
      <alignment horizontal="justify" vertical="justify" wrapText="1"/>
    </xf>
    <xf numFmtId="0" fontId="0" fillId="0" borderId="22" xfId="0" applyFont="1" applyBorder="1" applyAlignment="1">
      <alignment horizontal="justify" vertical="justify" wrapText="1"/>
    </xf>
    <xf numFmtId="0" fontId="0" fillId="0" borderId="23" xfId="0" applyFont="1" applyBorder="1" applyAlignment="1">
      <alignment horizontal="justify" vertical="justify" wrapText="1"/>
    </xf>
    <xf numFmtId="0" fontId="0" fillId="0" borderId="24" xfId="0" applyFont="1" applyBorder="1" applyAlignment="1">
      <alignment horizontal="justify" vertical="justify"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3" xfId="0" applyFont="1" applyBorder="1" applyAlignment="1">
      <alignment horizontal="left" wrapText="1"/>
    </xf>
    <xf numFmtId="0" fontId="1" fillId="0" borderId="24" xfId="0" applyFont="1" applyBorder="1" applyAlignment="1">
      <alignment horizontal="left" wrapText="1"/>
    </xf>
    <xf numFmtId="49" fontId="0" fillId="0" borderId="10" xfId="0" applyNumberFormat="1" applyFont="1" applyBorder="1" applyAlignment="1">
      <alignment horizontal="justify" vertical="justify" wrapText="1"/>
    </xf>
    <xf numFmtId="49" fontId="0" fillId="0" borderId="11" xfId="0" applyNumberFormat="1" applyFont="1" applyBorder="1" applyAlignment="1">
      <alignment horizontal="justify" vertical="justify" wrapText="1"/>
    </xf>
    <xf numFmtId="49" fontId="0" fillId="0" borderId="12" xfId="0" applyNumberFormat="1" applyFont="1" applyBorder="1" applyAlignment="1">
      <alignment horizontal="justify" vertical="justify" wrapText="1"/>
    </xf>
    <xf numFmtId="49" fontId="0" fillId="0" borderId="22" xfId="0" applyNumberFormat="1" applyFont="1" applyBorder="1" applyAlignment="1">
      <alignment horizontal="justify" vertical="justify" wrapText="1"/>
    </xf>
    <xf numFmtId="49" fontId="0" fillId="0" borderId="23" xfId="0" applyNumberFormat="1" applyFont="1" applyBorder="1" applyAlignment="1">
      <alignment horizontal="justify" vertical="justify" wrapText="1"/>
    </xf>
    <xf numFmtId="49" fontId="0" fillId="0" borderId="24" xfId="0" applyNumberFormat="1" applyFont="1" applyBorder="1" applyAlignment="1">
      <alignment horizontal="justify" vertical="justify" wrapText="1"/>
    </xf>
    <xf numFmtId="3" fontId="0" fillId="0" borderId="0" xfId="0" applyNumberFormat="1" applyFont="1" applyAlignment="1">
      <alignment/>
    </xf>
  </cellXfs>
  <cellStyles count="52">
    <cellStyle name="Normal" xfId="0"/>
    <cellStyle name="Buena" xfId="15"/>
    <cellStyle name="Cálculo" xfId="16"/>
    <cellStyle name="Celda de comprobación" xfId="17"/>
    <cellStyle name="Celda vinculada" xfId="18"/>
    <cellStyle name="Encabezado 4" xfId="19"/>
    <cellStyle name="Énfasis 1" xfId="20"/>
    <cellStyle name="Énfasis 2" xfId="21"/>
    <cellStyle name="Énfasis 3" xfId="22"/>
    <cellStyle name="Énfasis1" xfId="23"/>
    <cellStyle name="Énfasis1 - 20%" xfId="24"/>
    <cellStyle name="Énfasis1 - 40%" xfId="25"/>
    <cellStyle name="Énfasis1 - 60%" xfId="26"/>
    <cellStyle name="Énfasis2" xfId="27"/>
    <cellStyle name="Énfasis2 - 20%" xfId="28"/>
    <cellStyle name="Énfasis2 - 40%" xfId="29"/>
    <cellStyle name="Énfasis2 - 60%" xfId="30"/>
    <cellStyle name="Énfasis3" xfId="31"/>
    <cellStyle name="Énfasis3 - 20%" xfId="32"/>
    <cellStyle name="Énfasis3 - 40%" xfId="33"/>
    <cellStyle name="Énfasis3 - 60%" xfId="34"/>
    <cellStyle name="Énfasis4" xfId="35"/>
    <cellStyle name="Énfasis4 - 20%" xfId="36"/>
    <cellStyle name="Énfasis4 - 40%" xfId="37"/>
    <cellStyle name="Énfasis4 - 60%" xfId="38"/>
    <cellStyle name="Énfasis5" xfId="39"/>
    <cellStyle name="Énfasis5 - 20%" xfId="40"/>
    <cellStyle name="Énfasis5 - 40%" xfId="41"/>
    <cellStyle name="Énfasis5 - 60%" xfId="42"/>
    <cellStyle name="Énfasis6" xfId="43"/>
    <cellStyle name="Énfasis6 - 20%" xfId="44"/>
    <cellStyle name="Énfasis6 - 40%" xfId="45"/>
    <cellStyle name="Énfasis6 - 60%" xfId="46"/>
    <cellStyle name="Entrada" xfId="47"/>
    <cellStyle name="Euro"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Salida" xfId="59"/>
    <cellStyle name="Texto de advertencia" xfId="60"/>
    <cellStyle name="Título 1" xfId="61"/>
    <cellStyle name="Título 2" xfId="62"/>
    <cellStyle name="Título 3" xfId="63"/>
    <cellStyle name="Título de hoja"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Q333"/>
  <sheetViews>
    <sheetView view="pageBreakPreview" zoomScale="90" zoomScaleSheetLayoutView="90" workbookViewId="0" topLeftCell="A1">
      <pane ySplit="1" topLeftCell="BM41" activePane="bottomLeft" state="frozen"/>
      <selection pane="topLeft" activeCell="A1" sqref="A1"/>
      <selection pane="bottomLeft" activeCell="F29" sqref="F29"/>
    </sheetView>
  </sheetViews>
  <sheetFormatPr defaultColWidth="11.421875" defaultRowHeight="12.75"/>
  <cols>
    <col min="1" max="1" width="20.140625" style="0" customWidth="1"/>
    <col min="2" max="2" width="16.57421875" style="0" hidden="1" customWidth="1"/>
    <col min="3" max="3" width="18.57421875" style="0" hidden="1" customWidth="1"/>
    <col min="4" max="4" width="18.57421875" style="437" customWidth="1"/>
    <col min="5" max="11" width="18.7109375" style="0" customWidth="1"/>
    <col min="12" max="12" width="57.28125" style="0" customWidth="1"/>
    <col min="13" max="13" width="13.421875" style="424" bestFit="1" customWidth="1"/>
    <col min="14" max="15" width="15.7109375" style="424" bestFit="1" customWidth="1"/>
  </cols>
  <sheetData>
    <row r="1" spans="1:12" ht="25.5">
      <c r="A1" s="202"/>
      <c r="B1" s="831" t="s">
        <v>175</v>
      </c>
      <c r="C1" s="832"/>
      <c r="D1" s="833"/>
      <c r="E1" s="449" t="s">
        <v>489</v>
      </c>
      <c r="F1" s="514" t="s">
        <v>436</v>
      </c>
      <c r="G1" s="375" t="s">
        <v>452</v>
      </c>
      <c r="H1" s="375" t="s">
        <v>453</v>
      </c>
      <c r="I1" s="375" t="s">
        <v>454</v>
      </c>
      <c r="J1" s="375" t="s">
        <v>437</v>
      </c>
      <c r="K1" s="375" t="s">
        <v>442</v>
      </c>
      <c r="L1" s="204"/>
    </row>
    <row r="2" spans="1:12" ht="12.75">
      <c r="A2" s="205" t="s">
        <v>125</v>
      </c>
      <c r="B2" s="188">
        <v>2004</v>
      </c>
      <c r="C2" s="188">
        <v>2005</v>
      </c>
      <c r="D2" s="275">
        <v>2007</v>
      </c>
      <c r="E2" s="450">
        <v>2007</v>
      </c>
      <c r="F2" s="499"/>
      <c r="G2" s="188"/>
      <c r="H2" s="188"/>
      <c r="I2" s="188"/>
      <c r="J2" s="188"/>
      <c r="K2" s="188"/>
      <c r="L2" s="189"/>
    </row>
    <row r="3" spans="1:12" ht="12.75">
      <c r="A3" s="206">
        <v>22101</v>
      </c>
      <c r="B3" s="276">
        <v>64499999.6</v>
      </c>
      <c r="C3" s="276">
        <v>104018830</v>
      </c>
      <c r="D3" s="276">
        <v>266006408</v>
      </c>
      <c r="E3" s="451">
        <f>256780221-5935873</f>
        <v>250844348</v>
      </c>
      <c r="F3" s="500">
        <f>+E3-I3-J3</f>
        <v>224088154</v>
      </c>
      <c r="G3" s="276"/>
      <c r="H3" s="276"/>
      <c r="I3" s="276">
        <f>10756194+10000000</f>
        <v>20756194</v>
      </c>
      <c r="J3" s="276">
        <v>6000000</v>
      </c>
      <c r="K3" s="276"/>
      <c r="L3" s="190" t="s">
        <v>490</v>
      </c>
    </row>
    <row r="4" spans="1:12" ht="12.75">
      <c r="A4" s="206">
        <v>22102</v>
      </c>
      <c r="B4" s="220">
        <v>64551000</v>
      </c>
      <c r="C4" s="220">
        <v>9840500</v>
      </c>
      <c r="D4" s="276">
        <v>71985575</v>
      </c>
      <c r="E4" s="452">
        <v>67623350</v>
      </c>
      <c r="F4" s="501">
        <f>+E4</f>
        <v>67623350</v>
      </c>
      <c r="G4" s="220"/>
      <c r="H4" s="220"/>
      <c r="I4" s="220"/>
      <c r="J4" s="220"/>
      <c r="K4" s="220"/>
      <c r="L4" s="191" t="s">
        <v>126</v>
      </c>
    </row>
    <row r="5" spans="1:12" ht="12.75">
      <c r="A5" s="206">
        <v>22103</v>
      </c>
      <c r="B5" s="220">
        <v>36292438</v>
      </c>
      <c r="C5" s="220">
        <v>41169500</v>
      </c>
      <c r="D5" s="220">
        <v>66243000</v>
      </c>
      <c r="E5" s="452">
        <v>66242349</v>
      </c>
      <c r="F5" s="501">
        <f>+E5</f>
        <v>66242349</v>
      </c>
      <c r="G5" s="220"/>
      <c r="H5" s="220"/>
      <c r="I5" s="220"/>
      <c r="J5" s="220"/>
      <c r="K5" s="220"/>
      <c r="L5" s="192" t="s">
        <v>127</v>
      </c>
    </row>
    <row r="6" spans="1:12" ht="12.75">
      <c r="A6" s="206">
        <v>22104</v>
      </c>
      <c r="B6" s="220">
        <v>12286869</v>
      </c>
      <c r="C6" s="220">
        <v>8500000</v>
      </c>
      <c r="D6" s="220">
        <v>48967575</v>
      </c>
      <c r="E6" s="452">
        <v>46757677</v>
      </c>
      <c r="F6" s="501">
        <f>+E6-K6</f>
        <v>39055425</v>
      </c>
      <c r="G6" s="220"/>
      <c r="H6" s="220"/>
      <c r="I6" s="220"/>
      <c r="J6" s="220"/>
      <c r="K6" s="220">
        <f>4000000+3702252</f>
        <v>7702252</v>
      </c>
      <c r="L6" s="193" t="s">
        <v>628</v>
      </c>
    </row>
    <row r="7" spans="1:12" ht="12.75">
      <c r="A7" s="207" t="s">
        <v>637</v>
      </c>
      <c r="B7" s="196"/>
      <c r="C7" s="196">
        <f>SUM(C3:C6)</f>
        <v>163528830</v>
      </c>
      <c r="D7" s="277">
        <f>SUM(D3:D6)</f>
        <v>453202558</v>
      </c>
      <c r="E7" s="453">
        <f>SUM(E3:E6)</f>
        <v>431467724</v>
      </c>
      <c r="F7" s="502">
        <f aca="true" t="shared" si="0" ref="F7:K7">SUM(F3:F6)</f>
        <v>397009278</v>
      </c>
      <c r="G7" s="277">
        <f t="shared" si="0"/>
        <v>0</v>
      </c>
      <c r="H7" s="277">
        <f t="shared" si="0"/>
        <v>0</v>
      </c>
      <c r="I7" s="277">
        <f t="shared" si="0"/>
        <v>20756194</v>
      </c>
      <c r="J7" s="277">
        <f t="shared" si="0"/>
        <v>6000000</v>
      </c>
      <c r="K7" s="277">
        <f t="shared" si="0"/>
        <v>7702252</v>
      </c>
      <c r="L7" s="193"/>
    </row>
    <row r="8" spans="1:12" ht="12.75">
      <c r="A8" s="207" t="s">
        <v>636</v>
      </c>
      <c r="B8" s="220"/>
      <c r="C8" s="220"/>
      <c r="D8" s="220"/>
      <c r="E8" s="454"/>
      <c r="F8" s="503"/>
      <c r="G8" s="378"/>
      <c r="H8" s="378"/>
      <c r="I8" s="378"/>
      <c r="J8" s="378"/>
      <c r="K8" s="378"/>
      <c r="L8" s="197"/>
    </row>
    <row r="9" spans="1:12" ht="15.75" customHeight="1">
      <c r="A9" s="206">
        <v>22227</v>
      </c>
      <c r="B9" s="220"/>
      <c r="C9" s="220">
        <v>154883693.12</v>
      </c>
      <c r="D9" s="220">
        <v>98746711</v>
      </c>
      <c r="E9" s="452">
        <f>98746911-935</f>
        <v>98745976</v>
      </c>
      <c r="F9" s="501"/>
      <c r="G9" s="220"/>
      <c r="H9" s="220"/>
      <c r="I9" s="220"/>
      <c r="J9" s="220"/>
      <c r="K9" s="220"/>
      <c r="L9" s="198" t="s">
        <v>636</v>
      </c>
    </row>
    <row r="10" spans="1:12" ht="25.5">
      <c r="A10" s="387">
        <v>226091361</v>
      </c>
      <c r="B10" s="384"/>
      <c r="C10" s="384"/>
      <c r="D10" s="384">
        <v>14320000</v>
      </c>
      <c r="E10" s="455">
        <v>14320000</v>
      </c>
      <c r="F10" s="504"/>
      <c r="G10" s="384"/>
      <c r="H10" s="384"/>
      <c r="I10" s="384"/>
      <c r="J10" s="384"/>
      <c r="K10" s="384"/>
      <c r="L10" s="399" t="s">
        <v>68</v>
      </c>
    </row>
    <row r="11" spans="1:12" ht="12.75">
      <c r="A11" s="387">
        <v>226091398</v>
      </c>
      <c r="B11" s="384"/>
      <c r="C11" s="384"/>
      <c r="D11" s="384">
        <v>28857440</v>
      </c>
      <c r="E11" s="455">
        <f>+D11</f>
        <v>28857440</v>
      </c>
      <c r="F11" s="504"/>
      <c r="G11" s="384"/>
      <c r="H11" s="384"/>
      <c r="I11" s="384"/>
      <c r="J11" s="384"/>
      <c r="K11" s="384"/>
      <c r="L11" s="399" t="s">
        <v>447</v>
      </c>
    </row>
    <row r="12" spans="1:12" ht="12.75">
      <c r="A12" s="387">
        <v>226091399</v>
      </c>
      <c r="B12" s="384"/>
      <c r="C12" s="384"/>
      <c r="D12" s="384">
        <v>2000000</v>
      </c>
      <c r="E12" s="455">
        <f>+D12</f>
        <v>2000000</v>
      </c>
      <c r="F12" s="504"/>
      <c r="G12" s="384"/>
      <c r="H12" s="384"/>
      <c r="I12" s="384"/>
      <c r="J12" s="384"/>
      <c r="K12" s="384"/>
      <c r="L12" s="399" t="s">
        <v>448</v>
      </c>
    </row>
    <row r="13" spans="1:12" ht="15.75" customHeight="1">
      <c r="A13" s="207" t="s">
        <v>637</v>
      </c>
      <c r="B13" s="220"/>
      <c r="C13" s="196">
        <f>+C9</f>
        <v>154883693.12</v>
      </c>
      <c r="D13" s="277">
        <f>SUM(D9:D12)</f>
        <v>143924151</v>
      </c>
      <c r="E13" s="453">
        <f>SUM(E9:E12)</f>
        <v>143923416</v>
      </c>
      <c r="F13" s="502"/>
      <c r="G13" s="277"/>
      <c r="H13" s="277"/>
      <c r="I13" s="277"/>
      <c r="J13" s="277"/>
      <c r="K13" s="277"/>
      <c r="L13" s="199"/>
    </row>
    <row r="14" spans="1:13" ht="15.75" customHeight="1">
      <c r="A14" s="207" t="s">
        <v>638</v>
      </c>
      <c r="B14" s="220"/>
      <c r="C14" s="220"/>
      <c r="D14" s="220"/>
      <c r="E14" s="452"/>
      <c r="F14" s="501"/>
      <c r="G14" s="220"/>
      <c r="H14" s="220"/>
      <c r="I14" s="220"/>
      <c r="J14" s="220"/>
      <c r="K14" s="220"/>
      <c r="L14" s="199"/>
      <c r="M14" s="424">
        <f>459*2800</f>
        <v>1285200</v>
      </c>
    </row>
    <row r="15" spans="1:12" ht="15.75" customHeight="1">
      <c r="A15" s="387">
        <v>226141185</v>
      </c>
      <c r="B15" s="384"/>
      <c r="C15" s="384">
        <v>41910000</v>
      </c>
      <c r="D15" s="384">
        <v>28000000</v>
      </c>
      <c r="E15" s="455">
        <v>27072750</v>
      </c>
      <c r="F15" s="504"/>
      <c r="G15" s="384"/>
      <c r="H15" s="384"/>
      <c r="I15" s="384"/>
      <c r="J15" s="384"/>
      <c r="K15" s="384"/>
      <c r="L15" s="199" t="s">
        <v>640</v>
      </c>
    </row>
    <row r="16" spans="1:12" ht="15.75" customHeight="1">
      <c r="A16" s="387">
        <v>226141185</v>
      </c>
      <c r="B16" s="384"/>
      <c r="C16" s="384"/>
      <c r="D16" s="384">
        <v>12000000</v>
      </c>
      <c r="E16" s="455">
        <v>11678030</v>
      </c>
      <c r="F16" s="504"/>
      <c r="G16" s="384"/>
      <c r="H16" s="384"/>
      <c r="I16" s="384"/>
      <c r="J16" s="384"/>
      <c r="K16" s="384"/>
      <c r="L16" s="199"/>
    </row>
    <row r="17" spans="1:12" ht="15.75" customHeight="1">
      <c r="A17" s="207" t="s">
        <v>637</v>
      </c>
      <c r="B17" s="220"/>
      <c r="C17" s="196">
        <f>+C15</f>
        <v>41910000</v>
      </c>
      <c r="D17" s="277">
        <f>SUM(D15:D16)</f>
        <v>40000000</v>
      </c>
      <c r="E17" s="453">
        <f>SUM(E15:E16)</f>
        <v>38750780</v>
      </c>
      <c r="F17" s="502"/>
      <c r="G17" s="277"/>
      <c r="H17" s="277"/>
      <c r="I17" s="277"/>
      <c r="J17" s="277"/>
      <c r="K17" s="277"/>
      <c r="L17" s="199"/>
    </row>
    <row r="18" spans="1:12" ht="15.75" customHeight="1">
      <c r="A18" s="207" t="s">
        <v>641</v>
      </c>
      <c r="B18" s="220"/>
      <c r="C18" s="196"/>
      <c r="D18" s="277"/>
      <c r="E18" s="456"/>
      <c r="F18" s="505"/>
      <c r="G18" s="196"/>
      <c r="H18" s="196"/>
      <c r="I18" s="196"/>
      <c r="J18" s="196"/>
      <c r="K18" s="196"/>
      <c r="L18" s="199"/>
    </row>
    <row r="19" spans="1:12" ht="15.75" customHeight="1">
      <c r="A19" s="206">
        <v>2260911</v>
      </c>
      <c r="B19" s="220"/>
      <c r="C19" s="220">
        <v>41910000</v>
      </c>
      <c r="D19" s="220"/>
      <c r="E19" s="452">
        <v>0</v>
      </c>
      <c r="F19" s="501"/>
      <c r="G19" s="220"/>
      <c r="H19" s="220"/>
      <c r="I19" s="220"/>
      <c r="J19" s="220"/>
      <c r="K19" s="220"/>
      <c r="L19" s="199"/>
    </row>
    <row r="20" spans="1:12" ht="15.75" customHeight="1">
      <c r="A20" s="207"/>
      <c r="B20" s="220"/>
      <c r="C20" s="196">
        <f>+C19</f>
        <v>41910000</v>
      </c>
      <c r="D20" s="277">
        <f>+D19</f>
        <v>0</v>
      </c>
      <c r="E20" s="453">
        <f>+E19</f>
        <v>0</v>
      </c>
      <c r="F20" s="502"/>
      <c r="G20" s="277"/>
      <c r="H20" s="277"/>
      <c r="I20" s="277"/>
      <c r="J20" s="277"/>
      <c r="K20" s="277"/>
      <c r="L20" s="199"/>
    </row>
    <row r="21" spans="1:12" ht="15.75" customHeight="1">
      <c r="A21" s="207" t="s">
        <v>320</v>
      </c>
      <c r="B21" s="220"/>
      <c r="C21" s="196"/>
      <c r="D21" s="277"/>
      <c r="E21" s="456"/>
      <c r="F21" s="505"/>
      <c r="G21" s="196"/>
      <c r="H21" s="196"/>
      <c r="I21" s="196"/>
      <c r="J21" s="196"/>
      <c r="K21" s="196"/>
      <c r="L21" s="199"/>
    </row>
    <row r="22" spans="1:12" ht="33.75" customHeight="1">
      <c r="A22" s="208">
        <v>226140152</v>
      </c>
      <c r="B22" s="220"/>
      <c r="C22" s="201">
        <v>2868000</v>
      </c>
      <c r="D22" s="220"/>
      <c r="E22" s="457"/>
      <c r="F22" s="506"/>
      <c r="G22" s="201"/>
      <c r="H22" s="201"/>
      <c r="I22" s="201"/>
      <c r="J22" s="201"/>
      <c r="K22" s="201"/>
      <c r="L22" s="195" t="s">
        <v>321</v>
      </c>
    </row>
    <row r="23" spans="1:12" ht="15.75" customHeight="1">
      <c r="A23" s="207"/>
      <c r="B23" s="220"/>
      <c r="C23" s="196">
        <f>+C22</f>
        <v>2868000</v>
      </c>
      <c r="D23" s="277">
        <f>+D22</f>
        <v>0</v>
      </c>
      <c r="E23" s="453">
        <f>+E22</f>
        <v>0</v>
      </c>
      <c r="F23" s="502"/>
      <c r="G23" s="277"/>
      <c r="H23" s="277"/>
      <c r="I23" s="277"/>
      <c r="J23" s="277"/>
      <c r="K23" s="277"/>
      <c r="L23" s="199"/>
    </row>
    <row r="24" spans="1:12" ht="15.75" customHeight="1">
      <c r="A24" s="207"/>
      <c r="B24" s="220"/>
      <c r="C24" s="196"/>
      <c r="D24" s="277"/>
      <c r="E24" s="456"/>
      <c r="F24" s="505"/>
      <c r="G24" s="196"/>
      <c r="H24" s="196"/>
      <c r="I24" s="196"/>
      <c r="J24" s="196"/>
      <c r="K24" s="196"/>
      <c r="L24" s="199"/>
    </row>
    <row r="25" spans="1:15" s="404" customFormat="1" ht="14.25" customHeight="1">
      <c r="A25" s="400" t="s">
        <v>639</v>
      </c>
      <c r="B25" s="401">
        <f>SUM(B3:B6)</f>
        <v>177630306.6</v>
      </c>
      <c r="C25" s="401">
        <f>+C7+C13+C17+C20+C23</f>
        <v>405100523.12</v>
      </c>
      <c r="D25" s="402">
        <f>+D7+D13+D17+D20+D23</f>
        <v>637126709</v>
      </c>
      <c r="E25" s="458">
        <f>+E7+E13+E17+E20+E23</f>
        <v>614141920</v>
      </c>
      <c r="F25" s="507"/>
      <c r="G25" s="402"/>
      <c r="H25" s="402"/>
      <c r="I25" s="402"/>
      <c r="J25" s="402"/>
      <c r="K25" s="402"/>
      <c r="L25" s="403"/>
      <c r="M25" s="425"/>
      <c r="N25" s="425"/>
      <c r="O25" s="425"/>
    </row>
    <row r="26" spans="2:11" ht="14.25" customHeight="1">
      <c r="B26" s="21"/>
      <c r="C26" s="21"/>
      <c r="D26" s="280"/>
      <c r="E26" s="185">
        <f>+E25/C25</f>
        <v>1.5160235174963652</v>
      </c>
      <c r="F26" s="508"/>
      <c r="G26" s="185"/>
      <c r="H26" s="185"/>
      <c r="I26" s="185"/>
      <c r="J26" s="185"/>
      <c r="K26" s="185"/>
    </row>
    <row r="27" spans="1:12" ht="25.5">
      <c r="A27" s="212" t="s">
        <v>738</v>
      </c>
      <c r="B27" s="213"/>
      <c r="C27" s="214" t="s">
        <v>635</v>
      </c>
      <c r="D27" s="281" t="s">
        <v>635</v>
      </c>
      <c r="E27" s="459" t="s">
        <v>489</v>
      </c>
      <c r="F27" s="509"/>
      <c r="G27" s="203"/>
      <c r="H27" s="203"/>
      <c r="I27" s="203"/>
      <c r="J27" s="203"/>
      <c r="K27" s="203"/>
      <c r="L27" s="204"/>
    </row>
    <row r="28" spans="1:12" ht="12.75">
      <c r="A28" s="205"/>
      <c r="B28" s="196"/>
      <c r="C28" s="188">
        <v>2005</v>
      </c>
      <c r="D28" s="275">
        <v>2007</v>
      </c>
      <c r="E28" s="460">
        <v>2007</v>
      </c>
      <c r="F28" s="510"/>
      <c r="G28" s="275"/>
      <c r="H28" s="275"/>
      <c r="I28" s="275"/>
      <c r="J28" s="275"/>
      <c r="K28" s="275"/>
      <c r="L28" s="189"/>
    </row>
    <row r="29" spans="1:12" ht="12.75">
      <c r="A29" s="206">
        <v>222010101</v>
      </c>
      <c r="B29" s="220">
        <v>2665448655.46</v>
      </c>
      <c r="C29" s="276">
        <v>118812299</v>
      </c>
      <c r="D29" s="276">
        <v>29150000</v>
      </c>
      <c r="E29" s="451">
        <v>29150000</v>
      </c>
      <c r="F29" s="500"/>
      <c r="G29" s="276"/>
      <c r="H29" s="276"/>
      <c r="I29" s="276"/>
      <c r="J29" s="276"/>
      <c r="K29" s="276"/>
      <c r="L29" s="189" t="s">
        <v>465</v>
      </c>
    </row>
    <row r="30" spans="1:12" ht="12.75">
      <c r="A30" s="206">
        <v>222010102</v>
      </c>
      <c r="B30" s="220"/>
      <c r="C30" s="276"/>
      <c r="D30" s="276">
        <v>2213387</v>
      </c>
      <c r="E30" s="451">
        <v>2213387</v>
      </c>
      <c r="F30" s="500"/>
      <c r="G30" s="276"/>
      <c r="H30" s="276"/>
      <c r="I30" s="276"/>
      <c r="J30" s="276"/>
      <c r="K30" s="276"/>
      <c r="L30" s="189" t="s">
        <v>466</v>
      </c>
    </row>
    <row r="31" spans="1:12" ht="12.75">
      <c r="A31" s="206">
        <v>222010103</v>
      </c>
      <c r="B31" s="220"/>
      <c r="C31" s="276"/>
      <c r="D31" s="276">
        <v>2213387</v>
      </c>
      <c r="E31" s="451">
        <v>2213387</v>
      </c>
      <c r="F31" s="500"/>
      <c r="G31" s="276"/>
      <c r="H31" s="276"/>
      <c r="I31" s="276"/>
      <c r="J31" s="276"/>
      <c r="K31" s="276"/>
      <c r="L31" s="189" t="s">
        <v>467</v>
      </c>
    </row>
    <row r="32" spans="1:12" ht="12.75">
      <c r="A32" s="206">
        <v>222010104</v>
      </c>
      <c r="B32" s="220"/>
      <c r="C32" s="276"/>
      <c r="D32" s="276">
        <v>2213387</v>
      </c>
      <c r="E32" s="451">
        <v>2213387</v>
      </c>
      <c r="F32" s="500"/>
      <c r="G32" s="276"/>
      <c r="H32" s="276"/>
      <c r="I32" s="276"/>
      <c r="J32" s="276"/>
      <c r="K32" s="276"/>
      <c r="L32" s="189" t="s">
        <v>468</v>
      </c>
    </row>
    <row r="33" spans="1:12" ht="12.75">
      <c r="A33" s="206">
        <v>222010105</v>
      </c>
      <c r="B33" s="220"/>
      <c r="C33" s="276">
        <v>2933687566</v>
      </c>
      <c r="D33" s="276">
        <v>2213387</v>
      </c>
      <c r="E33" s="451">
        <v>2213387</v>
      </c>
      <c r="F33" s="500"/>
      <c r="G33" s="276"/>
      <c r="H33" s="276"/>
      <c r="I33" s="276"/>
      <c r="J33" s="276"/>
      <c r="K33" s="276"/>
      <c r="L33" s="189" t="s">
        <v>469</v>
      </c>
    </row>
    <row r="34" spans="1:12" ht="12.75">
      <c r="A34" s="206">
        <v>222010106</v>
      </c>
      <c r="B34" s="220"/>
      <c r="C34" s="276"/>
      <c r="D34" s="276">
        <v>2213387</v>
      </c>
      <c r="E34" s="451">
        <v>2213387</v>
      </c>
      <c r="F34" s="500"/>
      <c r="G34" s="276"/>
      <c r="H34" s="276"/>
      <c r="I34" s="276"/>
      <c r="J34" s="276"/>
      <c r="K34" s="276"/>
      <c r="L34" s="189" t="s">
        <v>470</v>
      </c>
    </row>
    <row r="35" spans="1:12" ht="12.75">
      <c r="A35" s="206">
        <v>222010107</v>
      </c>
      <c r="B35" s="220"/>
      <c r="C35" s="276"/>
      <c r="D35" s="276">
        <v>2133065</v>
      </c>
      <c r="E35" s="451">
        <v>2133065</v>
      </c>
      <c r="F35" s="500"/>
      <c r="G35" s="276"/>
      <c r="H35" s="276"/>
      <c r="I35" s="276"/>
      <c r="J35" s="276"/>
      <c r="K35" s="276"/>
      <c r="L35" s="189" t="s">
        <v>471</v>
      </c>
    </row>
    <row r="36" spans="1:12" ht="12.75">
      <c r="A36" s="206">
        <v>222010108</v>
      </c>
      <c r="B36" s="220"/>
      <c r="C36" s="276"/>
      <c r="D36" s="276">
        <v>17270000</v>
      </c>
      <c r="E36" s="451">
        <v>17270000</v>
      </c>
      <c r="F36" s="500"/>
      <c r="G36" s="276"/>
      <c r="H36" s="276"/>
      <c r="I36" s="276"/>
      <c r="J36" s="276"/>
      <c r="K36" s="276"/>
      <c r="L36" s="189" t="s">
        <v>472</v>
      </c>
    </row>
    <row r="37" spans="1:12" ht="12.75">
      <c r="A37" s="206">
        <v>222010109</v>
      </c>
      <c r="B37" s="220"/>
      <c r="C37" s="276"/>
      <c r="D37" s="276">
        <v>13200000</v>
      </c>
      <c r="E37" s="451">
        <v>13200000</v>
      </c>
      <c r="F37" s="500"/>
      <c r="G37" s="276"/>
      <c r="H37" s="276"/>
      <c r="I37" s="276"/>
      <c r="J37" s="276"/>
      <c r="K37" s="276"/>
      <c r="L37" s="189" t="s">
        <v>473</v>
      </c>
    </row>
    <row r="38" spans="1:12" ht="12.75">
      <c r="A38" s="206">
        <v>222010111</v>
      </c>
      <c r="B38" s="220"/>
      <c r="C38" s="276"/>
      <c r="D38" s="276">
        <v>12938858</v>
      </c>
      <c r="E38" s="451">
        <v>12938858</v>
      </c>
      <c r="F38" s="500"/>
      <c r="G38" s="276"/>
      <c r="H38" s="276"/>
      <c r="I38" s="276"/>
      <c r="J38" s="276"/>
      <c r="K38" s="276"/>
      <c r="L38" s="189" t="s">
        <v>474</v>
      </c>
    </row>
    <row r="39" spans="1:12" ht="12.75">
      <c r="A39" s="206">
        <v>222010112</v>
      </c>
      <c r="B39" s="220"/>
      <c r="C39" s="276"/>
      <c r="D39" s="276">
        <v>81650000</v>
      </c>
      <c r="E39" s="451">
        <f>83372769-1732786</f>
        <v>81639983</v>
      </c>
      <c r="F39" s="500"/>
      <c r="G39" s="276"/>
      <c r="H39" s="276"/>
      <c r="I39" s="276"/>
      <c r="J39" s="276"/>
      <c r="K39" s="276"/>
      <c r="L39" s="189" t="s">
        <v>475</v>
      </c>
    </row>
    <row r="40" spans="1:12" ht="12.75">
      <c r="A40" s="206">
        <v>222020102</v>
      </c>
      <c r="B40" s="220"/>
      <c r="C40" s="276"/>
      <c r="D40" s="276">
        <v>3608188244</v>
      </c>
      <c r="E40" s="451">
        <f>3609249514-125074235</f>
        <v>3484175279</v>
      </c>
      <c r="F40" s="500"/>
      <c r="G40" s="276"/>
      <c r="H40" s="276"/>
      <c r="I40" s="276"/>
      <c r="J40" s="276"/>
      <c r="K40" s="276"/>
      <c r="L40" s="189" t="s">
        <v>476</v>
      </c>
    </row>
    <row r="41" spans="1:12" ht="12.75">
      <c r="A41" s="206">
        <v>222020103</v>
      </c>
      <c r="B41" s="220"/>
      <c r="C41" s="276"/>
      <c r="D41" s="276">
        <v>158747148</v>
      </c>
      <c r="E41" s="451">
        <f>158654713-4118532</f>
        <v>154536181</v>
      </c>
      <c r="F41" s="500"/>
      <c r="G41" s="276"/>
      <c r="H41" s="276"/>
      <c r="I41" s="276"/>
      <c r="J41" s="276"/>
      <c r="K41" s="276"/>
      <c r="L41" s="189" t="s">
        <v>477</v>
      </c>
    </row>
    <row r="42" spans="1:12" ht="12.75">
      <c r="A42" s="206">
        <v>222020104</v>
      </c>
      <c r="B42" s="220"/>
      <c r="C42" s="276"/>
      <c r="D42" s="276">
        <v>637717914</v>
      </c>
      <c r="E42" s="451">
        <f>143497699-18107146</f>
        <v>125390553</v>
      </c>
      <c r="F42" s="500"/>
      <c r="G42" s="276"/>
      <c r="H42" s="276"/>
      <c r="I42" s="276"/>
      <c r="J42" s="276"/>
      <c r="K42" s="276"/>
      <c r="L42" s="189" t="s">
        <v>111</v>
      </c>
    </row>
    <row r="43" spans="1:12" ht="12.75">
      <c r="A43" s="206">
        <v>222020105</v>
      </c>
      <c r="B43" s="220"/>
      <c r="C43" s="276"/>
      <c r="D43" s="276">
        <v>22492327</v>
      </c>
      <c r="E43" s="451">
        <f>1115794-107734</f>
        <v>1008060</v>
      </c>
      <c r="F43" s="500"/>
      <c r="G43" s="276"/>
      <c r="H43" s="276"/>
      <c r="I43" s="276"/>
      <c r="J43" s="276"/>
      <c r="K43" s="276"/>
      <c r="L43" s="189" t="s">
        <v>112</v>
      </c>
    </row>
    <row r="44" spans="1:12" ht="12.75">
      <c r="A44" s="206">
        <v>222020106</v>
      </c>
      <c r="B44" s="426"/>
      <c r="C44" s="427"/>
      <c r="D44" s="427">
        <v>99626047.5</v>
      </c>
      <c r="E44" s="461">
        <v>25900830</v>
      </c>
      <c r="F44" s="511"/>
      <c r="G44" s="427"/>
      <c r="H44" s="427"/>
      <c r="I44" s="427"/>
      <c r="J44" s="427"/>
      <c r="K44" s="427"/>
      <c r="L44" s="256" t="s">
        <v>113</v>
      </c>
    </row>
    <row r="45" spans="1:12" ht="12.75">
      <c r="A45" s="206">
        <v>222020107</v>
      </c>
      <c r="B45" s="426"/>
      <c r="C45" s="427"/>
      <c r="D45" s="427">
        <v>8320425</v>
      </c>
      <c r="E45" s="461">
        <v>727205</v>
      </c>
      <c r="F45" s="511"/>
      <c r="G45" s="427"/>
      <c r="H45" s="427"/>
      <c r="I45" s="427"/>
      <c r="J45" s="427"/>
      <c r="K45" s="427"/>
      <c r="L45" s="256" t="s">
        <v>114</v>
      </c>
    </row>
    <row r="46" spans="1:12" ht="12.75">
      <c r="A46" s="206">
        <v>222020108</v>
      </c>
      <c r="B46" s="426"/>
      <c r="C46" s="427"/>
      <c r="D46" s="427">
        <v>38192067.5</v>
      </c>
      <c r="E46" s="461">
        <v>213811</v>
      </c>
      <c r="F46" s="511"/>
      <c r="G46" s="427"/>
      <c r="H46" s="427"/>
      <c r="I46" s="427"/>
      <c r="J46" s="427"/>
      <c r="K46" s="427"/>
      <c r="L46" s="256" t="s">
        <v>115</v>
      </c>
    </row>
    <row r="47" spans="1:15" s="404" customFormat="1" ht="12.75">
      <c r="A47" s="400" t="s">
        <v>645</v>
      </c>
      <c r="B47" s="428"/>
      <c r="C47" s="405">
        <f>SUM(C29:C43)</f>
        <v>3052499865</v>
      </c>
      <c r="D47" s="406">
        <f>SUM(D29:D46)</f>
        <v>4740693031</v>
      </c>
      <c r="E47" s="462">
        <f>SUM(E29:E46)</f>
        <v>3959350760</v>
      </c>
      <c r="F47" s="512"/>
      <c r="G47" s="406"/>
      <c r="H47" s="406"/>
      <c r="I47" s="406"/>
      <c r="J47" s="406"/>
      <c r="K47" s="406"/>
      <c r="L47" s="403"/>
      <c r="M47" s="425"/>
      <c r="N47" s="425"/>
      <c r="O47" s="425"/>
    </row>
    <row r="48" spans="2:12" ht="12.75">
      <c r="B48" s="429"/>
      <c r="C48" s="429"/>
      <c r="D48" s="429"/>
      <c r="E48" s="429"/>
      <c r="F48" s="513"/>
      <c r="G48" s="429"/>
      <c r="H48" s="429"/>
      <c r="I48" s="429"/>
      <c r="J48" s="429"/>
      <c r="K48" s="429"/>
      <c r="L48" s="316" t="e">
        <f>+E47-#REF!-#REF!</f>
        <v>#REF!</v>
      </c>
    </row>
    <row r="49" spans="1:12" ht="25.5">
      <c r="A49" s="215" t="s">
        <v>567</v>
      </c>
      <c r="B49" s="430"/>
      <c r="C49" s="214" t="s">
        <v>635</v>
      </c>
      <c r="D49" s="281" t="s">
        <v>635</v>
      </c>
      <c r="E49" s="463" t="s">
        <v>109</v>
      </c>
      <c r="F49" s="514"/>
      <c r="G49" s="375"/>
      <c r="H49" s="375"/>
      <c r="I49" s="375"/>
      <c r="J49" s="375"/>
      <c r="K49" s="375"/>
      <c r="L49" s="204"/>
    </row>
    <row r="50" spans="1:12" ht="12.75">
      <c r="A50" s="207"/>
      <c r="B50" s="220"/>
      <c r="C50" s="188">
        <v>2005</v>
      </c>
      <c r="D50" s="275"/>
      <c r="E50" s="450">
        <v>2005</v>
      </c>
      <c r="F50" s="499"/>
      <c r="G50" s="188"/>
      <c r="H50" s="188"/>
      <c r="I50" s="188"/>
      <c r="J50" s="188"/>
      <c r="K50" s="188"/>
      <c r="L50" s="189"/>
    </row>
    <row r="51" spans="1:12" ht="12.75">
      <c r="A51" s="206">
        <v>226091249</v>
      </c>
      <c r="B51" s="220"/>
      <c r="C51" s="220">
        <v>0</v>
      </c>
      <c r="D51" s="220">
        <v>40000000</v>
      </c>
      <c r="E51" s="452">
        <f>40000000-3960000</f>
        <v>36040000</v>
      </c>
      <c r="F51" s="501"/>
      <c r="G51" s="220"/>
      <c r="H51" s="220"/>
      <c r="I51" s="220"/>
      <c r="J51" s="220"/>
      <c r="K51" s="220"/>
      <c r="L51" s="216" t="s">
        <v>642</v>
      </c>
    </row>
    <row r="52" spans="1:12" ht="12.75">
      <c r="A52" s="206">
        <v>226091250</v>
      </c>
      <c r="B52" s="220"/>
      <c r="C52" s="220">
        <v>13926000</v>
      </c>
      <c r="D52" s="220">
        <v>46152000</v>
      </c>
      <c r="E52" s="452">
        <v>45539500</v>
      </c>
      <c r="F52" s="501"/>
      <c r="G52" s="220"/>
      <c r="H52" s="220"/>
      <c r="I52" s="220"/>
      <c r="J52" s="220"/>
      <c r="K52" s="220"/>
      <c r="L52" s="217" t="s">
        <v>643</v>
      </c>
    </row>
    <row r="53" spans="1:12" ht="12.75">
      <c r="A53" s="206">
        <v>226091251</v>
      </c>
      <c r="B53" s="220"/>
      <c r="C53" s="220">
        <v>23345400</v>
      </c>
      <c r="D53" s="220">
        <v>45000000</v>
      </c>
      <c r="E53" s="452">
        <v>44997500</v>
      </c>
      <c r="F53" s="501"/>
      <c r="G53" s="220"/>
      <c r="H53" s="220"/>
      <c r="I53" s="220"/>
      <c r="J53" s="220"/>
      <c r="K53" s="220"/>
      <c r="L53" s="217" t="s">
        <v>643</v>
      </c>
    </row>
    <row r="54" spans="1:12" ht="12.75">
      <c r="A54" s="206">
        <v>226091252</v>
      </c>
      <c r="B54" s="220"/>
      <c r="C54" s="220">
        <v>81654600</v>
      </c>
      <c r="D54" s="220">
        <v>1500000</v>
      </c>
      <c r="E54" s="452">
        <v>1450000</v>
      </c>
      <c r="F54" s="501"/>
      <c r="G54" s="220"/>
      <c r="H54" s="220"/>
      <c r="I54" s="220"/>
      <c r="J54" s="220"/>
      <c r="K54" s="220"/>
      <c r="L54" s="218" t="s">
        <v>644</v>
      </c>
    </row>
    <row r="55" spans="1:12" ht="12.75">
      <c r="A55" s="206">
        <v>226091253</v>
      </c>
      <c r="B55" s="220"/>
      <c r="C55" s="220">
        <v>10000000</v>
      </c>
      <c r="D55" s="220">
        <v>3000000</v>
      </c>
      <c r="E55" s="452">
        <f>3012000-26000</f>
        <v>2986000</v>
      </c>
      <c r="F55" s="501"/>
      <c r="G55" s="220"/>
      <c r="H55" s="220"/>
      <c r="I55" s="220"/>
      <c r="J55" s="220"/>
      <c r="K55" s="220"/>
      <c r="L55" s="216" t="s">
        <v>642</v>
      </c>
    </row>
    <row r="56" spans="1:12" ht="12.75">
      <c r="A56" s="206">
        <v>226091254</v>
      </c>
      <c r="B56" s="220"/>
      <c r="C56" s="220">
        <v>1000000</v>
      </c>
      <c r="D56" s="220">
        <v>6300000</v>
      </c>
      <c r="E56" s="452">
        <v>6021680</v>
      </c>
      <c r="F56" s="501"/>
      <c r="G56" s="220"/>
      <c r="H56" s="220"/>
      <c r="I56" s="220"/>
      <c r="J56" s="220"/>
      <c r="K56" s="220"/>
      <c r="L56" s="218" t="s">
        <v>644</v>
      </c>
    </row>
    <row r="57" spans="1:12" ht="12.75">
      <c r="A57" s="206">
        <v>226091255</v>
      </c>
      <c r="B57" s="220"/>
      <c r="C57" s="220">
        <f>3000000</f>
        <v>3000000</v>
      </c>
      <c r="D57" s="220">
        <v>24000000</v>
      </c>
      <c r="E57" s="452">
        <v>20380000</v>
      </c>
      <c r="F57" s="501"/>
      <c r="G57" s="220"/>
      <c r="H57" s="220"/>
      <c r="I57" s="220"/>
      <c r="J57" s="220"/>
      <c r="K57" s="220"/>
      <c r="L57" s="219" t="s">
        <v>550</v>
      </c>
    </row>
    <row r="58" spans="1:12" ht="12.75">
      <c r="A58" s="206">
        <v>226091256</v>
      </c>
      <c r="B58" s="220"/>
      <c r="C58" s="220">
        <v>5000000</v>
      </c>
      <c r="D58" s="220">
        <v>6000000</v>
      </c>
      <c r="E58" s="452">
        <v>6000000</v>
      </c>
      <c r="F58" s="501"/>
      <c r="G58" s="220"/>
      <c r="H58" s="220"/>
      <c r="I58" s="220"/>
      <c r="J58" s="220"/>
      <c r="K58" s="220"/>
      <c r="L58" s="218" t="s">
        <v>644</v>
      </c>
    </row>
    <row r="59" spans="1:12" ht="12.75">
      <c r="A59" s="206">
        <v>226091257</v>
      </c>
      <c r="B59" s="220"/>
      <c r="C59" s="220"/>
      <c r="D59" s="220">
        <v>10300000</v>
      </c>
      <c r="E59" s="452">
        <f>10300000-66650</f>
        <v>10233350</v>
      </c>
      <c r="F59" s="501"/>
      <c r="G59" s="220"/>
      <c r="H59" s="220"/>
      <c r="I59" s="220"/>
      <c r="J59" s="220"/>
      <c r="K59" s="220"/>
      <c r="L59" s="218" t="s">
        <v>644</v>
      </c>
    </row>
    <row r="60" spans="1:12" ht="12.75">
      <c r="A60" s="206">
        <v>226091258</v>
      </c>
      <c r="B60" s="220"/>
      <c r="C60" s="220">
        <v>5000000</v>
      </c>
      <c r="D60" s="220">
        <v>14428000</v>
      </c>
      <c r="E60" s="452">
        <f>14428000-121250</f>
        <v>14306750</v>
      </c>
      <c r="F60" s="501"/>
      <c r="G60" s="220"/>
      <c r="H60" s="220"/>
      <c r="I60" s="220"/>
      <c r="J60" s="220"/>
      <c r="K60" s="220"/>
      <c r="L60" s="218" t="s">
        <v>644</v>
      </c>
    </row>
    <row r="61" spans="1:12" ht="12.75">
      <c r="A61" s="206">
        <v>226091259</v>
      </c>
      <c r="B61" s="426"/>
      <c r="C61" s="426"/>
      <c r="D61" s="426">
        <v>2000000</v>
      </c>
      <c r="E61" s="464">
        <v>2000000</v>
      </c>
      <c r="F61" s="515"/>
      <c r="G61" s="426"/>
      <c r="H61" s="426"/>
      <c r="I61" s="426"/>
      <c r="J61" s="426"/>
      <c r="K61" s="426"/>
      <c r="L61" s="373"/>
    </row>
    <row r="62" spans="1:12" ht="12.75">
      <c r="A62" s="206">
        <v>226091260</v>
      </c>
      <c r="B62" s="426"/>
      <c r="C62" s="426"/>
      <c r="D62" s="426">
        <v>5000000</v>
      </c>
      <c r="E62" s="464">
        <v>5000000</v>
      </c>
      <c r="F62" s="515"/>
      <c r="G62" s="426"/>
      <c r="H62" s="426"/>
      <c r="I62" s="426"/>
      <c r="J62" s="426"/>
      <c r="K62" s="426"/>
      <c r="L62" s="373" t="s">
        <v>491</v>
      </c>
    </row>
    <row r="63" spans="1:12" ht="12.75">
      <c r="A63" s="206">
        <v>226091261</v>
      </c>
      <c r="B63" s="426"/>
      <c r="C63" s="426"/>
      <c r="D63" s="426">
        <v>0</v>
      </c>
      <c r="E63" s="464">
        <v>0</v>
      </c>
      <c r="F63" s="515"/>
      <c r="G63" s="426"/>
      <c r="H63" s="426"/>
      <c r="I63" s="426"/>
      <c r="J63" s="426"/>
      <c r="K63" s="426"/>
      <c r="L63" s="373" t="s">
        <v>492</v>
      </c>
    </row>
    <row r="64" spans="1:12" ht="12.75">
      <c r="A64" s="206">
        <v>226091299</v>
      </c>
      <c r="B64" s="426"/>
      <c r="C64" s="426"/>
      <c r="D64" s="426">
        <v>12000000</v>
      </c>
      <c r="E64" s="464">
        <v>12000000</v>
      </c>
      <c r="F64" s="515"/>
      <c r="G64" s="426"/>
      <c r="H64" s="426"/>
      <c r="I64" s="426"/>
      <c r="J64" s="426"/>
      <c r="K64" s="426"/>
      <c r="L64" s="373" t="s">
        <v>493</v>
      </c>
    </row>
    <row r="65" spans="1:15" s="404" customFormat="1" ht="12.75">
      <c r="A65" s="400" t="s">
        <v>646</v>
      </c>
      <c r="B65" s="428"/>
      <c r="C65" s="401">
        <f>SUM(C51:C60)</f>
        <v>142926000</v>
      </c>
      <c r="D65" s="402">
        <f>SUM(D51:D64)</f>
        <v>215680000</v>
      </c>
      <c r="E65" s="458">
        <f>SUM(E51:E64)</f>
        <v>206954780</v>
      </c>
      <c r="F65" s="507"/>
      <c r="G65" s="402"/>
      <c r="H65" s="402"/>
      <c r="I65" s="402"/>
      <c r="J65" s="402"/>
      <c r="K65" s="402"/>
      <c r="L65" s="407"/>
      <c r="M65" s="425"/>
      <c r="N65" s="425"/>
      <c r="O65" s="425"/>
    </row>
    <row r="66" spans="1:11" ht="12.75">
      <c r="A66" s="13"/>
      <c r="B66" s="429"/>
      <c r="C66" s="429">
        <f>165926000+5000000</f>
        <v>170926000</v>
      </c>
      <c r="D66" s="429"/>
      <c r="E66" s="429">
        <f>211128680-4173900</f>
        <v>206954780</v>
      </c>
      <c r="F66" s="513"/>
      <c r="G66" s="429"/>
      <c r="H66" s="429"/>
      <c r="I66" s="429"/>
      <c r="J66" s="429"/>
      <c r="K66" s="429"/>
    </row>
    <row r="67" spans="1:12" ht="25.5">
      <c r="A67" s="215" t="s">
        <v>647</v>
      </c>
      <c r="B67" s="430"/>
      <c r="C67" s="214" t="s">
        <v>635</v>
      </c>
      <c r="D67" s="281" t="s">
        <v>635</v>
      </c>
      <c r="E67" s="465" t="s">
        <v>109</v>
      </c>
      <c r="F67" s="516"/>
      <c r="G67" s="374"/>
      <c r="H67" s="374"/>
      <c r="I67" s="374"/>
      <c r="J67" s="374"/>
      <c r="K67" s="374"/>
      <c r="L67" s="204"/>
    </row>
    <row r="68" spans="1:12" ht="12.75">
      <c r="A68" s="207"/>
      <c r="B68" s="220"/>
      <c r="C68" s="188">
        <v>2005</v>
      </c>
      <c r="D68" s="188">
        <v>2007</v>
      </c>
      <c r="E68" s="450">
        <v>2007</v>
      </c>
      <c r="F68" s="499"/>
      <c r="G68" s="188"/>
      <c r="H68" s="188"/>
      <c r="I68" s="188"/>
      <c r="J68" s="188"/>
      <c r="K68" s="188"/>
      <c r="L68" s="189"/>
    </row>
    <row r="69" spans="1:12" ht="12.75">
      <c r="A69" s="208">
        <v>226101271</v>
      </c>
      <c r="B69" s="220"/>
      <c r="C69" s="188"/>
      <c r="D69" s="220">
        <v>1595100</v>
      </c>
      <c r="E69" s="452">
        <v>1595100</v>
      </c>
      <c r="F69" s="501"/>
      <c r="G69" s="220"/>
      <c r="H69" s="220"/>
      <c r="I69" s="220"/>
      <c r="J69" s="220"/>
      <c r="K69" s="220"/>
      <c r="L69" s="189" t="s">
        <v>105</v>
      </c>
    </row>
    <row r="70" spans="1:12" ht="12.75">
      <c r="A70" s="208">
        <v>224010101</v>
      </c>
      <c r="B70" s="220"/>
      <c r="C70" s="220">
        <v>9930920</v>
      </c>
      <c r="D70" s="220">
        <v>113484528</v>
      </c>
      <c r="E70" s="452">
        <v>113484528</v>
      </c>
      <c r="F70" s="501"/>
      <c r="G70" s="220"/>
      <c r="H70" s="220"/>
      <c r="I70" s="220"/>
      <c r="J70" s="220"/>
      <c r="K70" s="220"/>
      <c r="L70" s="189" t="s">
        <v>103</v>
      </c>
    </row>
    <row r="71" spans="1:12" ht="12.75">
      <c r="A71" s="208">
        <v>224010102</v>
      </c>
      <c r="B71" s="220"/>
      <c r="C71" s="220">
        <v>88152018</v>
      </c>
      <c r="D71" s="220">
        <v>4000000</v>
      </c>
      <c r="E71" s="452">
        <v>4000000</v>
      </c>
      <c r="F71" s="501"/>
      <c r="G71" s="220"/>
      <c r="H71" s="220"/>
      <c r="I71" s="220"/>
      <c r="J71" s="220"/>
      <c r="K71" s="220"/>
      <c r="L71" s="189" t="s">
        <v>104</v>
      </c>
    </row>
    <row r="72" spans="1:15" s="404" customFormat="1" ht="12.75">
      <c r="A72" s="400" t="s">
        <v>648</v>
      </c>
      <c r="B72" s="431"/>
      <c r="C72" s="409">
        <f>SUM(C70:C71)</f>
        <v>98082938</v>
      </c>
      <c r="D72" s="410">
        <f>SUM(D69:D71)</f>
        <v>119079628</v>
      </c>
      <c r="E72" s="466">
        <f>SUM(E69:E71)</f>
        <v>119079628</v>
      </c>
      <c r="F72" s="517"/>
      <c r="G72" s="410"/>
      <c r="H72" s="410"/>
      <c r="I72" s="410"/>
      <c r="J72" s="410"/>
      <c r="K72" s="410"/>
      <c r="L72" s="411"/>
      <c r="M72" s="425"/>
      <c r="N72" s="425"/>
      <c r="O72" s="425"/>
    </row>
    <row r="73" spans="1:12" ht="12.75">
      <c r="A73" s="209"/>
      <c r="B73" s="432"/>
      <c r="C73" s="432"/>
      <c r="D73" s="432"/>
      <c r="E73" s="467"/>
      <c r="F73" s="518"/>
      <c r="G73" s="432"/>
      <c r="H73" s="432"/>
      <c r="I73" s="432"/>
      <c r="J73" s="432"/>
      <c r="K73" s="432"/>
      <c r="L73" s="211"/>
    </row>
    <row r="74" spans="1:11" ht="12.75">
      <c r="A74" s="13"/>
      <c r="B74" s="429"/>
      <c r="C74" s="429"/>
      <c r="D74" s="429"/>
      <c r="E74" s="429"/>
      <c r="F74" s="513"/>
      <c r="G74" s="429"/>
      <c r="H74" s="429"/>
      <c r="I74" s="429"/>
      <c r="J74" s="429"/>
      <c r="K74" s="429"/>
    </row>
    <row r="75" spans="1:12" ht="25.5">
      <c r="A75" s="215" t="s">
        <v>723</v>
      </c>
      <c r="B75" s="430"/>
      <c r="C75" s="214" t="s">
        <v>635</v>
      </c>
      <c r="D75" s="281" t="s">
        <v>635</v>
      </c>
      <c r="E75" s="465" t="s">
        <v>109</v>
      </c>
      <c r="F75" s="516"/>
      <c r="G75" s="374"/>
      <c r="H75" s="374"/>
      <c r="I75" s="374"/>
      <c r="J75" s="374"/>
      <c r="K75" s="374"/>
      <c r="L75" s="204"/>
    </row>
    <row r="76" spans="1:12" ht="12.75">
      <c r="A76" s="207"/>
      <c r="B76" s="220"/>
      <c r="C76" s="188">
        <v>2005</v>
      </c>
      <c r="D76" s="275"/>
      <c r="E76" s="450">
        <v>2007</v>
      </c>
      <c r="F76" s="499"/>
      <c r="G76" s="188"/>
      <c r="H76" s="188"/>
      <c r="I76" s="188"/>
      <c r="J76" s="188"/>
      <c r="K76" s="188"/>
      <c r="L76" s="189"/>
    </row>
    <row r="77" spans="1:12" ht="12.75">
      <c r="A77" s="208">
        <v>225010101</v>
      </c>
      <c r="B77" s="189"/>
      <c r="C77" s="220">
        <v>459000</v>
      </c>
      <c r="D77" s="220">
        <v>3218130</v>
      </c>
      <c r="E77" s="452">
        <v>3218130</v>
      </c>
      <c r="F77" s="501"/>
      <c r="G77" s="220"/>
      <c r="H77" s="220"/>
      <c r="I77" s="220"/>
      <c r="J77" s="220"/>
      <c r="K77" s="220"/>
      <c r="L77" s="195" t="s">
        <v>568</v>
      </c>
    </row>
    <row r="78" spans="1:12" ht="12.75">
      <c r="A78" s="208">
        <v>225010102</v>
      </c>
      <c r="B78" s="189"/>
      <c r="C78" s="220">
        <v>1289000</v>
      </c>
      <c r="D78" s="220">
        <v>13628521</v>
      </c>
      <c r="E78" s="454">
        <v>13627499</v>
      </c>
      <c r="F78" s="503"/>
      <c r="G78" s="378"/>
      <c r="H78" s="378"/>
      <c r="I78" s="378"/>
      <c r="J78" s="378"/>
      <c r="K78" s="378"/>
      <c r="L78" s="195" t="s">
        <v>569</v>
      </c>
    </row>
    <row r="79" spans="1:12" ht="12.75">
      <c r="A79" s="208">
        <v>225010111</v>
      </c>
      <c r="B79" s="189"/>
      <c r="C79" s="220"/>
      <c r="D79" s="220">
        <v>0</v>
      </c>
      <c r="E79" s="454">
        <v>0</v>
      </c>
      <c r="F79" s="503"/>
      <c r="G79" s="378"/>
      <c r="H79" s="378"/>
      <c r="I79" s="378"/>
      <c r="J79" s="378"/>
      <c r="K79" s="378"/>
      <c r="L79" s="195" t="s">
        <v>116</v>
      </c>
    </row>
    <row r="80" spans="1:12" ht="12.75">
      <c r="A80" s="208">
        <v>225010112</v>
      </c>
      <c r="B80" s="189"/>
      <c r="C80" s="220"/>
      <c r="D80" s="220">
        <v>199999820</v>
      </c>
      <c r="E80" s="452">
        <v>199999820</v>
      </c>
      <c r="F80" s="501"/>
      <c r="G80" s="220"/>
      <c r="H80" s="220"/>
      <c r="I80" s="220"/>
      <c r="J80" s="220"/>
      <c r="K80" s="220"/>
      <c r="L80" s="195" t="s">
        <v>117</v>
      </c>
    </row>
    <row r="81" spans="1:12" ht="12.75">
      <c r="A81" s="208">
        <v>225010113</v>
      </c>
      <c r="B81" s="189"/>
      <c r="C81" s="220"/>
      <c r="D81" s="220">
        <v>17781870</v>
      </c>
      <c r="E81" s="452">
        <v>17781309</v>
      </c>
      <c r="F81" s="501"/>
      <c r="G81" s="220"/>
      <c r="H81" s="220"/>
      <c r="I81" s="220"/>
      <c r="J81" s="220"/>
      <c r="K81" s="220"/>
      <c r="L81" s="195" t="s">
        <v>118</v>
      </c>
    </row>
    <row r="82" spans="1:12" ht="12.75">
      <c r="A82" s="208">
        <v>225010114</v>
      </c>
      <c r="B82" s="189"/>
      <c r="C82" s="220"/>
      <c r="D82" s="220">
        <v>3500000</v>
      </c>
      <c r="E82" s="452">
        <v>0</v>
      </c>
      <c r="F82" s="501"/>
      <c r="G82" s="220"/>
      <c r="H82" s="220"/>
      <c r="I82" s="220"/>
      <c r="J82" s="220"/>
      <c r="K82" s="220"/>
      <c r="L82" s="195" t="s">
        <v>106</v>
      </c>
    </row>
    <row r="83" spans="1:12" ht="25.5">
      <c r="A83" s="208">
        <v>225020103</v>
      </c>
      <c r="B83" s="220"/>
      <c r="C83" s="220">
        <v>28984857</v>
      </c>
      <c r="D83" s="220">
        <v>30786250</v>
      </c>
      <c r="E83" s="452">
        <v>30782753</v>
      </c>
      <c r="F83" s="501"/>
      <c r="G83" s="220"/>
      <c r="H83" s="220"/>
      <c r="I83" s="220"/>
      <c r="J83" s="220"/>
      <c r="K83" s="220"/>
      <c r="L83" s="195" t="s">
        <v>297</v>
      </c>
    </row>
    <row r="84" spans="1:12" ht="12.75">
      <c r="A84" s="208">
        <v>225020104</v>
      </c>
      <c r="B84" s="220"/>
      <c r="C84" s="220">
        <v>38559103</v>
      </c>
      <c r="D84" s="220">
        <v>32386382</v>
      </c>
      <c r="E84" s="452">
        <v>32386382</v>
      </c>
      <c r="F84" s="501"/>
      <c r="G84" s="220"/>
      <c r="H84" s="220"/>
      <c r="I84" s="220"/>
      <c r="J84" s="220"/>
      <c r="K84" s="220"/>
      <c r="L84" s="195" t="s">
        <v>717</v>
      </c>
    </row>
    <row r="85" spans="1:12" ht="12.75">
      <c r="A85" s="208">
        <v>225020105</v>
      </c>
      <c r="B85" s="220"/>
      <c r="C85" s="220">
        <v>5080457</v>
      </c>
      <c r="D85" s="220">
        <v>5000000</v>
      </c>
      <c r="E85" s="452">
        <v>5000000</v>
      </c>
      <c r="F85" s="501"/>
      <c r="G85" s="220"/>
      <c r="H85" s="220"/>
      <c r="I85" s="220"/>
      <c r="J85" s="220"/>
      <c r="K85" s="220"/>
      <c r="L85" s="195" t="s">
        <v>533</v>
      </c>
    </row>
    <row r="86" spans="1:12" ht="25.5">
      <c r="A86" s="208">
        <v>225020106</v>
      </c>
      <c r="B86" s="220"/>
      <c r="C86" s="220">
        <v>12458800</v>
      </c>
      <c r="D86" s="220">
        <v>12213547</v>
      </c>
      <c r="E86" s="452">
        <v>12213547</v>
      </c>
      <c r="F86" s="501"/>
      <c r="G86" s="220"/>
      <c r="H86" s="220"/>
      <c r="I86" s="220"/>
      <c r="J86" s="220"/>
      <c r="K86" s="220"/>
      <c r="L86" s="195" t="s">
        <v>718</v>
      </c>
    </row>
    <row r="87" spans="1:12" ht="12.75">
      <c r="A87" s="208">
        <v>225020107</v>
      </c>
      <c r="B87" s="220"/>
      <c r="C87" s="220">
        <v>14230000</v>
      </c>
      <c r="D87" s="220">
        <v>15300000</v>
      </c>
      <c r="E87" s="452">
        <v>15300000</v>
      </c>
      <c r="F87" s="501"/>
      <c r="G87" s="220"/>
      <c r="H87" s="220"/>
      <c r="I87" s="220"/>
      <c r="J87" s="220"/>
      <c r="K87" s="220"/>
      <c r="L87" s="195" t="s">
        <v>719</v>
      </c>
    </row>
    <row r="88" spans="1:12" ht="12.75">
      <c r="A88" s="208">
        <v>225020108</v>
      </c>
      <c r="B88" s="220"/>
      <c r="C88" s="220">
        <v>5847200</v>
      </c>
      <c r="D88" s="220">
        <v>7600000</v>
      </c>
      <c r="E88" s="452">
        <v>7600000</v>
      </c>
      <c r="F88" s="501"/>
      <c r="G88" s="220"/>
      <c r="H88" s="220"/>
      <c r="I88" s="220"/>
      <c r="J88" s="220"/>
      <c r="K88" s="220"/>
      <c r="L88" s="195" t="s">
        <v>720</v>
      </c>
    </row>
    <row r="89" spans="1:12" ht="25.5">
      <c r="A89" s="208">
        <v>225020109</v>
      </c>
      <c r="B89" s="220"/>
      <c r="C89" s="220">
        <v>0</v>
      </c>
      <c r="D89" s="220">
        <v>2000000</v>
      </c>
      <c r="E89" s="452">
        <v>2000000</v>
      </c>
      <c r="F89" s="501"/>
      <c r="G89" s="220"/>
      <c r="H89" s="220"/>
      <c r="I89" s="220"/>
      <c r="J89" s="220"/>
      <c r="K89" s="220"/>
      <c r="L89" s="195" t="s">
        <v>721</v>
      </c>
    </row>
    <row r="90" spans="1:12" ht="12.75">
      <c r="A90" s="208">
        <v>225020110</v>
      </c>
      <c r="B90" s="220"/>
      <c r="C90" s="220"/>
      <c r="D90" s="220">
        <v>0</v>
      </c>
      <c r="E90" s="452">
        <v>0</v>
      </c>
      <c r="F90" s="501"/>
      <c r="G90" s="220"/>
      <c r="H90" s="220"/>
      <c r="I90" s="220"/>
      <c r="J90" s="220"/>
      <c r="K90" s="220"/>
      <c r="L90" s="195" t="s">
        <v>492</v>
      </c>
    </row>
    <row r="91" spans="1:12" ht="12.75">
      <c r="A91" s="208">
        <v>225020111</v>
      </c>
      <c r="B91" s="189"/>
      <c r="C91" s="220">
        <v>5500000</v>
      </c>
      <c r="D91" s="220">
        <v>7500000</v>
      </c>
      <c r="E91" s="452">
        <v>7500000</v>
      </c>
      <c r="F91" s="501"/>
      <c r="G91" s="220"/>
      <c r="H91" s="220"/>
      <c r="I91" s="220"/>
      <c r="J91" s="220"/>
      <c r="K91" s="220"/>
      <c r="L91" s="195" t="s">
        <v>722</v>
      </c>
    </row>
    <row r="92" spans="1:12" ht="12.75">
      <c r="A92" s="274">
        <v>225020112</v>
      </c>
      <c r="B92" s="256"/>
      <c r="C92" s="426"/>
      <c r="D92" s="426">
        <v>6000000</v>
      </c>
      <c r="E92" s="464">
        <v>6000000</v>
      </c>
      <c r="F92" s="515"/>
      <c r="G92" s="426"/>
      <c r="H92" s="426"/>
      <c r="I92" s="426"/>
      <c r="J92" s="426"/>
      <c r="K92" s="426"/>
      <c r="L92" s="255" t="s">
        <v>107</v>
      </c>
    </row>
    <row r="93" spans="1:12" ht="12.75">
      <c r="A93" s="274">
        <v>225020113</v>
      </c>
      <c r="B93" s="256"/>
      <c r="C93" s="426"/>
      <c r="D93" s="426">
        <v>3360000</v>
      </c>
      <c r="E93" s="464">
        <v>3300000</v>
      </c>
      <c r="F93" s="515"/>
      <c r="G93" s="426"/>
      <c r="H93" s="426"/>
      <c r="I93" s="426"/>
      <c r="J93" s="426"/>
      <c r="K93" s="426"/>
      <c r="L93" s="255" t="s">
        <v>534</v>
      </c>
    </row>
    <row r="94" spans="1:12" ht="12.75">
      <c r="A94" s="274">
        <v>225020114</v>
      </c>
      <c r="B94" s="256"/>
      <c r="C94" s="426"/>
      <c r="D94" s="426">
        <v>12000000</v>
      </c>
      <c r="E94" s="464">
        <v>12000000</v>
      </c>
      <c r="F94" s="515"/>
      <c r="G94" s="426"/>
      <c r="H94" s="426"/>
      <c r="I94" s="426"/>
      <c r="J94" s="426"/>
      <c r="K94" s="426"/>
      <c r="L94" s="255" t="s">
        <v>108</v>
      </c>
    </row>
    <row r="95" spans="1:15" s="404" customFormat="1" ht="12.75">
      <c r="A95" s="400" t="s">
        <v>70</v>
      </c>
      <c r="B95" s="403"/>
      <c r="C95" s="412">
        <f>SUM(C77:C91)</f>
        <v>112408417</v>
      </c>
      <c r="D95" s="413">
        <f>SUM(D77:D94)</f>
        <v>372274520</v>
      </c>
      <c r="E95" s="468">
        <f>SUM(E77:E94)</f>
        <v>368709440</v>
      </c>
      <c r="F95" s="519"/>
      <c r="G95" s="413"/>
      <c r="H95" s="413"/>
      <c r="I95" s="413"/>
      <c r="J95" s="413"/>
      <c r="K95" s="413"/>
      <c r="L95" s="414"/>
      <c r="M95" s="425"/>
      <c r="N95" s="425"/>
      <c r="O95" s="425"/>
    </row>
    <row r="96" spans="1:12" ht="12.75">
      <c r="A96" s="215" t="s">
        <v>724</v>
      </c>
      <c r="B96" s="204"/>
      <c r="C96" s="223"/>
      <c r="D96" s="433"/>
      <c r="E96" s="469"/>
      <c r="F96" s="520"/>
      <c r="G96" s="223"/>
      <c r="H96" s="223"/>
      <c r="I96" s="223"/>
      <c r="J96" s="223"/>
      <c r="K96" s="223"/>
      <c r="L96" s="203"/>
    </row>
    <row r="97" spans="1:12" ht="12.75">
      <c r="A97" s="208">
        <v>226151187</v>
      </c>
      <c r="B97" s="189"/>
      <c r="C97" s="378">
        <v>16978835.61</v>
      </c>
      <c r="D97" s="378">
        <v>40563147</v>
      </c>
      <c r="E97" s="454">
        <v>37608218</v>
      </c>
      <c r="F97" s="503"/>
      <c r="G97" s="378"/>
      <c r="H97" s="378"/>
      <c r="I97" s="378"/>
      <c r="J97" s="378"/>
      <c r="K97" s="378"/>
      <c r="L97" s="224" t="s">
        <v>752</v>
      </c>
    </row>
    <row r="98" spans="1:12" ht="12.75">
      <c r="A98" s="208">
        <v>226151188</v>
      </c>
      <c r="B98" s="189"/>
      <c r="C98" s="378">
        <v>1000000</v>
      </c>
      <c r="D98" s="378">
        <v>15000000</v>
      </c>
      <c r="E98" s="454">
        <v>15000000</v>
      </c>
      <c r="F98" s="503"/>
      <c r="G98" s="378"/>
      <c r="H98" s="378"/>
      <c r="I98" s="378"/>
      <c r="J98" s="378"/>
      <c r="K98" s="378"/>
      <c r="L98" s="224" t="s">
        <v>753</v>
      </c>
    </row>
    <row r="99" spans="1:15" s="404" customFormat="1" ht="12.75">
      <c r="A99" s="400" t="s">
        <v>725</v>
      </c>
      <c r="B99" s="403"/>
      <c r="C99" s="415">
        <f>SUM(C97:C98)</f>
        <v>17978835.61</v>
      </c>
      <c r="D99" s="416">
        <f>SUM(D97:D98)</f>
        <v>55563147</v>
      </c>
      <c r="E99" s="470">
        <f>SUM(E97:E98)</f>
        <v>52608218</v>
      </c>
      <c r="F99" s="521"/>
      <c r="G99" s="416"/>
      <c r="H99" s="416"/>
      <c r="I99" s="416"/>
      <c r="J99" s="416"/>
      <c r="K99" s="416"/>
      <c r="L99" s="414"/>
      <c r="M99" s="425"/>
      <c r="N99" s="425"/>
      <c r="O99" s="425"/>
    </row>
    <row r="100" spans="1:12" ht="12.75">
      <c r="A100" s="215" t="str">
        <f>+'Eje instrumental'!C689</f>
        <v>INFRAESTRUCTURA Y EQUIPAMENTO PUBLICO</v>
      </c>
      <c r="B100" s="204"/>
      <c r="C100" s="204"/>
      <c r="D100" s="434"/>
      <c r="E100" s="471"/>
      <c r="F100" s="522"/>
      <c r="G100" s="204"/>
      <c r="H100" s="204"/>
      <c r="I100" s="204"/>
      <c r="J100" s="204"/>
      <c r="K100" s="204"/>
      <c r="L100" s="203"/>
    </row>
    <row r="101" spans="1:12" ht="12.75">
      <c r="A101" s="226" t="s">
        <v>727</v>
      </c>
      <c r="B101" s="189"/>
      <c r="C101" s="189"/>
      <c r="D101" s="435"/>
      <c r="E101" s="472"/>
      <c r="F101" s="523"/>
      <c r="G101" s="189"/>
      <c r="H101" s="189"/>
      <c r="I101" s="189"/>
      <c r="J101" s="189"/>
      <c r="K101" s="189"/>
      <c r="L101" s="195"/>
    </row>
    <row r="102" spans="1:12" ht="12.75">
      <c r="A102" s="207" t="s">
        <v>269</v>
      </c>
      <c r="B102" s="189"/>
      <c r="C102" s="189"/>
      <c r="D102" s="435"/>
      <c r="E102" s="472"/>
      <c r="F102" s="523"/>
      <c r="G102" s="189"/>
      <c r="H102" s="189"/>
      <c r="I102" s="189"/>
      <c r="J102" s="189"/>
      <c r="K102" s="189"/>
      <c r="L102" s="195"/>
    </row>
    <row r="103" spans="1:12" ht="12.75">
      <c r="A103" s="206">
        <v>223010101</v>
      </c>
      <c r="B103" s="220">
        <v>275316024</v>
      </c>
      <c r="C103" s="220">
        <v>123891423</v>
      </c>
      <c r="D103" s="436">
        <v>125273582</v>
      </c>
      <c r="E103" s="452">
        <v>99996215</v>
      </c>
      <c r="F103" s="501"/>
      <c r="G103" s="220"/>
      <c r="H103" s="220"/>
      <c r="I103" s="220"/>
      <c r="J103" s="220"/>
      <c r="K103" s="220"/>
      <c r="L103" s="224" t="str">
        <f>+'Eje instrumental'!C12</f>
        <v>Renovación  redes de acueducto urbano</v>
      </c>
    </row>
    <row r="104" spans="1:12" ht="25.5">
      <c r="A104" s="206">
        <v>223010102</v>
      </c>
      <c r="B104" s="220">
        <v>0</v>
      </c>
      <c r="C104" s="220">
        <v>42630368</v>
      </c>
      <c r="D104" s="220">
        <v>88772899</v>
      </c>
      <c r="E104" s="452">
        <v>63865161</v>
      </c>
      <c r="F104" s="501"/>
      <c r="G104" s="220"/>
      <c r="H104" s="220"/>
      <c r="I104" s="220"/>
      <c r="J104" s="220"/>
      <c r="K104" s="220"/>
      <c r="L104" s="224" t="str">
        <f>+'Eje instrumental'!C45</f>
        <v>Ampliación y mejoramiento de cobertura del servicio de agua  potable en la zona urbana</v>
      </c>
    </row>
    <row r="105" spans="1:12" ht="25.5">
      <c r="A105" s="206">
        <v>223010107</v>
      </c>
      <c r="B105" s="220"/>
      <c r="C105" s="220">
        <v>3483000</v>
      </c>
      <c r="D105" s="220">
        <v>10263864</v>
      </c>
      <c r="E105" s="452">
        <v>10166328</v>
      </c>
      <c r="F105" s="501"/>
      <c r="G105" s="220"/>
      <c r="H105" s="220"/>
      <c r="I105" s="220"/>
      <c r="J105" s="220"/>
      <c r="K105" s="220"/>
      <c r="L105" s="224" t="s">
        <v>748</v>
      </c>
    </row>
    <row r="106" spans="1:12" ht="12.75">
      <c r="A106" s="206"/>
      <c r="B106" s="220"/>
      <c r="C106" s="196">
        <f>SUM(C103:C105)</f>
        <v>170004791</v>
      </c>
      <c r="D106" s="277">
        <f>SUM(D103:D105)</f>
        <v>224310345</v>
      </c>
      <c r="E106" s="453">
        <f>SUM(E103:E105)</f>
        <v>174027704</v>
      </c>
      <c r="F106" s="502"/>
      <c r="G106" s="277"/>
      <c r="H106" s="277"/>
      <c r="I106" s="277"/>
      <c r="J106" s="277"/>
      <c r="K106" s="277"/>
      <c r="L106" s="224"/>
    </row>
    <row r="107" spans="1:12" ht="12.75">
      <c r="A107" s="207" t="s">
        <v>270</v>
      </c>
      <c r="B107" s="220"/>
      <c r="C107" s="220"/>
      <c r="D107" s="220"/>
      <c r="E107" s="456"/>
      <c r="F107" s="505"/>
      <c r="G107" s="196"/>
      <c r="H107" s="196"/>
      <c r="I107" s="196"/>
      <c r="J107" s="196"/>
      <c r="K107" s="196"/>
      <c r="L107" s="224"/>
    </row>
    <row r="108" spans="1:12" ht="12.75">
      <c r="A108" s="206">
        <v>223010105</v>
      </c>
      <c r="B108" s="220"/>
      <c r="C108" s="220">
        <v>76374228</v>
      </c>
      <c r="D108" s="220">
        <v>193650</v>
      </c>
      <c r="E108" s="452">
        <v>193650</v>
      </c>
      <c r="F108" s="501"/>
      <c r="G108" s="220"/>
      <c r="H108" s="220"/>
      <c r="I108" s="220"/>
      <c r="J108" s="220"/>
      <c r="K108" s="220"/>
      <c r="L108" s="224" t="s">
        <v>607</v>
      </c>
    </row>
    <row r="109" spans="1:12" ht="12.75">
      <c r="A109" s="206">
        <v>223010106</v>
      </c>
      <c r="B109" s="220"/>
      <c r="C109" s="220">
        <v>30287812</v>
      </c>
      <c r="D109" s="220">
        <v>9578581</v>
      </c>
      <c r="E109" s="452">
        <v>9578581</v>
      </c>
      <c r="F109" s="501"/>
      <c r="G109" s="220"/>
      <c r="H109" s="220"/>
      <c r="I109" s="220"/>
      <c r="J109" s="220"/>
      <c r="K109" s="220"/>
      <c r="L109" s="224" t="s">
        <v>608</v>
      </c>
    </row>
    <row r="110" spans="1:12" ht="12.75">
      <c r="A110" s="206">
        <v>223010110</v>
      </c>
      <c r="B110" s="220"/>
      <c r="C110" s="220">
        <v>4700000</v>
      </c>
      <c r="D110" s="220">
        <v>18000000</v>
      </c>
      <c r="E110" s="452">
        <v>17999995</v>
      </c>
      <c r="F110" s="501"/>
      <c r="G110" s="220"/>
      <c r="H110" s="220"/>
      <c r="I110" s="220"/>
      <c r="J110" s="220"/>
      <c r="K110" s="220"/>
      <c r="L110" s="224" t="s">
        <v>267</v>
      </c>
    </row>
    <row r="111" spans="1:12" ht="12.75">
      <c r="A111" s="206">
        <v>223010111</v>
      </c>
      <c r="B111" s="220"/>
      <c r="C111" s="220">
        <v>7000000</v>
      </c>
      <c r="D111" s="220">
        <v>20000000</v>
      </c>
      <c r="E111" s="452">
        <v>19997222</v>
      </c>
      <c r="F111" s="501"/>
      <c r="G111" s="220"/>
      <c r="H111" s="220"/>
      <c r="I111" s="220"/>
      <c r="J111" s="220"/>
      <c r="K111" s="220"/>
      <c r="L111" s="224" t="s">
        <v>268</v>
      </c>
    </row>
    <row r="112" spans="1:12" ht="25.5">
      <c r="A112" s="206">
        <v>223050116</v>
      </c>
      <c r="B112" s="220"/>
      <c r="C112" s="220"/>
      <c r="D112" s="220"/>
      <c r="E112" s="452"/>
      <c r="F112" s="501"/>
      <c r="G112" s="220"/>
      <c r="H112" s="220"/>
      <c r="I112" s="220"/>
      <c r="J112" s="220"/>
      <c r="K112" s="220"/>
      <c r="L112" s="224" t="s">
        <v>178</v>
      </c>
    </row>
    <row r="113" spans="1:12" ht="12.75">
      <c r="A113" s="206">
        <v>223050118</v>
      </c>
      <c r="B113" s="220"/>
      <c r="C113" s="220">
        <v>13000000</v>
      </c>
      <c r="D113" s="220"/>
      <c r="E113" s="452"/>
      <c r="F113" s="501"/>
      <c r="G113" s="220"/>
      <c r="H113" s="220"/>
      <c r="I113" s="220"/>
      <c r="J113" s="220"/>
      <c r="K113" s="220"/>
      <c r="L113" s="224" t="s">
        <v>747</v>
      </c>
    </row>
    <row r="114" spans="1:12" ht="12.75">
      <c r="A114" s="206">
        <v>223010125</v>
      </c>
      <c r="B114" s="220"/>
      <c r="C114" s="220">
        <v>9150000</v>
      </c>
      <c r="D114" s="220">
        <v>3786066</v>
      </c>
      <c r="E114" s="452">
        <v>3786066</v>
      </c>
      <c r="F114" s="501"/>
      <c r="G114" s="220"/>
      <c r="H114" s="220"/>
      <c r="I114" s="220"/>
      <c r="J114" s="220"/>
      <c r="K114" s="220"/>
      <c r="L114" s="224" t="s">
        <v>746</v>
      </c>
    </row>
    <row r="115" spans="1:12" ht="35.25" customHeight="1">
      <c r="A115" s="206">
        <v>223070126</v>
      </c>
      <c r="B115" s="220"/>
      <c r="C115" s="220">
        <v>3496500</v>
      </c>
      <c r="D115" s="220">
        <v>1303934</v>
      </c>
      <c r="E115" s="452">
        <v>1303934</v>
      </c>
      <c r="F115" s="501"/>
      <c r="G115" s="220"/>
      <c r="H115" s="220"/>
      <c r="I115" s="220"/>
      <c r="J115" s="220"/>
      <c r="K115" s="220"/>
      <c r="L115" s="224" t="s">
        <v>575</v>
      </c>
    </row>
    <row r="116" spans="1:12" ht="12.75">
      <c r="A116" s="206"/>
      <c r="B116" s="220"/>
      <c r="C116" s="196">
        <f>SUM(C108:C115)</f>
        <v>144008540</v>
      </c>
      <c r="D116" s="277">
        <f>SUM(D108:D115)</f>
        <v>52862231</v>
      </c>
      <c r="E116" s="453">
        <f>SUM(E108:E115)</f>
        <v>52859448</v>
      </c>
      <c r="F116" s="502"/>
      <c r="G116" s="277"/>
      <c r="H116" s="277"/>
      <c r="I116" s="277"/>
      <c r="J116" s="277"/>
      <c r="K116" s="277"/>
      <c r="L116" s="224"/>
    </row>
    <row r="117" spans="1:15" s="404" customFormat="1" ht="12.75">
      <c r="A117" s="408" t="s">
        <v>570</v>
      </c>
      <c r="B117" s="431"/>
      <c r="C117" s="409">
        <f>+C106+C116</f>
        <v>314013331</v>
      </c>
      <c r="D117" s="410">
        <f>+D106+D116</f>
        <v>277172576</v>
      </c>
      <c r="E117" s="466">
        <f>+E106+E116</f>
        <v>226887152</v>
      </c>
      <c r="F117" s="517"/>
      <c r="G117" s="410"/>
      <c r="H117" s="410"/>
      <c r="I117" s="410"/>
      <c r="J117" s="410"/>
      <c r="K117" s="410"/>
      <c r="L117" s="417"/>
      <c r="M117" s="425"/>
      <c r="N117" s="425"/>
      <c r="O117" s="425"/>
    </row>
    <row r="118" spans="1:12" ht="12.75">
      <c r="A118" s="226" t="s">
        <v>561</v>
      </c>
      <c r="B118" s="220"/>
      <c r="C118" s="196"/>
      <c r="D118" s="277"/>
      <c r="E118" s="456"/>
      <c r="F118" s="505"/>
      <c r="G118" s="196"/>
      <c r="H118" s="196"/>
      <c r="I118" s="196"/>
      <c r="J118" s="196"/>
      <c r="K118" s="196"/>
      <c r="L118" s="224"/>
    </row>
    <row r="119" spans="1:12" ht="12.75">
      <c r="A119" s="207" t="s">
        <v>571</v>
      </c>
      <c r="B119" s="220"/>
      <c r="C119" s="196"/>
      <c r="D119" s="277"/>
      <c r="E119" s="456"/>
      <c r="F119" s="505"/>
      <c r="G119" s="196"/>
      <c r="H119" s="196"/>
      <c r="I119" s="196"/>
      <c r="J119" s="196"/>
      <c r="K119" s="196"/>
      <c r="L119" s="224"/>
    </row>
    <row r="120" spans="1:12" ht="12.75">
      <c r="A120" s="208">
        <v>223010104</v>
      </c>
      <c r="B120" s="220"/>
      <c r="C120" s="196">
        <v>0</v>
      </c>
      <c r="D120" s="220">
        <v>0</v>
      </c>
      <c r="E120" s="456">
        <v>0</v>
      </c>
      <c r="F120" s="505"/>
      <c r="G120" s="196"/>
      <c r="H120" s="196"/>
      <c r="I120" s="196"/>
      <c r="J120" s="196"/>
      <c r="K120" s="196"/>
      <c r="L120" s="224" t="s">
        <v>572</v>
      </c>
    </row>
    <row r="121" spans="1:12" ht="12.75">
      <c r="A121" s="206">
        <v>223050117</v>
      </c>
      <c r="B121" s="220"/>
      <c r="C121" s="220"/>
      <c r="D121" s="220">
        <v>0</v>
      </c>
      <c r="E121" s="452">
        <v>0</v>
      </c>
      <c r="F121" s="501"/>
      <c r="G121" s="220"/>
      <c r="H121" s="220"/>
      <c r="I121" s="220"/>
      <c r="J121" s="220"/>
      <c r="K121" s="220"/>
      <c r="L121" s="224" t="s">
        <v>176</v>
      </c>
    </row>
    <row r="122" spans="1:12" ht="26.25" customHeight="1">
      <c r="A122" s="206">
        <v>223010108</v>
      </c>
      <c r="B122" s="220"/>
      <c r="C122" s="201">
        <v>2847000</v>
      </c>
      <c r="D122" s="220">
        <v>9072845</v>
      </c>
      <c r="E122" s="452">
        <v>9072845</v>
      </c>
      <c r="F122" s="501"/>
      <c r="G122" s="220"/>
      <c r="H122" s="220"/>
      <c r="I122" s="220"/>
      <c r="J122" s="220"/>
      <c r="K122" s="220"/>
      <c r="L122" s="224" t="s">
        <v>795</v>
      </c>
    </row>
    <row r="123" spans="1:12" ht="26.25" customHeight="1">
      <c r="A123" s="206">
        <v>223070125</v>
      </c>
      <c r="B123" s="220"/>
      <c r="C123" s="201"/>
      <c r="D123" s="220">
        <v>0</v>
      </c>
      <c r="E123" s="457">
        <v>0</v>
      </c>
      <c r="F123" s="506"/>
      <c r="G123" s="201"/>
      <c r="H123" s="201"/>
      <c r="I123" s="201"/>
      <c r="J123" s="201"/>
      <c r="K123" s="201"/>
      <c r="L123" s="224" t="s">
        <v>179</v>
      </c>
    </row>
    <row r="124" spans="1:15" s="404" customFormat="1" ht="12.75">
      <c r="A124" s="408" t="s">
        <v>18</v>
      </c>
      <c r="B124" s="431"/>
      <c r="C124" s="409">
        <f>+C122</f>
        <v>2847000</v>
      </c>
      <c r="D124" s="410">
        <f>SUM(D120:D123)</f>
        <v>9072845</v>
      </c>
      <c r="E124" s="466">
        <f>SUM(E120:E123)</f>
        <v>9072845</v>
      </c>
      <c r="F124" s="517"/>
      <c r="G124" s="410"/>
      <c r="H124" s="410"/>
      <c r="I124" s="410"/>
      <c r="J124" s="410"/>
      <c r="K124" s="410"/>
      <c r="L124" s="417"/>
      <c r="M124" s="425"/>
      <c r="N124" s="425"/>
      <c r="O124" s="425"/>
    </row>
    <row r="125" spans="1:12" ht="12.75">
      <c r="A125" s="226" t="s">
        <v>573</v>
      </c>
      <c r="B125" s="220"/>
      <c r="C125" s="194"/>
      <c r="D125" s="220"/>
      <c r="E125" s="473"/>
      <c r="F125" s="524"/>
      <c r="G125" s="194"/>
      <c r="H125" s="194"/>
      <c r="I125" s="194"/>
      <c r="J125" s="194"/>
      <c r="K125" s="194"/>
      <c r="L125" s="224"/>
    </row>
    <row r="126" spans="1:12" ht="12.75">
      <c r="A126" s="206">
        <v>223040112</v>
      </c>
      <c r="B126" s="220">
        <v>148000319.73</v>
      </c>
      <c r="C126" s="220">
        <v>60000000</v>
      </c>
      <c r="D126" s="220">
        <v>0</v>
      </c>
      <c r="E126" s="452">
        <v>0</v>
      </c>
      <c r="F126" s="501"/>
      <c r="G126" s="220"/>
      <c r="H126" s="220"/>
      <c r="I126" s="220"/>
      <c r="J126" s="220"/>
      <c r="K126" s="220"/>
      <c r="L126" s="224" t="str">
        <f>+'Eje instrumental'!C139</f>
        <v>Subsidio Ley 142/94</v>
      </c>
    </row>
    <row r="127" spans="1:12" ht="12.75">
      <c r="A127" s="207" t="s">
        <v>197</v>
      </c>
      <c r="B127" s="196"/>
      <c r="C127" s="196">
        <f>+C126</f>
        <v>60000000</v>
      </c>
      <c r="D127" s="277">
        <f>+D126</f>
        <v>0</v>
      </c>
      <c r="E127" s="456">
        <f>+E126</f>
        <v>0</v>
      </c>
      <c r="F127" s="505"/>
      <c r="G127" s="196"/>
      <c r="H127" s="196"/>
      <c r="I127" s="196"/>
      <c r="J127" s="196"/>
      <c r="K127" s="196"/>
      <c r="L127" s="224"/>
    </row>
    <row r="128" spans="1:12" ht="12.75">
      <c r="A128" s="207" t="s">
        <v>574</v>
      </c>
      <c r="B128" s="220"/>
      <c r="C128" s="220"/>
      <c r="D128" s="220"/>
      <c r="E128" s="452"/>
      <c r="F128" s="501"/>
      <c r="G128" s="220"/>
      <c r="H128" s="220"/>
      <c r="I128" s="220"/>
      <c r="J128" s="220"/>
      <c r="K128" s="220"/>
      <c r="L128" s="224"/>
    </row>
    <row r="129" spans="1:12" ht="12.75">
      <c r="A129" s="226" t="s">
        <v>9</v>
      </c>
      <c r="B129" s="220"/>
      <c r="C129" s="220"/>
      <c r="D129" s="220"/>
      <c r="E129" s="452"/>
      <c r="F129" s="501"/>
      <c r="G129" s="220"/>
      <c r="H129" s="220"/>
      <c r="I129" s="220"/>
      <c r="J129" s="220"/>
      <c r="K129" s="220"/>
      <c r="L129" s="224"/>
    </row>
    <row r="130" spans="1:12" ht="12.75">
      <c r="A130" s="206">
        <v>223010103</v>
      </c>
      <c r="B130" s="220"/>
      <c r="C130" s="220">
        <v>137224615</v>
      </c>
      <c r="D130" s="220">
        <v>149261685</v>
      </c>
      <c r="E130" s="452">
        <f>134861679-6965</f>
        <v>134854714</v>
      </c>
      <c r="F130" s="501"/>
      <c r="G130" s="220"/>
      <c r="H130" s="220"/>
      <c r="I130" s="220"/>
      <c r="J130" s="220"/>
      <c r="K130" s="220"/>
      <c r="L130" s="224" t="s">
        <v>7</v>
      </c>
    </row>
    <row r="131" spans="1:12" ht="25.5">
      <c r="A131" s="206">
        <v>223010109</v>
      </c>
      <c r="B131" s="220"/>
      <c r="C131" s="220">
        <v>30300000</v>
      </c>
      <c r="D131" s="220">
        <v>16820004</v>
      </c>
      <c r="E131" s="452">
        <v>16820004</v>
      </c>
      <c r="F131" s="501"/>
      <c r="G131" s="220"/>
      <c r="H131" s="220"/>
      <c r="I131" s="220"/>
      <c r="J131" s="220"/>
      <c r="K131" s="220"/>
      <c r="L131" s="224" t="s">
        <v>8</v>
      </c>
    </row>
    <row r="132" spans="1:12" ht="12.75">
      <c r="A132" s="206">
        <v>223010124</v>
      </c>
      <c r="B132" s="220"/>
      <c r="C132" s="220">
        <v>34000000</v>
      </c>
      <c r="D132" s="220">
        <v>61772656</v>
      </c>
      <c r="E132" s="452">
        <v>61772656</v>
      </c>
      <c r="F132" s="501"/>
      <c r="G132" s="220"/>
      <c r="H132" s="220"/>
      <c r="I132" s="220"/>
      <c r="J132" s="220"/>
      <c r="K132" s="220"/>
      <c r="L132" s="224" t="s">
        <v>535</v>
      </c>
    </row>
    <row r="133" spans="1:12" ht="12.75">
      <c r="A133" s="206">
        <v>223010127</v>
      </c>
      <c r="B133" s="220"/>
      <c r="C133" s="220">
        <v>0</v>
      </c>
      <c r="D133" s="220">
        <v>230000000</v>
      </c>
      <c r="E133" s="452">
        <v>230000000</v>
      </c>
      <c r="F133" s="501"/>
      <c r="G133" s="220"/>
      <c r="H133" s="220"/>
      <c r="I133" s="220"/>
      <c r="J133" s="220"/>
      <c r="K133" s="220"/>
      <c r="L133" s="224" t="s">
        <v>576</v>
      </c>
    </row>
    <row r="134" spans="1:12" ht="12.75">
      <c r="A134" s="206">
        <v>223010128</v>
      </c>
      <c r="B134" s="220"/>
      <c r="C134" s="220">
        <v>7000000</v>
      </c>
      <c r="D134" s="220">
        <v>9000000</v>
      </c>
      <c r="E134" s="452">
        <v>0</v>
      </c>
      <c r="F134" s="501"/>
      <c r="G134" s="220"/>
      <c r="H134" s="220"/>
      <c r="I134" s="220"/>
      <c r="J134" s="220"/>
      <c r="K134" s="220"/>
      <c r="L134" s="224" t="s">
        <v>494</v>
      </c>
    </row>
    <row r="135" spans="1:15" s="404" customFormat="1" ht="12.75">
      <c r="A135" s="408" t="s">
        <v>10</v>
      </c>
      <c r="B135" s="409"/>
      <c r="C135" s="409">
        <f>SUM(C130:C134)</f>
        <v>208524615</v>
      </c>
      <c r="D135" s="410">
        <f>SUM(D130:D134)</f>
        <v>466854345</v>
      </c>
      <c r="E135" s="466">
        <f>SUM(E130:E134)</f>
        <v>443447374</v>
      </c>
      <c r="F135" s="517"/>
      <c r="G135" s="410"/>
      <c r="H135" s="410"/>
      <c r="I135" s="410"/>
      <c r="J135" s="410"/>
      <c r="K135" s="410"/>
      <c r="L135" s="418"/>
      <c r="M135" s="425"/>
      <c r="N135" s="425"/>
      <c r="O135" s="425"/>
    </row>
    <row r="136" spans="1:12" ht="12.75">
      <c r="A136" s="226" t="s">
        <v>11</v>
      </c>
      <c r="B136" s="220"/>
      <c r="C136" s="196"/>
      <c r="D136" s="277"/>
      <c r="E136" s="456"/>
      <c r="F136" s="505"/>
      <c r="G136" s="196"/>
      <c r="H136" s="196"/>
      <c r="I136" s="196"/>
      <c r="J136" s="196"/>
      <c r="K136" s="196"/>
      <c r="L136" s="224"/>
    </row>
    <row r="137" spans="1:12" ht="12.75">
      <c r="A137" s="206">
        <v>223030113</v>
      </c>
      <c r="B137" s="220"/>
      <c r="C137" s="196">
        <v>0</v>
      </c>
      <c r="D137" s="220">
        <v>88074857</v>
      </c>
      <c r="E137" s="452">
        <v>88074857</v>
      </c>
      <c r="F137" s="501"/>
      <c r="G137" s="220"/>
      <c r="H137" s="220"/>
      <c r="I137" s="220"/>
      <c r="J137" s="220"/>
      <c r="K137" s="220"/>
      <c r="L137" s="224" t="s">
        <v>12</v>
      </c>
    </row>
    <row r="138" spans="1:12" ht="25.5">
      <c r="A138" s="206">
        <v>223030114</v>
      </c>
      <c r="B138" s="220"/>
      <c r="C138" s="196"/>
      <c r="D138" s="220">
        <v>5000000</v>
      </c>
      <c r="E138" s="452">
        <v>5000000</v>
      </c>
      <c r="F138" s="501"/>
      <c r="G138" s="220"/>
      <c r="H138" s="220"/>
      <c r="I138" s="220"/>
      <c r="J138" s="220"/>
      <c r="K138" s="220"/>
      <c r="L138" s="224" t="s">
        <v>495</v>
      </c>
    </row>
    <row r="139" spans="1:12" ht="12.75">
      <c r="A139" s="383">
        <v>226051129</v>
      </c>
      <c r="B139" s="384"/>
      <c r="C139" s="385"/>
      <c r="D139" s="384">
        <v>1000000</v>
      </c>
      <c r="E139" s="455">
        <v>1000000</v>
      </c>
      <c r="F139" s="504"/>
      <c r="G139" s="384"/>
      <c r="H139" s="384"/>
      <c r="I139" s="384"/>
      <c r="J139" s="384"/>
      <c r="K139" s="384"/>
      <c r="L139" s="224" t="s">
        <v>480</v>
      </c>
    </row>
    <row r="140" spans="1:12" ht="25.5">
      <c r="A140" s="206">
        <v>223030115</v>
      </c>
      <c r="B140" s="220"/>
      <c r="C140" s="196"/>
      <c r="D140" s="220">
        <v>240000000</v>
      </c>
      <c r="E140" s="452">
        <v>236030888</v>
      </c>
      <c r="F140" s="501"/>
      <c r="G140" s="220"/>
      <c r="H140" s="220"/>
      <c r="I140" s="220"/>
      <c r="J140" s="220"/>
      <c r="K140" s="220"/>
      <c r="L140" s="224" t="s">
        <v>6</v>
      </c>
    </row>
    <row r="141" spans="1:12" ht="12.75">
      <c r="A141" s="206"/>
      <c r="B141" s="220"/>
      <c r="C141" s="196"/>
      <c r="D141" s="220"/>
      <c r="E141" s="452"/>
      <c r="F141" s="501"/>
      <c r="G141" s="220"/>
      <c r="H141" s="220"/>
      <c r="I141" s="220"/>
      <c r="J141" s="220"/>
      <c r="K141" s="220"/>
      <c r="L141" s="224"/>
    </row>
    <row r="142" spans="1:12" ht="25.5">
      <c r="A142" s="206">
        <v>223030131</v>
      </c>
      <c r="B142" s="220"/>
      <c r="C142" s="201">
        <v>20447902</v>
      </c>
      <c r="D142" s="220"/>
      <c r="E142" s="457"/>
      <c r="F142" s="506"/>
      <c r="G142" s="201"/>
      <c r="H142" s="201"/>
      <c r="I142" s="201"/>
      <c r="J142" s="201"/>
      <c r="K142" s="201"/>
      <c r="L142" s="224" t="s">
        <v>278</v>
      </c>
    </row>
    <row r="143" spans="1:12" ht="25.5">
      <c r="A143" s="206">
        <v>223030132</v>
      </c>
      <c r="B143" s="220"/>
      <c r="C143" s="201"/>
      <c r="D143" s="220"/>
      <c r="E143" s="457"/>
      <c r="F143" s="506"/>
      <c r="G143" s="201"/>
      <c r="H143" s="201"/>
      <c r="I143" s="201"/>
      <c r="J143" s="201"/>
      <c r="K143" s="201"/>
      <c r="L143" s="224" t="s">
        <v>398</v>
      </c>
    </row>
    <row r="144" spans="1:12" ht="12.75">
      <c r="A144" s="206">
        <v>223060119</v>
      </c>
      <c r="B144" s="220"/>
      <c r="C144" s="201">
        <v>1000000</v>
      </c>
      <c r="D144" s="220"/>
      <c r="E144" s="457"/>
      <c r="F144" s="506"/>
      <c r="G144" s="201"/>
      <c r="H144" s="201"/>
      <c r="I144" s="201"/>
      <c r="J144" s="201"/>
      <c r="K144" s="201"/>
      <c r="L144" s="224" t="s">
        <v>22</v>
      </c>
    </row>
    <row r="145" spans="1:12" ht="12.75">
      <c r="A145" s="206">
        <v>223080229</v>
      </c>
      <c r="B145" s="220"/>
      <c r="C145" s="201">
        <v>4552098</v>
      </c>
      <c r="D145" s="220"/>
      <c r="E145" s="452"/>
      <c r="F145" s="501"/>
      <c r="G145" s="220"/>
      <c r="H145" s="220"/>
      <c r="I145" s="220"/>
      <c r="J145" s="220"/>
      <c r="K145" s="220"/>
      <c r="L145" s="224" t="s">
        <v>177</v>
      </c>
    </row>
    <row r="146" spans="1:12" ht="25.5">
      <c r="A146" s="206">
        <v>223080235</v>
      </c>
      <c r="B146" s="220"/>
      <c r="C146" s="201">
        <v>5881575</v>
      </c>
      <c r="D146" s="220"/>
      <c r="E146" s="457"/>
      <c r="F146" s="506"/>
      <c r="G146" s="201"/>
      <c r="H146" s="201"/>
      <c r="I146" s="201"/>
      <c r="J146" s="201"/>
      <c r="K146" s="201"/>
      <c r="L146" s="224" t="s">
        <v>195</v>
      </c>
    </row>
    <row r="147" spans="1:15" s="404" customFormat="1" ht="12.75">
      <c r="A147" s="408" t="s">
        <v>13</v>
      </c>
      <c r="B147" s="431"/>
      <c r="C147" s="409">
        <f>SUM(C137:C146)</f>
        <v>31881575</v>
      </c>
      <c r="D147" s="410">
        <f>SUM(D137:D146)</f>
        <v>334074857</v>
      </c>
      <c r="E147" s="466">
        <f>SUM(E137:E146)</f>
        <v>330105745</v>
      </c>
      <c r="F147" s="517"/>
      <c r="G147" s="410"/>
      <c r="H147" s="410"/>
      <c r="I147" s="410"/>
      <c r="J147" s="410"/>
      <c r="K147" s="410"/>
      <c r="L147" s="409"/>
      <c r="M147" s="425"/>
      <c r="N147" s="425"/>
      <c r="O147" s="425"/>
    </row>
    <row r="148" spans="1:15" s="404" customFormat="1" ht="12.75">
      <c r="A148" s="408" t="s">
        <v>252</v>
      </c>
      <c r="B148" s="409"/>
      <c r="C148" s="409">
        <f>+C117+C124+C127+C135+C147</f>
        <v>617266521</v>
      </c>
      <c r="D148" s="410">
        <f>+D117+D124+D127+D135+D147</f>
        <v>1087174623</v>
      </c>
      <c r="E148" s="466">
        <f>+E117+E124+E127+E135+E147</f>
        <v>1009513116</v>
      </c>
      <c r="F148" s="517"/>
      <c r="G148" s="410"/>
      <c r="H148" s="410"/>
      <c r="I148" s="410"/>
      <c r="J148" s="410"/>
      <c r="K148" s="410"/>
      <c r="L148" s="418"/>
      <c r="M148" s="425"/>
      <c r="N148" s="425"/>
      <c r="O148" s="425"/>
    </row>
    <row r="149" spans="1:12" ht="12.75">
      <c r="A149" s="207" t="s">
        <v>252</v>
      </c>
      <c r="B149" s="196"/>
      <c r="C149" s="196" t="e">
        <f>+C125+C132+C135+C143+#REF!</f>
        <v>#REF!</v>
      </c>
      <c r="D149" s="277"/>
      <c r="E149" s="453"/>
      <c r="F149" s="502"/>
      <c r="G149" s="277"/>
      <c r="H149" s="277"/>
      <c r="I149" s="277"/>
      <c r="J149" s="277"/>
      <c r="K149" s="277"/>
      <c r="L149" s="227"/>
    </row>
    <row r="150" spans="1:12" ht="12.75">
      <c r="A150" s="207" t="s">
        <v>14</v>
      </c>
      <c r="B150" s="220"/>
      <c r="C150" s="196"/>
      <c r="D150" s="277"/>
      <c r="E150" s="456"/>
      <c r="F150" s="505"/>
      <c r="G150" s="196"/>
      <c r="H150" s="196"/>
      <c r="I150" s="196"/>
      <c r="J150" s="196"/>
      <c r="K150" s="196"/>
      <c r="L150" s="224"/>
    </row>
    <row r="151" spans="1:12" ht="25.5">
      <c r="A151" s="206">
        <v>223030215</v>
      </c>
      <c r="B151" s="220"/>
      <c r="C151" s="201">
        <v>7652651</v>
      </c>
      <c r="D151" s="220">
        <v>7950000</v>
      </c>
      <c r="E151" s="457">
        <v>7947760</v>
      </c>
      <c r="F151" s="506"/>
      <c r="G151" s="201"/>
      <c r="H151" s="201"/>
      <c r="I151" s="201"/>
      <c r="J151" s="201"/>
      <c r="K151" s="201"/>
      <c r="L151" s="224" t="s">
        <v>15</v>
      </c>
    </row>
    <row r="152" spans="1:12" ht="25.5">
      <c r="A152" s="206">
        <v>223030216</v>
      </c>
      <c r="B152" s="220"/>
      <c r="C152" s="201">
        <v>29079405</v>
      </c>
      <c r="D152" s="220">
        <v>70596210</v>
      </c>
      <c r="E152" s="457">
        <v>15164589</v>
      </c>
      <c r="F152" s="506"/>
      <c r="G152" s="201"/>
      <c r="H152" s="201"/>
      <c r="I152" s="201"/>
      <c r="J152" s="201"/>
      <c r="K152" s="201"/>
      <c r="L152" s="224" t="s">
        <v>16</v>
      </c>
    </row>
    <row r="153" spans="1:12" ht="25.5">
      <c r="A153" s="206">
        <v>223030220</v>
      </c>
      <c r="B153" s="220"/>
      <c r="C153" s="201">
        <f>21376101</f>
        <v>21376101</v>
      </c>
      <c r="D153" s="220">
        <v>40009272</v>
      </c>
      <c r="E153" s="452">
        <f>40009272-300</f>
        <v>40008972</v>
      </c>
      <c r="F153" s="501"/>
      <c r="G153" s="220"/>
      <c r="H153" s="220"/>
      <c r="I153" s="220"/>
      <c r="J153" s="220"/>
      <c r="K153" s="220"/>
      <c r="L153" s="224" t="s">
        <v>23</v>
      </c>
    </row>
    <row r="154" spans="1:12" ht="25.5">
      <c r="A154" s="206">
        <v>223030221</v>
      </c>
      <c r="B154" s="220"/>
      <c r="C154" s="201"/>
      <c r="D154" s="220">
        <v>3000000</v>
      </c>
      <c r="E154" s="452">
        <v>2999750</v>
      </c>
      <c r="F154" s="501"/>
      <c r="G154" s="220"/>
      <c r="H154" s="220"/>
      <c r="I154" s="220"/>
      <c r="J154" s="220"/>
      <c r="K154" s="220"/>
      <c r="L154" s="224" t="s">
        <v>174</v>
      </c>
    </row>
    <row r="155" spans="1:12" ht="39.75" customHeight="1">
      <c r="A155" s="206">
        <v>223030228</v>
      </c>
      <c r="B155" s="220"/>
      <c r="C155" s="201">
        <v>5000000</v>
      </c>
      <c r="D155" s="220">
        <v>67182777</v>
      </c>
      <c r="E155" s="457">
        <v>7703856</v>
      </c>
      <c r="F155" s="506"/>
      <c r="G155" s="201"/>
      <c r="H155" s="201"/>
      <c r="I155" s="201"/>
      <c r="J155" s="201"/>
      <c r="K155" s="201"/>
      <c r="L155" s="224" t="s">
        <v>223</v>
      </c>
    </row>
    <row r="156" spans="1:12" ht="38.25">
      <c r="A156" s="206">
        <v>223030229</v>
      </c>
      <c r="B156" s="220"/>
      <c r="C156" s="201">
        <f>1000000</f>
        <v>1000000</v>
      </c>
      <c r="D156" s="220">
        <v>520500000</v>
      </c>
      <c r="E156" s="457">
        <v>0</v>
      </c>
      <c r="F156" s="506"/>
      <c r="G156" s="201"/>
      <c r="H156" s="201"/>
      <c r="I156" s="201"/>
      <c r="J156" s="201"/>
      <c r="K156" s="201"/>
      <c r="L156" s="224" t="s">
        <v>224</v>
      </c>
    </row>
    <row r="157" spans="1:12" ht="51">
      <c r="A157" s="206">
        <v>223030231</v>
      </c>
      <c r="B157" s="220"/>
      <c r="C157" s="201"/>
      <c r="D157" s="220">
        <v>49177500</v>
      </c>
      <c r="E157" s="452">
        <v>49177495</v>
      </c>
      <c r="F157" s="501"/>
      <c r="G157" s="220"/>
      <c r="H157" s="220"/>
      <c r="I157" s="220"/>
      <c r="J157" s="220"/>
      <c r="K157" s="220"/>
      <c r="L157" s="224" t="s">
        <v>577</v>
      </c>
    </row>
    <row r="158" spans="1:12" ht="12.75">
      <c r="A158" s="207" t="s">
        <v>17</v>
      </c>
      <c r="B158" s="196">
        <v>46489715</v>
      </c>
      <c r="C158" s="196">
        <f>SUM(C151:C156)</f>
        <v>64108157</v>
      </c>
      <c r="D158" s="277">
        <f>SUM(D151:D157)</f>
        <v>758415759</v>
      </c>
      <c r="E158" s="453">
        <f>SUM(E151:E157)</f>
        <v>123002422</v>
      </c>
      <c r="F158" s="502"/>
      <c r="G158" s="277"/>
      <c r="H158" s="277"/>
      <c r="I158" s="277"/>
      <c r="J158" s="277"/>
      <c r="K158" s="277"/>
      <c r="L158" s="196">
        <f>SUM(L151:L157)</f>
        <v>0</v>
      </c>
    </row>
    <row r="159" spans="1:12" ht="12.75">
      <c r="A159" s="226" t="s">
        <v>20</v>
      </c>
      <c r="B159" s="220"/>
      <c r="C159" s="220"/>
      <c r="D159" s="220"/>
      <c r="E159" s="452"/>
      <c r="F159" s="501"/>
      <c r="G159" s="220"/>
      <c r="H159" s="220"/>
      <c r="I159" s="220"/>
      <c r="J159" s="220"/>
      <c r="K159" s="220"/>
      <c r="L159" s="224"/>
    </row>
    <row r="160" spans="1:12" ht="12.75">
      <c r="A160" s="206">
        <v>223030217</v>
      </c>
      <c r="B160" s="220"/>
      <c r="C160" s="220">
        <v>25000000</v>
      </c>
      <c r="D160" s="220">
        <v>5357728</v>
      </c>
      <c r="E160" s="452">
        <v>5357728</v>
      </c>
      <c r="F160" s="501"/>
      <c r="G160" s="220"/>
      <c r="H160" s="220"/>
      <c r="I160" s="220"/>
      <c r="J160" s="220"/>
      <c r="K160" s="220"/>
      <c r="L160" s="224" t="s">
        <v>19</v>
      </c>
    </row>
    <row r="161" spans="1:12" ht="25.5">
      <c r="A161" s="206">
        <v>223030218</v>
      </c>
      <c r="B161" s="220"/>
      <c r="C161" s="220">
        <v>5917500</v>
      </c>
      <c r="D161" s="220">
        <v>29000000</v>
      </c>
      <c r="E161" s="452">
        <v>28995196</v>
      </c>
      <c r="F161" s="501"/>
      <c r="G161" s="220"/>
      <c r="H161" s="220"/>
      <c r="I161" s="220"/>
      <c r="J161" s="220"/>
      <c r="K161" s="220"/>
      <c r="L161" s="224" t="s">
        <v>21</v>
      </c>
    </row>
    <row r="162" spans="1:12" ht="25.5">
      <c r="A162" s="206">
        <v>223030219</v>
      </c>
      <c r="B162" s="220"/>
      <c r="C162" s="220"/>
      <c r="D162" s="220">
        <v>37356238</v>
      </c>
      <c r="E162" s="452">
        <v>37356237.5</v>
      </c>
      <c r="F162" s="501"/>
      <c r="G162" s="220"/>
      <c r="H162" s="220"/>
      <c r="I162" s="220"/>
      <c r="J162" s="220"/>
      <c r="K162" s="220"/>
      <c r="L162" s="224" t="s">
        <v>180</v>
      </c>
    </row>
    <row r="163" spans="1:12" ht="25.5">
      <c r="A163" s="206">
        <v>223030225</v>
      </c>
      <c r="B163" s="220"/>
      <c r="C163" s="220"/>
      <c r="D163" s="220">
        <v>82172816</v>
      </c>
      <c r="E163" s="452">
        <v>82172815.5</v>
      </c>
      <c r="F163" s="501"/>
      <c r="G163" s="220"/>
      <c r="H163" s="220"/>
      <c r="I163" s="220"/>
      <c r="J163" s="220"/>
      <c r="K163" s="220"/>
      <c r="L163" s="224" t="s">
        <v>399</v>
      </c>
    </row>
    <row r="164" spans="1:12" ht="25.5">
      <c r="A164" s="206">
        <v>223030230</v>
      </c>
      <c r="B164" s="220"/>
      <c r="C164" s="220">
        <v>9082500</v>
      </c>
      <c r="D164" s="220">
        <v>71894503</v>
      </c>
      <c r="E164" s="452">
        <v>71874240</v>
      </c>
      <c r="F164" s="501"/>
      <c r="G164" s="220"/>
      <c r="H164" s="220"/>
      <c r="I164" s="220"/>
      <c r="J164" s="220"/>
      <c r="K164" s="220"/>
      <c r="L164" s="224" t="s">
        <v>225</v>
      </c>
    </row>
    <row r="165" spans="1:12" ht="25.5">
      <c r="A165" s="387">
        <v>226051131</v>
      </c>
      <c r="B165" s="384"/>
      <c r="C165" s="384"/>
      <c r="D165" s="384">
        <v>2000000</v>
      </c>
      <c r="E165" s="455">
        <v>1988000</v>
      </c>
      <c r="F165" s="504"/>
      <c r="G165" s="384"/>
      <c r="H165" s="384"/>
      <c r="I165" s="384"/>
      <c r="J165" s="384"/>
      <c r="K165" s="384"/>
      <c r="L165" s="224" t="s">
        <v>482</v>
      </c>
    </row>
    <row r="166" spans="1:12" ht="25.5">
      <c r="A166" s="387">
        <v>226071138</v>
      </c>
      <c r="B166" s="384"/>
      <c r="C166" s="384"/>
      <c r="D166" s="384">
        <v>2000000</v>
      </c>
      <c r="E166" s="455">
        <v>871271</v>
      </c>
      <c r="F166" s="504"/>
      <c r="G166" s="384"/>
      <c r="H166" s="384"/>
      <c r="I166" s="384"/>
      <c r="J166" s="384"/>
      <c r="K166" s="384"/>
      <c r="L166" s="224" t="s">
        <v>58</v>
      </c>
    </row>
    <row r="167" spans="1:12" ht="12.75">
      <c r="A167" s="206">
        <v>223060221</v>
      </c>
      <c r="B167" s="220"/>
      <c r="C167" s="220">
        <v>623899</v>
      </c>
      <c r="D167" s="220"/>
      <c r="E167" s="452"/>
      <c r="F167" s="501"/>
      <c r="G167" s="220"/>
      <c r="H167" s="220"/>
      <c r="I167" s="220"/>
      <c r="J167" s="220"/>
      <c r="K167" s="220"/>
      <c r="L167" s="224" t="s">
        <v>24</v>
      </c>
    </row>
    <row r="168" spans="1:6" ht="12.75">
      <c r="A168" s="314">
        <v>223060118</v>
      </c>
      <c r="F168" s="525"/>
    </row>
    <row r="169" spans="1:12" ht="12.75">
      <c r="A169" s="207" t="s">
        <v>45</v>
      </c>
      <c r="B169" s="220"/>
      <c r="C169" s="196">
        <f>SUM(C160:C167)</f>
        <v>40623899</v>
      </c>
      <c r="D169" s="277">
        <f>SUM(D160:D168)</f>
        <v>229781285</v>
      </c>
      <c r="E169" s="453">
        <f>SUM(E160:E168)</f>
        <v>228615488</v>
      </c>
      <c r="F169" s="502"/>
      <c r="G169" s="277"/>
      <c r="H169" s="277"/>
      <c r="I169" s="277"/>
      <c r="J169" s="277"/>
      <c r="K169" s="277"/>
      <c r="L169" s="224"/>
    </row>
    <row r="170" spans="1:11" ht="12.75">
      <c r="A170" t="s">
        <v>45</v>
      </c>
      <c r="C170" s="22">
        <f>+C158+C169</f>
        <v>104732056</v>
      </c>
      <c r="D170" s="292">
        <f>+D158+D169</f>
        <v>988197044</v>
      </c>
      <c r="E170" s="292">
        <f>+E158+E169</f>
        <v>351617910</v>
      </c>
      <c r="F170" s="526"/>
      <c r="G170" s="292"/>
      <c r="H170" s="292"/>
      <c r="I170" s="292"/>
      <c r="J170" s="292"/>
      <c r="K170" s="292"/>
    </row>
    <row r="171" spans="1:11" ht="12.75">
      <c r="A171" s="226" t="s">
        <v>71</v>
      </c>
      <c r="C171" s="22"/>
      <c r="D171" s="292"/>
      <c r="E171" s="292"/>
      <c r="F171" s="526"/>
      <c r="G171" s="292"/>
      <c r="H171" s="292"/>
      <c r="I171" s="292"/>
      <c r="J171" s="292"/>
      <c r="K171" s="292"/>
    </row>
    <row r="172" spans="1:12" ht="12.75">
      <c r="A172" s="394">
        <v>226051130</v>
      </c>
      <c r="B172" s="438"/>
      <c r="C172" s="438"/>
      <c r="D172" s="438">
        <v>3000000</v>
      </c>
      <c r="E172" s="474">
        <v>3000000</v>
      </c>
      <c r="F172" s="527"/>
      <c r="G172" s="438"/>
      <c r="H172" s="438"/>
      <c r="I172" s="438"/>
      <c r="J172" s="438"/>
      <c r="K172" s="438"/>
      <c r="L172" s="224" t="s">
        <v>481</v>
      </c>
    </row>
    <row r="173" spans="1:12" ht="25.5">
      <c r="A173" s="391">
        <v>226071139</v>
      </c>
      <c r="B173" s="391"/>
      <c r="C173" s="392"/>
      <c r="D173" s="393">
        <v>18500000</v>
      </c>
      <c r="E173" s="393">
        <v>18500000</v>
      </c>
      <c r="F173" s="528"/>
      <c r="G173" s="393"/>
      <c r="H173" s="393"/>
      <c r="I173" s="393"/>
      <c r="J173" s="393"/>
      <c r="K173" s="393"/>
      <c r="L173" s="224" t="s">
        <v>60</v>
      </c>
    </row>
    <row r="174" spans="1:11" ht="12.75">
      <c r="A174" s="13" t="s">
        <v>59</v>
      </c>
      <c r="C174" s="22" t="e">
        <f>+C162+#REF!</f>
        <v>#REF!</v>
      </c>
      <c r="D174" s="292">
        <f>SUM(D172:D173)</f>
        <v>21500000</v>
      </c>
      <c r="E174" s="292">
        <f>SUM(E172:E173)</f>
        <v>21500000</v>
      </c>
      <c r="F174" s="526"/>
      <c r="G174" s="292"/>
      <c r="H174" s="292"/>
      <c r="I174" s="292"/>
      <c r="J174" s="292"/>
      <c r="K174" s="292"/>
    </row>
    <row r="175" spans="1:12" ht="12.75">
      <c r="A175" s="226" t="s">
        <v>25</v>
      </c>
      <c r="B175" s="220"/>
      <c r="C175" s="196"/>
      <c r="D175" s="277"/>
      <c r="E175" s="456"/>
      <c r="F175" s="505"/>
      <c r="G175" s="196"/>
      <c r="H175" s="196"/>
      <c r="I175" s="196"/>
      <c r="J175" s="196"/>
      <c r="K175" s="196"/>
      <c r="L175" s="224"/>
    </row>
    <row r="176" spans="1:12" ht="12.75">
      <c r="A176" s="208">
        <v>223060219</v>
      </c>
      <c r="B176" s="220"/>
      <c r="C176" s="201">
        <v>67909602</v>
      </c>
      <c r="D176" s="220">
        <v>5000000</v>
      </c>
      <c r="E176" s="452">
        <v>5000000</v>
      </c>
      <c r="F176" s="501"/>
      <c r="G176" s="220"/>
      <c r="H176" s="220"/>
      <c r="I176" s="220"/>
      <c r="J176" s="220"/>
      <c r="K176" s="220"/>
      <c r="L176" s="224" t="s">
        <v>173</v>
      </c>
    </row>
    <row r="177" spans="1:12" ht="12.75">
      <c r="A177" s="206">
        <v>223080128</v>
      </c>
      <c r="B177" s="220"/>
      <c r="C177" s="201">
        <v>9000000</v>
      </c>
      <c r="D177" s="220">
        <v>0</v>
      </c>
      <c r="E177" s="457">
        <v>0</v>
      </c>
      <c r="F177" s="506"/>
      <c r="G177" s="201"/>
      <c r="H177" s="201"/>
      <c r="I177" s="201"/>
      <c r="J177" s="201"/>
      <c r="K177" s="201"/>
      <c r="L177" s="224" t="s">
        <v>194</v>
      </c>
    </row>
    <row r="178" spans="1:12" ht="12.75">
      <c r="A178" s="207" t="s">
        <v>196</v>
      </c>
      <c r="B178" s="220"/>
      <c r="C178" s="196">
        <f>SUM(C176:C177)</f>
        <v>76909602</v>
      </c>
      <c r="D178" s="277">
        <f>SUM(D176:D177)</f>
        <v>5000000</v>
      </c>
      <c r="E178" s="453">
        <f>SUM(E176:E177)</f>
        <v>5000000</v>
      </c>
      <c r="F178" s="502"/>
      <c r="G178" s="277"/>
      <c r="H178" s="277"/>
      <c r="I178" s="277"/>
      <c r="J178" s="277"/>
      <c r="K178" s="277"/>
      <c r="L178" s="224"/>
    </row>
    <row r="179" spans="1:15" s="404" customFormat="1" ht="12.75">
      <c r="A179" s="422" t="s">
        <v>198</v>
      </c>
      <c r="B179" s="428"/>
      <c r="C179" s="401">
        <f>+C106+C116+C124+C158+C127+C135+C169+C147+C178</f>
        <v>798908179</v>
      </c>
      <c r="D179" s="423">
        <f>+D106+D116+D124+D158+D127+D135+D169+D147+D174+D178</f>
        <v>2101871667</v>
      </c>
      <c r="E179" s="475">
        <f>+E106+E116+E124+E158+E127+E135+E169+E147+E174+E178</f>
        <v>1387631026</v>
      </c>
      <c r="F179" s="529"/>
      <c r="G179" s="423"/>
      <c r="H179" s="423"/>
      <c r="I179" s="423"/>
      <c r="J179" s="423"/>
      <c r="K179" s="423"/>
      <c r="L179" s="419"/>
      <c r="M179" s="425"/>
      <c r="N179" s="425"/>
      <c r="O179" s="425"/>
    </row>
    <row r="180" spans="1:12" ht="12.75">
      <c r="A180" s="186"/>
      <c r="B180" s="429"/>
      <c r="C180" s="21"/>
      <c r="D180" s="280"/>
      <c r="E180" s="280">
        <f>1362279020-7265</f>
        <v>1362271755</v>
      </c>
      <c r="F180" s="530"/>
      <c r="G180" s="280"/>
      <c r="H180" s="280"/>
      <c r="I180" s="280"/>
      <c r="J180" s="280"/>
      <c r="K180" s="280"/>
      <c r="L180" s="317">
        <f>+E179-E180</f>
        <v>25359271</v>
      </c>
    </row>
    <row r="181" spans="1:12" ht="12.75">
      <c r="A181" s="215" t="s">
        <v>728</v>
      </c>
      <c r="B181" s="430"/>
      <c r="C181" s="430"/>
      <c r="D181" s="430"/>
      <c r="E181" s="476"/>
      <c r="F181" s="531"/>
      <c r="G181" s="430"/>
      <c r="H181" s="430"/>
      <c r="I181" s="430"/>
      <c r="J181" s="430"/>
      <c r="K181" s="430"/>
      <c r="L181" s="228"/>
    </row>
    <row r="182" spans="1:12" ht="25.5">
      <c r="A182" s="206">
        <v>226011101</v>
      </c>
      <c r="B182" s="200">
        <f>SUM(B103:B178)</f>
        <v>469806058.73</v>
      </c>
      <c r="C182" s="229">
        <v>50963012</v>
      </c>
      <c r="D182" s="376">
        <v>36595713</v>
      </c>
      <c r="E182" s="477">
        <v>34508000</v>
      </c>
      <c r="F182" s="532"/>
      <c r="G182" s="229"/>
      <c r="H182" s="229"/>
      <c r="I182" s="229"/>
      <c r="J182" s="229"/>
      <c r="K182" s="229"/>
      <c r="L182" s="224" t="s">
        <v>181</v>
      </c>
    </row>
    <row r="183" spans="1:12" ht="12.75">
      <c r="A183" s="206">
        <v>226011102</v>
      </c>
      <c r="B183" s="200"/>
      <c r="C183" s="229">
        <v>127600000</v>
      </c>
      <c r="D183" s="376">
        <v>172685818</v>
      </c>
      <c r="E183" s="478">
        <v>172685818</v>
      </c>
      <c r="F183" s="533"/>
      <c r="G183" s="376"/>
      <c r="H183" s="376"/>
      <c r="I183" s="376"/>
      <c r="J183" s="376"/>
      <c r="K183" s="376"/>
      <c r="L183" s="224" t="s">
        <v>199</v>
      </c>
    </row>
    <row r="184" spans="1:12" ht="12.75">
      <c r="A184" s="206">
        <v>226011103</v>
      </c>
      <c r="B184" s="200"/>
      <c r="C184" s="229">
        <v>0</v>
      </c>
      <c r="D184" s="376">
        <v>31247405</v>
      </c>
      <c r="E184" s="477">
        <v>30792405</v>
      </c>
      <c r="F184" s="532"/>
      <c r="G184" s="229"/>
      <c r="H184" s="229"/>
      <c r="I184" s="229"/>
      <c r="J184" s="229"/>
      <c r="K184" s="229"/>
      <c r="L184" s="224" t="s">
        <v>200</v>
      </c>
    </row>
    <row r="185" spans="1:12" ht="26.25" customHeight="1">
      <c r="A185" s="206">
        <v>226011104</v>
      </c>
      <c r="B185" s="200"/>
      <c r="C185" s="229"/>
      <c r="D185" s="376">
        <v>10495000</v>
      </c>
      <c r="E185" s="478">
        <v>10495000</v>
      </c>
      <c r="F185" s="533"/>
      <c r="G185" s="376"/>
      <c r="H185" s="376"/>
      <c r="I185" s="376"/>
      <c r="J185" s="376"/>
      <c r="K185" s="376"/>
      <c r="L185" s="224" t="s">
        <v>578</v>
      </c>
    </row>
    <row r="186" spans="1:12" ht="24.75" customHeight="1">
      <c r="A186" s="206">
        <v>226011105</v>
      </c>
      <c r="B186" s="189"/>
      <c r="C186" s="229">
        <v>5000000</v>
      </c>
      <c r="D186" s="376">
        <v>9000000</v>
      </c>
      <c r="E186" s="478">
        <v>9000000</v>
      </c>
      <c r="F186" s="533"/>
      <c r="G186" s="376"/>
      <c r="H186" s="376"/>
      <c r="I186" s="376"/>
      <c r="J186" s="376"/>
      <c r="K186" s="376"/>
      <c r="L186" s="224" t="s">
        <v>201</v>
      </c>
    </row>
    <row r="187" spans="1:12" ht="12.75">
      <c r="A187" s="206">
        <v>226011106</v>
      </c>
      <c r="B187" s="256"/>
      <c r="C187" s="259"/>
      <c r="D187" s="439">
        <v>250000000</v>
      </c>
      <c r="E187" s="479">
        <v>250000000</v>
      </c>
      <c r="F187" s="534"/>
      <c r="G187" s="439"/>
      <c r="H187" s="439"/>
      <c r="I187" s="439"/>
      <c r="J187" s="439"/>
      <c r="K187" s="439"/>
      <c r="L187" s="224" t="s">
        <v>579</v>
      </c>
    </row>
    <row r="188" spans="1:12" ht="12.75">
      <c r="A188" s="206">
        <v>226011196</v>
      </c>
      <c r="B188" s="256"/>
      <c r="C188" s="259"/>
      <c r="D188" s="439">
        <v>150004600</v>
      </c>
      <c r="E188" s="479">
        <v>150004600</v>
      </c>
      <c r="F188" s="534"/>
      <c r="G188" s="439"/>
      <c r="H188" s="439"/>
      <c r="I188" s="439"/>
      <c r="J188" s="439"/>
      <c r="K188" s="439"/>
      <c r="L188" s="260" t="s">
        <v>580</v>
      </c>
    </row>
    <row r="189" spans="1:13" ht="12.75">
      <c r="A189" s="400" t="s">
        <v>729</v>
      </c>
      <c r="B189" s="403"/>
      <c r="C189" s="412">
        <f>SUM(C182:C186)</f>
        <v>183563012</v>
      </c>
      <c r="D189" s="413">
        <f>SUM(D182:D188)</f>
        <v>660028536</v>
      </c>
      <c r="E189" s="468">
        <f>SUM(E182:E188)</f>
        <v>657485823</v>
      </c>
      <c r="F189" s="519"/>
      <c r="G189" s="413"/>
      <c r="H189" s="413"/>
      <c r="I189" s="413"/>
      <c r="J189" s="413"/>
      <c r="K189" s="413"/>
      <c r="L189" s="419"/>
      <c r="M189" s="425"/>
    </row>
    <row r="190" spans="1:12" ht="12.75">
      <c r="A190" s="215" t="s">
        <v>730</v>
      </c>
      <c r="B190" s="204"/>
      <c r="C190" s="204"/>
      <c r="D190" s="434"/>
      <c r="E190" s="471"/>
      <c r="F190" s="522"/>
      <c r="G190" s="204"/>
      <c r="H190" s="204"/>
      <c r="I190" s="204"/>
      <c r="J190" s="204"/>
      <c r="K190" s="204"/>
      <c r="L190" s="228"/>
    </row>
    <row r="191" spans="1:12" ht="12.75">
      <c r="A191" s="387">
        <v>2261611</v>
      </c>
      <c r="B191" s="384"/>
      <c r="C191" s="384"/>
      <c r="D191" s="384">
        <v>6000000</v>
      </c>
      <c r="E191" s="455">
        <v>218500</v>
      </c>
      <c r="F191" s="504"/>
      <c r="G191" s="384"/>
      <c r="H191" s="384"/>
      <c r="I191" s="384"/>
      <c r="J191" s="384"/>
      <c r="K191" s="384"/>
      <c r="L191" s="224" t="str">
        <f>+'Eje instrumental'!C334</f>
        <v>Comunicaciones y teléfonos para la veredas</v>
      </c>
    </row>
    <row r="192" spans="1:12" ht="12.75">
      <c r="A192" s="400" t="s">
        <v>731</v>
      </c>
      <c r="B192" s="403"/>
      <c r="C192" s="412">
        <f>SUM(C191)</f>
        <v>0</v>
      </c>
      <c r="D192" s="407">
        <f>+D191</f>
        <v>6000000</v>
      </c>
      <c r="E192" s="480">
        <f>+E191</f>
        <v>218500</v>
      </c>
      <c r="F192" s="535"/>
      <c r="G192" s="407"/>
      <c r="H192" s="407"/>
      <c r="I192" s="407"/>
      <c r="J192" s="407"/>
      <c r="K192" s="407"/>
      <c r="L192" s="419"/>
    </row>
    <row r="193" spans="1:12" ht="12.75">
      <c r="A193" s="215" t="s">
        <v>732</v>
      </c>
      <c r="B193" s="204"/>
      <c r="C193" s="204"/>
      <c r="D193" s="434"/>
      <c r="E193" s="471"/>
      <c r="F193" s="522"/>
      <c r="G193" s="204"/>
      <c r="H193" s="204"/>
      <c r="I193" s="204"/>
      <c r="J193" s="204"/>
      <c r="K193" s="204"/>
      <c r="L193" s="228"/>
    </row>
    <row r="194" spans="1:12" ht="25.5">
      <c r="A194" s="206">
        <v>226021106</v>
      </c>
      <c r="B194" s="189"/>
      <c r="C194" s="229">
        <v>14716647</v>
      </c>
      <c r="D194" s="376">
        <v>3774840</v>
      </c>
      <c r="E194" s="478">
        <f>3774840-61502</f>
        <v>3713338</v>
      </c>
      <c r="F194" s="533"/>
      <c r="G194" s="376"/>
      <c r="H194" s="376"/>
      <c r="I194" s="376"/>
      <c r="J194" s="376"/>
      <c r="K194" s="376"/>
      <c r="L194" s="224" t="s">
        <v>202</v>
      </c>
    </row>
    <row r="195" spans="1:12" ht="25.5">
      <c r="A195" s="206">
        <v>226021107</v>
      </c>
      <c r="B195" s="189"/>
      <c r="C195" s="229">
        <v>469000</v>
      </c>
      <c r="D195" s="376">
        <v>1000000</v>
      </c>
      <c r="E195" s="478">
        <v>1000000</v>
      </c>
      <c r="F195" s="533"/>
      <c r="G195" s="376"/>
      <c r="H195" s="376"/>
      <c r="I195" s="376"/>
      <c r="J195" s="376"/>
      <c r="K195" s="376"/>
      <c r="L195" s="224" t="s">
        <v>203</v>
      </c>
    </row>
    <row r="196" spans="1:12" ht="25.5">
      <c r="A196" s="206">
        <v>226021108</v>
      </c>
      <c r="B196" s="189"/>
      <c r="C196" s="229">
        <v>42500000</v>
      </c>
      <c r="D196" s="376">
        <v>73710958</v>
      </c>
      <c r="E196" s="478">
        <f>73710958-365360</f>
        <v>73345598</v>
      </c>
      <c r="F196" s="533"/>
      <c r="G196" s="376"/>
      <c r="H196" s="376"/>
      <c r="I196" s="376"/>
      <c r="J196" s="376"/>
      <c r="K196" s="376"/>
      <c r="L196" s="224" t="s">
        <v>204</v>
      </c>
    </row>
    <row r="197" spans="1:12" ht="25.5">
      <c r="A197" s="206">
        <v>226021109</v>
      </c>
      <c r="B197" s="189"/>
      <c r="C197" s="229">
        <v>42857143</v>
      </c>
      <c r="D197" s="376">
        <v>8500000</v>
      </c>
      <c r="E197" s="478">
        <v>8475691</v>
      </c>
      <c r="F197" s="533"/>
      <c r="G197" s="376"/>
      <c r="H197" s="376"/>
      <c r="I197" s="376"/>
      <c r="J197" s="376"/>
      <c r="K197" s="376"/>
      <c r="L197" s="224" t="s">
        <v>581</v>
      </c>
    </row>
    <row r="198" spans="1:15" s="404" customFormat="1" ht="12.75">
      <c r="A198" s="408" t="s">
        <v>582</v>
      </c>
      <c r="B198" s="411"/>
      <c r="C198" s="420"/>
      <c r="D198" s="421">
        <f>SUM(D194:D197)</f>
        <v>86985798</v>
      </c>
      <c r="E198" s="481">
        <f>SUM(E194:E197)</f>
        <v>86534627</v>
      </c>
      <c r="F198" s="536"/>
      <c r="G198" s="421"/>
      <c r="H198" s="421"/>
      <c r="I198" s="421"/>
      <c r="J198" s="421"/>
      <c r="K198" s="421"/>
      <c r="L198" s="417"/>
      <c r="M198" s="425"/>
      <c r="N198" s="425"/>
      <c r="O198" s="425"/>
    </row>
    <row r="199" spans="1:12" ht="12.75">
      <c r="A199" s="206"/>
      <c r="B199" s="189"/>
      <c r="C199" s="229"/>
      <c r="D199" s="376"/>
      <c r="E199" s="478"/>
      <c r="F199" s="533"/>
      <c r="G199" s="376"/>
      <c r="H199" s="376"/>
      <c r="I199" s="376"/>
      <c r="J199" s="376"/>
      <c r="K199" s="376"/>
      <c r="L199" s="224"/>
    </row>
    <row r="200" spans="1:12" ht="12.75">
      <c r="A200" s="387">
        <v>226071134</v>
      </c>
      <c r="B200" s="189"/>
      <c r="C200" s="236">
        <v>3500000</v>
      </c>
      <c r="D200" s="377">
        <v>1300000</v>
      </c>
      <c r="E200" s="482">
        <f>+D200</f>
        <v>1300000</v>
      </c>
      <c r="F200" s="537"/>
      <c r="G200" s="377"/>
      <c r="H200" s="377"/>
      <c r="I200" s="377"/>
      <c r="J200" s="377"/>
      <c r="K200" s="377"/>
      <c r="L200" s="195" t="s">
        <v>814</v>
      </c>
    </row>
    <row r="201" spans="1:12" ht="12.75">
      <c r="A201" s="387">
        <v>226071137</v>
      </c>
      <c r="B201" s="189"/>
      <c r="C201" s="236">
        <v>2000000</v>
      </c>
      <c r="D201" s="377">
        <v>2500000</v>
      </c>
      <c r="E201" s="482">
        <v>2106841</v>
      </c>
      <c r="F201" s="537"/>
      <c r="G201" s="377"/>
      <c r="H201" s="377"/>
      <c r="I201" s="377"/>
      <c r="J201" s="377"/>
      <c r="K201" s="377"/>
      <c r="L201" s="195" t="s">
        <v>815</v>
      </c>
    </row>
    <row r="202" spans="1:12" ht="25.5">
      <c r="A202" s="387">
        <v>226071135</v>
      </c>
      <c r="B202" s="189"/>
      <c r="C202" s="236">
        <v>1000000</v>
      </c>
      <c r="D202" s="377">
        <v>1000000</v>
      </c>
      <c r="E202" s="482"/>
      <c r="F202" s="537"/>
      <c r="G202" s="377"/>
      <c r="H202" s="377"/>
      <c r="I202" s="377"/>
      <c r="J202" s="377"/>
      <c r="K202" s="377"/>
      <c r="L202" s="195" t="s">
        <v>816</v>
      </c>
    </row>
    <row r="203" spans="1:12" ht="25.5">
      <c r="A203" s="206"/>
      <c r="B203" s="189"/>
      <c r="C203" s="236"/>
      <c r="D203" s="377">
        <v>0</v>
      </c>
      <c r="E203" s="483">
        <v>0</v>
      </c>
      <c r="F203" s="538"/>
      <c r="G203" s="236"/>
      <c r="H203" s="236"/>
      <c r="I203" s="236"/>
      <c r="J203" s="236"/>
      <c r="K203" s="236"/>
      <c r="L203" s="195" t="s">
        <v>315</v>
      </c>
    </row>
    <row r="204" spans="1:12" ht="12.75">
      <c r="A204" s="206"/>
      <c r="B204" s="189"/>
      <c r="C204" s="236"/>
      <c r="D204" s="318"/>
      <c r="E204" s="482"/>
      <c r="F204" s="537"/>
      <c r="G204" s="377"/>
      <c r="H204" s="377"/>
      <c r="I204" s="377"/>
      <c r="J204" s="377"/>
      <c r="K204" s="377"/>
      <c r="L204" s="195" t="s">
        <v>222</v>
      </c>
    </row>
    <row r="205" spans="1:12" ht="25.5">
      <c r="A205" s="387">
        <v>226071136</v>
      </c>
      <c r="B205" s="189"/>
      <c r="C205" s="236">
        <v>1000000</v>
      </c>
      <c r="D205" s="377">
        <v>1000000</v>
      </c>
      <c r="E205" s="483"/>
      <c r="F205" s="538"/>
      <c r="G205" s="236"/>
      <c r="H205" s="236"/>
      <c r="I205" s="236"/>
      <c r="J205" s="236"/>
      <c r="K205" s="236"/>
      <c r="L205" s="195" t="s">
        <v>817</v>
      </c>
    </row>
    <row r="206" spans="1:12" ht="12.75">
      <c r="A206" s="254"/>
      <c r="B206" s="256"/>
      <c r="C206" s="259"/>
      <c r="D206" s="439"/>
      <c r="E206" s="484"/>
      <c r="F206" s="539"/>
      <c r="G206" s="259"/>
      <c r="H206" s="259"/>
      <c r="I206" s="259"/>
      <c r="J206" s="259"/>
      <c r="K206" s="259"/>
      <c r="L206" s="260"/>
    </row>
    <row r="207" spans="1:15" s="404" customFormat="1" ht="12.75">
      <c r="A207" s="400" t="s">
        <v>733</v>
      </c>
      <c r="B207" s="403"/>
      <c r="C207" s="412">
        <f>SUM(C194:C197)</f>
        <v>100542790</v>
      </c>
      <c r="D207" s="413">
        <f>SUM(D200:D206)</f>
        <v>5800000</v>
      </c>
      <c r="E207" s="468">
        <f>SUM(E200:E206)</f>
        <v>3406841</v>
      </c>
      <c r="F207" s="519"/>
      <c r="G207" s="413"/>
      <c r="H207" s="413"/>
      <c r="I207" s="413"/>
      <c r="J207" s="413"/>
      <c r="K207" s="413"/>
      <c r="L207" s="419"/>
      <c r="M207" s="425"/>
      <c r="N207" s="425"/>
      <c r="O207" s="425"/>
    </row>
    <row r="208" spans="1:12" ht="12.75">
      <c r="A208" s="215" t="s">
        <v>734</v>
      </c>
      <c r="B208" s="204"/>
      <c r="C208" s="204"/>
      <c r="D208" s="434"/>
      <c r="E208" s="485"/>
      <c r="F208" s="540"/>
      <c r="G208" s="440"/>
      <c r="H208" s="440"/>
      <c r="I208" s="440"/>
      <c r="J208" s="440"/>
      <c r="K208" s="440"/>
      <c r="L208" s="228"/>
    </row>
    <row r="209" spans="1:12" ht="12.75">
      <c r="A209" s="206">
        <v>226041118</v>
      </c>
      <c r="B209" s="189"/>
      <c r="C209" s="229">
        <v>203013801</v>
      </c>
      <c r="D209" s="376">
        <v>118050238</v>
      </c>
      <c r="E209" s="477">
        <f>122458316-5515451</f>
        <v>116942865</v>
      </c>
      <c r="F209" s="532"/>
      <c r="G209" s="229"/>
      <c r="H209" s="229"/>
      <c r="I209" s="229"/>
      <c r="J209" s="229"/>
      <c r="K209" s="229"/>
      <c r="L209" s="224" t="s">
        <v>205</v>
      </c>
    </row>
    <row r="210" spans="1:12" ht="12.75">
      <c r="A210" s="206">
        <v>226041119</v>
      </c>
      <c r="B210" s="189"/>
      <c r="C210" s="229">
        <v>410000</v>
      </c>
      <c r="D210" s="376">
        <v>300000</v>
      </c>
      <c r="E210" s="478">
        <v>300000</v>
      </c>
      <c r="F210" s="533"/>
      <c r="G210" s="376"/>
      <c r="H210" s="376"/>
      <c r="I210" s="376"/>
      <c r="J210" s="376"/>
      <c r="K210" s="376"/>
      <c r="L210" s="224" t="s">
        <v>206</v>
      </c>
    </row>
    <row r="211" spans="1:12" ht="25.5">
      <c r="A211" s="206">
        <v>226041120</v>
      </c>
      <c r="B211" s="189"/>
      <c r="C211" s="229"/>
      <c r="D211" s="376">
        <v>215721030</v>
      </c>
      <c r="E211" s="478">
        <f>216107682-5104296</f>
        <v>211003386</v>
      </c>
      <c r="F211" s="533"/>
      <c r="G211" s="376"/>
      <c r="H211" s="376"/>
      <c r="I211" s="376"/>
      <c r="J211" s="376"/>
      <c r="K211" s="376"/>
      <c r="L211" s="224" t="s">
        <v>358</v>
      </c>
    </row>
    <row r="212" spans="1:12" ht="25.5">
      <c r="A212" s="206">
        <v>226041121</v>
      </c>
      <c r="B212" s="189"/>
      <c r="C212" s="229">
        <v>360000</v>
      </c>
      <c r="D212" s="376">
        <v>27728000</v>
      </c>
      <c r="E212" s="478">
        <v>27676000</v>
      </c>
      <c r="F212" s="533"/>
      <c r="G212" s="376"/>
      <c r="H212" s="376"/>
      <c r="I212" s="376"/>
      <c r="J212" s="376"/>
      <c r="K212" s="376"/>
      <c r="L212" s="224" t="s">
        <v>182</v>
      </c>
    </row>
    <row r="213" spans="1:12" ht="25.5">
      <c r="A213" s="206">
        <v>226041122</v>
      </c>
      <c r="B213" s="189"/>
      <c r="C213" s="229">
        <v>238769963</v>
      </c>
      <c r="D213" s="376">
        <v>5478250</v>
      </c>
      <c r="E213" s="478">
        <v>5478250</v>
      </c>
      <c r="F213" s="533"/>
      <c r="G213" s="376"/>
      <c r="H213" s="376"/>
      <c r="I213" s="376"/>
      <c r="J213" s="376"/>
      <c r="K213" s="376"/>
      <c r="L213" s="224" t="s">
        <v>358</v>
      </c>
    </row>
    <row r="214" spans="1:12" ht="12.75">
      <c r="A214" s="206">
        <v>226041123</v>
      </c>
      <c r="B214" s="189"/>
      <c r="C214" s="229">
        <v>8445000</v>
      </c>
      <c r="D214" s="376">
        <v>10000000</v>
      </c>
      <c r="E214" s="478">
        <f>10452920-540000</f>
        <v>9912920</v>
      </c>
      <c r="F214" s="533"/>
      <c r="G214" s="376"/>
      <c r="H214" s="376"/>
      <c r="I214" s="376"/>
      <c r="J214" s="376"/>
      <c r="K214" s="376"/>
      <c r="L214" s="224" t="s">
        <v>360</v>
      </c>
    </row>
    <row r="215" spans="1:12" ht="12.75">
      <c r="A215" s="206">
        <v>226041124</v>
      </c>
      <c r="B215" s="189"/>
      <c r="C215" s="229">
        <v>2555000</v>
      </c>
      <c r="D215" s="376">
        <v>3000000</v>
      </c>
      <c r="E215" s="478">
        <v>0</v>
      </c>
      <c r="F215" s="533"/>
      <c r="G215" s="376"/>
      <c r="H215" s="376"/>
      <c r="I215" s="376"/>
      <c r="J215" s="376"/>
      <c r="K215" s="376"/>
      <c r="L215" s="224" t="s">
        <v>362</v>
      </c>
    </row>
    <row r="216" spans="1:12" ht="12.75">
      <c r="A216" s="206">
        <v>226041125</v>
      </c>
      <c r="B216" s="189"/>
      <c r="C216" s="229">
        <v>25000000</v>
      </c>
      <c r="D216" s="376">
        <v>20000000</v>
      </c>
      <c r="E216" s="478">
        <v>20000000</v>
      </c>
      <c r="F216" s="533"/>
      <c r="G216" s="376"/>
      <c r="H216" s="376"/>
      <c r="I216" s="376"/>
      <c r="J216" s="376"/>
      <c r="K216" s="376"/>
      <c r="L216" s="224" t="s">
        <v>361</v>
      </c>
    </row>
    <row r="217" spans="1:12" ht="12.75">
      <c r="A217" s="206">
        <v>226041126</v>
      </c>
      <c r="B217" s="189"/>
      <c r="C217" s="229"/>
      <c r="D217" s="376">
        <v>30000000</v>
      </c>
      <c r="E217" s="478">
        <v>29999528</v>
      </c>
      <c r="F217" s="533"/>
      <c r="G217" s="376"/>
      <c r="H217" s="376"/>
      <c r="I217" s="376"/>
      <c r="J217" s="376"/>
      <c r="K217" s="376"/>
      <c r="L217" s="224" t="s">
        <v>583</v>
      </c>
    </row>
    <row r="218" spans="1:12" ht="12.75">
      <c r="A218" s="206">
        <v>226041127</v>
      </c>
      <c r="B218" s="189"/>
      <c r="C218" s="229"/>
      <c r="D218" s="376">
        <v>30000000</v>
      </c>
      <c r="E218" s="478">
        <v>29998388</v>
      </c>
      <c r="F218" s="533"/>
      <c r="G218" s="376"/>
      <c r="H218" s="376"/>
      <c r="I218" s="376"/>
      <c r="J218" s="376"/>
      <c r="K218" s="376"/>
      <c r="L218" s="224" t="s">
        <v>584</v>
      </c>
    </row>
    <row r="219" spans="1:12" ht="12.75">
      <c r="A219" s="206">
        <v>226041128</v>
      </c>
      <c r="B219" s="189"/>
      <c r="C219" s="229"/>
      <c r="D219" s="376">
        <v>399996834</v>
      </c>
      <c r="E219" s="478">
        <v>399987400</v>
      </c>
      <c r="F219" s="533"/>
      <c r="G219" s="376"/>
      <c r="H219" s="376"/>
      <c r="I219" s="376"/>
      <c r="J219" s="376"/>
      <c r="K219" s="376"/>
      <c r="L219" s="224" t="s">
        <v>585</v>
      </c>
    </row>
    <row r="220" spans="1:12" ht="25.5">
      <c r="A220" s="206">
        <v>226041185</v>
      </c>
      <c r="B220" s="189"/>
      <c r="C220" s="229"/>
      <c r="D220" s="376">
        <v>1000000</v>
      </c>
      <c r="E220" s="478">
        <v>0</v>
      </c>
      <c r="F220" s="533"/>
      <c r="G220" s="376"/>
      <c r="H220" s="376"/>
      <c r="I220" s="376"/>
      <c r="J220" s="376"/>
      <c r="K220" s="376"/>
      <c r="L220" s="224" t="s">
        <v>586</v>
      </c>
    </row>
    <row r="221" spans="1:12" ht="25.5">
      <c r="A221" s="206">
        <v>226041186</v>
      </c>
      <c r="B221" s="189"/>
      <c r="C221" s="229"/>
      <c r="D221" s="376">
        <v>2572000</v>
      </c>
      <c r="E221" s="478">
        <v>2565000</v>
      </c>
      <c r="F221" s="533"/>
      <c r="G221" s="376"/>
      <c r="H221" s="376"/>
      <c r="I221" s="376"/>
      <c r="J221" s="376"/>
      <c r="K221" s="376"/>
      <c r="L221" s="224" t="s">
        <v>587</v>
      </c>
    </row>
    <row r="222" spans="1:12" ht="25.5">
      <c r="A222" s="206">
        <v>226041187</v>
      </c>
      <c r="B222" s="189"/>
      <c r="C222" s="229"/>
      <c r="D222" s="376">
        <v>3000000</v>
      </c>
      <c r="E222" s="478">
        <v>0</v>
      </c>
      <c r="F222" s="533"/>
      <c r="G222" s="376"/>
      <c r="H222" s="376"/>
      <c r="I222" s="376"/>
      <c r="J222" s="376"/>
      <c r="K222" s="376"/>
      <c r="L222" s="224" t="s">
        <v>588</v>
      </c>
    </row>
    <row r="223" spans="1:12" ht="25.5">
      <c r="A223" s="206">
        <v>226041188</v>
      </c>
      <c r="B223" s="189"/>
      <c r="C223" s="229"/>
      <c r="D223" s="376">
        <v>1000000</v>
      </c>
      <c r="E223" s="478">
        <v>0</v>
      </c>
      <c r="F223" s="533"/>
      <c r="G223" s="376"/>
      <c r="H223" s="376"/>
      <c r="I223" s="376"/>
      <c r="J223" s="376"/>
      <c r="K223" s="376"/>
      <c r="L223" s="224" t="s">
        <v>589</v>
      </c>
    </row>
    <row r="224" spans="1:12" ht="12.75">
      <c r="A224" s="206">
        <v>226041194</v>
      </c>
      <c r="B224" s="189"/>
      <c r="C224" s="229"/>
      <c r="D224" s="376">
        <v>149969089</v>
      </c>
      <c r="E224" s="478">
        <v>149969089</v>
      </c>
      <c r="F224" s="533"/>
      <c r="G224" s="376"/>
      <c r="H224" s="376"/>
      <c r="I224" s="376"/>
      <c r="J224" s="376"/>
      <c r="K224" s="376"/>
      <c r="L224" s="224" t="s">
        <v>359</v>
      </c>
    </row>
    <row r="225" spans="1:12" ht="12.75">
      <c r="A225" s="206">
        <v>226041196</v>
      </c>
      <c r="B225" s="189"/>
      <c r="C225" s="229"/>
      <c r="D225" s="376">
        <v>40000000</v>
      </c>
      <c r="E225" s="478">
        <v>39960000</v>
      </c>
      <c r="F225" s="533"/>
      <c r="G225" s="376"/>
      <c r="H225" s="376"/>
      <c r="I225" s="376"/>
      <c r="J225" s="376"/>
      <c r="K225" s="376"/>
      <c r="L225" s="224" t="s">
        <v>590</v>
      </c>
    </row>
    <row r="226" spans="1:12" ht="25.5">
      <c r="A226" s="206">
        <v>226041197</v>
      </c>
      <c r="B226" s="189"/>
      <c r="C226" s="229"/>
      <c r="D226" s="376">
        <v>80000000</v>
      </c>
      <c r="E226" s="478">
        <v>79200000</v>
      </c>
      <c r="F226" s="533"/>
      <c r="G226" s="376"/>
      <c r="H226" s="376"/>
      <c r="I226" s="376"/>
      <c r="J226" s="376"/>
      <c r="K226" s="376"/>
      <c r="L226" s="224" t="s">
        <v>591</v>
      </c>
    </row>
    <row r="227" spans="1:12" ht="25.5">
      <c r="A227" s="206">
        <v>226041198</v>
      </c>
      <c r="B227" s="189"/>
      <c r="C227" s="229">
        <v>20646403</v>
      </c>
      <c r="D227" s="376">
        <v>150000000</v>
      </c>
      <c r="E227" s="478">
        <v>138503915</v>
      </c>
      <c r="F227" s="533"/>
      <c r="G227" s="376"/>
      <c r="H227" s="376"/>
      <c r="I227" s="376"/>
      <c r="J227" s="376"/>
      <c r="K227" s="376"/>
      <c r="L227" s="224" t="s">
        <v>592</v>
      </c>
    </row>
    <row r="228" spans="1:12" ht="12.75">
      <c r="A228" s="206">
        <v>226041226</v>
      </c>
      <c r="B228" s="189"/>
      <c r="C228" s="229">
        <v>1444000</v>
      </c>
      <c r="D228" s="376">
        <v>15703856</v>
      </c>
      <c r="E228" s="478">
        <v>15502100</v>
      </c>
      <c r="F228" s="533"/>
      <c r="G228" s="376"/>
      <c r="H228" s="376"/>
      <c r="I228" s="376"/>
      <c r="J228" s="376"/>
      <c r="K228" s="376"/>
      <c r="L228" s="224" t="s">
        <v>593</v>
      </c>
    </row>
    <row r="229" spans="1:12" ht="32.25" customHeight="1">
      <c r="A229" s="206">
        <v>226041227</v>
      </c>
      <c r="B229" s="189"/>
      <c r="C229" s="229">
        <v>299992009</v>
      </c>
      <c r="D229" s="376">
        <v>2500000</v>
      </c>
      <c r="E229" s="478">
        <v>2200000</v>
      </c>
      <c r="F229" s="533"/>
      <c r="G229" s="376"/>
      <c r="H229" s="376"/>
      <c r="I229" s="376"/>
      <c r="J229" s="376"/>
      <c r="K229" s="376"/>
      <c r="L229" s="224" t="s">
        <v>594</v>
      </c>
    </row>
    <row r="230" spans="1:12" ht="25.5">
      <c r="A230" s="206">
        <v>226041228</v>
      </c>
      <c r="B230" s="189"/>
      <c r="C230" s="229"/>
      <c r="D230" s="376">
        <v>13598781</v>
      </c>
      <c r="E230" s="478">
        <v>11900000</v>
      </c>
      <c r="F230" s="533"/>
      <c r="G230" s="376"/>
      <c r="H230" s="376"/>
      <c r="I230" s="376"/>
      <c r="J230" s="376"/>
      <c r="K230" s="376"/>
      <c r="L230" s="224" t="s">
        <v>595</v>
      </c>
    </row>
    <row r="231" spans="1:15" s="404" customFormat="1" ht="12.75">
      <c r="A231" s="400" t="s">
        <v>735</v>
      </c>
      <c r="B231" s="403"/>
      <c r="C231" s="401">
        <f>SUM(C209:C230)</f>
        <v>800636176</v>
      </c>
      <c r="D231" s="402">
        <f>SUM(D209:D230)</f>
        <v>1319618078</v>
      </c>
      <c r="E231" s="458">
        <f>SUM(E209:E230)</f>
        <v>1291098841</v>
      </c>
      <c r="F231" s="507"/>
      <c r="G231" s="402"/>
      <c r="H231" s="402"/>
      <c r="I231" s="402"/>
      <c r="J231" s="402"/>
      <c r="K231" s="402"/>
      <c r="L231" s="419"/>
      <c r="M231" s="425"/>
      <c r="N231" s="425"/>
      <c r="O231" s="425"/>
    </row>
    <row r="232" spans="1:12" ht="12.75">
      <c r="A232" s="13"/>
      <c r="C232" s="21"/>
      <c r="D232" s="280"/>
      <c r="E232" s="21"/>
      <c r="F232" s="541"/>
      <c r="G232" s="21"/>
      <c r="H232" s="21"/>
      <c r="I232" s="21"/>
      <c r="J232" s="21"/>
      <c r="K232" s="21"/>
      <c r="L232" s="27"/>
    </row>
    <row r="233" spans="1:12" ht="12.75">
      <c r="A233" s="215" t="s">
        <v>736</v>
      </c>
      <c r="B233" s="204"/>
      <c r="C233" s="204"/>
      <c r="D233" s="434"/>
      <c r="E233" s="485"/>
      <c r="F233" s="540"/>
      <c r="G233" s="440"/>
      <c r="H233" s="440"/>
      <c r="I233" s="440"/>
      <c r="J233" s="440"/>
      <c r="K233" s="440"/>
      <c r="L233" s="228"/>
    </row>
    <row r="234" spans="1:12" ht="12.75">
      <c r="A234" s="206">
        <v>226101162</v>
      </c>
      <c r="B234" s="189"/>
      <c r="C234" s="229">
        <v>23491204</v>
      </c>
      <c r="D234" s="376">
        <v>1724915</v>
      </c>
      <c r="E234" s="477">
        <f>1919238-194323</f>
        <v>1724915</v>
      </c>
      <c r="F234" s="532"/>
      <c r="G234" s="229"/>
      <c r="H234" s="229"/>
      <c r="I234" s="229"/>
      <c r="J234" s="229"/>
      <c r="K234" s="229"/>
      <c r="L234" s="224" t="str">
        <f>+'Eje instrumental'!C558</f>
        <v>Casa de gobierno</v>
      </c>
    </row>
    <row r="235" spans="1:12" ht="12.75">
      <c r="A235" s="206">
        <v>226101163</v>
      </c>
      <c r="B235" s="189"/>
      <c r="C235" s="229"/>
      <c r="D235" s="376">
        <v>11967036</v>
      </c>
      <c r="E235" s="478">
        <v>9967036</v>
      </c>
      <c r="F235" s="533"/>
      <c r="G235" s="376"/>
      <c r="H235" s="376"/>
      <c r="I235" s="376"/>
      <c r="J235" s="376"/>
      <c r="K235" s="376"/>
      <c r="L235" s="224" t="s">
        <v>596</v>
      </c>
    </row>
    <row r="236" spans="1:12" ht="12.75">
      <c r="A236" s="206">
        <v>226101166</v>
      </c>
      <c r="B236" s="189"/>
      <c r="C236" s="229">
        <v>8140131</v>
      </c>
      <c r="D236" s="376">
        <v>9700000</v>
      </c>
      <c r="E236" s="478">
        <v>9697339</v>
      </c>
      <c r="F236" s="533"/>
      <c r="G236" s="376"/>
      <c r="H236" s="376"/>
      <c r="I236" s="376"/>
      <c r="J236" s="376"/>
      <c r="K236" s="376"/>
      <c r="L236" s="224" t="s">
        <v>364</v>
      </c>
    </row>
    <row r="237" spans="1:12" ht="12.75">
      <c r="A237" s="206">
        <v>226101167</v>
      </c>
      <c r="B237" s="189"/>
      <c r="C237" s="229">
        <v>9828177</v>
      </c>
      <c r="D237" s="376">
        <v>3763100</v>
      </c>
      <c r="E237" s="478">
        <v>3763100</v>
      </c>
      <c r="F237" s="533"/>
      <c r="G237" s="376"/>
      <c r="H237" s="376"/>
      <c r="I237" s="376"/>
      <c r="J237" s="376"/>
      <c r="K237" s="376"/>
      <c r="L237" s="224" t="str">
        <f>+'Eje instrumental'!C657</f>
        <v>Piscina municipal</v>
      </c>
    </row>
    <row r="238" spans="1:12" ht="12.75">
      <c r="A238" s="206">
        <v>226101168</v>
      </c>
      <c r="B238" s="189"/>
      <c r="C238" s="229">
        <v>7235000</v>
      </c>
      <c r="D238" s="376">
        <v>75000</v>
      </c>
      <c r="E238" s="478">
        <v>74360</v>
      </c>
      <c r="F238" s="533"/>
      <c r="G238" s="376"/>
      <c r="H238" s="376"/>
      <c r="I238" s="376"/>
      <c r="J238" s="376"/>
      <c r="K238" s="376"/>
      <c r="L238" s="224" t="s">
        <v>365</v>
      </c>
    </row>
    <row r="239" spans="1:12" ht="12.75">
      <c r="A239" s="206">
        <v>226101169</v>
      </c>
      <c r="B239" s="189"/>
      <c r="C239" s="229"/>
      <c r="D239" s="376">
        <v>2000000</v>
      </c>
      <c r="E239" s="478">
        <v>1053200</v>
      </c>
      <c r="F239" s="533"/>
      <c r="G239" s="376"/>
      <c r="H239" s="376"/>
      <c r="I239" s="376"/>
      <c r="J239" s="376"/>
      <c r="K239" s="376"/>
      <c r="L239" s="224" t="s">
        <v>597</v>
      </c>
    </row>
    <row r="240" spans="1:12" ht="12.75">
      <c r="A240" s="206">
        <v>226101195</v>
      </c>
      <c r="B240" s="189"/>
      <c r="C240" s="229">
        <v>104814280</v>
      </c>
      <c r="D240" s="376">
        <v>374963556</v>
      </c>
      <c r="E240" s="478">
        <f>374963556-13460</f>
        <v>374950096</v>
      </c>
      <c r="F240" s="533"/>
      <c r="G240" s="376"/>
      <c r="H240" s="376"/>
      <c r="I240" s="376"/>
      <c r="J240" s="376"/>
      <c r="K240" s="376"/>
      <c r="L240" s="224" t="str">
        <f>+'Eje instrumental'!C690</f>
        <v>Parques urbanos</v>
      </c>
    </row>
    <row r="241" spans="1:12" ht="12.75">
      <c r="A241" s="206">
        <v>226101196</v>
      </c>
      <c r="B241" s="189"/>
      <c r="C241" s="229"/>
      <c r="D241" s="376">
        <v>29129000</v>
      </c>
      <c r="E241" s="478">
        <f>29541179-546866</f>
        <v>28994313</v>
      </c>
      <c r="F241" s="533"/>
      <c r="G241" s="376"/>
      <c r="H241" s="376"/>
      <c r="I241" s="376"/>
      <c r="J241" s="376"/>
      <c r="K241" s="376"/>
      <c r="L241" s="224" t="s">
        <v>598</v>
      </c>
    </row>
    <row r="242" spans="1:12" ht="12.75">
      <c r="A242" s="206">
        <v>226101199</v>
      </c>
      <c r="B242" s="189"/>
      <c r="C242" s="229"/>
      <c r="D242" s="376">
        <v>1000000</v>
      </c>
      <c r="E242" s="478">
        <v>0</v>
      </c>
      <c r="F242" s="533"/>
      <c r="G242" s="376"/>
      <c r="H242" s="376"/>
      <c r="I242" s="376"/>
      <c r="J242" s="376"/>
      <c r="K242" s="376"/>
      <c r="L242" s="224" t="s">
        <v>599</v>
      </c>
    </row>
    <row r="243" spans="1:12" ht="25.5">
      <c r="A243" s="206">
        <v>226101270</v>
      </c>
      <c r="B243" s="189"/>
      <c r="C243" s="229">
        <v>530000000</v>
      </c>
      <c r="D243" s="376">
        <v>57994340</v>
      </c>
      <c r="E243" s="478">
        <f>47874993-95</f>
        <v>47874898</v>
      </c>
      <c r="F243" s="533"/>
      <c r="G243" s="376"/>
      <c r="H243" s="376"/>
      <c r="I243" s="376"/>
      <c r="J243" s="376"/>
      <c r="K243" s="376"/>
      <c r="L243" s="224" t="s">
        <v>26</v>
      </c>
    </row>
    <row r="244" spans="1:15" ht="25.5">
      <c r="A244" s="206">
        <v>226101272</v>
      </c>
      <c r="B244" s="189"/>
      <c r="C244" s="229"/>
      <c r="D244" s="376">
        <v>8000000</v>
      </c>
      <c r="E244" s="478">
        <v>8000000</v>
      </c>
      <c r="F244" s="533"/>
      <c r="G244" s="376"/>
      <c r="H244" s="376"/>
      <c r="I244" s="376"/>
      <c r="J244" s="376"/>
      <c r="K244" s="376"/>
      <c r="L244" s="224" t="s">
        <v>27</v>
      </c>
      <c r="N244" s="424">
        <v>797315649</v>
      </c>
      <c r="O244" s="424">
        <f>774579515-754744</f>
        <v>773824771</v>
      </c>
    </row>
    <row r="245" spans="1:15" ht="12.75">
      <c r="A245" s="206">
        <v>226101273</v>
      </c>
      <c r="B245" s="189"/>
      <c r="C245" s="229"/>
      <c r="D245" s="376">
        <v>3000000</v>
      </c>
      <c r="E245" s="478">
        <v>3000000</v>
      </c>
      <c r="F245" s="533"/>
      <c r="G245" s="376"/>
      <c r="H245" s="376"/>
      <c r="I245" s="376"/>
      <c r="J245" s="376"/>
      <c r="K245" s="376"/>
      <c r="L245" s="224" t="s">
        <v>813</v>
      </c>
      <c r="N245" s="424">
        <v>-38901602</v>
      </c>
      <c r="O245" s="424">
        <v>-30999224</v>
      </c>
    </row>
    <row r="246" spans="1:15" ht="12.75">
      <c r="A246" s="206">
        <v>226101296</v>
      </c>
      <c r="B246" s="189"/>
      <c r="C246" s="229">
        <v>71292</v>
      </c>
      <c r="D246" s="376">
        <v>250000000</v>
      </c>
      <c r="E246" s="478">
        <v>250000000</v>
      </c>
      <c r="F246" s="533"/>
      <c r="G246" s="376"/>
      <c r="H246" s="376"/>
      <c r="I246" s="376"/>
      <c r="J246" s="376"/>
      <c r="K246" s="376"/>
      <c r="L246" s="224" t="s">
        <v>28</v>
      </c>
      <c r="N246" s="424">
        <v>-3502000</v>
      </c>
      <c r="O246" s="424">
        <v>-2131190</v>
      </c>
    </row>
    <row r="247" spans="1:15" ht="12.75">
      <c r="A247" s="209" t="s">
        <v>737</v>
      </c>
      <c r="B247" s="211"/>
      <c r="C247" s="221">
        <f>SUM(C234:C246)</f>
        <v>683580084</v>
      </c>
      <c r="D247" s="286">
        <f>SUM(D234:D246)</f>
        <v>753316947</v>
      </c>
      <c r="E247" s="486">
        <f>SUM(E234:E246)</f>
        <v>739099257</v>
      </c>
      <c r="F247" s="542"/>
      <c r="G247" s="286"/>
      <c r="H247" s="286"/>
      <c r="I247" s="286"/>
      <c r="J247" s="286"/>
      <c r="K247" s="286"/>
      <c r="L247" s="221">
        <f>SUM(L234:L246)</f>
        <v>0</v>
      </c>
      <c r="N247" s="424">
        <v>-1595100</v>
      </c>
      <c r="O247" s="424">
        <v>-1595100</v>
      </c>
    </row>
    <row r="248" spans="1:15" ht="12.75">
      <c r="A248" s="231"/>
      <c r="B248" s="232"/>
      <c r="C248" s="233"/>
      <c r="D248" s="319"/>
      <c r="E248" s="319"/>
      <c r="F248" s="543"/>
      <c r="G248" s="319"/>
      <c r="H248" s="319"/>
      <c r="I248" s="319"/>
      <c r="J248" s="319"/>
      <c r="K248" s="319"/>
      <c r="L248" s="233"/>
      <c r="M248" s="424">
        <f>D248-D247</f>
        <v>-753316947</v>
      </c>
      <c r="N248" s="424">
        <f>SUM(N244:N247)</f>
        <v>753316947</v>
      </c>
      <c r="O248" s="424">
        <f>SUM(O244:O247)</f>
        <v>739099257</v>
      </c>
    </row>
    <row r="249" spans="1:12" ht="12.75">
      <c r="A249" s="215" t="s">
        <v>229</v>
      </c>
      <c r="B249" s="204"/>
      <c r="C249" s="258"/>
      <c r="D249" s="298"/>
      <c r="E249" s="487"/>
      <c r="F249" s="544"/>
      <c r="G249" s="258"/>
      <c r="H249" s="258"/>
      <c r="I249" s="258"/>
      <c r="J249" s="258"/>
      <c r="K249" s="258"/>
      <c r="L249" s="258"/>
    </row>
    <row r="250" spans="1:12" ht="12.75">
      <c r="A250" s="206">
        <v>226101164</v>
      </c>
      <c r="B250" s="189"/>
      <c r="C250" s="229">
        <v>20488125</v>
      </c>
      <c r="D250" s="376">
        <v>38901602</v>
      </c>
      <c r="E250" s="477">
        <v>30999224</v>
      </c>
      <c r="F250" s="532"/>
      <c r="G250" s="229"/>
      <c r="H250" s="229"/>
      <c r="I250" s="229"/>
      <c r="J250" s="229"/>
      <c r="K250" s="229"/>
      <c r="L250" s="224" t="s">
        <v>363</v>
      </c>
    </row>
    <row r="251" spans="1:12" ht="12.75">
      <c r="A251" s="206">
        <v>226101165</v>
      </c>
      <c r="B251" s="189"/>
      <c r="C251" s="229">
        <v>1053208</v>
      </c>
      <c r="D251" s="376">
        <v>3502000</v>
      </c>
      <c r="E251" s="477">
        <v>2131190</v>
      </c>
      <c r="F251" s="532"/>
      <c r="G251" s="229"/>
      <c r="H251" s="229"/>
      <c r="I251" s="229"/>
      <c r="J251" s="229"/>
      <c r="K251" s="229"/>
      <c r="L251" s="224" t="s">
        <v>812</v>
      </c>
    </row>
    <row r="252" spans="1:12" ht="12.75">
      <c r="A252" s="209" t="s">
        <v>231</v>
      </c>
      <c r="B252" s="211"/>
      <c r="C252" s="221"/>
      <c r="D252" s="286">
        <f>SUM(D250:D251)</f>
        <v>42403602</v>
      </c>
      <c r="E252" s="486">
        <f>SUM(E250:E251)</f>
        <v>33130414</v>
      </c>
      <c r="F252" s="542"/>
      <c r="G252" s="286"/>
      <c r="H252" s="286"/>
      <c r="I252" s="286"/>
      <c r="J252" s="286"/>
      <c r="K252" s="286"/>
      <c r="L252" s="221"/>
    </row>
    <row r="253" spans="1:12" ht="12.75">
      <c r="A253" s="231"/>
      <c r="B253" s="232"/>
      <c r="C253" s="233"/>
      <c r="D253" s="297">
        <f>D247+D252</f>
        <v>795720549</v>
      </c>
      <c r="E253" s="297">
        <f>E247+E252</f>
        <v>772229671</v>
      </c>
      <c r="F253" s="526"/>
      <c r="G253" s="297"/>
      <c r="H253" s="297"/>
      <c r="I253" s="297"/>
      <c r="J253" s="297"/>
      <c r="K253" s="297"/>
      <c r="L253" s="233"/>
    </row>
    <row r="254" spans="1:12" ht="12.75">
      <c r="A254" s="231"/>
      <c r="B254" s="232"/>
      <c r="C254" s="233"/>
      <c r="D254" s="297"/>
      <c r="E254" s="233"/>
      <c r="F254" s="545"/>
      <c r="G254" s="233"/>
      <c r="H254" s="233"/>
      <c r="I254" s="233"/>
      <c r="J254" s="233"/>
      <c r="K254" s="233"/>
      <c r="L254" s="233"/>
    </row>
    <row r="255" spans="1:12" ht="12.75">
      <c r="A255" s="215" t="s">
        <v>46</v>
      </c>
      <c r="B255" s="204"/>
      <c r="C255" s="204"/>
      <c r="D255" s="434"/>
      <c r="E255" s="471"/>
      <c r="F255" s="522"/>
      <c r="G255" s="204"/>
      <c r="H255" s="204"/>
      <c r="I255" s="204"/>
      <c r="J255" s="204"/>
      <c r="K255" s="204"/>
      <c r="L255" s="203"/>
    </row>
    <row r="256" spans="1:12" ht="25.5">
      <c r="A256" s="206">
        <v>226131179</v>
      </c>
      <c r="B256" s="189"/>
      <c r="C256" s="236">
        <v>0</v>
      </c>
      <c r="D256" s="377">
        <v>19144065</v>
      </c>
      <c r="E256" s="482">
        <v>19144065</v>
      </c>
      <c r="F256" s="537"/>
      <c r="G256" s="377"/>
      <c r="H256" s="377"/>
      <c r="I256" s="377"/>
      <c r="J256" s="377"/>
      <c r="K256" s="377"/>
      <c r="L256" s="195" t="s">
        <v>183</v>
      </c>
    </row>
    <row r="257" spans="1:12" ht="12.75">
      <c r="A257" s="206">
        <v>226131180</v>
      </c>
      <c r="B257" s="189"/>
      <c r="C257" s="229"/>
      <c r="D257" s="376">
        <v>6633603</v>
      </c>
      <c r="E257" s="477">
        <v>6625401</v>
      </c>
      <c r="F257" s="532"/>
      <c r="G257" s="229"/>
      <c r="H257" s="229"/>
      <c r="I257" s="229"/>
      <c r="J257" s="229"/>
      <c r="K257" s="229"/>
      <c r="L257" s="195" t="s">
        <v>29</v>
      </c>
    </row>
    <row r="258" spans="1:12" ht="25.5">
      <c r="A258" s="206">
        <v>226131181</v>
      </c>
      <c r="B258" s="189"/>
      <c r="C258" s="229">
        <v>6000</v>
      </c>
      <c r="D258" s="376">
        <v>500000</v>
      </c>
      <c r="E258" s="472">
        <v>0</v>
      </c>
      <c r="F258" s="523"/>
      <c r="G258" s="189"/>
      <c r="H258" s="189"/>
      <c r="I258" s="189"/>
      <c r="J258" s="189"/>
      <c r="K258" s="189"/>
      <c r="L258" s="195" t="s">
        <v>376</v>
      </c>
    </row>
    <row r="259" spans="1:12" ht="25.5">
      <c r="A259" s="206">
        <v>226131182</v>
      </c>
      <c r="B259" s="189"/>
      <c r="C259" s="229">
        <v>10000000</v>
      </c>
      <c r="D259" s="376">
        <v>16000000</v>
      </c>
      <c r="E259" s="478">
        <v>16000000</v>
      </c>
      <c r="F259" s="533"/>
      <c r="G259" s="376"/>
      <c r="H259" s="376"/>
      <c r="I259" s="376"/>
      <c r="J259" s="376"/>
      <c r="K259" s="376"/>
      <c r="L259" s="195" t="s">
        <v>377</v>
      </c>
    </row>
    <row r="260" spans="1:12" ht="12.75">
      <c r="A260" s="206">
        <v>226131183</v>
      </c>
      <c r="B260" s="189"/>
      <c r="C260" s="229">
        <v>994000</v>
      </c>
      <c r="D260" s="376">
        <v>3000000</v>
      </c>
      <c r="E260" s="478">
        <v>3000000</v>
      </c>
      <c r="F260" s="533"/>
      <c r="G260" s="376"/>
      <c r="H260" s="376"/>
      <c r="I260" s="376"/>
      <c r="J260" s="376"/>
      <c r="K260" s="376"/>
      <c r="L260" s="195" t="s">
        <v>30</v>
      </c>
    </row>
    <row r="261" spans="1:12" ht="12.75">
      <c r="A261" s="206">
        <v>226131283</v>
      </c>
      <c r="B261" s="189"/>
      <c r="C261" s="229">
        <v>46999900</v>
      </c>
      <c r="D261" s="376">
        <v>53727560</v>
      </c>
      <c r="E261" s="477">
        <v>40762130</v>
      </c>
      <c r="F261" s="532"/>
      <c r="G261" s="229"/>
      <c r="H261" s="229"/>
      <c r="I261" s="229"/>
      <c r="J261" s="229"/>
      <c r="K261" s="229"/>
      <c r="L261" s="195" t="s">
        <v>378</v>
      </c>
    </row>
    <row r="262" spans="1:12" ht="12.75">
      <c r="A262" s="206">
        <v>226131287</v>
      </c>
      <c r="B262" s="189"/>
      <c r="C262" s="229">
        <v>1000000</v>
      </c>
      <c r="D262" s="376">
        <v>1000000</v>
      </c>
      <c r="E262" s="478">
        <f>1000000-620000</f>
        <v>380000</v>
      </c>
      <c r="F262" s="533"/>
      <c r="G262" s="376"/>
      <c r="H262" s="376"/>
      <c r="I262" s="376"/>
      <c r="J262" s="376"/>
      <c r="K262" s="376"/>
      <c r="L262" s="195" t="s">
        <v>379</v>
      </c>
    </row>
    <row r="263" spans="1:12" ht="12.75">
      <c r="A263" s="387">
        <v>226061132</v>
      </c>
      <c r="B263" s="388"/>
      <c r="C263" s="389"/>
      <c r="D263" s="441">
        <v>1000000</v>
      </c>
      <c r="E263" s="488"/>
      <c r="F263" s="546"/>
      <c r="G263" s="441"/>
      <c r="H263" s="441"/>
      <c r="I263" s="441"/>
      <c r="J263" s="441"/>
      <c r="K263" s="441"/>
      <c r="L263" s="195" t="s">
        <v>483</v>
      </c>
    </row>
    <row r="264" spans="1:12" ht="25.5">
      <c r="A264" s="387">
        <v>226061133</v>
      </c>
      <c r="B264" s="388"/>
      <c r="C264" s="389"/>
      <c r="D264" s="441">
        <v>20000000</v>
      </c>
      <c r="E264" s="488">
        <f>+D264</f>
        <v>20000000</v>
      </c>
      <c r="F264" s="546"/>
      <c r="G264" s="441"/>
      <c r="H264" s="441"/>
      <c r="I264" s="441"/>
      <c r="J264" s="441"/>
      <c r="K264" s="441"/>
      <c r="L264" s="195" t="s">
        <v>484</v>
      </c>
    </row>
    <row r="265" spans="1:12" ht="12.75">
      <c r="A265" s="387">
        <v>226111174</v>
      </c>
      <c r="B265" s="388"/>
      <c r="C265" s="389"/>
      <c r="D265" s="441">
        <v>33000000</v>
      </c>
      <c r="E265" s="488">
        <v>30580340</v>
      </c>
      <c r="F265" s="546"/>
      <c r="G265" s="441"/>
      <c r="H265" s="441"/>
      <c r="I265" s="441"/>
      <c r="J265" s="441"/>
      <c r="K265" s="441"/>
      <c r="L265" s="195" t="s">
        <v>69</v>
      </c>
    </row>
    <row r="266" spans="1:12" ht="12.75">
      <c r="A266" s="208">
        <v>226070228</v>
      </c>
      <c r="B266" s="189"/>
      <c r="C266" s="229">
        <v>32000000</v>
      </c>
      <c r="D266" s="376"/>
      <c r="E266" s="489"/>
      <c r="F266" s="547"/>
      <c r="G266" s="230"/>
      <c r="H266" s="230"/>
      <c r="I266" s="230"/>
      <c r="J266" s="230"/>
      <c r="K266" s="230"/>
      <c r="L266" s="195" t="s">
        <v>702</v>
      </c>
    </row>
    <row r="267" spans="1:12" ht="25.5">
      <c r="A267" s="208">
        <v>226080129</v>
      </c>
      <c r="B267" s="189"/>
      <c r="C267" s="229">
        <v>3000000</v>
      </c>
      <c r="D267" s="376"/>
      <c r="E267" s="489"/>
      <c r="F267" s="547"/>
      <c r="G267" s="230"/>
      <c r="H267" s="230"/>
      <c r="I267" s="230"/>
      <c r="J267" s="230"/>
      <c r="K267" s="230"/>
      <c r="L267" s="195" t="s">
        <v>380</v>
      </c>
    </row>
    <row r="268" spans="1:12" ht="38.25">
      <c r="A268" s="208">
        <v>226120145</v>
      </c>
      <c r="B268" s="189"/>
      <c r="C268" s="229">
        <v>28000000</v>
      </c>
      <c r="D268" s="376"/>
      <c r="E268" s="489"/>
      <c r="F268" s="547"/>
      <c r="G268" s="230"/>
      <c r="H268" s="230"/>
      <c r="I268" s="230"/>
      <c r="J268" s="230"/>
      <c r="K268" s="230"/>
      <c r="L268" s="195" t="s">
        <v>811</v>
      </c>
    </row>
    <row r="269" spans="1:12" ht="12.75">
      <c r="A269" s="234"/>
      <c r="B269" s="211"/>
      <c r="C269" s="235">
        <f>SUM(C258:C268)</f>
        <v>121999900</v>
      </c>
      <c r="D269" s="299">
        <f>SUM(D256:D268)</f>
        <v>154005228</v>
      </c>
      <c r="E269" s="490">
        <f>SUM(E256:E268)</f>
        <v>136491936</v>
      </c>
      <c r="F269" s="548"/>
      <c r="G269" s="299"/>
      <c r="H269" s="299"/>
      <c r="I269" s="299"/>
      <c r="J269" s="299"/>
      <c r="K269" s="299"/>
      <c r="L269" s="222"/>
    </row>
    <row r="270" spans="1:13" ht="12.75">
      <c r="A270" s="234"/>
      <c r="B270" s="211"/>
      <c r="C270" s="235"/>
      <c r="D270" s="299"/>
      <c r="E270" s="491">
        <v>86911596</v>
      </c>
      <c r="F270" s="549"/>
      <c r="G270" s="225"/>
      <c r="H270" s="225"/>
      <c r="I270" s="225"/>
      <c r="J270" s="225"/>
      <c r="K270" s="225"/>
      <c r="L270" s="222"/>
      <c r="M270" s="424">
        <f>E269-E270</f>
        <v>49580340</v>
      </c>
    </row>
    <row r="271" spans="1:12" ht="12.75">
      <c r="A271" s="215" t="s">
        <v>47</v>
      </c>
      <c r="B271" s="204"/>
      <c r="C271" s="204"/>
      <c r="D271" s="434"/>
      <c r="E271" s="471"/>
      <c r="F271" s="522"/>
      <c r="G271" s="204"/>
      <c r="H271" s="204"/>
      <c r="I271" s="204"/>
      <c r="J271" s="204"/>
      <c r="K271" s="204"/>
      <c r="L271" s="203"/>
    </row>
    <row r="272" spans="1:12" ht="12.75">
      <c r="A272" s="252">
        <v>226031109</v>
      </c>
      <c r="B272" s="250"/>
      <c r="C272" s="250"/>
      <c r="D272" s="379">
        <v>11990300</v>
      </c>
      <c r="E272" s="452">
        <v>11989299</v>
      </c>
      <c r="F272" s="550"/>
      <c r="G272" s="382"/>
      <c r="H272" s="382"/>
      <c r="I272" s="382"/>
      <c r="J272" s="382"/>
      <c r="K272" s="382"/>
      <c r="L272" s="251" t="s">
        <v>184</v>
      </c>
    </row>
    <row r="273" spans="1:12" ht="12.75">
      <c r="A273" s="252">
        <v>226031110</v>
      </c>
      <c r="B273" s="250"/>
      <c r="C273" s="250"/>
      <c r="D273" s="379">
        <v>5560700</v>
      </c>
      <c r="E273" s="452">
        <v>4160927</v>
      </c>
      <c r="F273" s="550"/>
      <c r="G273" s="382"/>
      <c r="H273" s="382"/>
      <c r="I273" s="382"/>
      <c r="J273" s="382"/>
      <c r="K273" s="382"/>
      <c r="L273" s="251" t="s">
        <v>29</v>
      </c>
    </row>
    <row r="274" spans="1:12" ht="25.5">
      <c r="A274" s="252">
        <v>226031111</v>
      </c>
      <c r="B274" s="189"/>
      <c r="C274" s="236">
        <v>198224949</v>
      </c>
      <c r="D274" s="380">
        <v>71646912</v>
      </c>
      <c r="E274" s="482">
        <v>71646111</v>
      </c>
      <c r="F274" s="537"/>
      <c r="G274" s="377"/>
      <c r="H274" s="377"/>
      <c r="I274" s="377"/>
      <c r="J274" s="377"/>
      <c r="K274" s="377"/>
      <c r="L274" s="195" t="s">
        <v>818</v>
      </c>
    </row>
    <row r="275" spans="1:12" ht="25.5">
      <c r="A275" s="252">
        <v>226031112</v>
      </c>
      <c r="B275" s="189"/>
      <c r="C275" s="236"/>
      <c r="D275" s="380">
        <v>8000000</v>
      </c>
      <c r="E275" s="482">
        <v>8000000</v>
      </c>
      <c r="F275" s="537"/>
      <c r="G275" s="377"/>
      <c r="H275" s="377"/>
      <c r="I275" s="377"/>
      <c r="J275" s="377"/>
      <c r="K275" s="377"/>
      <c r="L275" s="195" t="s">
        <v>316</v>
      </c>
    </row>
    <row r="276" spans="1:12" ht="25.5">
      <c r="A276" s="395" t="s">
        <v>67</v>
      </c>
      <c r="B276" s="388"/>
      <c r="C276" s="384">
        <v>1000000</v>
      </c>
      <c r="D276" s="384">
        <f>4500000+1000000</f>
        <v>5500000</v>
      </c>
      <c r="E276" s="455">
        <f>+D276</f>
        <v>5500000</v>
      </c>
      <c r="F276" s="504"/>
      <c r="G276" s="384"/>
      <c r="H276" s="384"/>
      <c r="I276" s="384"/>
      <c r="J276" s="384"/>
      <c r="K276" s="384"/>
      <c r="L276" s="195" t="s">
        <v>317</v>
      </c>
    </row>
    <row r="277" spans="1:12" ht="45.75" customHeight="1">
      <c r="A277" s="395">
        <v>226081142</v>
      </c>
      <c r="B277" s="189"/>
      <c r="C277" s="220">
        <v>31445000</v>
      </c>
      <c r="D277" s="384">
        <v>130315000</v>
      </c>
      <c r="E277" s="455">
        <v>129690000</v>
      </c>
      <c r="F277" s="504"/>
      <c r="G277" s="384"/>
      <c r="H277" s="384"/>
      <c r="I277" s="384"/>
      <c r="J277" s="384"/>
      <c r="K277" s="384"/>
      <c r="L277" s="195" t="s">
        <v>318</v>
      </c>
    </row>
    <row r="278" spans="1:12" ht="38.25">
      <c r="A278" s="395">
        <v>226081143</v>
      </c>
      <c r="B278" s="189"/>
      <c r="C278" s="220">
        <v>2590000</v>
      </c>
      <c r="D278" s="384">
        <v>7500000</v>
      </c>
      <c r="E278" s="455">
        <f>+D278</f>
        <v>7500000</v>
      </c>
      <c r="F278" s="504"/>
      <c r="G278" s="384"/>
      <c r="H278" s="384"/>
      <c r="I278" s="384"/>
      <c r="J278" s="384"/>
      <c r="K278" s="384"/>
      <c r="L278" s="195" t="s">
        <v>319</v>
      </c>
    </row>
    <row r="279" spans="1:12" ht="12.75">
      <c r="A279" s="395">
        <v>226081144</v>
      </c>
      <c r="B279" s="189"/>
      <c r="C279" s="220">
        <v>9000000</v>
      </c>
      <c r="D279" s="384">
        <v>2000000</v>
      </c>
      <c r="E279" s="455">
        <f>+D279</f>
        <v>2000000</v>
      </c>
      <c r="F279" s="504"/>
      <c r="G279" s="384"/>
      <c r="H279" s="384"/>
      <c r="I279" s="384"/>
      <c r="J279" s="384"/>
      <c r="K279" s="384"/>
      <c r="L279" s="399" t="s">
        <v>61</v>
      </c>
    </row>
    <row r="280" spans="1:12" ht="12.75">
      <c r="A280" s="395">
        <v>226081145</v>
      </c>
      <c r="B280" s="189"/>
      <c r="C280" s="220"/>
      <c r="D280" s="384">
        <v>80000000</v>
      </c>
      <c r="E280" s="455">
        <v>80000000</v>
      </c>
      <c r="F280" s="504"/>
      <c r="G280" s="384"/>
      <c r="H280" s="384"/>
      <c r="I280" s="384"/>
      <c r="J280" s="384"/>
      <c r="K280" s="384"/>
      <c r="L280" s="399" t="s">
        <v>62</v>
      </c>
    </row>
    <row r="281" spans="1:12" ht="25.5">
      <c r="A281" s="395">
        <v>226081146</v>
      </c>
      <c r="B281" s="189"/>
      <c r="C281" s="220"/>
      <c r="D281" s="384">
        <v>50000000</v>
      </c>
      <c r="E281" s="455">
        <v>49994396</v>
      </c>
      <c r="F281" s="504"/>
      <c r="G281" s="384"/>
      <c r="H281" s="384"/>
      <c r="I281" s="384"/>
      <c r="J281" s="384"/>
      <c r="K281" s="384"/>
      <c r="L281" s="399" t="s">
        <v>63</v>
      </c>
    </row>
    <row r="282" spans="1:12" ht="12.75">
      <c r="A282" s="395">
        <v>226081147</v>
      </c>
      <c r="B282" s="189"/>
      <c r="C282" s="220"/>
      <c r="D282" s="384">
        <v>8000000</v>
      </c>
      <c r="E282" s="455">
        <v>7260000</v>
      </c>
      <c r="F282" s="504"/>
      <c r="G282" s="384"/>
      <c r="H282" s="384"/>
      <c r="I282" s="384"/>
      <c r="J282" s="384"/>
      <c r="K282" s="384"/>
      <c r="L282" s="399" t="s">
        <v>64</v>
      </c>
    </row>
    <row r="283" spans="1:12" ht="25.5">
      <c r="A283" s="395">
        <v>226081197</v>
      </c>
      <c r="B283" s="189"/>
      <c r="C283" s="220"/>
      <c r="D283" s="384">
        <v>55000000</v>
      </c>
      <c r="E283" s="455">
        <f>+D283</f>
        <v>55000000</v>
      </c>
      <c r="F283" s="504"/>
      <c r="G283" s="384"/>
      <c r="H283" s="384"/>
      <c r="I283" s="384"/>
      <c r="J283" s="384"/>
      <c r="K283" s="384"/>
      <c r="L283" s="399" t="s">
        <v>65</v>
      </c>
    </row>
    <row r="284" spans="1:12" ht="25.5">
      <c r="A284" s="395">
        <v>226081198</v>
      </c>
      <c r="B284" s="189"/>
      <c r="C284" s="220"/>
      <c r="D284" s="384">
        <v>150000000</v>
      </c>
      <c r="E284" s="455">
        <f>+D284</f>
        <v>150000000</v>
      </c>
      <c r="F284" s="504"/>
      <c r="G284" s="384"/>
      <c r="H284" s="384"/>
      <c r="I284" s="384"/>
      <c r="J284" s="384"/>
      <c r="K284" s="384"/>
      <c r="L284" s="399" t="s">
        <v>66</v>
      </c>
    </row>
    <row r="285" spans="1:12" ht="12.75">
      <c r="A285" s="395">
        <v>226081246</v>
      </c>
      <c r="B285" s="189"/>
      <c r="C285" s="220"/>
      <c r="D285" s="220">
        <v>2350000</v>
      </c>
      <c r="E285" s="452">
        <f>+D285</f>
        <v>2350000</v>
      </c>
      <c r="F285" s="501"/>
      <c r="G285" s="220"/>
      <c r="H285" s="220"/>
      <c r="I285" s="220"/>
      <c r="J285" s="220"/>
      <c r="K285" s="220"/>
      <c r="L285" s="195" t="s">
        <v>37</v>
      </c>
    </row>
    <row r="286" spans="1:12" ht="25.5">
      <c r="A286" s="396"/>
      <c r="B286" s="397"/>
      <c r="C286" s="442"/>
      <c r="D286" s="442"/>
      <c r="E286" s="492"/>
      <c r="F286" s="551"/>
      <c r="G286" s="442"/>
      <c r="H286" s="442"/>
      <c r="I286" s="442"/>
      <c r="J286" s="442"/>
      <c r="K286" s="442"/>
      <c r="L286" s="195" t="s">
        <v>192</v>
      </c>
    </row>
    <row r="287" spans="1:12" ht="38.25">
      <c r="A287" s="206"/>
      <c r="B287" s="189"/>
      <c r="C287" s="220"/>
      <c r="D287" s="220"/>
      <c r="E287" s="452"/>
      <c r="F287" s="501"/>
      <c r="G287" s="220"/>
      <c r="H287" s="220"/>
      <c r="I287" s="220"/>
      <c r="J287" s="220"/>
      <c r="K287" s="220"/>
      <c r="L287" s="195" t="s">
        <v>83</v>
      </c>
    </row>
    <row r="288" spans="1:12" ht="38.25">
      <c r="A288" s="206"/>
      <c r="B288" s="189"/>
      <c r="C288" s="220"/>
      <c r="D288" s="220"/>
      <c r="E288" s="452"/>
      <c r="F288" s="501"/>
      <c r="G288" s="220"/>
      <c r="H288" s="220"/>
      <c r="I288" s="220"/>
      <c r="J288" s="220"/>
      <c r="K288" s="220"/>
      <c r="L288" s="195" t="s">
        <v>84</v>
      </c>
    </row>
    <row r="289" spans="1:12" ht="38.25">
      <c r="A289" s="206"/>
      <c r="B289" s="189"/>
      <c r="C289" s="220"/>
      <c r="D289" s="220"/>
      <c r="E289" s="452"/>
      <c r="F289" s="501"/>
      <c r="G289" s="220"/>
      <c r="H289" s="220"/>
      <c r="I289" s="220"/>
      <c r="J289" s="220"/>
      <c r="K289" s="220"/>
      <c r="L289" s="195" t="s">
        <v>85</v>
      </c>
    </row>
    <row r="290" spans="1:12" ht="25.5">
      <c r="A290" s="206"/>
      <c r="B290" s="189"/>
      <c r="C290" s="220"/>
      <c r="D290" s="220"/>
      <c r="E290" s="452"/>
      <c r="F290" s="501"/>
      <c r="G290" s="220"/>
      <c r="H290" s="220"/>
      <c r="I290" s="220"/>
      <c r="J290" s="220"/>
      <c r="K290" s="220"/>
      <c r="L290" s="195" t="s">
        <v>86</v>
      </c>
    </row>
    <row r="291" spans="1:12" ht="38.25">
      <c r="A291" s="206"/>
      <c r="B291" s="189"/>
      <c r="C291" s="220"/>
      <c r="D291" s="220"/>
      <c r="E291" s="452"/>
      <c r="F291" s="501"/>
      <c r="G291" s="220"/>
      <c r="H291" s="220"/>
      <c r="I291" s="220"/>
      <c r="J291" s="220"/>
      <c r="K291" s="220"/>
      <c r="L291" s="195" t="s">
        <v>754</v>
      </c>
    </row>
    <row r="292" spans="1:12" ht="12.75">
      <c r="A292" s="206"/>
      <c r="B292" s="189"/>
      <c r="C292" s="220"/>
      <c r="D292" s="220"/>
      <c r="E292" s="452"/>
      <c r="F292" s="501"/>
      <c r="G292" s="220"/>
      <c r="H292" s="220"/>
      <c r="I292" s="220"/>
      <c r="J292" s="220"/>
      <c r="K292" s="220"/>
      <c r="L292" s="189"/>
    </row>
    <row r="293" spans="1:12" ht="12.75">
      <c r="A293" s="209" t="s">
        <v>48</v>
      </c>
      <c r="B293" s="211"/>
      <c r="C293" s="210">
        <f>SUM(C274:C292)</f>
        <v>242259949</v>
      </c>
      <c r="D293" s="279">
        <f>SUM(D272:D292)</f>
        <v>587862912</v>
      </c>
      <c r="E293" s="493">
        <f>SUM(E272:E292)</f>
        <v>585090733</v>
      </c>
      <c r="F293" s="552"/>
      <c r="G293" s="279"/>
      <c r="H293" s="279"/>
      <c r="I293" s="279"/>
      <c r="J293" s="279"/>
      <c r="K293" s="279"/>
      <c r="L293" s="222"/>
    </row>
    <row r="294" spans="1:12" ht="12.75">
      <c r="A294" s="215" t="str">
        <f>+'Eje Economico'!C40</f>
        <v>Mejorando Procesos productivos</v>
      </c>
      <c r="B294" s="204"/>
      <c r="C294" s="204"/>
      <c r="D294" s="434"/>
      <c r="E294" s="494"/>
      <c r="F294" s="553"/>
      <c r="G294" s="443"/>
      <c r="H294" s="443"/>
      <c r="I294" s="443"/>
      <c r="J294" s="443"/>
      <c r="K294" s="443"/>
      <c r="L294" s="203"/>
    </row>
    <row r="295" spans="1:12" ht="25.5">
      <c r="A295" s="208">
        <v>226160260</v>
      </c>
      <c r="B295" s="250"/>
      <c r="C295" s="250"/>
      <c r="D295" s="444"/>
      <c r="E295" s="495"/>
      <c r="F295" s="554"/>
      <c r="G295" s="320"/>
      <c r="H295" s="320"/>
      <c r="I295" s="320"/>
      <c r="J295" s="320"/>
      <c r="K295" s="320"/>
      <c r="L295" s="195" t="s">
        <v>193</v>
      </c>
    </row>
    <row r="296" spans="1:12" ht="25.5">
      <c r="A296" s="206">
        <v>226031191</v>
      </c>
      <c r="B296" s="189"/>
      <c r="C296" s="189"/>
      <c r="D296" s="378">
        <v>7000000</v>
      </c>
      <c r="E296" s="454">
        <v>7000000</v>
      </c>
      <c r="F296" s="503"/>
      <c r="G296" s="378"/>
      <c r="H296" s="378"/>
      <c r="I296" s="378"/>
      <c r="J296" s="378"/>
      <c r="K296" s="378"/>
      <c r="L296" s="195" t="s">
        <v>32</v>
      </c>
    </row>
    <row r="297" spans="1:12" ht="12.75">
      <c r="A297" s="206"/>
      <c r="B297" s="189"/>
      <c r="C297" s="220"/>
      <c r="D297" s="220"/>
      <c r="E297" s="452"/>
      <c r="F297" s="501"/>
      <c r="G297" s="220"/>
      <c r="H297" s="220"/>
      <c r="I297" s="220"/>
      <c r="J297" s="220"/>
      <c r="K297" s="220"/>
      <c r="L297" s="195" t="e">
        <f>+'Eje Economico'!#REF!</f>
        <v>#REF!</v>
      </c>
    </row>
    <row r="298" spans="1:15" ht="12.75">
      <c r="A298" s="206"/>
      <c r="B298" s="189"/>
      <c r="C298" s="189"/>
      <c r="D298" s="435"/>
      <c r="E298" s="472"/>
      <c r="F298" s="523"/>
      <c r="G298" s="189"/>
      <c r="H298" s="189"/>
      <c r="I298" s="189"/>
      <c r="J298" s="189"/>
      <c r="K298" s="189"/>
      <c r="L298" s="195" t="e">
        <f>+'Eje Economico'!#REF!</f>
        <v>#REF!</v>
      </c>
      <c r="O298" s="424">
        <f>95000*5</f>
        <v>475000</v>
      </c>
    </row>
    <row r="299" spans="1:12" ht="12.75">
      <c r="A299" s="234" t="s">
        <v>49</v>
      </c>
      <c r="B299" s="211"/>
      <c r="C299" s="210">
        <f>SUM(C296:C298)</f>
        <v>0</v>
      </c>
      <c r="D299" s="279">
        <f>SUM(D295:D298)</f>
        <v>7000000</v>
      </c>
      <c r="E299" s="493">
        <f>SUM(E295:E298)</f>
        <v>7000000</v>
      </c>
      <c r="F299" s="552"/>
      <c r="G299" s="279"/>
      <c r="H299" s="279"/>
      <c r="I299" s="279"/>
      <c r="J299" s="279"/>
      <c r="K299" s="279"/>
      <c r="L299" s="222"/>
    </row>
    <row r="300" spans="1:15" ht="12.75">
      <c r="A300" s="215" t="str">
        <f>+'Eje Economico'!C64</f>
        <v>Transferencia de tecnologías</v>
      </c>
      <c r="B300" s="204"/>
      <c r="C300" s="204"/>
      <c r="D300" s="434"/>
      <c r="E300" s="471"/>
      <c r="F300" s="522"/>
      <c r="G300" s="204"/>
      <c r="H300" s="204"/>
      <c r="I300" s="204"/>
      <c r="J300" s="204"/>
      <c r="K300" s="204"/>
      <c r="L300" s="204"/>
      <c r="M300" s="424">
        <v>3</v>
      </c>
      <c r="N300" s="424">
        <v>50000</v>
      </c>
      <c r="O300" s="424">
        <f>+M300*N300</f>
        <v>150000</v>
      </c>
    </row>
    <row r="301" spans="1:12" ht="25.5">
      <c r="A301" s="252">
        <v>226031113</v>
      </c>
      <c r="B301" s="189"/>
      <c r="C301" s="378">
        <v>25122549</v>
      </c>
      <c r="D301" s="381">
        <v>15943314</v>
      </c>
      <c r="E301" s="454">
        <v>15921818</v>
      </c>
      <c r="F301" s="503"/>
      <c r="G301" s="378"/>
      <c r="H301" s="378"/>
      <c r="I301" s="378"/>
      <c r="J301" s="378"/>
      <c r="K301" s="378"/>
      <c r="L301" s="195" t="s">
        <v>323</v>
      </c>
    </row>
    <row r="302" spans="1:12" ht="25.5">
      <c r="A302" s="252">
        <v>226031114</v>
      </c>
      <c r="B302" s="189"/>
      <c r="C302" s="378">
        <v>5000000</v>
      </c>
      <c r="D302" s="381">
        <v>10592008</v>
      </c>
      <c r="E302" s="454">
        <f>10592008-1000</f>
        <v>10591008</v>
      </c>
      <c r="F302" s="503"/>
      <c r="G302" s="378"/>
      <c r="H302" s="378"/>
      <c r="I302" s="378"/>
      <c r="J302" s="378"/>
      <c r="K302" s="378"/>
      <c r="L302" s="195" t="s">
        <v>324</v>
      </c>
    </row>
    <row r="303" spans="1:12" ht="25.5">
      <c r="A303" s="252">
        <v>226031115</v>
      </c>
      <c r="B303" s="189"/>
      <c r="C303" s="378">
        <v>3000000</v>
      </c>
      <c r="D303" s="381">
        <v>9200000</v>
      </c>
      <c r="E303" s="454">
        <v>9199841</v>
      </c>
      <c r="F303" s="503"/>
      <c r="G303" s="378"/>
      <c r="H303" s="378"/>
      <c r="I303" s="378"/>
      <c r="J303" s="378"/>
      <c r="K303" s="378"/>
      <c r="L303" s="195" t="s">
        <v>191</v>
      </c>
    </row>
    <row r="304" spans="1:12" ht="12.75">
      <c r="A304" s="252">
        <v>226031116</v>
      </c>
      <c r="B304" s="189"/>
      <c r="C304" s="378">
        <v>21585000</v>
      </c>
      <c r="D304" s="381">
        <v>2796531</v>
      </c>
      <c r="E304" s="454">
        <v>2796531</v>
      </c>
      <c r="F304" s="503"/>
      <c r="G304" s="378"/>
      <c r="H304" s="378"/>
      <c r="I304" s="378"/>
      <c r="J304" s="378"/>
      <c r="K304" s="378"/>
      <c r="L304" s="195" t="s">
        <v>819</v>
      </c>
    </row>
    <row r="305" spans="1:12" ht="25.5">
      <c r="A305" s="395">
        <v>226081347</v>
      </c>
      <c r="B305" s="189"/>
      <c r="C305" s="220"/>
      <c r="D305" s="384">
        <v>24840000</v>
      </c>
      <c r="E305" s="455">
        <f>30240000-5400000</f>
        <v>24840000</v>
      </c>
      <c r="F305" s="504"/>
      <c r="G305" s="384"/>
      <c r="H305" s="384"/>
      <c r="I305" s="384"/>
      <c r="J305" s="384"/>
      <c r="K305" s="384"/>
      <c r="L305" s="195" t="s">
        <v>326</v>
      </c>
    </row>
    <row r="306" spans="1:12" ht="12.75">
      <c r="A306" s="234"/>
      <c r="B306" s="211"/>
      <c r="C306" s="225">
        <f>SUM(C301:C305)</f>
        <v>54707549</v>
      </c>
      <c r="D306" s="289">
        <f>SUM(D301:D305)</f>
        <v>63371853</v>
      </c>
      <c r="E306" s="496">
        <f>SUM(E301:E305)</f>
        <v>63349198</v>
      </c>
      <c r="F306" s="555"/>
      <c r="G306" s="289"/>
      <c r="H306" s="289"/>
      <c r="I306" s="289"/>
      <c r="J306" s="289"/>
      <c r="K306" s="289"/>
      <c r="L306" s="222"/>
    </row>
    <row r="307" spans="1:15" ht="12.75">
      <c r="A307" s="215" t="str">
        <f>+'Eje Economico'!C88</f>
        <v>Pacho naranjero</v>
      </c>
      <c r="B307" s="204"/>
      <c r="C307" s="204"/>
      <c r="D307" s="434"/>
      <c r="E307" s="471"/>
      <c r="F307" s="522"/>
      <c r="G307" s="204"/>
      <c r="H307" s="204"/>
      <c r="I307" s="204"/>
      <c r="J307" s="204"/>
      <c r="K307" s="204"/>
      <c r="L307" s="204"/>
      <c r="M307" s="424" t="e">
        <f>+#REF!*#REF!</f>
        <v>#REF!</v>
      </c>
      <c r="N307" s="424" t="e">
        <f>+M307*0.4</f>
        <v>#REF!</v>
      </c>
      <c r="O307" s="424" t="e">
        <f>+M307*0.6</f>
        <v>#REF!</v>
      </c>
    </row>
    <row r="308" spans="1:15" ht="25.5">
      <c r="A308" s="206">
        <v>226140253</v>
      </c>
      <c r="B308" s="189"/>
      <c r="C308" s="378">
        <v>55000000</v>
      </c>
      <c r="D308" s="378"/>
      <c r="E308" s="454"/>
      <c r="F308" s="503"/>
      <c r="G308" s="378"/>
      <c r="H308" s="378"/>
      <c r="I308" s="378"/>
      <c r="J308" s="378"/>
      <c r="K308" s="378"/>
      <c r="L308" s="195" t="s">
        <v>322</v>
      </c>
      <c r="M308" s="424" t="e">
        <f>+#REF!*#REF!</f>
        <v>#REF!</v>
      </c>
      <c r="N308" s="424" t="e">
        <f>0.4*M308</f>
        <v>#REF!</v>
      </c>
      <c r="O308" s="424" t="e">
        <f>+M308*0.6</f>
        <v>#REF!</v>
      </c>
    </row>
    <row r="309" spans="1:14" ht="12.75">
      <c r="A309" s="234"/>
      <c r="B309" s="211"/>
      <c r="C309" s="235">
        <f>+C308</f>
        <v>55000000</v>
      </c>
      <c r="D309" s="299">
        <f>+D308</f>
        <v>0</v>
      </c>
      <c r="E309" s="490">
        <f>+E308</f>
        <v>0</v>
      </c>
      <c r="F309" s="548"/>
      <c r="G309" s="299"/>
      <c r="H309" s="299"/>
      <c r="I309" s="299"/>
      <c r="J309" s="299"/>
      <c r="K309" s="299"/>
      <c r="L309" s="222"/>
      <c r="M309" s="424" t="e">
        <f>+#REF!*#REF!</f>
        <v>#REF!</v>
      </c>
      <c r="N309" s="424" t="e">
        <f>+M309*0.5</f>
        <v>#REF!</v>
      </c>
    </row>
    <row r="310" spans="6:15" ht="12.75">
      <c r="F310" s="525"/>
      <c r="L310" s="25"/>
      <c r="M310" s="424" t="e">
        <f>+#REF!*#REF!</f>
        <v>#REF!</v>
      </c>
      <c r="N310" s="424" t="e">
        <f>+M310*0.7</f>
        <v>#REF!</v>
      </c>
      <c r="O310" s="424" t="e">
        <f>+M310*0.3</f>
        <v>#REF!</v>
      </c>
    </row>
    <row r="311" spans="1:13" ht="12.75">
      <c r="A311" s="215" t="str">
        <f>+'Eje Economico'!C107</f>
        <v>Creando estructura agropecuaria</v>
      </c>
      <c r="B311" s="204"/>
      <c r="C311" s="204"/>
      <c r="D311" s="434"/>
      <c r="E311" s="471"/>
      <c r="F311" s="522"/>
      <c r="G311" s="204"/>
      <c r="H311" s="204"/>
      <c r="I311" s="204"/>
      <c r="J311" s="204"/>
      <c r="K311" s="204"/>
      <c r="L311" s="203"/>
      <c r="M311" s="424" t="e">
        <f>+#REF!*#REF!</f>
        <v>#REF!</v>
      </c>
    </row>
    <row r="312" spans="1:17" ht="25.5">
      <c r="A312" s="252">
        <v>226031217</v>
      </c>
      <c r="B312" s="189"/>
      <c r="C312" s="378">
        <v>22783000</v>
      </c>
      <c r="D312" s="378">
        <v>22447515</v>
      </c>
      <c r="E312" s="454">
        <v>21660120</v>
      </c>
      <c r="F312" s="503"/>
      <c r="G312" s="378"/>
      <c r="H312" s="378"/>
      <c r="I312" s="378"/>
      <c r="J312" s="378"/>
      <c r="K312" s="378"/>
      <c r="L312" s="195" t="s">
        <v>325</v>
      </c>
      <c r="M312" s="424" t="e">
        <f>SUM(M307:M311)</f>
        <v>#REF!</v>
      </c>
      <c r="N312" s="424" t="e">
        <f>+M311*0.6</f>
        <v>#REF!</v>
      </c>
      <c r="Q312">
        <f>2500000*1.16</f>
        <v>2900000</v>
      </c>
    </row>
    <row r="313" spans="1:12" ht="25.5">
      <c r="A313" s="206">
        <v>226160259</v>
      </c>
      <c r="B313" s="256"/>
      <c r="C313" s="445"/>
      <c r="D313" s="445"/>
      <c r="E313" s="497"/>
      <c r="F313" s="556"/>
      <c r="G313" s="321"/>
      <c r="H313" s="321"/>
      <c r="I313" s="321"/>
      <c r="J313" s="321"/>
      <c r="K313" s="321"/>
      <c r="L313" s="255" t="s">
        <v>221</v>
      </c>
    </row>
    <row r="314" spans="1:12" ht="12.75">
      <c r="A314" s="234"/>
      <c r="B314" s="211"/>
      <c r="C314" s="235">
        <f>+C312</f>
        <v>22783000</v>
      </c>
      <c r="D314" s="299">
        <f>SUM(D312:D313)</f>
        <v>22447515</v>
      </c>
      <c r="E314" s="490">
        <f>SUM(E312:E313)</f>
        <v>21660120</v>
      </c>
      <c r="F314" s="548"/>
      <c r="G314" s="299"/>
      <c r="H314" s="299"/>
      <c r="I314" s="299"/>
      <c r="J314" s="299"/>
      <c r="K314" s="299"/>
      <c r="L314" s="222"/>
    </row>
    <row r="315" spans="1:12" ht="12.75">
      <c r="A315" s="232"/>
      <c r="B315" s="232"/>
      <c r="C315" s="261"/>
      <c r="D315" s="300"/>
      <c r="E315" s="261"/>
      <c r="F315" s="557"/>
      <c r="G315" s="261"/>
      <c r="H315" s="261"/>
      <c r="I315" s="261"/>
      <c r="J315" s="261"/>
      <c r="K315" s="261"/>
      <c r="L315" s="262"/>
    </row>
    <row r="316" spans="1:12" ht="12.75">
      <c r="A316" s="13" t="s">
        <v>232</v>
      </c>
      <c r="B316" s="13"/>
      <c r="C316" s="13"/>
      <c r="D316" s="301">
        <f>+D293+D299+D306+D309+D314</f>
        <v>680682280</v>
      </c>
      <c r="E316" s="301">
        <f>+E293+E299+E306+E309+E314</f>
        <v>677100051</v>
      </c>
      <c r="F316" s="558"/>
      <c r="G316" s="301"/>
      <c r="H316" s="301"/>
      <c r="I316" s="301"/>
      <c r="J316" s="301"/>
      <c r="K316" s="301"/>
      <c r="L316" s="446">
        <f>139921759-5020226+64606985-11456+43388209-1500000+57626884-11185116</f>
        <v>287827039</v>
      </c>
    </row>
    <row r="317" spans="1:12" ht="12.75">
      <c r="A317" s="13"/>
      <c r="B317" s="13"/>
      <c r="C317" s="13"/>
      <c r="D317" s="301"/>
      <c r="F317" s="525"/>
      <c r="L317" s="25"/>
    </row>
    <row r="318" spans="1:12" ht="12.75">
      <c r="A318" s="215" t="s">
        <v>328</v>
      </c>
      <c r="B318" s="204"/>
      <c r="C318" s="204"/>
      <c r="D318" s="434"/>
      <c r="E318" s="471"/>
      <c r="F318" s="522"/>
      <c r="G318" s="204"/>
      <c r="H318" s="204"/>
      <c r="I318" s="204"/>
      <c r="J318" s="204"/>
      <c r="K318" s="204"/>
      <c r="L318" s="203"/>
    </row>
    <row r="319" spans="1:12" ht="12.75">
      <c r="A319" s="208">
        <v>226121176</v>
      </c>
      <c r="B319" s="189"/>
      <c r="C319" s="378">
        <v>16500000</v>
      </c>
      <c r="D319" s="378">
        <v>19000000</v>
      </c>
      <c r="E319" s="454">
        <f>18939000-3000</f>
        <v>18936000</v>
      </c>
      <c r="F319" s="503"/>
      <c r="G319" s="378"/>
      <c r="H319" s="378"/>
      <c r="I319" s="378"/>
      <c r="J319" s="378"/>
      <c r="K319" s="378"/>
      <c r="L319" s="195" t="s">
        <v>330</v>
      </c>
    </row>
    <row r="320" spans="1:12" ht="25.5">
      <c r="A320" s="208">
        <v>226121177</v>
      </c>
      <c r="B320" s="189"/>
      <c r="C320" s="378">
        <v>55000000</v>
      </c>
      <c r="D320" s="378">
        <v>10000000</v>
      </c>
      <c r="E320" s="454">
        <v>10000000</v>
      </c>
      <c r="F320" s="503"/>
      <c r="G320" s="378"/>
      <c r="H320" s="378"/>
      <c r="I320" s="378"/>
      <c r="J320" s="378"/>
      <c r="K320" s="378"/>
      <c r="L320" s="195" t="s">
        <v>329</v>
      </c>
    </row>
    <row r="321" spans="1:12" ht="12.75">
      <c r="A321" s="208">
        <v>226121178</v>
      </c>
      <c r="B321" s="256"/>
      <c r="C321" s="445"/>
      <c r="D321" s="445">
        <v>28000000</v>
      </c>
      <c r="E321" s="498">
        <v>28000000</v>
      </c>
      <c r="F321" s="559"/>
      <c r="G321" s="445"/>
      <c r="H321" s="445"/>
      <c r="I321" s="445"/>
      <c r="J321" s="445"/>
      <c r="K321" s="445"/>
      <c r="L321" s="255" t="s">
        <v>31</v>
      </c>
    </row>
    <row r="322" spans="1:12" ht="12.75">
      <c r="A322" s="274">
        <v>226060182</v>
      </c>
      <c r="B322" s="256"/>
      <c r="C322" s="445"/>
      <c r="D322" s="445"/>
      <c r="E322" s="498"/>
      <c r="F322" s="559"/>
      <c r="G322" s="445"/>
      <c r="H322" s="445"/>
      <c r="I322" s="445"/>
      <c r="J322" s="445"/>
      <c r="K322" s="445"/>
      <c r="L322" s="255" t="s">
        <v>36</v>
      </c>
    </row>
    <row r="323" spans="1:12" ht="12.75">
      <c r="A323" s="234"/>
      <c r="B323" s="211"/>
      <c r="C323" s="235">
        <f>SUM(C319:C320)</f>
        <v>71500000</v>
      </c>
      <c r="D323" s="299">
        <f>SUM(D319:D322)</f>
        <v>57000000</v>
      </c>
      <c r="E323" s="490">
        <f>SUM(E319:E322)</f>
        <v>56936000</v>
      </c>
      <c r="F323" s="548"/>
      <c r="G323" s="299"/>
      <c r="H323" s="299"/>
      <c r="I323" s="299"/>
      <c r="J323" s="299"/>
      <c r="K323" s="299"/>
      <c r="L323" s="211"/>
    </row>
    <row r="324" ht="12.75">
      <c r="F324" s="525"/>
    </row>
    <row r="325" spans="1:11" ht="12.75">
      <c r="A325" s="13" t="s">
        <v>251</v>
      </c>
      <c r="B325" s="13"/>
      <c r="C325" s="34">
        <f>+C7+C13+C17+C20+C23+C47+C65+C72+C95+C99+C106+C116+C124+C158+C127+C135+C169+C147+C178+C189+C207+C231+C247+C269+C270+C293+C299+C306+C309+C314+C323</f>
        <v>6964477217.73</v>
      </c>
      <c r="D325" s="301">
        <f>+D7+D13+D17+D20+D23+D47+D65+D72+D95+D99+D106+D116+D124+D158+D127+D135+D169+D147+D174+D178+D189+D207+D231+D247+D252+D269+D293+D299+D306+D309+D314+D323+D198+D192</f>
        <v>12008129171</v>
      </c>
      <c r="E325" s="301">
        <f>+E7+E13+E17+E20+E23+E47+E65+E72+E95+E99+E106+E116+E124+E158+E127+E135+E169+E147+E174+E178+E189+E207+E231+E247+E252+E269+E293+E299+E306+E309+E314+E323+E198+E192</f>
        <v>10389978062</v>
      </c>
      <c r="F325" s="558"/>
      <c r="G325" s="301"/>
      <c r="H325" s="301"/>
      <c r="I325" s="301"/>
      <c r="J325" s="301"/>
      <c r="K325" s="301"/>
    </row>
    <row r="327" spans="1:11" ht="12.75">
      <c r="A327" t="s">
        <v>327</v>
      </c>
      <c r="C327" s="424">
        <v>7439075783</v>
      </c>
      <c r="D327" s="447">
        <v>12008129171</v>
      </c>
      <c r="E327" s="424">
        <f>10567601823-177623760</f>
        <v>10389978063</v>
      </c>
      <c r="F327" s="424"/>
      <c r="G327" s="424"/>
      <c r="H327" s="424"/>
      <c r="I327" s="424"/>
      <c r="J327" s="424"/>
      <c r="K327" s="424"/>
    </row>
    <row r="328" spans="3:11" ht="12.75">
      <c r="C328" s="187">
        <f>+C327-C325</f>
        <v>474598565.27000046</v>
      </c>
      <c r="D328" s="448">
        <f>+D327-D325</f>
        <v>0</v>
      </c>
      <c r="E328" s="448">
        <f>+E327-E325</f>
        <v>1</v>
      </c>
      <c r="F328" s="448"/>
      <c r="G328" s="448"/>
      <c r="H328" s="448"/>
      <c r="I328" s="448"/>
      <c r="J328" s="448"/>
      <c r="K328" s="448"/>
    </row>
    <row r="330" spans="4:11" ht="12.75">
      <c r="D330" s="424">
        <v>11306916502</v>
      </c>
      <c r="E330" s="424">
        <f>9564337471-152163447</f>
        <v>9412174024</v>
      </c>
      <c r="F330" s="424"/>
      <c r="G330" s="424"/>
      <c r="H330" s="424"/>
      <c r="I330" s="424"/>
      <c r="J330" s="424"/>
      <c r="K330" s="424"/>
    </row>
    <row r="331" spans="4:11" ht="12.75">
      <c r="D331" s="424">
        <v>2745655961</v>
      </c>
      <c r="E331" s="424">
        <f>1802897526-79444463</f>
        <v>1723453063</v>
      </c>
      <c r="F331" s="424"/>
      <c r="G331" s="424"/>
      <c r="H331" s="424"/>
      <c r="I331" s="424"/>
      <c r="J331" s="424"/>
      <c r="K331" s="424"/>
    </row>
    <row r="332" spans="4:11" ht="12.75">
      <c r="D332" s="448">
        <f>+D330-D331</f>
        <v>8561260541</v>
      </c>
      <c r="E332" s="187">
        <f>+E330-E331</f>
        <v>7688720961</v>
      </c>
      <c r="F332" s="187"/>
      <c r="G332" s="187"/>
      <c r="H332" s="187"/>
      <c r="I332" s="187"/>
      <c r="J332" s="187"/>
      <c r="K332" s="187"/>
    </row>
    <row r="333" spans="5:11" ht="12.75">
      <c r="E333" s="187"/>
      <c r="F333" s="187"/>
      <c r="G333" s="187"/>
      <c r="H333" s="187"/>
      <c r="I333" s="187"/>
      <c r="J333" s="187"/>
      <c r="K333" s="187"/>
    </row>
  </sheetData>
  <sheetProtection/>
  <mergeCells count="1">
    <mergeCell ref="B1:D1"/>
  </mergeCells>
  <printOptions horizontalCentered="1"/>
  <pageMargins left="0.6692913385826772" right="1.5748031496062993" top="0.7874015748031497" bottom="0.7874015748031497" header="0" footer="0"/>
  <pageSetup horizontalDpi="600" verticalDpi="600" orientation="portrait" scale="61" r:id="rId1"/>
  <rowBreaks count="3" manualBreakCount="3">
    <brk id="184" max="9" man="1"/>
    <brk id="247" max="9" man="1"/>
    <brk id="296" max="9" man="1"/>
  </rowBreaks>
</worksheet>
</file>

<file path=xl/worksheets/sheet2.xml><?xml version="1.0" encoding="utf-8"?>
<worksheet xmlns="http://schemas.openxmlformats.org/spreadsheetml/2006/main" xmlns:r="http://schemas.openxmlformats.org/officeDocument/2006/relationships">
  <dimension ref="A1:N342"/>
  <sheetViews>
    <sheetView view="pageBreakPreview" zoomScale="90" zoomScaleSheetLayoutView="90" zoomScalePageLayoutView="0" workbookViewId="0" topLeftCell="A1">
      <selection activeCell="K13" sqref="K13"/>
    </sheetView>
  </sheetViews>
  <sheetFormatPr defaultColWidth="11.421875" defaultRowHeight="12.75"/>
  <cols>
    <col min="1" max="1" width="27.421875" style="595" customWidth="1"/>
    <col min="2" max="2" width="16.57421875" style="595" hidden="1" customWidth="1"/>
    <col min="3" max="3" width="18.57421875" style="595" hidden="1" customWidth="1"/>
    <col min="4" max="4" width="18.57421875" style="595" customWidth="1"/>
    <col min="5" max="7" width="18.7109375" style="595" customWidth="1"/>
    <col min="8" max="8" width="14.57421875" style="38" hidden="1" customWidth="1"/>
    <col min="9" max="9" width="57.28125" style="38" customWidth="1"/>
    <col min="10" max="10" width="15.7109375" style="153" bestFit="1" customWidth="1"/>
    <col min="11" max="11" width="17.28125" style="153" bestFit="1" customWidth="1"/>
    <col min="12" max="12" width="15.7109375" style="153" bestFit="1" customWidth="1"/>
    <col min="13" max="16384" width="11.421875" style="38" customWidth="1"/>
  </cols>
  <sheetData>
    <row r="1" spans="1:9" ht="25.5">
      <c r="A1" s="563"/>
      <c r="B1" s="834" t="s">
        <v>175</v>
      </c>
      <c r="C1" s="835"/>
      <c r="D1" s="836"/>
      <c r="E1" s="564" t="s">
        <v>489</v>
      </c>
      <c r="F1" s="564" t="s">
        <v>478</v>
      </c>
      <c r="G1" s="564" t="s">
        <v>479</v>
      </c>
      <c r="H1" s="565"/>
      <c r="I1" s="290"/>
    </row>
    <row r="2" spans="1:12" s="571" customFormat="1" ht="12.75">
      <c r="A2" s="566" t="s">
        <v>125</v>
      </c>
      <c r="B2" s="567">
        <v>2004</v>
      </c>
      <c r="C2" s="567">
        <v>2005</v>
      </c>
      <c r="D2" s="567">
        <v>2007</v>
      </c>
      <c r="E2" s="567">
        <v>2007</v>
      </c>
      <c r="F2" s="567"/>
      <c r="G2" s="567"/>
      <c r="H2" s="568"/>
      <c r="I2" s="569"/>
      <c r="J2" s="570"/>
      <c r="K2" s="570"/>
      <c r="L2" s="570"/>
    </row>
    <row r="3" spans="1:12" s="571" customFormat="1" ht="12.75">
      <c r="A3" s="572">
        <v>22101</v>
      </c>
      <c r="B3" s="573">
        <v>64499999.6</v>
      </c>
      <c r="C3" s="573">
        <v>104018830</v>
      </c>
      <c r="D3" s="573">
        <v>266006408</v>
      </c>
      <c r="E3" s="573">
        <f>256780221-5935873</f>
        <v>250844348</v>
      </c>
      <c r="F3" s="573">
        <v>239768148</v>
      </c>
      <c r="G3" s="573">
        <v>11076200</v>
      </c>
      <c r="H3" s="574">
        <f>+F3+G3</f>
        <v>250844348</v>
      </c>
      <c r="I3" s="575" t="s">
        <v>490</v>
      </c>
      <c r="J3" s="570">
        <f>+E4+E5+E13</f>
        <v>277789115</v>
      </c>
      <c r="K3" s="570">
        <f>D3+D6</f>
        <v>314973983</v>
      </c>
      <c r="L3" s="570">
        <f>E3+E6</f>
        <v>297602025</v>
      </c>
    </row>
    <row r="4" spans="1:12" s="571" customFormat="1" ht="12.75">
      <c r="A4" s="572">
        <v>22102</v>
      </c>
      <c r="B4" s="576">
        <v>64551000</v>
      </c>
      <c r="C4" s="576">
        <v>9840500</v>
      </c>
      <c r="D4" s="573">
        <v>71985575</v>
      </c>
      <c r="E4" s="695">
        <v>67623350</v>
      </c>
      <c r="F4" s="576">
        <v>67623350</v>
      </c>
      <c r="G4" s="576"/>
      <c r="H4" s="577"/>
      <c r="I4" s="578" t="s">
        <v>126</v>
      </c>
      <c r="J4" s="570"/>
      <c r="K4" s="570"/>
      <c r="L4" s="570">
        <v>20</v>
      </c>
    </row>
    <row r="5" spans="1:12" s="571" customFormat="1" ht="12.75">
      <c r="A5" s="572">
        <v>22103</v>
      </c>
      <c r="B5" s="576">
        <v>36292438</v>
      </c>
      <c r="C5" s="576">
        <v>41169500</v>
      </c>
      <c r="D5" s="576">
        <v>66243000</v>
      </c>
      <c r="E5" s="695">
        <v>66242349</v>
      </c>
      <c r="F5" s="576">
        <f>+E5</f>
        <v>66242349</v>
      </c>
      <c r="G5" s="576"/>
      <c r="H5" s="577"/>
      <c r="I5" s="579" t="s">
        <v>127</v>
      </c>
      <c r="J5" s="570"/>
      <c r="K5" s="570"/>
      <c r="L5" s="570">
        <v>30</v>
      </c>
    </row>
    <row r="6" spans="1:12" s="571" customFormat="1" ht="12.75">
      <c r="A6" s="572">
        <v>22104</v>
      </c>
      <c r="B6" s="576">
        <v>12286869</v>
      </c>
      <c r="C6" s="576">
        <v>8500000</v>
      </c>
      <c r="D6" s="576">
        <v>48967575</v>
      </c>
      <c r="E6" s="695">
        <v>46757677</v>
      </c>
      <c r="F6" s="576">
        <f>+E6</f>
        <v>46757677</v>
      </c>
      <c r="G6" s="576"/>
      <c r="H6" s="577"/>
      <c r="I6" s="580" t="s">
        <v>628</v>
      </c>
      <c r="J6" s="570"/>
      <c r="K6" s="570"/>
      <c r="L6" s="570"/>
    </row>
    <row r="7" spans="1:9" ht="12.75">
      <c r="A7" s="581" t="s">
        <v>637</v>
      </c>
      <c r="B7" s="560"/>
      <c r="C7" s="560">
        <f>SUM(C3:C6)</f>
        <v>163528830</v>
      </c>
      <c r="D7" s="560">
        <f>SUM(D3:D6)</f>
        <v>453202558</v>
      </c>
      <c r="E7" s="560">
        <f>SUM(E3:E6)</f>
        <v>431467724</v>
      </c>
      <c r="F7" s="560">
        <f>SUM(F3:F6)</f>
        <v>420391524</v>
      </c>
      <c r="G7" s="560">
        <f>SUM(G3:G6)</f>
        <v>11076200</v>
      </c>
      <c r="H7" s="277"/>
      <c r="I7" s="582"/>
    </row>
    <row r="8" spans="1:9" ht="12.75">
      <c r="A8" s="581" t="s">
        <v>636</v>
      </c>
      <c r="B8" s="398"/>
      <c r="C8" s="398"/>
      <c r="D8" s="398"/>
      <c r="E8" s="583">
        <f>437403597-5935873</f>
        <v>431467724</v>
      </c>
      <c r="F8" s="583"/>
      <c r="G8" s="583"/>
      <c r="H8" s="288"/>
      <c r="I8" s="584"/>
    </row>
    <row r="9" spans="1:9" ht="15.75" customHeight="1">
      <c r="A9" s="585">
        <v>22227</v>
      </c>
      <c r="B9" s="398"/>
      <c r="C9" s="398">
        <v>154883693.12</v>
      </c>
      <c r="D9" s="398">
        <v>98746711</v>
      </c>
      <c r="E9" s="398">
        <f>98746911-935</f>
        <v>98745976</v>
      </c>
      <c r="F9" s="398">
        <f>+E9</f>
        <v>98745976</v>
      </c>
      <c r="G9" s="398">
        <f>+E9-F9</f>
        <v>0</v>
      </c>
      <c r="H9" s="278"/>
      <c r="I9" s="586" t="s">
        <v>636</v>
      </c>
    </row>
    <row r="10" spans="1:9" ht="25.5">
      <c r="A10" s="585">
        <v>226091361</v>
      </c>
      <c r="B10" s="398"/>
      <c r="C10" s="398"/>
      <c r="D10" s="398">
        <v>14320000</v>
      </c>
      <c r="E10" s="398">
        <v>14320000</v>
      </c>
      <c r="F10" s="398">
        <f>+E10</f>
        <v>14320000</v>
      </c>
      <c r="G10" s="398">
        <f>+E10-F10</f>
        <v>0</v>
      </c>
      <c r="H10" s="386"/>
      <c r="I10" s="587" t="s">
        <v>68</v>
      </c>
    </row>
    <row r="11" spans="1:9" ht="12.75">
      <c r="A11" s="585">
        <v>226091398</v>
      </c>
      <c r="B11" s="398"/>
      <c r="C11" s="398"/>
      <c r="D11" s="398">
        <v>28857440</v>
      </c>
      <c r="E11" s="398">
        <f>+D11</f>
        <v>28857440</v>
      </c>
      <c r="F11" s="398"/>
      <c r="G11" s="398">
        <f>+E11-F11</f>
        <v>28857440</v>
      </c>
      <c r="H11" s="386"/>
      <c r="I11" s="587" t="s">
        <v>40</v>
      </c>
    </row>
    <row r="12" spans="1:9" ht="12.75">
      <c r="A12" s="585">
        <v>226091399</v>
      </c>
      <c r="B12" s="398"/>
      <c r="C12" s="398"/>
      <c r="D12" s="398">
        <v>2000000</v>
      </c>
      <c r="E12" s="398">
        <f>+D12</f>
        <v>2000000</v>
      </c>
      <c r="F12" s="398">
        <f>+E12</f>
        <v>2000000</v>
      </c>
      <c r="G12" s="398">
        <f>+E12-F12</f>
        <v>0</v>
      </c>
      <c r="H12" s="386"/>
      <c r="I12" s="587" t="s">
        <v>448</v>
      </c>
    </row>
    <row r="13" spans="1:11" ht="15.75" customHeight="1">
      <c r="A13" s="581" t="s">
        <v>637</v>
      </c>
      <c r="B13" s="398"/>
      <c r="C13" s="560">
        <f>+C9</f>
        <v>154883693.12</v>
      </c>
      <c r="D13" s="560">
        <f>SUM(D9:D12)</f>
        <v>143924151</v>
      </c>
      <c r="E13" s="694">
        <f>SUM(E9:E12)</f>
        <v>143923416</v>
      </c>
      <c r="F13" s="560">
        <f>SUM(F9:F12)</f>
        <v>115065976</v>
      </c>
      <c r="G13" s="560">
        <f>SUM(G9:G12)</f>
        <v>28857440</v>
      </c>
      <c r="H13" s="277"/>
      <c r="I13" s="588"/>
      <c r="J13" s="153">
        <f>D13-D11</f>
        <v>115066711</v>
      </c>
      <c r="K13" s="153">
        <f>E13-E11</f>
        <v>115065976</v>
      </c>
    </row>
    <row r="14" spans="1:10" ht="15.75" customHeight="1">
      <c r="A14" s="581" t="s">
        <v>638</v>
      </c>
      <c r="B14" s="398"/>
      <c r="C14" s="398"/>
      <c r="D14" s="398"/>
      <c r="E14" s="398"/>
      <c r="F14" s="398"/>
      <c r="G14" s="398"/>
      <c r="H14" s="278"/>
      <c r="I14" s="588"/>
      <c r="J14" s="153">
        <f>459*2800</f>
        <v>1285200</v>
      </c>
    </row>
    <row r="15" spans="1:9" ht="15.75" customHeight="1">
      <c r="A15" s="585">
        <v>226141185</v>
      </c>
      <c r="B15" s="398"/>
      <c r="C15" s="398">
        <v>41910000</v>
      </c>
      <c r="D15" s="398">
        <v>28000000</v>
      </c>
      <c r="E15" s="398">
        <v>27072750</v>
      </c>
      <c r="F15" s="398">
        <f>+E15</f>
        <v>27072750</v>
      </c>
      <c r="G15" s="398">
        <f>+E15-F15</f>
        <v>0</v>
      </c>
      <c r="H15" s="386"/>
      <c r="I15" s="588" t="s">
        <v>640</v>
      </c>
    </row>
    <row r="16" spans="1:9" ht="15.75" customHeight="1">
      <c r="A16" s="585">
        <v>226141186</v>
      </c>
      <c r="B16" s="398"/>
      <c r="C16" s="398"/>
      <c r="D16" s="398">
        <v>12000000</v>
      </c>
      <c r="E16" s="398">
        <v>11678030</v>
      </c>
      <c r="F16" s="398">
        <f>+E16</f>
        <v>11678030</v>
      </c>
      <c r="G16" s="398">
        <f>+E16-F16</f>
        <v>0</v>
      </c>
      <c r="H16" s="386"/>
      <c r="I16" s="588"/>
    </row>
    <row r="17" spans="1:9" ht="15.75" customHeight="1">
      <c r="A17" s="581" t="s">
        <v>637</v>
      </c>
      <c r="B17" s="398"/>
      <c r="C17" s="560">
        <f>+C15</f>
        <v>41910000</v>
      </c>
      <c r="D17" s="560">
        <f>SUM(D15:D16)</f>
        <v>40000000</v>
      </c>
      <c r="E17" s="694">
        <f>SUM(E15:E16)</f>
        <v>38750780</v>
      </c>
      <c r="F17" s="560">
        <f>SUM(F15:F16)</f>
        <v>38750780</v>
      </c>
      <c r="G17" s="560">
        <f>SUM(G15:G16)</f>
        <v>0</v>
      </c>
      <c r="H17" s="277"/>
      <c r="I17" s="588"/>
    </row>
    <row r="18" spans="1:9" ht="15.75" customHeight="1">
      <c r="A18" s="581" t="s">
        <v>641</v>
      </c>
      <c r="B18" s="398"/>
      <c r="C18" s="560"/>
      <c r="D18" s="560"/>
      <c r="E18" s="560"/>
      <c r="F18" s="560"/>
      <c r="G18" s="560"/>
      <c r="H18" s="277"/>
      <c r="I18" s="588"/>
    </row>
    <row r="19" spans="1:9" ht="15.75" customHeight="1">
      <c r="A19" s="585">
        <v>2260911</v>
      </c>
      <c r="B19" s="398"/>
      <c r="C19" s="398">
        <v>41910000</v>
      </c>
      <c r="D19" s="398"/>
      <c r="E19" s="398">
        <v>0</v>
      </c>
      <c r="F19" s="398"/>
      <c r="G19" s="398"/>
      <c r="H19" s="278"/>
      <c r="I19" s="588"/>
    </row>
    <row r="20" spans="1:9" ht="15.75" customHeight="1">
      <c r="A20" s="581"/>
      <c r="B20" s="398"/>
      <c r="C20" s="560">
        <f>+C19</f>
        <v>41910000</v>
      </c>
      <c r="D20" s="560">
        <f>+D19</f>
        <v>0</v>
      </c>
      <c r="E20" s="560">
        <f>+E19</f>
        <v>0</v>
      </c>
      <c r="F20" s="560"/>
      <c r="G20" s="560"/>
      <c r="H20" s="277"/>
      <c r="I20" s="588"/>
    </row>
    <row r="21" spans="1:9" ht="15.75" customHeight="1">
      <c r="A21" s="581" t="s">
        <v>320</v>
      </c>
      <c r="B21" s="398"/>
      <c r="C21" s="560"/>
      <c r="D21" s="560"/>
      <c r="E21" s="560"/>
      <c r="F21" s="560"/>
      <c r="G21" s="560"/>
      <c r="H21" s="277"/>
      <c r="I21" s="588"/>
    </row>
    <row r="22" spans="1:9" ht="12.75">
      <c r="A22" s="585">
        <v>226081144</v>
      </c>
      <c r="B22" s="589"/>
      <c r="C22" s="398">
        <v>9000000</v>
      </c>
      <c r="D22" s="398">
        <v>2000000</v>
      </c>
      <c r="E22" s="398">
        <f>+D22</f>
        <v>2000000</v>
      </c>
      <c r="F22" s="398">
        <f>+E22</f>
        <v>2000000</v>
      </c>
      <c r="G22" s="398"/>
      <c r="H22" s="278"/>
      <c r="I22" s="587" t="s">
        <v>847</v>
      </c>
    </row>
    <row r="23" spans="1:9" ht="15.75" customHeight="1">
      <c r="A23" s="581"/>
      <c r="B23" s="398"/>
      <c r="C23" s="560">
        <f>+C22</f>
        <v>9000000</v>
      </c>
      <c r="D23" s="560">
        <f>+D22</f>
        <v>2000000</v>
      </c>
      <c r="E23" s="560">
        <f>+E22</f>
        <v>2000000</v>
      </c>
      <c r="F23" s="560">
        <f>+F22</f>
        <v>2000000</v>
      </c>
      <c r="G23" s="560"/>
      <c r="H23" s="277"/>
      <c r="I23" s="588"/>
    </row>
    <row r="24" spans="1:9" ht="15.75" customHeight="1">
      <c r="A24" s="581"/>
      <c r="B24" s="398"/>
      <c r="C24" s="560"/>
      <c r="D24" s="560"/>
      <c r="E24" s="560"/>
      <c r="F24" s="560"/>
      <c r="G24" s="560"/>
      <c r="H24" s="277"/>
      <c r="I24" s="588"/>
    </row>
    <row r="25" spans="1:12" s="594" customFormat="1" ht="14.25" customHeight="1">
      <c r="A25" s="590" t="s">
        <v>639</v>
      </c>
      <c r="B25" s="591">
        <f>SUM(B3:B6)</f>
        <v>177630306.6</v>
      </c>
      <c r="C25" s="591">
        <f>+C7+C13+C17+C20+C23</f>
        <v>411232523.12</v>
      </c>
      <c r="D25" s="591">
        <f>+D7+D13+D17+D20+D23</f>
        <v>639126709</v>
      </c>
      <c r="E25" s="591">
        <f>+E7+E13+E17+E20+E23</f>
        <v>616141920</v>
      </c>
      <c r="F25" s="591">
        <f>+F7+F13+F17+F20+F23</f>
        <v>576208280</v>
      </c>
      <c r="G25" s="591">
        <f>+G7+G13+G17+G20+G23</f>
        <v>39933640</v>
      </c>
      <c r="H25" s="402"/>
      <c r="I25" s="592"/>
      <c r="J25" s="593"/>
      <c r="K25" s="593"/>
      <c r="L25" s="593"/>
    </row>
    <row r="26" spans="2:8" ht="14.25" customHeight="1">
      <c r="B26" s="596"/>
      <c r="C26" s="596"/>
      <c r="D26" s="596"/>
      <c r="E26" s="597">
        <f>+E25/C25</f>
        <v>1.4982811070616764</v>
      </c>
      <c r="F26" s="597"/>
      <c r="G26" s="597"/>
      <c r="H26" s="598"/>
    </row>
    <row r="27" spans="1:9" ht="25.5">
      <c r="A27" s="599" t="s">
        <v>738</v>
      </c>
      <c r="B27" s="600"/>
      <c r="C27" s="601" t="s">
        <v>635</v>
      </c>
      <c r="D27" s="601" t="s">
        <v>635</v>
      </c>
      <c r="E27" s="602" t="s">
        <v>489</v>
      </c>
      <c r="F27" s="564" t="s">
        <v>478</v>
      </c>
      <c r="G27" s="564" t="s">
        <v>479</v>
      </c>
      <c r="H27" s="603"/>
      <c r="I27" s="290"/>
    </row>
    <row r="28" spans="1:9" ht="12.75">
      <c r="A28" s="566"/>
      <c r="B28" s="560"/>
      <c r="C28" s="604">
        <v>2005</v>
      </c>
      <c r="D28" s="604">
        <v>2007</v>
      </c>
      <c r="E28" s="604">
        <v>2007</v>
      </c>
      <c r="F28" s="604"/>
      <c r="G28" s="604"/>
      <c r="H28" s="282"/>
      <c r="I28" s="291"/>
    </row>
    <row r="29" spans="1:10" ht="12.75">
      <c r="A29" s="585">
        <v>222010101</v>
      </c>
      <c r="B29" s="398">
        <v>2665448655.46</v>
      </c>
      <c r="C29" s="605">
        <v>118812299</v>
      </c>
      <c r="D29" s="605">
        <v>29150000</v>
      </c>
      <c r="E29" s="691">
        <v>29150000</v>
      </c>
      <c r="F29" s="605">
        <v>29150000.5</v>
      </c>
      <c r="G29" s="605"/>
      <c r="H29" s="283"/>
      <c r="I29" s="291" t="s">
        <v>845</v>
      </c>
      <c r="J29" s="153">
        <f>E34+E36+E38+E39</f>
        <v>114062228</v>
      </c>
    </row>
    <row r="30" spans="1:10" ht="12.75">
      <c r="A30" s="585">
        <v>222010102</v>
      </c>
      <c r="B30" s="398"/>
      <c r="C30" s="605"/>
      <c r="D30" s="605">
        <v>2213387</v>
      </c>
      <c r="E30" s="691">
        <v>2213387</v>
      </c>
      <c r="F30" s="605">
        <v>2213387.5</v>
      </c>
      <c r="G30" s="605"/>
      <c r="H30" s="283"/>
      <c r="I30" s="291" t="s">
        <v>466</v>
      </c>
      <c r="J30" s="153">
        <f>+E30+E32+E31</f>
        <v>6640161</v>
      </c>
    </row>
    <row r="31" spans="1:9" ht="12.75">
      <c r="A31" s="585">
        <v>222010103</v>
      </c>
      <c r="B31" s="398"/>
      <c r="C31" s="605"/>
      <c r="D31" s="605">
        <v>2213387</v>
      </c>
      <c r="E31" s="691">
        <v>2213387</v>
      </c>
      <c r="F31" s="605">
        <v>2213387</v>
      </c>
      <c r="G31" s="605"/>
      <c r="H31" s="283"/>
      <c r="I31" s="291" t="s">
        <v>467</v>
      </c>
    </row>
    <row r="32" spans="1:9" ht="12.75">
      <c r="A32" s="585">
        <v>222010104</v>
      </c>
      <c r="B32" s="398"/>
      <c r="C32" s="605"/>
      <c r="D32" s="605">
        <v>2213387</v>
      </c>
      <c r="E32" s="691">
        <v>2213387</v>
      </c>
      <c r="F32" s="605">
        <v>2213387</v>
      </c>
      <c r="G32" s="605"/>
      <c r="H32" s="283"/>
      <c r="I32" s="291" t="s">
        <v>468</v>
      </c>
    </row>
    <row r="33" spans="1:9" ht="12.75">
      <c r="A33" s="585">
        <v>222010105</v>
      </c>
      <c r="B33" s="398"/>
      <c r="C33" s="605">
        <v>2933687566</v>
      </c>
      <c r="D33" s="605">
        <v>2213387</v>
      </c>
      <c r="E33" s="691">
        <v>2213387</v>
      </c>
      <c r="F33" s="605">
        <v>2213387</v>
      </c>
      <c r="G33" s="605"/>
      <c r="H33" s="283"/>
      <c r="I33" s="291" t="s">
        <v>469</v>
      </c>
    </row>
    <row r="34" spans="1:9" ht="12.75">
      <c r="A34" s="585">
        <v>222010106</v>
      </c>
      <c r="B34" s="398"/>
      <c r="C34" s="605"/>
      <c r="D34" s="605">
        <v>2213387</v>
      </c>
      <c r="E34" s="605">
        <v>2213387</v>
      </c>
      <c r="F34" s="605">
        <v>2213387</v>
      </c>
      <c r="G34" s="605"/>
      <c r="H34" s="283"/>
      <c r="I34" s="291" t="s">
        <v>470</v>
      </c>
    </row>
    <row r="35" spans="1:10" ht="12.75">
      <c r="A35" s="585">
        <v>222010107</v>
      </c>
      <c r="B35" s="398"/>
      <c r="C35" s="605"/>
      <c r="D35" s="605">
        <v>2133065</v>
      </c>
      <c r="E35" s="691">
        <v>2133065</v>
      </c>
      <c r="F35" s="605">
        <v>2133065</v>
      </c>
      <c r="G35" s="605"/>
      <c r="H35" s="283"/>
      <c r="I35" s="291" t="s">
        <v>471</v>
      </c>
      <c r="J35" s="153">
        <f>+E35+E33</f>
        <v>4346452</v>
      </c>
    </row>
    <row r="36" spans="1:9" ht="12.75">
      <c r="A36" s="585">
        <v>222010108</v>
      </c>
      <c r="B36" s="398"/>
      <c r="C36" s="605"/>
      <c r="D36" s="605">
        <v>17270000</v>
      </c>
      <c r="E36" s="605">
        <v>17270000</v>
      </c>
      <c r="F36" s="605">
        <v>17270000</v>
      </c>
      <c r="G36" s="605"/>
      <c r="H36" s="283"/>
      <c r="I36" s="291" t="s">
        <v>472</v>
      </c>
    </row>
    <row r="37" spans="1:9" ht="12.75">
      <c r="A37" s="585">
        <v>222010109</v>
      </c>
      <c r="B37" s="398"/>
      <c r="C37" s="605"/>
      <c r="D37" s="605">
        <v>13200000</v>
      </c>
      <c r="E37" s="691">
        <v>13200000</v>
      </c>
      <c r="F37" s="605">
        <v>13200000</v>
      </c>
      <c r="G37" s="605"/>
      <c r="H37" s="283"/>
      <c r="I37" s="291" t="s">
        <v>473</v>
      </c>
    </row>
    <row r="38" spans="1:9" ht="12.75">
      <c r="A38" s="585">
        <v>222010111</v>
      </c>
      <c r="B38" s="398"/>
      <c r="C38" s="605"/>
      <c r="D38" s="605">
        <v>12938858</v>
      </c>
      <c r="E38" s="693">
        <v>12938858</v>
      </c>
      <c r="F38" s="605">
        <v>12938858</v>
      </c>
      <c r="G38" s="605"/>
      <c r="H38" s="283"/>
      <c r="I38" s="291" t="s">
        <v>474</v>
      </c>
    </row>
    <row r="39" spans="1:9" ht="12.75">
      <c r="A39" s="585">
        <v>222010112</v>
      </c>
      <c r="B39" s="398"/>
      <c r="C39" s="605"/>
      <c r="D39" s="605">
        <v>81650000</v>
      </c>
      <c r="E39" s="605">
        <f>83372769-1732786</f>
        <v>81639983</v>
      </c>
      <c r="F39" s="605">
        <v>81639983</v>
      </c>
      <c r="G39" s="605"/>
      <c r="H39" s="283"/>
      <c r="I39" s="291" t="s">
        <v>475</v>
      </c>
    </row>
    <row r="40" spans="1:9" ht="12.75">
      <c r="A40" s="585">
        <v>222020102</v>
      </c>
      <c r="B40" s="398"/>
      <c r="C40" s="605"/>
      <c r="D40" s="605">
        <v>3608188244</v>
      </c>
      <c r="E40" s="691">
        <f>3609249514-125074235</f>
        <v>3484175279</v>
      </c>
      <c r="F40" s="605">
        <v>2411709625</v>
      </c>
      <c r="G40" s="605">
        <v>1072465653.5</v>
      </c>
      <c r="H40" s="283"/>
      <c r="I40" s="291" t="s">
        <v>476</v>
      </c>
    </row>
    <row r="41" spans="1:9" ht="12.75">
      <c r="A41" s="585">
        <v>222020103</v>
      </c>
      <c r="B41" s="398"/>
      <c r="C41" s="605"/>
      <c r="D41" s="605">
        <v>158747148</v>
      </c>
      <c r="E41" s="691">
        <f>158654713-4118532</f>
        <v>154536181</v>
      </c>
      <c r="F41" s="605">
        <v>109835253</v>
      </c>
      <c r="G41" s="605">
        <v>44700927.5</v>
      </c>
      <c r="H41" s="283"/>
      <c r="I41" s="291" t="s">
        <v>477</v>
      </c>
    </row>
    <row r="42" spans="1:9" ht="12.75">
      <c r="A42" s="585">
        <v>222020104</v>
      </c>
      <c r="B42" s="398"/>
      <c r="C42" s="605"/>
      <c r="D42" s="605">
        <v>637717914</v>
      </c>
      <c r="E42" s="691">
        <f>143497699-18107146</f>
        <v>125390553</v>
      </c>
      <c r="F42" s="605">
        <v>94284201</v>
      </c>
      <c r="G42" s="605">
        <v>31106352</v>
      </c>
      <c r="H42" s="283"/>
      <c r="I42" s="291" t="s">
        <v>111</v>
      </c>
    </row>
    <row r="43" spans="1:9" ht="12.75">
      <c r="A43" s="585">
        <v>222020105</v>
      </c>
      <c r="B43" s="398"/>
      <c r="C43" s="605"/>
      <c r="D43" s="605">
        <v>22492327</v>
      </c>
      <c r="E43" s="691">
        <f>1115794-107734</f>
        <v>1008060</v>
      </c>
      <c r="F43" s="605">
        <v>978762</v>
      </c>
      <c r="G43" s="605">
        <v>29298</v>
      </c>
      <c r="H43" s="283"/>
      <c r="I43" s="291" t="s">
        <v>112</v>
      </c>
    </row>
    <row r="44" spans="1:9" ht="12.75">
      <c r="A44" s="585">
        <v>222020106</v>
      </c>
      <c r="B44" s="606"/>
      <c r="C44" s="607"/>
      <c r="D44" s="607">
        <v>99626047.5</v>
      </c>
      <c r="E44" s="692">
        <v>25900830</v>
      </c>
      <c r="F44" s="607">
        <v>25900830</v>
      </c>
      <c r="G44" s="607"/>
      <c r="H44" s="284"/>
      <c r="I44" s="608" t="s">
        <v>113</v>
      </c>
    </row>
    <row r="45" spans="1:9" ht="12.75">
      <c r="A45" s="585">
        <v>222020107</v>
      </c>
      <c r="B45" s="606"/>
      <c r="C45" s="607"/>
      <c r="D45" s="607">
        <v>8320425</v>
      </c>
      <c r="E45" s="692">
        <v>727205</v>
      </c>
      <c r="F45" s="607">
        <v>447547</v>
      </c>
      <c r="G45" s="607">
        <v>279658</v>
      </c>
      <c r="H45" s="284"/>
      <c r="I45" s="608" t="s">
        <v>114</v>
      </c>
    </row>
    <row r="46" spans="1:9" ht="12.75">
      <c r="A46" s="585">
        <v>222020108</v>
      </c>
      <c r="B46" s="606"/>
      <c r="C46" s="607"/>
      <c r="D46" s="607">
        <v>38192067.5</v>
      </c>
      <c r="E46" s="692">
        <v>213811</v>
      </c>
      <c r="F46" s="607">
        <v>213811</v>
      </c>
      <c r="G46" s="607"/>
      <c r="H46" s="284"/>
      <c r="I46" s="608" t="s">
        <v>115</v>
      </c>
    </row>
    <row r="47" spans="1:9" ht="25.5">
      <c r="A47" s="585">
        <v>226091257</v>
      </c>
      <c r="B47" s="398"/>
      <c r="C47" s="398"/>
      <c r="D47" s="398">
        <v>10300000</v>
      </c>
      <c r="E47" s="398">
        <f>10300000-66650</f>
        <v>10233350</v>
      </c>
      <c r="F47" s="398">
        <f>+E47</f>
        <v>10233350</v>
      </c>
      <c r="G47" s="398">
        <f>+E47-F47</f>
        <v>0</v>
      </c>
      <c r="H47" s="278"/>
      <c r="I47" s="588" t="s">
        <v>846</v>
      </c>
    </row>
    <row r="48" spans="1:9" ht="12.75">
      <c r="A48" s="585">
        <v>226091258</v>
      </c>
      <c r="B48" s="398"/>
      <c r="C48" s="398">
        <v>5000000</v>
      </c>
      <c r="D48" s="398">
        <v>14428000</v>
      </c>
      <c r="E48" s="398">
        <f>14428000-121250</f>
        <v>14306750</v>
      </c>
      <c r="F48" s="398">
        <f>+E48</f>
        <v>14306750</v>
      </c>
      <c r="G48" s="398">
        <f>+E48-F48</f>
        <v>0</v>
      </c>
      <c r="H48" s="278"/>
      <c r="I48" s="619" t="s">
        <v>644</v>
      </c>
    </row>
    <row r="49" spans="1:12" s="594" customFormat="1" ht="12.75">
      <c r="A49" s="590" t="s">
        <v>645</v>
      </c>
      <c r="B49" s="609"/>
      <c r="C49" s="610">
        <f>SUM(C29:C43)</f>
        <v>3052499865</v>
      </c>
      <c r="D49" s="610">
        <f>SUM(D29:D48)</f>
        <v>4765421031</v>
      </c>
      <c r="E49" s="610">
        <f>SUM(E29:E48)</f>
        <v>3983890860</v>
      </c>
      <c r="F49" s="610">
        <f>SUM(F29:F48)</f>
        <v>2835308971</v>
      </c>
      <c r="G49" s="610">
        <f>SUM(G29:G48)</f>
        <v>1148581889</v>
      </c>
      <c r="H49" s="406"/>
      <c r="I49" s="592"/>
      <c r="J49" s="593"/>
      <c r="K49" s="593">
        <f>+E40+E41+E44+E46</f>
        <v>3664826101</v>
      </c>
      <c r="L49" s="593"/>
    </row>
    <row r="50" spans="2:11" ht="12.75">
      <c r="B50" s="611"/>
      <c r="C50" s="611"/>
      <c r="D50" s="611"/>
      <c r="E50" s="611">
        <f>4108491194-149140434</f>
        <v>3959350760</v>
      </c>
      <c r="F50" s="611"/>
      <c r="G50" s="611"/>
      <c r="H50" s="58"/>
      <c r="I50" s="612"/>
      <c r="K50" s="153">
        <f>E42+E45+E43</f>
        <v>127125818</v>
      </c>
    </row>
    <row r="51" spans="1:9" ht="25.5">
      <c r="A51" s="613" t="s">
        <v>567</v>
      </c>
      <c r="B51" s="614"/>
      <c r="C51" s="601" t="s">
        <v>635</v>
      </c>
      <c r="D51" s="601" t="s">
        <v>635</v>
      </c>
      <c r="E51" s="615" t="s">
        <v>109</v>
      </c>
      <c r="F51" s="564" t="s">
        <v>478</v>
      </c>
      <c r="G51" s="564" t="s">
        <v>479</v>
      </c>
      <c r="H51" s="616"/>
      <c r="I51" s="290"/>
    </row>
    <row r="52" spans="1:9" ht="12.75">
      <c r="A52" s="581"/>
      <c r="B52" s="398"/>
      <c r="C52" s="604">
        <v>2005</v>
      </c>
      <c r="D52" s="604"/>
      <c r="E52" s="604">
        <v>2005</v>
      </c>
      <c r="F52" s="604"/>
      <c r="G52" s="604"/>
      <c r="H52" s="282"/>
      <c r="I52" s="291"/>
    </row>
    <row r="53" spans="1:10" ht="12.75">
      <c r="A53" s="585">
        <v>226091249</v>
      </c>
      <c r="B53" s="398"/>
      <c r="C53" s="398">
        <v>0</v>
      </c>
      <c r="D53" s="398">
        <v>40000000</v>
      </c>
      <c r="E53" s="398">
        <f>40000000-3960000</f>
        <v>36040000</v>
      </c>
      <c r="F53" s="398">
        <f>+E53</f>
        <v>36040000</v>
      </c>
      <c r="G53" s="398">
        <v>0</v>
      </c>
      <c r="H53" s="278"/>
      <c r="I53" s="617" t="s">
        <v>642</v>
      </c>
      <c r="J53" s="153">
        <f>+E53+E57</f>
        <v>39026000</v>
      </c>
    </row>
    <row r="54" spans="1:10" ht="12.75">
      <c r="A54" s="585">
        <v>226091250</v>
      </c>
      <c r="B54" s="398"/>
      <c r="C54" s="398">
        <v>13926000</v>
      </c>
      <c r="D54" s="398">
        <v>46152000</v>
      </c>
      <c r="E54" s="398">
        <v>45539500</v>
      </c>
      <c r="F54" s="398">
        <v>45539500</v>
      </c>
      <c r="G54" s="398">
        <v>0</v>
      </c>
      <c r="H54" s="278"/>
      <c r="I54" s="618" t="s">
        <v>643</v>
      </c>
      <c r="J54" s="153">
        <f>+E54+E55+E64</f>
        <v>102537000</v>
      </c>
    </row>
    <row r="55" spans="1:10" ht="12.75">
      <c r="A55" s="585">
        <v>226091251</v>
      </c>
      <c r="B55" s="398"/>
      <c r="C55" s="398">
        <v>23345400</v>
      </c>
      <c r="D55" s="398">
        <v>45000000</v>
      </c>
      <c r="E55" s="398">
        <v>44997500</v>
      </c>
      <c r="F55" s="398">
        <f aca="true" t="shared" si="0" ref="F55:F62">+E55</f>
        <v>44997500</v>
      </c>
      <c r="G55" s="398">
        <f>+E55-F55</f>
        <v>0</v>
      </c>
      <c r="H55" s="278"/>
      <c r="I55" s="618" t="s">
        <v>643</v>
      </c>
      <c r="J55" s="153">
        <f>+E59</f>
        <v>20380000</v>
      </c>
    </row>
    <row r="56" spans="1:10" ht="12.75">
      <c r="A56" s="585">
        <v>226091252</v>
      </c>
      <c r="B56" s="398"/>
      <c r="C56" s="398">
        <v>81654600</v>
      </c>
      <c r="D56" s="398">
        <v>1500000</v>
      </c>
      <c r="E56" s="398">
        <v>1450000</v>
      </c>
      <c r="F56" s="398">
        <f t="shared" si="0"/>
        <v>1450000</v>
      </c>
      <c r="G56" s="398">
        <f aca="true" t="shared" si="1" ref="G56:G64">+E56-F56</f>
        <v>0</v>
      </c>
      <c r="H56" s="278"/>
      <c r="I56" s="619" t="s">
        <v>644</v>
      </c>
      <c r="J56" s="153">
        <f>+E56+E58+E60+E47+E48+E61+E62</f>
        <v>45011780</v>
      </c>
    </row>
    <row r="57" spans="1:10" ht="12.75">
      <c r="A57" s="585">
        <v>226091253</v>
      </c>
      <c r="B57" s="398"/>
      <c r="C57" s="398">
        <v>10000000</v>
      </c>
      <c r="D57" s="398">
        <v>3000000</v>
      </c>
      <c r="E57" s="398">
        <f>3012000-26000</f>
        <v>2986000</v>
      </c>
      <c r="F57" s="398">
        <f t="shared" si="0"/>
        <v>2986000</v>
      </c>
      <c r="G57" s="398">
        <f t="shared" si="1"/>
        <v>0</v>
      </c>
      <c r="H57" s="278"/>
      <c r="I57" s="617" t="s">
        <v>642</v>
      </c>
      <c r="J57" s="153">
        <f>SUM(J53:J56)</f>
        <v>206954780</v>
      </c>
    </row>
    <row r="58" spans="1:9" ht="12.75">
      <c r="A58" s="585">
        <v>226091254</v>
      </c>
      <c r="B58" s="398"/>
      <c r="C58" s="398">
        <v>1000000</v>
      </c>
      <c r="D58" s="398">
        <v>6300000</v>
      </c>
      <c r="E58" s="398">
        <v>6021680</v>
      </c>
      <c r="F58" s="398">
        <f t="shared" si="0"/>
        <v>6021680</v>
      </c>
      <c r="G58" s="398">
        <f t="shared" si="1"/>
        <v>0</v>
      </c>
      <c r="H58" s="278"/>
      <c r="I58" s="619" t="s">
        <v>644</v>
      </c>
    </row>
    <row r="59" spans="1:9" ht="12.75">
      <c r="A59" s="585">
        <v>226091255</v>
      </c>
      <c r="B59" s="398"/>
      <c r="C59" s="398">
        <f>3000000</f>
        <v>3000000</v>
      </c>
      <c r="D59" s="398">
        <v>24000000</v>
      </c>
      <c r="E59" s="398">
        <v>20380000</v>
      </c>
      <c r="F59" s="398">
        <f t="shared" si="0"/>
        <v>20380000</v>
      </c>
      <c r="G59" s="398">
        <f t="shared" si="1"/>
        <v>0</v>
      </c>
      <c r="H59" s="278"/>
      <c r="I59" s="620" t="s">
        <v>550</v>
      </c>
    </row>
    <row r="60" spans="1:9" ht="12.75">
      <c r="A60" s="585">
        <v>226091256</v>
      </c>
      <c r="B60" s="398"/>
      <c r="C60" s="398">
        <v>5000000</v>
      </c>
      <c r="D60" s="398">
        <v>6000000</v>
      </c>
      <c r="E60" s="398">
        <v>6000000</v>
      </c>
      <c r="F60" s="398">
        <f t="shared" si="0"/>
        <v>6000000</v>
      </c>
      <c r="G60" s="398">
        <f t="shared" si="1"/>
        <v>0</v>
      </c>
      <c r="H60" s="278"/>
      <c r="I60" s="619" t="s">
        <v>644</v>
      </c>
    </row>
    <row r="61" spans="1:9" ht="12.75">
      <c r="A61" s="585">
        <v>226091259</v>
      </c>
      <c r="B61" s="606"/>
      <c r="C61" s="606"/>
      <c r="D61" s="606">
        <v>2000000</v>
      </c>
      <c r="E61" s="606">
        <v>2000000</v>
      </c>
      <c r="F61" s="606">
        <f t="shared" si="0"/>
        <v>2000000</v>
      </c>
      <c r="G61" s="398">
        <f t="shared" si="1"/>
        <v>0</v>
      </c>
      <c r="H61" s="315"/>
      <c r="I61" s="621" t="s">
        <v>776</v>
      </c>
    </row>
    <row r="62" spans="1:9" ht="12.75">
      <c r="A62" s="585">
        <v>226091260</v>
      </c>
      <c r="B62" s="606"/>
      <c r="C62" s="606"/>
      <c r="D62" s="606">
        <v>5000000</v>
      </c>
      <c r="E62" s="606">
        <v>5000000</v>
      </c>
      <c r="F62" s="606">
        <f t="shared" si="0"/>
        <v>5000000</v>
      </c>
      <c r="G62" s="398">
        <f t="shared" si="1"/>
        <v>0</v>
      </c>
      <c r="H62" s="315"/>
      <c r="I62" s="621" t="s">
        <v>491</v>
      </c>
    </row>
    <row r="63" spans="1:9" ht="12.75">
      <c r="A63" s="585">
        <v>226091261</v>
      </c>
      <c r="B63" s="606"/>
      <c r="C63" s="606"/>
      <c r="D63" s="606">
        <v>0</v>
      </c>
      <c r="E63" s="606">
        <v>0</v>
      </c>
      <c r="F63" s="606">
        <v>0</v>
      </c>
      <c r="G63" s="398">
        <f t="shared" si="1"/>
        <v>0</v>
      </c>
      <c r="H63" s="315"/>
      <c r="I63" s="621" t="s">
        <v>492</v>
      </c>
    </row>
    <row r="64" spans="1:9" ht="12.75">
      <c r="A64" s="585">
        <v>226091299</v>
      </c>
      <c r="B64" s="606"/>
      <c r="C64" s="606"/>
      <c r="D64" s="606">
        <v>12000000</v>
      </c>
      <c r="E64" s="606">
        <v>12000000</v>
      </c>
      <c r="F64" s="606">
        <v>0</v>
      </c>
      <c r="G64" s="398">
        <f t="shared" si="1"/>
        <v>12000000</v>
      </c>
      <c r="H64" s="315"/>
      <c r="I64" s="618" t="s">
        <v>493</v>
      </c>
    </row>
    <row r="65" spans="1:12" s="594" customFormat="1" ht="12.75">
      <c r="A65" s="590" t="s">
        <v>646</v>
      </c>
      <c r="B65" s="609"/>
      <c r="C65" s="591">
        <f>SUM(C53:C60)</f>
        <v>137926000</v>
      </c>
      <c r="D65" s="591">
        <f>SUM(D53:D64)</f>
        <v>190952000</v>
      </c>
      <c r="E65" s="591">
        <f>SUM(E53:E64)</f>
        <v>182414680</v>
      </c>
      <c r="F65" s="591">
        <f>SUM(F53:F64)</f>
        <v>170414680</v>
      </c>
      <c r="G65" s="591">
        <f>SUM(G53:G64)</f>
        <v>12000000</v>
      </c>
      <c r="H65" s="402"/>
      <c r="I65" s="622"/>
      <c r="J65" s="593"/>
      <c r="K65" s="593"/>
      <c r="L65" s="593"/>
    </row>
    <row r="66" spans="1:8" ht="12.75">
      <c r="A66" s="623"/>
      <c r="B66" s="611"/>
      <c r="C66" s="611">
        <f>165926000+5000000</f>
        <v>170926000</v>
      </c>
      <c r="D66" s="611"/>
      <c r="E66" s="611">
        <f>211128680-4173900</f>
        <v>206954780</v>
      </c>
      <c r="F66" s="611"/>
      <c r="G66" s="611"/>
      <c r="H66" s="58"/>
    </row>
    <row r="67" spans="1:9" ht="25.5">
      <c r="A67" s="613" t="s">
        <v>647</v>
      </c>
      <c r="B67" s="614"/>
      <c r="C67" s="601" t="s">
        <v>635</v>
      </c>
      <c r="D67" s="601" t="s">
        <v>635</v>
      </c>
      <c r="E67" s="624" t="s">
        <v>109</v>
      </c>
      <c r="F67" s="624"/>
      <c r="G67" s="624"/>
      <c r="H67" s="625"/>
      <c r="I67" s="290"/>
    </row>
    <row r="68" spans="1:9" ht="12.75">
      <c r="A68" s="581"/>
      <c r="B68" s="398"/>
      <c r="C68" s="604">
        <v>2005</v>
      </c>
      <c r="D68" s="604">
        <v>2007</v>
      </c>
      <c r="E68" s="604">
        <v>2007</v>
      </c>
      <c r="F68" s="604"/>
      <c r="G68" s="604"/>
      <c r="H68" s="282"/>
      <c r="I68" s="291"/>
    </row>
    <row r="69" spans="1:9" ht="12.75">
      <c r="A69" s="585">
        <v>226101271</v>
      </c>
      <c r="B69" s="398"/>
      <c r="C69" s="604"/>
      <c r="D69" s="398">
        <v>1595100</v>
      </c>
      <c r="E69" s="398">
        <v>1595100</v>
      </c>
      <c r="F69" s="398">
        <f>+E69</f>
        <v>1595100</v>
      </c>
      <c r="G69" s="398">
        <f>+E69-F69</f>
        <v>0</v>
      </c>
      <c r="H69" s="278"/>
      <c r="I69" s="291" t="s">
        <v>105</v>
      </c>
    </row>
    <row r="70" spans="1:9" ht="12.75">
      <c r="A70" s="585">
        <v>224010101</v>
      </c>
      <c r="B70" s="398"/>
      <c r="C70" s="398">
        <v>9930920</v>
      </c>
      <c r="D70" s="398">
        <v>113484528</v>
      </c>
      <c r="E70" s="398">
        <v>113484528</v>
      </c>
      <c r="F70" s="398">
        <f>+E70</f>
        <v>113484528</v>
      </c>
      <c r="G70" s="398">
        <f>+E70-F70</f>
        <v>0</v>
      </c>
      <c r="H70" s="278"/>
      <c r="I70" s="291" t="s">
        <v>103</v>
      </c>
    </row>
    <row r="71" spans="1:9" ht="12.75">
      <c r="A71" s="585">
        <v>224010102</v>
      </c>
      <c r="B71" s="398"/>
      <c r="C71" s="398">
        <v>88152018</v>
      </c>
      <c r="D71" s="398">
        <v>4000000</v>
      </c>
      <c r="E71" s="398">
        <v>4000000</v>
      </c>
      <c r="F71" s="398">
        <f>+E71</f>
        <v>4000000</v>
      </c>
      <c r="G71" s="398">
        <f>+E71-F71</f>
        <v>0</v>
      </c>
      <c r="H71" s="278"/>
      <c r="I71" s="291" t="s">
        <v>104</v>
      </c>
    </row>
    <row r="72" spans="1:9" ht="12.75">
      <c r="A72" s="585">
        <v>226101199</v>
      </c>
      <c r="B72" s="589"/>
      <c r="C72" s="659"/>
      <c r="D72" s="659">
        <v>1000000</v>
      </c>
      <c r="E72" s="659">
        <v>0</v>
      </c>
      <c r="F72" s="659">
        <f>+E72</f>
        <v>0</v>
      </c>
      <c r="G72" s="659">
        <f>+E72-F72</f>
        <v>0</v>
      </c>
      <c r="H72" s="294"/>
      <c r="I72" s="637" t="s">
        <v>599</v>
      </c>
    </row>
    <row r="73" spans="1:12" s="594" customFormat="1" ht="12.75">
      <c r="A73" s="590" t="s">
        <v>648</v>
      </c>
      <c r="B73" s="398"/>
      <c r="C73" s="560">
        <f>SUM(C70:C71)</f>
        <v>98082938</v>
      </c>
      <c r="D73" s="560">
        <f>SUM(D69:D72)</f>
        <v>120079628</v>
      </c>
      <c r="E73" s="560">
        <f>SUM(E69:E72)</f>
        <v>119079628</v>
      </c>
      <c r="F73" s="560">
        <f>SUM(F69:F72)</f>
        <v>119079628</v>
      </c>
      <c r="G73" s="560">
        <f>SUM(G69:G71)</f>
        <v>0</v>
      </c>
      <c r="H73" s="410"/>
      <c r="I73" s="626"/>
      <c r="J73" s="593"/>
      <c r="K73" s="593"/>
      <c r="L73" s="593"/>
    </row>
    <row r="74" spans="1:9" ht="12.75">
      <c r="A74" s="590"/>
      <c r="B74" s="609"/>
      <c r="C74" s="609"/>
      <c r="D74" s="609">
        <f>+D73-D69</f>
        <v>118484528</v>
      </c>
      <c r="E74" s="609">
        <f>+E73-E69</f>
        <v>117484528</v>
      </c>
      <c r="F74" s="609">
        <f>+F73-F69</f>
        <v>117484528</v>
      </c>
      <c r="G74" s="609"/>
      <c r="H74" s="285"/>
      <c r="I74" s="627"/>
    </row>
    <row r="75" spans="1:8" ht="12.75">
      <c r="A75" s="623"/>
      <c r="B75" s="611"/>
      <c r="C75" s="611"/>
      <c r="D75" s="611"/>
      <c r="E75" s="611"/>
      <c r="F75" s="611"/>
      <c r="G75" s="611"/>
      <c r="H75" s="58"/>
    </row>
    <row r="76" spans="1:9" ht="25.5">
      <c r="A76" s="613" t="s">
        <v>723</v>
      </c>
      <c r="B76" s="614"/>
      <c r="C76" s="601" t="s">
        <v>635</v>
      </c>
      <c r="D76" s="601" t="s">
        <v>635</v>
      </c>
      <c r="E76" s="624" t="s">
        <v>109</v>
      </c>
      <c r="F76" s="624"/>
      <c r="G76" s="624"/>
      <c r="H76" s="625"/>
      <c r="I76" s="290"/>
    </row>
    <row r="77" spans="1:9" ht="12.75">
      <c r="A77" s="581"/>
      <c r="B77" s="398"/>
      <c r="C77" s="604">
        <v>2005</v>
      </c>
      <c r="D77" s="604"/>
      <c r="E77" s="604">
        <v>2007</v>
      </c>
      <c r="F77" s="604"/>
      <c r="G77" s="604"/>
      <c r="H77" s="282"/>
      <c r="I77" s="291"/>
    </row>
    <row r="78" spans="1:9" ht="12.75">
      <c r="A78" s="585">
        <v>225010101</v>
      </c>
      <c r="B78" s="589"/>
      <c r="C78" s="398">
        <v>459000</v>
      </c>
      <c r="D78" s="398">
        <v>3218130</v>
      </c>
      <c r="E78" s="398">
        <v>3218130</v>
      </c>
      <c r="F78" s="398">
        <f>+E78</f>
        <v>3218130</v>
      </c>
      <c r="G78" s="398">
        <f>+E78-F78</f>
        <v>0</v>
      </c>
      <c r="H78" s="278"/>
      <c r="I78" s="628" t="s">
        <v>568</v>
      </c>
    </row>
    <row r="79" spans="1:9" ht="12.75">
      <c r="A79" s="585">
        <v>225010102</v>
      </c>
      <c r="B79" s="589"/>
      <c r="C79" s="398">
        <v>1289000</v>
      </c>
      <c r="D79" s="398">
        <v>13628521</v>
      </c>
      <c r="E79" s="583">
        <v>13627499</v>
      </c>
      <c r="F79" s="583">
        <f>+E79</f>
        <v>13627499</v>
      </c>
      <c r="G79" s="398">
        <f aca="true" t="shared" si="2" ref="G79:G95">+E79-F79</f>
        <v>0</v>
      </c>
      <c r="H79" s="288"/>
      <c r="I79" s="628" t="s">
        <v>569</v>
      </c>
    </row>
    <row r="80" spans="1:9" ht="12.75">
      <c r="A80" s="585">
        <v>225010111</v>
      </c>
      <c r="B80" s="589"/>
      <c r="C80" s="398"/>
      <c r="D80" s="398">
        <v>0</v>
      </c>
      <c r="E80" s="583">
        <v>0</v>
      </c>
      <c r="F80" s="583">
        <v>0</v>
      </c>
      <c r="G80" s="398">
        <f t="shared" si="2"/>
        <v>0</v>
      </c>
      <c r="H80" s="288"/>
      <c r="I80" s="628" t="s">
        <v>116</v>
      </c>
    </row>
    <row r="81" spans="1:9" ht="12.75">
      <c r="A81" s="585">
        <v>225010112</v>
      </c>
      <c r="B81" s="589"/>
      <c r="C81" s="398"/>
      <c r="D81" s="398">
        <v>199999820</v>
      </c>
      <c r="E81" s="398">
        <v>199999820</v>
      </c>
      <c r="F81" s="398">
        <v>186049500</v>
      </c>
      <c r="G81" s="398">
        <f t="shared" si="2"/>
        <v>13950320</v>
      </c>
      <c r="H81" s="278"/>
      <c r="I81" s="628" t="s">
        <v>117</v>
      </c>
    </row>
    <row r="82" spans="1:9" ht="12.75">
      <c r="A82" s="585">
        <v>225010113</v>
      </c>
      <c r="B82" s="589"/>
      <c r="C82" s="398"/>
      <c r="D82" s="398">
        <v>17781870</v>
      </c>
      <c r="E82" s="398">
        <v>17781309</v>
      </c>
      <c r="F82" s="398">
        <f>+E82</f>
        <v>17781309</v>
      </c>
      <c r="G82" s="398">
        <f t="shared" si="2"/>
        <v>0</v>
      </c>
      <c r="H82" s="278"/>
      <c r="I82" s="628" t="s">
        <v>118</v>
      </c>
    </row>
    <row r="83" spans="1:9" ht="12.75">
      <c r="A83" s="585">
        <v>225010114</v>
      </c>
      <c r="B83" s="589"/>
      <c r="C83" s="398"/>
      <c r="D83" s="398">
        <v>3500000</v>
      </c>
      <c r="E83" s="398">
        <v>0</v>
      </c>
      <c r="F83" s="398">
        <v>0</v>
      </c>
      <c r="G83" s="398">
        <f t="shared" si="2"/>
        <v>0</v>
      </c>
      <c r="H83" s="278"/>
      <c r="I83" s="628" t="s">
        <v>106</v>
      </c>
    </row>
    <row r="84" spans="1:9" ht="25.5">
      <c r="A84" s="585">
        <v>225020103</v>
      </c>
      <c r="B84" s="398"/>
      <c r="C84" s="398">
        <v>28984857</v>
      </c>
      <c r="D84" s="398">
        <v>30786250</v>
      </c>
      <c r="E84" s="398">
        <v>30782753</v>
      </c>
      <c r="F84" s="398">
        <f aca="true" t="shared" si="3" ref="F84:F90">+E84</f>
        <v>30782753</v>
      </c>
      <c r="G84" s="398">
        <f t="shared" si="2"/>
        <v>0</v>
      </c>
      <c r="H84" s="278"/>
      <c r="I84" s="628" t="s">
        <v>297</v>
      </c>
    </row>
    <row r="85" spans="1:9" ht="12.75">
      <c r="A85" s="585">
        <v>225020104</v>
      </c>
      <c r="B85" s="398"/>
      <c r="C85" s="398">
        <v>38559103</v>
      </c>
      <c r="D85" s="398">
        <v>32386382</v>
      </c>
      <c r="E85" s="398">
        <v>32386382</v>
      </c>
      <c r="F85" s="398">
        <f t="shared" si="3"/>
        <v>32386382</v>
      </c>
      <c r="G85" s="398">
        <f t="shared" si="2"/>
        <v>0</v>
      </c>
      <c r="H85" s="278"/>
      <c r="I85" s="628" t="s">
        <v>717</v>
      </c>
    </row>
    <row r="86" spans="1:9" ht="12.75">
      <c r="A86" s="585">
        <v>225020105</v>
      </c>
      <c r="B86" s="398"/>
      <c r="C86" s="398">
        <v>5080457</v>
      </c>
      <c r="D86" s="398">
        <v>5000000</v>
      </c>
      <c r="E86" s="398">
        <v>5000000</v>
      </c>
      <c r="F86" s="398">
        <f t="shared" si="3"/>
        <v>5000000</v>
      </c>
      <c r="G86" s="398">
        <f t="shared" si="2"/>
        <v>0</v>
      </c>
      <c r="H86" s="278"/>
      <c r="I86" s="628" t="s">
        <v>533</v>
      </c>
    </row>
    <row r="87" spans="1:9" ht="25.5">
      <c r="A87" s="585">
        <v>225020106</v>
      </c>
      <c r="B87" s="398"/>
      <c r="C87" s="398">
        <v>12458800</v>
      </c>
      <c r="D87" s="398">
        <v>12213547</v>
      </c>
      <c r="E87" s="398">
        <v>12213547</v>
      </c>
      <c r="F87" s="398">
        <f t="shared" si="3"/>
        <v>12213547</v>
      </c>
      <c r="G87" s="398">
        <f t="shared" si="2"/>
        <v>0</v>
      </c>
      <c r="H87" s="278"/>
      <c r="I87" s="628" t="s">
        <v>718</v>
      </c>
    </row>
    <row r="88" spans="1:9" ht="12.75">
      <c r="A88" s="585">
        <v>225020107</v>
      </c>
      <c r="B88" s="398"/>
      <c r="C88" s="398">
        <v>14230000</v>
      </c>
      <c r="D88" s="398">
        <v>15300000</v>
      </c>
      <c r="E88" s="398">
        <v>15300000</v>
      </c>
      <c r="F88" s="398">
        <f t="shared" si="3"/>
        <v>15300000</v>
      </c>
      <c r="G88" s="398">
        <f t="shared" si="2"/>
        <v>0</v>
      </c>
      <c r="H88" s="278"/>
      <c r="I88" s="628" t="s">
        <v>719</v>
      </c>
    </row>
    <row r="89" spans="1:9" ht="12.75">
      <c r="A89" s="585">
        <v>225020108</v>
      </c>
      <c r="B89" s="398"/>
      <c r="C89" s="398">
        <v>5847200</v>
      </c>
      <c r="D89" s="398">
        <v>7600000</v>
      </c>
      <c r="E89" s="398">
        <v>7600000</v>
      </c>
      <c r="F89" s="398">
        <f t="shared" si="3"/>
        <v>7600000</v>
      </c>
      <c r="G89" s="398">
        <f t="shared" si="2"/>
        <v>0</v>
      </c>
      <c r="H89" s="278"/>
      <c r="I89" s="628" t="s">
        <v>720</v>
      </c>
    </row>
    <row r="90" spans="1:9" ht="25.5">
      <c r="A90" s="585">
        <v>225020109</v>
      </c>
      <c r="B90" s="398"/>
      <c r="C90" s="398">
        <v>0</v>
      </c>
      <c r="D90" s="398">
        <v>2000000</v>
      </c>
      <c r="E90" s="398">
        <v>2000000</v>
      </c>
      <c r="F90" s="398">
        <f t="shared" si="3"/>
        <v>2000000</v>
      </c>
      <c r="G90" s="398">
        <f t="shared" si="2"/>
        <v>0</v>
      </c>
      <c r="H90" s="278"/>
      <c r="I90" s="628" t="s">
        <v>721</v>
      </c>
    </row>
    <row r="91" spans="1:9" ht="12.75">
      <c r="A91" s="585">
        <v>225020110</v>
      </c>
      <c r="B91" s="398"/>
      <c r="C91" s="398"/>
      <c r="D91" s="398">
        <v>0</v>
      </c>
      <c r="E91" s="398">
        <v>0</v>
      </c>
      <c r="F91" s="398">
        <v>0</v>
      </c>
      <c r="G91" s="398">
        <f t="shared" si="2"/>
        <v>0</v>
      </c>
      <c r="H91" s="278"/>
      <c r="I91" s="628" t="s">
        <v>492</v>
      </c>
    </row>
    <row r="92" spans="1:9" ht="12.75">
      <c r="A92" s="585">
        <v>225020111</v>
      </c>
      <c r="B92" s="589"/>
      <c r="C92" s="398">
        <v>5500000</v>
      </c>
      <c r="D92" s="398">
        <v>7500000</v>
      </c>
      <c r="E92" s="398">
        <v>7500000</v>
      </c>
      <c r="F92" s="398">
        <f>+E92</f>
        <v>7500000</v>
      </c>
      <c r="G92" s="398">
        <f t="shared" si="2"/>
        <v>0</v>
      </c>
      <c r="H92" s="278"/>
      <c r="I92" s="628" t="s">
        <v>722</v>
      </c>
    </row>
    <row r="93" spans="1:9" ht="12.75">
      <c r="A93" s="629">
        <v>225020112</v>
      </c>
      <c r="B93" s="630"/>
      <c r="C93" s="606"/>
      <c r="D93" s="606">
        <v>6000000</v>
      </c>
      <c r="E93" s="606">
        <v>6000000</v>
      </c>
      <c r="F93" s="606">
        <f>+E93</f>
        <v>6000000</v>
      </c>
      <c r="G93" s="398">
        <f t="shared" si="2"/>
        <v>0</v>
      </c>
      <c r="H93" s="315"/>
      <c r="I93" s="631" t="s">
        <v>107</v>
      </c>
    </row>
    <row r="94" spans="1:9" ht="12.75">
      <c r="A94" s="629">
        <v>225020113</v>
      </c>
      <c r="B94" s="630"/>
      <c r="C94" s="606"/>
      <c r="D94" s="606">
        <v>3360000</v>
      </c>
      <c r="E94" s="606">
        <v>3300000</v>
      </c>
      <c r="F94" s="606">
        <f>+E94</f>
        <v>3300000</v>
      </c>
      <c r="G94" s="398">
        <f t="shared" si="2"/>
        <v>0</v>
      </c>
      <c r="H94" s="315"/>
      <c r="I94" s="631" t="s">
        <v>534</v>
      </c>
    </row>
    <row r="95" spans="1:9" ht="12.75">
      <c r="A95" s="629">
        <v>225020114</v>
      </c>
      <c r="B95" s="630"/>
      <c r="C95" s="606"/>
      <c r="D95" s="606">
        <v>12000000</v>
      </c>
      <c r="E95" s="606">
        <v>12000000</v>
      </c>
      <c r="F95" s="606">
        <f>+E95</f>
        <v>12000000</v>
      </c>
      <c r="G95" s="398">
        <f t="shared" si="2"/>
        <v>0</v>
      </c>
      <c r="H95" s="315"/>
      <c r="I95" s="631" t="s">
        <v>108</v>
      </c>
    </row>
    <row r="96" spans="1:12" s="594" customFormat="1" ht="12.75">
      <c r="A96" s="590" t="s">
        <v>70</v>
      </c>
      <c r="B96" s="632"/>
      <c r="C96" s="633">
        <f>SUM(C78:C92)</f>
        <v>112408417</v>
      </c>
      <c r="D96" s="633">
        <f>SUM(D78:D95)</f>
        <v>372274520</v>
      </c>
      <c r="E96" s="633">
        <f>SUM(E78:E95)</f>
        <v>368709440</v>
      </c>
      <c r="F96" s="633">
        <f>SUM(F78:F95)</f>
        <v>354759120</v>
      </c>
      <c r="G96" s="633">
        <f>SUM(G78:G95)</f>
        <v>13950320</v>
      </c>
      <c r="H96" s="413"/>
      <c r="I96" s="634"/>
      <c r="J96" s="593"/>
      <c r="K96" s="593"/>
      <c r="L96" s="593"/>
    </row>
    <row r="97" spans="1:11" ht="12.75">
      <c r="A97" s="613" t="s">
        <v>724</v>
      </c>
      <c r="B97" s="635"/>
      <c r="C97" s="636"/>
      <c r="D97" s="636"/>
      <c r="E97" s="636">
        <f>+E78+E79</f>
        <v>16845629</v>
      </c>
      <c r="F97" s="636">
        <f>+E81+E82+E89+E251</f>
        <v>254375442</v>
      </c>
      <c r="G97" s="636">
        <f>+E96-E97-F97</f>
        <v>97488369</v>
      </c>
      <c r="H97" s="287"/>
      <c r="I97" s="696">
        <f>+E97+F97+G97</f>
        <v>368709440</v>
      </c>
      <c r="J97" s="153">
        <f>+I97+E251</f>
        <v>397703753</v>
      </c>
      <c r="K97" s="153">
        <f>+J97-I97</f>
        <v>28994313</v>
      </c>
    </row>
    <row r="98" spans="1:10" ht="12.75">
      <c r="A98" s="585">
        <v>226151187</v>
      </c>
      <c r="B98" s="589"/>
      <c r="C98" s="583">
        <v>16978835.61</v>
      </c>
      <c r="D98" s="583">
        <v>40563147</v>
      </c>
      <c r="E98" s="583">
        <v>37608218</v>
      </c>
      <c r="F98" s="583">
        <f>+E98</f>
        <v>37608218</v>
      </c>
      <c r="G98" s="583"/>
      <c r="H98" s="288"/>
      <c r="I98" s="637" t="s">
        <v>752</v>
      </c>
      <c r="J98" s="153">
        <f>+F97+K97</f>
        <v>283369755</v>
      </c>
    </row>
    <row r="99" spans="1:9" ht="12.75">
      <c r="A99" s="585">
        <v>226151188</v>
      </c>
      <c r="B99" s="589"/>
      <c r="C99" s="583">
        <v>1000000</v>
      </c>
      <c r="D99" s="583">
        <v>15000000</v>
      </c>
      <c r="E99" s="583">
        <v>15000000</v>
      </c>
      <c r="F99" s="583">
        <v>14948711</v>
      </c>
      <c r="G99" s="583">
        <f>+E99-F99</f>
        <v>51289</v>
      </c>
      <c r="H99" s="288"/>
      <c r="I99" s="637" t="s">
        <v>753</v>
      </c>
    </row>
    <row r="100" spans="1:9" ht="25.5">
      <c r="A100" s="585">
        <v>226081146</v>
      </c>
      <c r="B100" s="589"/>
      <c r="C100" s="398"/>
      <c r="D100" s="398">
        <v>50000000</v>
      </c>
      <c r="E100" s="398">
        <v>49994396</v>
      </c>
      <c r="F100" s="398">
        <v>0</v>
      </c>
      <c r="G100" s="675">
        <f>+E100-F100</f>
        <v>49994396</v>
      </c>
      <c r="H100" s="278"/>
      <c r="I100" s="587" t="s">
        <v>63</v>
      </c>
    </row>
    <row r="101" spans="1:12" s="594" customFormat="1" ht="12.75">
      <c r="A101" s="590" t="s">
        <v>725</v>
      </c>
      <c r="B101" s="632"/>
      <c r="C101" s="638">
        <f>SUM(C98:C99)</f>
        <v>17978835.61</v>
      </c>
      <c r="D101" s="638">
        <f>SUM(D98:D100)</f>
        <v>105563147</v>
      </c>
      <c r="E101" s="638">
        <f>SUM(E98:E100)</f>
        <v>102602614</v>
      </c>
      <c r="F101" s="638">
        <f>SUM(F98:F100)</f>
        <v>52556929</v>
      </c>
      <c r="G101" s="638">
        <f>SUM(G98:G100)</f>
        <v>50045685</v>
      </c>
      <c r="H101" s="416"/>
      <c r="I101" s="634"/>
      <c r="J101" s="593"/>
      <c r="K101" s="593"/>
      <c r="L101" s="593"/>
    </row>
    <row r="102" spans="1:9" ht="12.75">
      <c r="A102" s="613" t="str">
        <f>+'Eje instrumental'!C689</f>
        <v>INFRAESTRUCTURA Y EQUIPAMENTO PUBLICO</v>
      </c>
      <c r="B102" s="635"/>
      <c r="C102" s="635"/>
      <c r="D102" s="635"/>
      <c r="E102" s="635"/>
      <c r="F102" s="635"/>
      <c r="G102" s="635"/>
      <c r="H102" s="290"/>
      <c r="I102" s="603"/>
    </row>
    <row r="103" spans="1:9" ht="12.75">
      <c r="A103" s="581" t="s">
        <v>727</v>
      </c>
      <c r="B103" s="589"/>
      <c r="C103" s="589"/>
      <c r="D103" s="589"/>
      <c r="E103" s="589"/>
      <c r="F103" s="589"/>
      <c r="G103" s="589"/>
      <c r="H103" s="291"/>
      <c r="I103" s="628"/>
    </row>
    <row r="104" spans="1:9" ht="12.75">
      <c r="A104" s="581" t="s">
        <v>269</v>
      </c>
      <c r="B104" s="589"/>
      <c r="C104" s="589"/>
      <c r="D104" s="589"/>
      <c r="E104" s="589"/>
      <c r="F104" s="589"/>
      <c r="G104" s="589"/>
      <c r="H104" s="291"/>
      <c r="I104" s="628"/>
    </row>
    <row r="105" spans="1:9" ht="12.75">
      <c r="A105" s="585">
        <v>223010101</v>
      </c>
      <c r="B105" s="398">
        <v>275316024</v>
      </c>
      <c r="C105" s="398">
        <v>123891423</v>
      </c>
      <c r="D105" s="639">
        <v>125273582</v>
      </c>
      <c r="E105" s="398">
        <v>99996215</v>
      </c>
      <c r="F105" s="398">
        <f>+E105</f>
        <v>99996215</v>
      </c>
      <c r="G105" s="398"/>
      <c r="H105" s="278"/>
      <c r="I105" s="637" t="str">
        <f>+'Eje instrumental'!C12</f>
        <v>Renovación  redes de acueducto urbano</v>
      </c>
    </row>
    <row r="106" spans="1:9" ht="25.5">
      <c r="A106" s="585">
        <v>223010102</v>
      </c>
      <c r="B106" s="398">
        <v>0</v>
      </c>
      <c r="C106" s="398">
        <v>42630368</v>
      </c>
      <c r="D106" s="398">
        <v>88772899</v>
      </c>
      <c r="E106" s="398">
        <v>63865161</v>
      </c>
      <c r="F106" s="398">
        <f>+E106</f>
        <v>63865161</v>
      </c>
      <c r="G106" s="398"/>
      <c r="H106" s="278"/>
      <c r="I106" s="637" t="str">
        <f>+'Eje instrumental'!C45</f>
        <v>Ampliación y mejoramiento de cobertura del servicio de agua  potable en la zona urbana</v>
      </c>
    </row>
    <row r="107" spans="1:9" ht="25.5">
      <c r="A107" s="585">
        <v>223010107</v>
      </c>
      <c r="B107" s="398"/>
      <c r="C107" s="398">
        <v>3483000</v>
      </c>
      <c r="D107" s="398">
        <v>10263864</v>
      </c>
      <c r="E107" s="398">
        <v>10166328</v>
      </c>
      <c r="F107" s="398"/>
      <c r="G107" s="398">
        <f>+E107</f>
        <v>10166328</v>
      </c>
      <c r="H107" s="278"/>
      <c r="I107" s="637" t="s">
        <v>748</v>
      </c>
    </row>
    <row r="108" spans="1:9" ht="12.75">
      <c r="A108" s="585"/>
      <c r="B108" s="398"/>
      <c r="C108" s="560">
        <f>SUM(C105:C107)</f>
        <v>170004791</v>
      </c>
      <c r="D108" s="560">
        <f>SUM(D105:D107)</f>
        <v>224310345</v>
      </c>
      <c r="E108" s="560">
        <f>SUM(E105:E107)</f>
        <v>174027704</v>
      </c>
      <c r="F108" s="560">
        <f>SUM(F105:F107)</f>
        <v>163861376</v>
      </c>
      <c r="G108" s="560">
        <f>SUM(G105:G107)</f>
        <v>10166328</v>
      </c>
      <c r="H108" s="277"/>
      <c r="I108" s="637"/>
    </row>
    <row r="109" spans="1:9" ht="12.75">
      <c r="A109" s="581" t="s">
        <v>270</v>
      </c>
      <c r="B109" s="398"/>
      <c r="C109" s="398"/>
      <c r="D109" s="398"/>
      <c r="E109" s="560"/>
      <c r="F109" s="560"/>
      <c r="G109" s="560"/>
      <c r="H109" s="277"/>
      <c r="I109" s="637"/>
    </row>
    <row r="110" spans="1:9" ht="12.75">
      <c r="A110" s="585">
        <v>223010105</v>
      </c>
      <c r="B110" s="398"/>
      <c r="C110" s="398">
        <v>76374228</v>
      </c>
      <c r="D110" s="398">
        <v>193650</v>
      </c>
      <c r="E110" s="398">
        <v>193650</v>
      </c>
      <c r="F110" s="398">
        <f>+E110</f>
        <v>193650</v>
      </c>
      <c r="G110" s="398"/>
      <c r="H110" s="278"/>
      <c r="I110" s="637" t="s">
        <v>607</v>
      </c>
    </row>
    <row r="111" spans="1:9" ht="12.75">
      <c r="A111" s="585">
        <v>223010106</v>
      </c>
      <c r="B111" s="398"/>
      <c r="C111" s="398">
        <v>30287812</v>
      </c>
      <c r="D111" s="398">
        <v>9578581</v>
      </c>
      <c r="E111" s="398">
        <v>9578581</v>
      </c>
      <c r="F111" s="398">
        <f>+E111</f>
        <v>9578581</v>
      </c>
      <c r="G111" s="398"/>
      <c r="H111" s="278"/>
      <c r="I111" s="637" t="s">
        <v>608</v>
      </c>
    </row>
    <row r="112" spans="1:9" ht="12.75">
      <c r="A112" s="585">
        <v>223010110</v>
      </c>
      <c r="B112" s="398"/>
      <c r="C112" s="398">
        <v>4700000</v>
      </c>
      <c r="D112" s="398">
        <v>18000000</v>
      </c>
      <c r="E112" s="398">
        <v>17999995</v>
      </c>
      <c r="F112" s="398">
        <v>10000000</v>
      </c>
      <c r="G112" s="398">
        <v>7999995</v>
      </c>
      <c r="H112" s="278"/>
      <c r="I112" s="637" t="s">
        <v>267</v>
      </c>
    </row>
    <row r="113" spans="1:9" ht="12.75">
      <c r="A113" s="585">
        <v>223010111</v>
      </c>
      <c r="B113" s="398"/>
      <c r="C113" s="398">
        <v>7000000</v>
      </c>
      <c r="D113" s="398">
        <v>20000000</v>
      </c>
      <c r="E113" s="398">
        <v>19997222</v>
      </c>
      <c r="F113" s="398">
        <f>+E113</f>
        <v>19997222</v>
      </c>
      <c r="G113" s="398"/>
      <c r="H113" s="278"/>
      <c r="I113" s="637" t="s">
        <v>268</v>
      </c>
    </row>
    <row r="114" spans="1:9" ht="25.5">
      <c r="A114" s="585">
        <v>223050116</v>
      </c>
      <c r="B114" s="398"/>
      <c r="C114" s="398"/>
      <c r="D114" s="398"/>
      <c r="E114" s="398"/>
      <c r="F114" s="398"/>
      <c r="G114" s="398"/>
      <c r="H114" s="278"/>
      <c r="I114" s="637" t="s">
        <v>178</v>
      </c>
    </row>
    <row r="115" spans="1:9" ht="12.75">
      <c r="A115" s="585">
        <v>223050118</v>
      </c>
      <c r="B115" s="398"/>
      <c r="C115" s="398">
        <v>13000000</v>
      </c>
      <c r="D115" s="398"/>
      <c r="E115" s="398"/>
      <c r="F115" s="398"/>
      <c r="G115" s="398"/>
      <c r="H115" s="278"/>
      <c r="I115" s="637" t="s">
        <v>747</v>
      </c>
    </row>
    <row r="116" spans="1:9" ht="12.75">
      <c r="A116" s="585">
        <v>223010125</v>
      </c>
      <c r="B116" s="398"/>
      <c r="C116" s="398">
        <v>9150000</v>
      </c>
      <c r="D116" s="398">
        <v>3786066</v>
      </c>
      <c r="E116" s="398">
        <v>3786066</v>
      </c>
      <c r="F116" s="398">
        <f>+E116</f>
        <v>3786066</v>
      </c>
      <c r="G116" s="398"/>
      <c r="H116" s="278"/>
      <c r="I116" s="637" t="s">
        <v>746</v>
      </c>
    </row>
    <row r="117" spans="1:9" ht="35.25" customHeight="1">
      <c r="A117" s="585">
        <v>223070126</v>
      </c>
      <c r="B117" s="398"/>
      <c r="C117" s="398">
        <v>3496500</v>
      </c>
      <c r="D117" s="398">
        <v>1303934</v>
      </c>
      <c r="E117" s="398">
        <v>1303934</v>
      </c>
      <c r="F117" s="398">
        <f>+E117</f>
        <v>1303934</v>
      </c>
      <c r="G117" s="398"/>
      <c r="H117" s="278"/>
      <c r="I117" s="637" t="s">
        <v>575</v>
      </c>
    </row>
    <row r="118" spans="1:9" ht="12.75">
      <c r="A118" s="585"/>
      <c r="B118" s="398"/>
      <c r="C118" s="560">
        <f>SUM(C110:C117)</f>
        <v>144008540</v>
      </c>
      <c r="D118" s="560">
        <f>SUM(D110:D117)</f>
        <v>52862231</v>
      </c>
      <c r="E118" s="560">
        <f>SUM(E110:E117)</f>
        <v>52859448</v>
      </c>
      <c r="F118" s="560">
        <f>SUM(F110:F117)</f>
        <v>44859453</v>
      </c>
      <c r="G118" s="560">
        <f>SUM(G110:G117)</f>
        <v>7999995</v>
      </c>
      <c r="H118" s="277"/>
      <c r="I118" s="637"/>
    </row>
    <row r="119" spans="1:12" s="594" customFormat="1" ht="12.75">
      <c r="A119" s="581" t="s">
        <v>570</v>
      </c>
      <c r="B119" s="398"/>
      <c r="C119" s="560">
        <f>+C108+C118</f>
        <v>314013331</v>
      </c>
      <c r="D119" s="560">
        <f>+D108+D118</f>
        <v>277172576</v>
      </c>
      <c r="E119" s="560">
        <f>+E108+E118</f>
        <v>226887152</v>
      </c>
      <c r="F119" s="560">
        <f>+F108+F118</f>
        <v>208720829</v>
      </c>
      <c r="G119" s="560">
        <f>+G108+G118</f>
        <v>18166323</v>
      </c>
      <c r="H119" s="410"/>
      <c r="I119" s="640"/>
      <c r="J119" s="593"/>
      <c r="K119" s="593"/>
      <c r="L119" s="593"/>
    </row>
    <row r="120" spans="1:9" ht="12.75">
      <c r="A120" s="581" t="s">
        <v>561</v>
      </c>
      <c r="B120" s="398"/>
      <c r="C120" s="560"/>
      <c r="D120" s="560"/>
      <c r="E120" s="560"/>
      <c r="F120" s="560"/>
      <c r="G120" s="560"/>
      <c r="H120" s="277"/>
      <c r="I120" s="637"/>
    </row>
    <row r="121" spans="1:9" ht="12.75">
      <c r="A121" s="581" t="s">
        <v>571</v>
      </c>
      <c r="B121" s="398"/>
      <c r="C121" s="560"/>
      <c r="D121" s="560"/>
      <c r="E121" s="560"/>
      <c r="F121" s="560"/>
      <c r="G121" s="560"/>
      <c r="H121" s="277"/>
      <c r="I121" s="637"/>
    </row>
    <row r="122" spans="1:9" ht="12.75">
      <c r="A122" s="585">
        <v>223010104</v>
      </c>
      <c r="B122" s="398"/>
      <c r="C122" s="560">
        <v>0</v>
      </c>
      <c r="D122" s="398">
        <v>0</v>
      </c>
      <c r="E122" s="560">
        <v>0</v>
      </c>
      <c r="F122" s="560"/>
      <c r="G122" s="560"/>
      <c r="H122" s="277"/>
      <c r="I122" s="637" t="s">
        <v>572</v>
      </c>
    </row>
    <row r="123" spans="1:9" ht="12.75">
      <c r="A123" s="585">
        <v>223050117</v>
      </c>
      <c r="B123" s="398"/>
      <c r="C123" s="398"/>
      <c r="D123" s="398">
        <v>0</v>
      </c>
      <c r="E123" s="398">
        <v>0</v>
      </c>
      <c r="F123" s="398"/>
      <c r="G123" s="398"/>
      <c r="H123" s="278"/>
      <c r="I123" s="637" t="s">
        <v>176</v>
      </c>
    </row>
    <row r="124" spans="1:9" ht="26.25" customHeight="1">
      <c r="A124" s="585">
        <v>223010108</v>
      </c>
      <c r="B124" s="398"/>
      <c r="C124" s="398">
        <v>2847000</v>
      </c>
      <c r="D124" s="398">
        <v>9072845</v>
      </c>
      <c r="E124" s="398">
        <v>9072845</v>
      </c>
      <c r="F124" s="398">
        <v>4572845</v>
      </c>
      <c r="G124" s="398">
        <v>4500000</v>
      </c>
      <c r="H124" s="278"/>
      <c r="I124" s="637" t="s">
        <v>795</v>
      </c>
    </row>
    <row r="125" spans="1:9" ht="26.25" customHeight="1">
      <c r="A125" s="585">
        <v>223070125</v>
      </c>
      <c r="B125" s="398"/>
      <c r="C125" s="398"/>
      <c r="D125" s="398">
        <v>0</v>
      </c>
      <c r="E125" s="398">
        <v>0</v>
      </c>
      <c r="F125" s="398"/>
      <c r="G125" s="398"/>
      <c r="H125" s="278"/>
      <c r="I125" s="637" t="s">
        <v>179</v>
      </c>
    </row>
    <row r="126" spans="1:12" s="594" customFormat="1" ht="12.75">
      <c r="A126" s="581" t="s">
        <v>18</v>
      </c>
      <c r="B126" s="398"/>
      <c r="C126" s="560">
        <f>+C124</f>
        <v>2847000</v>
      </c>
      <c r="D126" s="560">
        <f>SUM(D122:D125)</f>
        <v>9072845</v>
      </c>
      <c r="E126" s="560">
        <f>SUM(E122:E125)</f>
        <v>9072845</v>
      </c>
      <c r="F126" s="560">
        <f>SUM(F122:F125)</f>
        <v>4572845</v>
      </c>
      <c r="G126" s="560">
        <f>SUM(G122:G125)</f>
        <v>4500000</v>
      </c>
      <c r="H126" s="410"/>
      <c r="I126" s="640"/>
      <c r="J126" s="593"/>
      <c r="K126" s="593"/>
      <c r="L126" s="593"/>
    </row>
    <row r="127" spans="1:9" ht="12.75">
      <c r="A127" s="581" t="s">
        <v>573</v>
      </c>
      <c r="B127" s="398"/>
      <c r="C127" s="398"/>
      <c r="D127" s="398"/>
      <c r="E127" s="398"/>
      <c r="F127" s="398"/>
      <c r="G127" s="398"/>
      <c r="H127" s="278"/>
      <c r="I127" s="637"/>
    </row>
    <row r="128" spans="1:9" ht="12.75">
      <c r="A128" s="585">
        <v>223040112</v>
      </c>
      <c r="B128" s="398">
        <v>148000319.73</v>
      </c>
      <c r="C128" s="398">
        <v>60000000</v>
      </c>
      <c r="D128" s="398">
        <v>120000000</v>
      </c>
      <c r="E128" s="398">
        <v>120000000</v>
      </c>
      <c r="F128" s="398">
        <v>120000000</v>
      </c>
      <c r="G128" s="398"/>
      <c r="H128" s="278"/>
      <c r="I128" s="637" t="str">
        <f>+'Eje instrumental'!C139</f>
        <v>Subsidio Ley 142/94</v>
      </c>
    </row>
    <row r="129" spans="1:9" ht="12.75">
      <c r="A129" s="581" t="s">
        <v>197</v>
      </c>
      <c r="B129" s="560"/>
      <c r="C129" s="560">
        <f>+C128</f>
        <v>60000000</v>
      </c>
      <c r="D129" s="560">
        <f>+D128</f>
        <v>120000000</v>
      </c>
      <c r="E129" s="560">
        <f>+E128</f>
        <v>120000000</v>
      </c>
      <c r="F129" s="560">
        <f>+F128</f>
        <v>120000000</v>
      </c>
      <c r="G129" s="560">
        <f>+G128</f>
        <v>0</v>
      </c>
      <c r="H129" s="277"/>
      <c r="I129" s="637"/>
    </row>
    <row r="130" spans="1:9" ht="12.75">
      <c r="A130" s="581" t="s">
        <v>335</v>
      </c>
      <c r="B130" s="560"/>
      <c r="C130" s="560"/>
      <c r="D130" s="560"/>
      <c r="E130" s="560"/>
      <c r="F130" s="560"/>
      <c r="G130" s="560"/>
      <c r="H130" s="277"/>
      <c r="I130" s="637"/>
    </row>
    <row r="131" spans="1:9" ht="12.75">
      <c r="A131" s="581" t="s">
        <v>574</v>
      </c>
      <c r="B131" s="398"/>
      <c r="C131" s="398"/>
      <c r="D131" s="398"/>
      <c r="E131" s="398"/>
      <c r="F131" s="398"/>
      <c r="G131" s="398"/>
      <c r="H131" s="278"/>
      <c r="I131" s="637"/>
    </row>
    <row r="132" spans="1:9" ht="12.75">
      <c r="A132" s="581" t="s">
        <v>9</v>
      </c>
      <c r="B132" s="398"/>
      <c r="C132" s="398"/>
      <c r="D132" s="398"/>
      <c r="E132" s="398">
        <f>+E138-E135</f>
        <v>381674717</v>
      </c>
      <c r="F132" s="398"/>
      <c r="G132" s="398"/>
      <c r="H132" s="278"/>
      <c r="I132" s="637"/>
    </row>
    <row r="133" spans="1:9" ht="12.75">
      <c r="A133" s="585">
        <v>223010103</v>
      </c>
      <c r="B133" s="398"/>
      <c r="C133" s="398">
        <v>137224615</v>
      </c>
      <c r="D133" s="398">
        <v>149261685</v>
      </c>
      <c r="E133" s="398">
        <f>134861679-6966</f>
        <v>134854713</v>
      </c>
      <c r="F133" s="398">
        <v>106519768</v>
      </c>
      <c r="G133" s="398">
        <v>28334946</v>
      </c>
      <c r="H133" s="278"/>
      <c r="I133" s="637" t="s">
        <v>7</v>
      </c>
    </row>
    <row r="134" spans="1:9" ht="25.5">
      <c r="A134" s="585">
        <v>223010109</v>
      </c>
      <c r="B134" s="398"/>
      <c r="C134" s="398">
        <v>30300000</v>
      </c>
      <c r="D134" s="398">
        <v>16820004</v>
      </c>
      <c r="E134" s="398">
        <v>16820004</v>
      </c>
      <c r="F134" s="398">
        <f>+E134</f>
        <v>16820004</v>
      </c>
      <c r="G134" s="398"/>
      <c r="H134" s="278"/>
      <c r="I134" s="637" t="s">
        <v>8</v>
      </c>
    </row>
    <row r="135" spans="1:9" ht="12.75">
      <c r="A135" s="585">
        <v>223010124</v>
      </c>
      <c r="B135" s="398"/>
      <c r="C135" s="398">
        <v>34000000</v>
      </c>
      <c r="D135" s="398">
        <v>61772656</v>
      </c>
      <c r="E135" s="398">
        <v>61772656</v>
      </c>
      <c r="F135" s="398">
        <f>+E135</f>
        <v>61772656</v>
      </c>
      <c r="G135" s="398"/>
      <c r="H135" s="278"/>
      <c r="I135" s="637" t="s">
        <v>535</v>
      </c>
    </row>
    <row r="136" spans="1:9" ht="12.75">
      <c r="A136" s="585">
        <v>223010127</v>
      </c>
      <c r="B136" s="398"/>
      <c r="C136" s="398">
        <v>0</v>
      </c>
      <c r="D136" s="398">
        <v>230000000</v>
      </c>
      <c r="E136" s="398">
        <v>230000000</v>
      </c>
      <c r="F136" s="398"/>
      <c r="G136" s="398">
        <f>+E136</f>
        <v>230000000</v>
      </c>
      <c r="H136" s="278"/>
      <c r="I136" s="637" t="s">
        <v>576</v>
      </c>
    </row>
    <row r="137" spans="1:9" ht="12.75">
      <c r="A137" s="585">
        <v>223010128</v>
      </c>
      <c r="B137" s="398"/>
      <c r="C137" s="398">
        <v>7000000</v>
      </c>
      <c r="D137" s="398">
        <v>9000000</v>
      </c>
      <c r="E137" s="398">
        <v>0</v>
      </c>
      <c r="F137" s="398"/>
      <c r="G137" s="398"/>
      <c r="H137" s="278"/>
      <c r="I137" s="637" t="s">
        <v>494</v>
      </c>
    </row>
    <row r="138" spans="1:12" s="594" customFormat="1" ht="12.75">
      <c r="A138" s="581" t="s">
        <v>10</v>
      </c>
      <c r="B138" s="560"/>
      <c r="C138" s="560">
        <f>SUM(C133:C137)</f>
        <v>208524615</v>
      </c>
      <c r="D138" s="560">
        <f>SUM(D133:D137)</f>
        <v>466854345</v>
      </c>
      <c r="E138" s="560">
        <f>SUM(E133:E137)</f>
        <v>443447373</v>
      </c>
      <c r="F138" s="560">
        <f>SUM(F133:F137)</f>
        <v>185112428</v>
      </c>
      <c r="G138" s="560">
        <f>SUM(G133:G137)</f>
        <v>258334946</v>
      </c>
      <c r="H138" s="410"/>
      <c r="I138" s="641"/>
      <c r="J138" s="593"/>
      <c r="K138" s="593"/>
      <c r="L138" s="593"/>
    </row>
    <row r="139" spans="1:12" s="594" customFormat="1" ht="12.75">
      <c r="A139" s="581" t="s">
        <v>334</v>
      </c>
      <c r="B139" s="560"/>
      <c r="C139" s="560">
        <f>+C119+C126+C129+C138+C152</f>
        <v>617266521</v>
      </c>
      <c r="D139" s="560">
        <f>+D119+D126+D129+D138</f>
        <v>873099766</v>
      </c>
      <c r="E139" s="560">
        <f>+E119+E126+E129+E138</f>
        <v>799407370</v>
      </c>
      <c r="F139" s="560">
        <f>+F119+F126+F129+F138</f>
        <v>518406102</v>
      </c>
      <c r="G139" s="560">
        <f>+G119+G126+G129+G138</f>
        <v>281001269</v>
      </c>
      <c r="H139" s="410"/>
      <c r="I139" s="641"/>
      <c r="J139" s="593"/>
      <c r="K139" s="593"/>
      <c r="L139" s="593"/>
    </row>
    <row r="140" spans="1:12" s="594" customFormat="1" ht="12.75">
      <c r="A140" s="581" t="s">
        <v>336</v>
      </c>
      <c r="B140" s="560"/>
      <c r="C140" s="560"/>
      <c r="D140" s="560">
        <f>+D139-D129</f>
        <v>753099766</v>
      </c>
      <c r="E140" s="560">
        <f>+E139-E129</f>
        <v>679407370</v>
      </c>
      <c r="F140" s="560">
        <f>+F139-F129</f>
        <v>398406102</v>
      </c>
      <c r="G140" s="560">
        <f>+G139-G129</f>
        <v>281001269</v>
      </c>
      <c r="H140" s="410"/>
      <c r="I140" s="641"/>
      <c r="J140" s="593"/>
      <c r="K140" s="593"/>
      <c r="L140" s="593"/>
    </row>
    <row r="141" spans="1:9" ht="12.75">
      <c r="A141" s="581" t="s">
        <v>11</v>
      </c>
      <c r="B141" s="398"/>
      <c r="C141" s="560"/>
      <c r="D141" s="560"/>
      <c r="E141" s="560">
        <f>679414335-6965</f>
        <v>679407370</v>
      </c>
      <c r="F141" s="560"/>
      <c r="G141" s="560"/>
      <c r="H141" s="277"/>
      <c r="I141" s="637"/>
    </row>
    <row r="142" spans="1:9" ht="12.75">
      <c r="A142" s="585">
        <v>223030113</v>
      </c>
      <c r="B142" s="398"/>
      <c r="C142" s="560">
        <v>0</v>
      </c>
      <c r="D142" s="398">
        <v>88074857</v>
      </c>
      <c r="E142" s="398">
        <v>88074857</v>
      </c>
      <c r="F142" s="398">
        <v>83102357</v>
      </c>
      <c r="G142" s="398">
        <v>4972500</v>
      </c>
      <c r="H142" s="278"/>
      <c r="I142" s="637" t="s">
        <v>12</v>
      </c>
    </row>
    <row r="143" spans="1:9" ht="25.5">
      <c r="A143" s="585">
        <v>223030114</v>
      </c>
      <c r="B143" s="398"/>
      <c r="C143" s="560"/>
      <c r="D143" s="398">
        <v>5000000</v>
      </c>
      <c r="E143" s="398">
        <v>5000000</v>
      </c>
      <c r="F143" s="398">
        <f>+E143</f>
        <v>5000000</v>
      </c>
      <c r="G143" s="398"/>
      <c r="H143" s="278"/>
      <c r="I143" s="637" t="s">
        <v>495</v>
      </c>
    </row>
    <row r="144" spans="1:9" ht="25.5">
      <c r="A144" s="585">
        <v>223030115</v>
      </c>
      <c r="B144" s="398"/>
      <c r="C144" s="560"/>
      <c r="D144" s="398">
        <v>240000000</v>
      </c>
      <c r="E144" s="398">
        <v>236030888</v>
      </c>
      <c r="F144" s="398"/>
      <c r="G144" s="398">
        <f>+E144</f>
        <v>236030888</v>
      </c>
      <c r="H144" s="278"/>
      <c r="I144" s="637" t="s">
        <v>6</v>
      </c>
    </row>
    <row r="145" spans="1:9" ht="25.5" hidden="1">
      <c r="A145" s="585">
        <v>223030131</v>
      </c>
      <c r="B145" s="398"/>
      <c r="C145" s="398">
        <v>20447902</v>
      </c>
      <c r="D145" s="398"/>
      <c r="E145" s="398"/>
      <c r="F145" s="398"/>
      <c r="G145" s="398"/>
      <c r="H145" s="278"/>
      <c r="I145" s="637" t="s">
        <v>278</v>
      </c>
    </row>
    <row r="146" spans="1:9" ht="25.5" hidden="1">
      <c r="A146" s="585">
        <v>223030132</v>
      </c>
      <c r="B146" s="398"/>
      <c r="C146" s="398"/>
      <c r="D146" s="398"/>
      <c r="E146" s="398"/>
      <c r="F146" s="398"/>
      <c r="G146" s="398"/>
      <c r="H146" s="278"/>
      <c r="I146" s="637" t="s">
        <v>398</v>
      </c>
    </row>
    <row r="147" spans="1:9" ht="12.75" hidden="1">
      <c r="A147" s="585">
        <v>223060119</v>
      </c>
      <c r="B147" s="398"/>
      <c r="C147" s="398">
        <v>1000000</v>
      </c>
      <c r="D147" s="398"/>
      <c r="E147" s="398"/>
      <c r="F147" s="398"/>
      <c r="G147" s="398"/>
      <c r="H147" s="278"/>
      <c r="I147" s="637" t="s">
        <v>22</v>
      </c>
    </row>
    <row r="148" spans="1:9" ht="12.75" hidden="1">
      <c r="A148" s="585">
        <v>223080229</v>
      </c>
      <c r="B148" s="398"/>
      <c r="C148" s="398">
        <v>4552098</v>
      </c>
      <c r="D148" s="398"/>
      <c r="E148" s="398"/>
      <c r="F148" s="398"/>
      <c r="G148" s="398"/>
      <c r="H148" s="278"/>
      <c r="I148" s="637" t="s">
        <v>177</v>
      </c>
    </row>
    <row r="149" spans="1:9" ht="25.5" hidden="1">
      <c r="A149" s="585">
        <v>223080235</v>
      </c>
      <c r="B149" s="398"/>
      <c r="C149" s="398">
        <v>5881575</v>
      </c>
      <c r="D149" s="398"/>
      <c r="E149" s="398"/>
      <c r="F149" s="398"/>
      <c r="G149" s="398"/>
      <c r="H149" s="278"/>
      <c r="I149" s="637" t="s">
        <v>195</v>
      </c>
    </row>
    <row r="150" spans="1:9" ht="12.75">
      <c r="A150" s="585" t="s">
        <v>772</v>
      </c>
      <c r="B150" s="398"/>
      <c r="C150" s="398"/>
      <c r="D150" s="560">
        <f>SUM(D142:D149)</f>
        <v>333074857</v>
      </c>
      <c r="E150" s="560">
        <f>SUM(E142:E149)</f>
        <v>329105745</v>
      </c>
      <c r="F150" s="560">
        <f>SUM(F142:F149)</f>
        <v>88102357</v>
      </c>
      <c r="G150" s="560">
        <f>SUM(G142:G149)</f>
        <v>241003388</v>
      </c>
      <c r="H150" s="278"/>
      <c r="I150" s="637"/>
    </row>
    <row r="151" spans="1:9" ht="12.75">
      <c r="A151" s="585">
        <v>226051129</v>
      </c>
      <c r="B151" s="398"/>
      <c r="C151" s="560"/>
      <c r="D151" s="398">
        <v>1000000</v>
      </c>
      <c r="E151" s="398">
        <v>1000000</v>
      </c>
      <c r="F151" s="398">
        <v>1000000</v>
      </c>
      <c r="G151" s="398">
        <f>+E151-F151</f>
        <v>0</v>
      </c>
      <c r="H151" s="278"/>
      <c r="I151" s="637" t="s">
        <v>480</v>
      </c>
    </row>
    <row r="152" spans="1:12" s="594" customFormat="1" ht="12.75">
      <c r="A152" s="581" t="s">
        <v>13</v>
      </c>
      <c r="B152" s="398"/>
      <c r="C152" s="560">
        <f>SUM(C142:C149)</f>
        <v>31881575</v>
      </c>
      <c r="D152" s="560">
        <f>+D150+D151</f>
        <v>334074857</v>
      </c>
      <c r="E152" s="560">
        <f>+E150+E151</f>
        <v>330105745</v>
      </c>
      <c r="F152" s="560">
        <f>+F150+F151</f>
        <v>89102357</v>
      </c>
      <c r="G152" s="560">
        <f>+G150+G151</f>
        <v>241003388</v>
      </c>
      <c r="H152" s="410"/>
      <c r="I152" s="410"/>
      <c r="J152" s="593"/>
      <c r="K152" s="593"/>
      <c r="L152" s="593"/>
    </row>
    <row r="153" spans="4:5" ht="12.75">
      <c r="D153" s="642">
        <f>+D152-D151</f>
        <v>333074857</v>
      </c>
      <c r="E153" s="642">
        <f>+E152-E151</f>
        <v>329105745</v>
      </c>
    </row>
    <row r="154" spans="1:9" ht="12.75">
      <c r="A154" s="581"/>
      <c r="B154" s="560"/>
      <c r="C154" s="560" t="e">
        <f>+C127+C135+C138+C146+#REF!</f>
        <v>#REF!</v>
      </c>
      <c r="D154" s="560"/>
      <c r="E154" s="560"/>
      <c r="F154" s="560"/>
      <c r="G154" s="560"/>
      <c r="H154" s="277"/>
      <c r="I154" s="643"/>
    </row>
    <row r="155" spans="1:9" ht="12.75">
      <c r="A155" s="581" t="s">
        <v>337</v>
      </c>
      <c r="B155" s="398"/>
      <c r="C155" s="560"/>
      <c r="D155" s="560"/>
      <c r="E155" s="560"/>
      <c r="F155" s="560"/>
      <c r="G155" s="560"/>
      <c r="H155" s="277"/>
      <c r="I155" s="637"/>
    </row>
    <row r="156" spans="1:9" ht="25.5">
      <c r="A156" s="585">
        <v>223030215</v>
      </c>
      <c r="B156" s="398"/>
      <c r="C156" s="398">
        <v>7652651</v>
      </c>
      <c r="D156" s="398">
        <v>7950000</v>
      </c>
      <c r="E156" s="398">
        <v>7947760</v>
      </c>
      <c r="F156" s="398">
        <f>+E156</f>
        <v>7947760</v>
      </c>
      <c r="G156" s="398">
        <f aca="true" t="shared" si="4" ref="G156:G162">+E156-F156</f>
        <v>0</v>
      </c>
      <c r="H156" s="278"/>
      <c r="I156" s="637" t="s">
        <v>15</v>
      </c>
    </row>
    <row r="157" spans="1:9" ht="25.5">
      <c r="A157" s="585">
        <v>223030216</v>
      </c>
      <c r="B157" s="398"/>
      <c r="C157" s="398">
        <v>29079405</v>
      </c>
      <c r="D157" s="398">
        <v>70596210</v>
      </c>
      <c r="E157" s="398">
        <v>15164589</v>
      </c>
      <c r="F157" s="398">
        <f>+E157</f>
        <v>15164589</v>
      </c>
      <c r="G157" s="398">
        <f t="shared" si="4"/>
        <v>0</v>
      </c>
      <c r="H157" s="278"/>
      <c r="I157" s="637" t="s">
        <v>16</v>
      </c>
    </row>
    <row r="158" spans="1:9" ht="25.5">
      <c r="A158" s="585">
        <v>223030220</v>
      </c>
      <c r="B158" s="398"/>
      <c r="C158" s="398">
        <f>21376101</f>
        <v>21376101</v>
      </c>
      <c r="D158" s="398">
        <v>40009272</v>
      </c>
      <c r="E158" s="398">
        <f>40009272-300</f>
        <v>40008972</v>
      </c>
      <c r="F158" s="398">
        <v>10008972</v>
      </c>
      <c r="G158" s="398">
        <f t="shared" si="4"/>
        <v>30000000</v>
      </c>
      <c r="H158" s="278"/>
      <c r="I158" s="637" t="s">
        <v>23</v>
      </c>
    </row>
    <row r="159" spans="1:9" ht="25.5">
      <c r="A159" s="585">
        <v>223030221</v>
      </c>
      <c r="B159" s="398"/>
      <c r="C159" s="398"/>
      <c r="D159" s="398">
        <v>3000000</v>
      </c>
      <c r="E159" s="398">
        <v>2999750</v>
      </c>
      <c r="F159" s="398">
        <f>+E159</f>
        <v>2999750</v>
      </c>
      <c r="G159" s="398">
        <f t="shared" si="4"/>
        <v>0</v>
      </c>
      <c r="H159" s="278"/>
      <c r="I159" s="637" t="s">
        <v>174</v>
      </c>
    </row>
    <row r="160" spans="1:9" ht="39.75" customHeight="1">
      <c r="A160" s="585">
        <v>223030228</v>
      </c>
      <c r="B160" s="398"/>
      <c r="C160" s="398">
        <v>5000000</v>
      </c>
      <c r="D160" s="398">
        <v>67182777</v>
      </c>
      <c r="E160" s="398">
        <v>7703856</v>
      </c>
      <c r="F160" s="398">
        <f>+E160</f>
        <v>7703856</v>
      </c>
      <c r="G160" s="398">
        <f t="shared" si="4"/>
        <v>0</v>
      </c>
      <c r="H160" s="278"/>
      <c r="I160" s="637" t="s">
        <v>223</v>
      </c>
    </row>
    <row r="161" spans="1:9" ht="38.25">
      <c r="A161" s="585">
        <v>223030229</v>
      </c>
      <c r="B161" s="398"/>
      <c r="C161" s="398">
        <f>1000000</f>
        <v>1000000</v>
      </c>
      <c r="D161" s="398">
        <v>520500000</v>
      </c>
      <c r="E161" s="398">
        <v>0</v>
      </c>
      <c r="F161" s="398">
        <v>0</v>
      </c>
      <c r="G161" s="398">
        <f t="shared" si="4"/>
        <v>0</v>
      </c>
      <c r="H161" s="278"/>
      <c r="I161" s="637" t="s">
        <v>224</v>
      </c>
    </row>
    <row r="162" spans="1:9" ht="51">
      <c r="A162" s="585">
        <v>223030231</v>
      </c>
      <c r="B162" s="398"/>
      <c r="C162" s="398"/>
      <c r="D162" s="398">
        <v>49177500</v>
      </c>
      <c r="E162" s="398">
        <v>49177495</v>
      </c>
      <c r="F162" s="398">
        <v>0</v>
      </c>
      <c r="G162" s="398">
        <f t="shared" si="4"/>
        <v>49177495</v>
      </c>
      <c r="H162" s="278"/>
      <c r="I162" s="637" t="s">
        <v>577</v>
      </c>
    </row>
    <row r="163" spans="1:9" ht="12.75">
      <c r="A163" s="581" t="s">
        <v>17</v>
      </c>
      <c r="B163" s="560">
        <v>46489715</v>
      </c>
      <c r="C163" s="560">
        <f>SUM(C156:C161)</f>
        <v>64108157</v>
      </c>
      <c r="D163" s="560">
        <f>SUM(D156:D162)</f>
        <v>758415759</v>
      </c>
      <c r="E163" s="560">
        <f>SUM(E156:E162)</f>
        <v>123002422</v>
      </c>
      <c r="F163" s="560">
        <f>SUM(F156:F162)</f>
        <v>43824927</v>
      </c>
      <c r="G163" s="560">
        <f>SUM(G156:G162)</f>
        <v>79177495</v>
      </c>
      <c r="H163" s="277"/>
      <c r="I163" s="277">
        <f>SUM(I156:I162)</f>
        <v>0</v>
      </c>
    </row>
    <row r="164" spans="1:9" ht="12.75">
      <c r="A164" s="581"/>
      <c r="B164" s="560"/>
      <c r="C164" s="560"/>
      <c r="D164" s="560"/>
      <c r="E164" s="560"/>
      <c r="F164" s="560"/>
      <c r="G164" s="560"/>
      <c r="H164" s="277"/>
      <c r="I164" s="277"/>
    </row>
    <row r="165" spans="1:9" ht="12.75">
      <c r="A165" s="581" t="s">
        <v>20</v>
      </c>
      <c r="B165" s="398"/>
      <c r="C165" s="398"/>
      <c r="D165" s="398"/>
      <c r="E165" s="398"/>
      <c r="F165" s="398"/>
      <c r="G165" s="398"/>
      <c r="H165" s="278"/>
      <c r="I165" s="637"/>
    </row>
    <row r="166" spans="1:9" ht="12.75">
      <c r="A166" s="585">
        <v>223030217</v>
      </c>
      <c r="B166" s="398"/>
      <c r="C166" s="398">
        <v>25000000</v>
      </c>
      <c r="D166" s="398">
        <v>5357728</v>
      </c>
      <c r="E166" s="398">
        <v>5357728</v>
      </c>
      <c r="F166" s="398">
        <f>+E166</f>
        <v>5357728</v>
      </c>
      <c r="G166" s="398">
        <f>+E166-F166</f>
        <v>0</v>
      </c>
      <c r="H166" s="278"/>
      <c r="I166" s="637" t="s">
        <v>19</v>
      </c>
    </row>
    <row r="167" spans="1:9" ht="25.5">
      <c r="A167" s="585">
        <v>223030218</v>
      </c>
      <c r="B167" s="398"/>
      <c r="C167" s="398">
        <v>5917500</v>
      </c>
      <c r="D167" s="398">
        <v>29000000</v>
      </c>
      <c r="E167" s="398">
        <v>28995196</v>
      </c>
      <c r="F167" s="398">
        <f>+E167</f>
        <v>28995196</v>
      </c>
      <c r="G167" s="398">
        <f>+E167-F167</f>
        <v>0</v>
      </c>
      <c r="H167" s="278"/>
      <c r="I167" s="637" t="s">
        <v>21</v>
      </c>
    </row>
    <row r="168" spans="1:9" ht="25.5">
      <c r="A168" s="585">
        <v>223030219</v>
      </c>
      <c r="B168" s="398"/>
      <c r="C168" s="398"/>
      <c r="D168" s="398">
        <v>37356238</v>
      </c>
      <c r="E168" s="398">
        <v>37356237.5</v>
      </c>
      <c r="F168" s="398">
        <f>+E168</f>
        <v>37356237.5</v>
      </c>
      <c r="G168" s="398">
        <f aca="true" t="shared" si="5" ref="G168:G176">+E168-F168</f>
        <v>0</v>
      </c>
      <c r="H168" s="278"/>
      <c r="I168" s="637" t="s">
        <v>180</v>
      </c>
    </row>
    <row r="169" spans="1:9" ht="25.5">
      <c r="A169" s="585">
        <v>223030225</v>
      </c>
      <c r="B169" s="398"/>
      <c r="C169" s="398"/>
      <c r="D169" s="398">
        <v>82172816</v>
      </c>
      <c r="E169" s="398">
        <v>82172815.5</v>
      </c>
      <c r="F169" s="398">
        <v>66697574</v>
      </c>
      <c r="G169" s="398">
        <f t="shared" si="5"/>
        <v>15475241.5</v>
      </c>
      <c r="H169" s="278"/>
      <c r="I169" s="637" t="s">
        <v>399</v>
      </c>
    </row>
    <row r="170" spans="1:9" ht="25.5">
      <c r="A170" s="585">
        <v>223030230</v>
      </c>
      <c r="B170" s="398"/>
      <c r="C170" s="398">
        <v>9082500</v>
      </c>
      <c r="D170" s="398">
        <v>71894503</v>
      </c>
      <c r="E170" s="398">
        <v>71874240</v>
      </c>
      <c r="F170" s="398">
        <v>0</v>
      </c>
      <c r="G170" s="398">
        <f t="shared" si="5"/>
        <v>71874240</v>
      </c>
      <c r="H170" s="278"/>
      <c r="I170" s="637" t="s">
        <v>225</v>
      </c>
    </row>
    <row r="171" spans="1:9" ht="12.75">
      <c r="A171" s="585"/>
      <c r="B171" s="398"/>
      <c r="C171" s="398"/>
      <c r="D171" s="398"/>
      <c r="E171" s="398"/>
      <c r="F171" s="398"/>
      <c r="G171" s="398">
        <f t="shared" si="5"/>
        <v>0</v>
      </c>
      <c r="H171" s="278"/>
      <c r="I171" s="637"/>
    </row>
    <row r="172" spans="1:9" ht="12.75">
      <c r="A172" s="585">
        <v>226051130</v>
      </c>
      <c r="B172" s="398"/>
      <c r="C172" s="398"/>
      <c r="D172" s="398">
        <v>3000000</v>
      </c>
      <c r="E172" s="398">
        <v>3000000</v>
      </c>
      <c r="F172" s="398">
        <v>3000000</v>
      </c>
      <c r="G172" s="398">
        <f t="shared" si="5"/>
        <v>0</v>
      </c>
      <c r="H172" s="278"/>
      <c r="I172" s="637" t="s">
        <v>481</v>
      </c>
    </row>
    <row r="173" spans="1:9" ht="25.5">
      <c r="A173" s="585">
        <v>226051131</v>
      </c>
      <c r="B173" s="398"/>
      <c r="C173" s="398"/>
      <c r="D173" s="398">
        <v>2000000</v>
      </c>
      <c r="E173" s="398">
        <v>1988000</v>
      </c>
      <c r="F173" s="398">
        <f>+E173</f>
        <v>1988000</v>
      </c>
      <c r="G173" s="398">
        <f t="shared" si="5"/>
        <v>0</v>
      </c>
      <c r="H173" s="278"/>
      <c r="I173" s="637" t="s">
        <v>482</v>
      </c>
    </row>
    <row r="174" ht="12.75" hidden="1">
      <c r="G174" s="398">
        <f t="shared" si="5"/>
        <v>0</v>
      </c>
    </row>
    <row r="175" spans="1:9" ht="12.75" hidden="1">
      <c r="A175" s="585">
        <v>223060221</v>
      </c>
      <c r="B175" s="398"/>
      <c r="C175" s="398">
        <v>623899</v>
      </c>
      <c r="D175" s="398"/>
      <c r="E175" s="398"/>
      <c r="F175" s="398"/>
      <c r="G175" s="398">
        <f t="shared" si="5"/>
        <v>0</v>
      </c>
      <c r="H175" s="278"/>
      <c r="I175" s="637" t="s">
        <v>24</v>
      </c>
    </row>
    <row r="176" spans="1:7" ht="12.75" hidden="1">
      <c r="A176" s="644">
        <v>223060118</v>
      </c>
      <c r="G176" s="398">
        <f t="shared" si="5"/>
        <v>0</v>
      </c>
    </row>
    <row r="177" spans="1:9" ht="12.75">
      <c r="A177" s="581" t="s">
        <v>45</v>
      </c>
      <c r="B177" s="398"/>
      <c r="C177" s="560">
        <f>SUM(C166:C175)</f>
        <v>40623899</v>
      </c>
      <c r="D177" s="560">
        <f>SUM(D166:D176)</f>
        <v>230781285</v>
      </c>
      <c r="E177" s="560">
        <f>SUM(E166:E176)</f>
        <v>230744217</v>
      </c>
      <c r="F177" s="560">
        <f>SUM(F166:F176)</f>
        <v>143394735.5</v>
      </c>
      <c r="G177" s="560">
        <f>SUM(G166:G176)</f>
        <v>87349481.5</v>
      </c>
      <c r="H177" s="277"/>
      <c r="I177" s="637"/>
    </row>
    <row r="178" spans="1:9" ht="12.75" hidden="1">
      <c r="A178" s="645" t="s">
        <v>773</v>
      </c>
      <c r="B178" s="646"/>
      <c r="C178" s="647"/>
      <c r="D178" s="647">
        <f>+D163+D177</f>
        <v>989197044</v>
      </c>
      <c r="E178" s="647">
        <f>+E163+E177</f>
        <v>353746639</v>
      </c>
      <c r="F178" s="647">
        <f>+F163+F177</f>
        <v>187219662.5</v>
      </c>
      <c r="G178" s="647">
        <f>+G163+G177</f>
        <v>166526976.5</v>
      </c>
      <c r="H178" s="561"/>
      <c r="I178" s="648"/>
    </row>
    <row r="179" spans="1:9" ht="12.75" hidden="1">
      <c r="A179" s="645"/>
      <c r="B179" s="646"/>
      <c r="C179" s="647"/>
      <c r="D179" s="647">
        <f>+D178-D172-D173</f>
        <v>984197044</v>
      </c>
      <c r="E179" s="647">
        <f>+E178-E172-E173</f>
        <v>348758639</v>
      </c>
      <c r="F179" s="647">
        <f>+F178-F172-F173</f>
        <v>182231662.5</v>
      </c>
      <c r="G179" s="647">
        <f>+G178-G172-G173</f>
        <v>166526976.5</v>
      </c>
      <c r="H179" s="561"/>
      <c r="I179" s="648"/>
    </row>
    <row r="180" spans="1:9" ht="12.75" hidden="1">
      <c r="A180" s="645"/>
      <c r="B180" s="646"/>
      <c r="C180" s="647"/>
      <c r="D180" s="647">
        <f>+D178-D179</f>
        <v>5000000</v>
      </c>
      <c r="E180" s="647">
        <f>+E178-E179</f>
        <v>4988000</v>
      </c>
      <c r="F180" s="647">
        <f>+F178-F179</f>
        <v>4988000</v>
      </c>
      <c r="G180" s="647">
        <f>+G178-G179</f>
        <v>0</v>
      </c>
      <c r="H180" s="561"/>
      <c r="I180" s="648"/>
    </row>
    <row r="181" spans="1:11" ht="12.75">
      <c r="A181" s="595" t="s">
        <v>45</v>
      </c>
      <c r="C181" s="649">
        <f>+C163+C177</f>
        <v>104732056</v>
      </c>
      <c r="D181" s="649">
        <f>+D163+D177+D152</f>
        <v>1323271901</v>
      </c>
      <c r="E181" s="649">
        <f>+E163+E177+E152</f>
        <v>683852384</v>
      </c>
      <c r="F181" s="649">
        <f>+F163+F177+F152</f>
        <v>276322019.5</v>
      </c>
      <c r="G181" s="649">
        <f>+G163+G177+G152</f>
        <v>407530364.5</v>
      </c>
      <c r="H181" s="292"/>
      <c r="J181" s="153">
        <f>+E177-E166</f>
        <v>225386489</v>
      </c>
      <c r="K181" s="153">
        <f>+J181+E163</f>
        <v>348388911</v>
      </c>
    </row>
    <row r="182" spans="3:8" ht="12.75">
      <c r="C182" s="649"/>
      <c r="D182" s="649">
        <f>333074857+984197044+6000000</f>
        <v>1323271901</v>
      </c>
      <c r="E182" s="649">
        <f>329105745+348758940-300+5988000</f>
        <v>683852385</v>
      </c>
      <c r="F182" s="649">
        <f>88102357+182231663+5988000</f>
        <v>276322020</v>
      </c>
      <c r="G182" s="649">
        <f>+E182-F182</f>
        <v>407530365</v>
      </c>
      <c r="H182" s="292"/>
    </row>
    <row r="183" spans="1:9" ht="12.75">
      <c r="A183" s="581" t="s">
        <v>25</v>
      </c>
      <c r="B183" s="398"/>
      <c r="C183" s="560"/>
      <c r="D183" s="560"/>
      <c r="E183" s="560"/>
      <c r="F183" s="560"/>
      <c r="G183" s="560"/>
      <c r="H183" s="277"/>
      <c r="I183" s="637"/>
    </row>
    <row r="184" spans="1:9" ht="12.75">
      <c r="A184" s="585">
        <v>223030322</v>
      </c>
      <c r="B184" s="398"/>
      <c r="C184" s="398">
        <v>67909602</v>
      </c>
      <c r="D184" s="398">
        <v>5000000</v>
      </c>
      <c r="E184" s="398">
        <v>5000000</v>
      </c>
      <c r="F184" s="398">
        <f>+E184</f>
        <v>5000000</v>
      </c>
      <c r="G184" s="398">
        <f>+E184-F184</f>
        <v>0</v>
      </c>
      <c r="H184" s="278"/>
      <c r="I184" s="637" t="s">
        <v>173</v>
      </c>
    </row>
    <row r="185" spans="1:9" ht="12.75">
      <c r="A185" s="585">
        <v>223030323</v>
      </c>
      <c r="B185" s="398"/>
      <c r="C185" s="398">
        <v>9000000</v>
      </c>
      <c r="D185" s="398">
        <v>0</v>
      </c>
      <c r="E185" s="398">
        <v>0</v>
      </c>
      <c r="F185" s="398">
        <v>0</v>
      </c>
      <c r="G185" s="398">
        <f>+E185-F185</f>
        <v>0</v>
      </c>
      <c r="H185" s="278"/>
      <c r="I185" s="637" t="s">
        <v>194</v>
      </c>
    </row>
    <row r="186" spans="1:9" ht="12.75">
      <c r="A186" s="581" t="s">
        <v>196</v>
      </c>
      <c r="B186" s="398"/>
      <c r="C186" s="560">
        <f>SUM(C184:C185)</f>
        <v>76909602</v>
      </c>
      <c r="D186" s="560">
        <f>SUM(D184:D185)</f>
        <v>5000000</v>
      </c>
      <c r="E186" s="560">
        <f>SUM(E184:E185)</f>
        <v>5000000</v>
      </c>
      <c r="F186" s="560">
        <f>SUM(F184:F185)</f>
        <v>5000000</v>
      </c>
      <c r="G186" s="560">
        <f>SUM(G184:G185)</f>
        <v>0</v>
      </c>
      <c r="H186" s="277"/>
      <c r="I186" s="637"/>
    </row>
    <row r="187" spans="1:12" s="594" customFormat="1" ht="12.75">
      <c r="A187" s="590" t="s">
        <v>198</v>
      </c>
      <c r="B187" s="609"/>
      <c r="C187" s="591">
        <f>+C108+C118+C126+C163+C129+C138+C177+C152+C186</f>
        <v>798908179</v>
      </c>
      <c r="D187" s="650">
        <f>+D139+D181+D186</f>
        <v>2201371667</v>
      </c>
      <c r="E187" s="650">
        <f>+E139+E181+E186</f>
        <v>1488259754</v>
      </c>
      <c r="F187" s="650">
        <f>+F139+F181+F186</f>
        <v>799728121.5</v>
      </c>
      <c r="G187" s="650">
        <f>+G139+G181+G186</f>
        <v>688531633.5</v>
      </c>
      <c r="H187" s="423"/>
      <c r="I187" s="651"/>
      <c r="J187" s="593"/>
      <c r="K187" s="593"/>
      <c r="L187" s="593"/>
    </row>
    <row r="188" spans="1:12" s="594" customFormat="1" ht="12.75">
      <c r="A188" s="652"/>
      <c r="B188" s="653"/>
      <c r="C188" s="654"/>
      <c r="D188" s="655"/>
      <c r="E188" s="655"/>
      <c r="F188" s="655"/>
      <c r="G188" s="655"/>
      <c r="H188" s="562"/>
      <c r="I188" s="656"/>
      <c r="J188" s="593"/>
      <c r="K188" s="593"/>
      <c r="L188" s="593"/>
    </row>
    <row r="189" spans="1:9" ht="12.75">
      <c r="A189" s="613" t="s">
        <v>728</v>
      </c>
      <c r="B189" s="614"/>
      <c r="C189" s="614"/>
      <c r="D189" s="614"/>
      <c r="E189" s="614">
        <f>+E190+E191</f>
        <v>207193818</v>
      </c>
      <c r="F189" s="614">
        <f>+E197-E189</f>
        <v>450292005</v>
      </c>
      <c r="G189" s="614"/>
      <c r="H189" s="293"/>
      <c r="I189" s="657"/>
    </row>
    <row r="190" spans="1:9" ht="25.5">
      <c r="A190" s="585">
        <v>226011101</v>
      </c>
      <c r="B190" s="658">
        <f>SUM(B105:B186)</f>
        <v>469806058.73</v>
      </c>
      <c r="C190" s="659">
        <v>50963012</v>
      </c>
      <c r="D190" s="659">
        <v>36595713</v>
      </c>
      <c r="E190" s="659">
        <v>34508000</v>
      </c>
      <c r="F190" s="659">
        <f>+E190</f>
        <v>34508000</v>
      </c>
      <c r="G190" s="659"/>
      <c r="H190" s="294"/>
      <c r="I190" s="637" t="s">
        <v>181</v>
      </c>
    </row>
    <row r="191" spans="1:9" ht="12.75">
      <c r="A191" s="585">
        <v>226011102</v>
      </c>
      <c r="B191" s="658"/>
      <c r="C191" s="659">
        <v>127600000</v>
      </c>
      <c r="D191" s="659">
        <v>172685818</v>
      </c>
      <c r="E191" s="659">
        <v>172685818</v>
      </c>
      <c r="F191" s="659">
        <f>+E191</f>
        <v>172685818</v>
      </c>
      <c r="G191" s="659"/>
      <c r="H191" s="294"/>
      <c r="I191" s="637" t="s">
        <v>199</v>
      </c>
    </row>
    <row r="192" spans="1:9" ht="12.75">
      <c r="A192" s="585">
        <v>226011103</v>
      </c>
      <c r="B192" s="658"/>
      <c r="C192" s="659">
        <v>0</v>
      </c>
      <c r="D192" s="659">
        <v>31247405</v>
      </c>
      <c r="E192" s="659">
        <v>30792405</v>
      </c>
      <c r="F192" s="659">
        <v>24117405</v>
      </c>
      <c r="G192" s="659">
        <v>6675000</v>
      </c>
      <c r="H192" s="294"/>
      <c r="I192" s="637" t="s">
        <v>200</v>
      </c>
    </row>
    <row r="193" spans="1:9" ht="26.25" customHeight="1">
      <c r="A193" s="585">
        <v>226011104</v>
      </c>
      <c r="B193" s="658"/>
      <c r="C193" s="659"/>
      <c r="D193" s="659">
        <v>10495000</v>
      </c>
      <c r="E193" s="659">
        <v>10495000</v>
      </c>
      <c r="F193" s="659">
        <v>2995000</v>
      </c>
      <c r="G193" s="659">
        <v>7500000</v>
      </c>
      <c r="H193" s="294"/>
      <c r="I193" s="637" t="s">
        <v>578</v>
      </c>
    </row>
    <row r="194" spans="1:9" ht="24.75" customHeight="1">
      <c r="A194" s="585">
        <v>226011105</v>
      </c>
      <c r="B194" s="589"/>
      <c r="C194" s="659">
        <v>5000000</v>
      </c>
      <c r="D194" s="659">
        <v>9000000</v>
      </c>
      <c r="E194" s="659">
        <v>9000000</v>
      </c>
      <c r="F194" s="659">
        <f>+E194</f>
        <v>9000000</v>
      </c>
      <c r="G194" s="659"/>
      <c r="H194" s="294"/>
      <c r="I194" s="637" t="s">
        <v>201</v>
      </c>
    </row>
    <row r="195" spans="1:9" ht="12.75">
      <c r="A195" s="585">
        <v>226011106</v>
      </c>
      <c r="B195" s="630"/>
      <c r="C195" s="660"/>
      <c r="D195" s="660">
        <v>250000000</v>
      </c>
      <c r="E195" s="660">
        <v>250000000</v>
      </c>
      <c r="F195" s="660"/>
      <c r="G195" s="660">
        <f>+E195</f>
        <v>250000000</v>
      </c>
      <c r="H195" s="296"/>
      <c r="I195" s="637" t="s">
        <v>579</v>
      </c>
    </row>
    <row r="196" spans="1:9" ht="12.75">
      <c r="A196" s="585">
        <v>226011196</v>
      </c>
      <c r="B196" s="630"/>
      <c r="C196" s="660"/>
      <c r="D196" s="660">
        <v>150004600</v>
      </c>
      <c r="E196" s="660">
        <v>150004600</v>
      </c>
      <c r="F196" s="660">
        <f>+E196</f>
        <v>150004600</v>
      </c>
      <c r="G196" s="660"/>
      <c r="H196" s="296"/>
      <c r="I196" s="661" t="s">
        <v>580</v>
      </c>
    </row>
    <row r="197" spans="1:10" ht="12.75">
      <c r="A197" s="590" t="s">
        <v>729</v>
      </c>
      <c r="B197" s="632"/>
      <c r="C197" s="633">
        <f>SUM(C190:C194)</f>
        <v>183563012</v>
      </c>
      <c r="D197" s="633">
        <f>SUM(D190:D196)</f>
        <v>660028536</v>
      </c>
      <c r="E197" s="633">
        <f>SUM(E190:E196)</f>
        <v>657485823</v>
      </c>
      <c r="F197" s="633">
        <f>SUM(F190:F196)</f>
        <v>393310823</v>
      </c>
      <c r="G197" s="633">
        <f>SUM(G190:G196)</f>
        <v>264175000</v>
      </c>
      <c r="H197" s="413"/>
      <c r="I197" s="651"/>
      <c r="J197" s="593"/>
    </row>
    <row r="198" spans="1:9" ht="12.75">
      <c r="A198" s="613" t="s">
        <v>730</v>
      </c>
      <c r="B198" s="635"/>
      <c r="C198" s="635"/>
      <c r="D198" s="635"/>
      <c r="E198" s="635"/>
      <c r="F198" s="635"/>
      <c r="G198" s="635"/>
      <c r="H198" s="290"/>
      <c r="I198" s="657"/>
    </row>
    <row r="199" spans="1:9" ht="25.5">
      <c r="A199" s="585">
        <v>226161189</v>
      </c>
      <c r="B199" s="398"/>
      <c r="C199" s="398"/>
      <c r="D199" s="398">
        <v>1000000</v>
      </c>
      <c r="E199" s="583">
        <v>218500</v>
      </c>
      <c r="F199" s="583">
        <v>218500</v>
      </c>
      <c r="G199" s="398">
        <f>+E199-F199</f>
        <v>0</v>
      </c>
      <c r="H199" s="386"/>
      <c r="I199" s="637" t="s">
        <v>774</v>
      </c>
    </row>
    <row r="200" spans="1:9" ht="25.5">
      <c r="A200" s="585">
        <v>226161190</v>
      </c>
      <c r="B200" s="398"/>
      <c r="C200" s="398"/>
      <c r="D200" s="398">
        <v>5000000</v>
      </c>
      <c r="E200" s="583">
        <v>0</v>
      </c>
      <c r="F200" s="583">
        <f>+E200</f>
        <v>0</v>
      </c>
      <c r="G200" s="398">
        <v>0</v>
      </c>
      <c r="H200" s="386"/>
      <c r="I200" s="637" t="s">
        <v>775</v>
      </c>
    </row>
    <row r="201" spans="1:9" ht="12.75">
      <c r="A201" s="590" t="s">
        <v>731</v>
      </c>
      <c r="B201" s="632"/>
      <c r="C201" s="633">
        <f>SUM(C200)</f>
        <v>0</v>
      </c>
      <c r="D201" s="638">
        <f>SUM(D199:D200)</f>
        <v>6000000</v>
      </c>
      <c r="E201" s="638">
        <f>SUM(E199:E200)</f>
        <v>218500</v>
      </c>
      <c r="F201" s="638">
        <f>SUM(F199:F200)</f>
        <v>218500</v>
      </c>
      <c r="G201" s="638">
        <f>SUM(G199:G200)</f>
        <v>0</v>
      </c>
      <c r="H201" s="622"/>
      <c r="I201" s="651"/>
    </row>
    <row r="202" spans="1:9" ht="12.75">
      <c r="A202" s="613" t="s">
        <v>732</v>
      </c>
      <c r="B202" s="635"/>
      <c r="C202" s="635"/>
      <c r="D202" s="635"/>
      <c r="E202" s="635"/>
      <c r="F202" s="635"/>
      <c r="G202" s="635"/>
      <c r="H202" s="290"/>
      <c r="I202" s="657"/>
    </row>
    <row r="203" spans="1:9" ht="25.5">
      <c r="A203" s="585">
        <v>226021106</v>
      </c>
      <c r="B203" s="589"/>
      <c r="C203" s="659">
        <v>14716647</v>
      </c>
      <c r="D203" s="659">
        <v>3774840</v>
      </c>
      <c r="E203" s="659">
        <f>3774840-61502</f>
        <v>3713338</v>
      </c>
      <c r="F203" s="659">
        <f>+E203</f>
        <v>3713338</v>
      </c>
      <c r="G203" s="659">
        <f>+E203-F203</f>
        <v>0</v>
      </c>
      <c r="H203" s="294"/>
      <c r="I203" s="637" t="s">
        <v>202</v>
      </c>
    </row>
    <row r="204" spans="1:9" ht="25.5">
      <c r="A204" s="585">
        <v>226021107</v>
      </c>
      <c r="B204" s="589"/>
      <c r="C204" s="659">
        <v>469000</v>
      </c>
      <c r="D204" s="659">
        <v>1000000</v>
      </c>
      <c r="E204" s="659">
        <v>1000000</v>
      </c>
      <c r="F204" s="659">
        <f>+E204</f>
        <v>1000000</v>
      </c>
      <c r="G204" s="659">
        <f>+E204-F204</f>
        <v>0</v>
      </c>
      <c r="H204" s="294"/>
      <c r="I204" s="637" t="s">
        <v>203</v>
      </c>
    </row>
    <row r="205" spans="1:9" ht="25.5">
      <c r="A205" s="585">
        <v>226021108</v>
      </c>
      <c r="B205" s="589"/>
      <c r="C205" s="659">
        <v>42500000</v>
      </c>
      <c r="D205" s="659">
        <v>73710958</v>
      </c>
      <c r="E205" s="659">
        <f>73710958-365360</f>
        <v>73345598</v>
      </c>
      <c r="F205" s="659">
        <f>+E205</f>
        <v>73345598</v>
      </c>
      <c r="G205" s="659">
        <f>+E205-F205</f>
        <v>0</v>
      </c>
      <c r="H205" s="294"/>
      <c r="I205" s="637" t="s">
        <v>204</v>
      </c>
    </row>
    <row r="206" spans="1:9" ht="25.5">
      <c r="A206" s="585">
        <v>226021109</v>
      </c>
      <c r="B206" s="589"/>
      <c r="C206" s="659">
        <v>42857143</v>
      </c>
      <c r="D206" s="659">
        <v>8500000</v>
      </c>
      <c r="E206" s="659">
        <v>8475691</v>
      </c>
      <c r="F206" s="659">
        <f>+E206</f>
        <v>8475691</v>
      </c>
      <c r="G206" s="659">
        <f>+E206-F206</f>
        <v>0</v>
      </c>
      <c r="H206" s="294"/>
      <c r="I206" s="637" t="s">
        <v>581</v>
      </c>
    </row>
    <row r="207" spans="1:12" s="594" customFormat="1" ht="12.75">
      <c r="A207" s="581" t="s">
        <v>582</v>
      </c>
      <c r="B207" s="589"/>
      <c r="C207" s="659"/>
      <c r="D207" s="658">
        <f>SUM(D203:D206)</f>
        <v>86985798</v>
      </c>
      <c r="E207" s="658">
        <f>SUM(E203:E206)</f>
        <v>86534627</v>
      </c>
      <c r="F207" s="658">
        <f>SUM(F203:F206)</f>
        <v>86534627</v>
      </c>
      <c r="G207" s="658">
        <f>SUM(G203:G206)</f>
        <v>0</v>
      </c>
      <c r="H207" s="662"/>
      <c r="I207" s="640"/>
      <c r="J207" s="593"/>
      <c r="K207" s="593"/>
      <c r="L207" s="593"/>
    </row>
    <row r="208" spans="1:9" ht="12.75">
      <c r="A208" s="585"/>
      <c r="B208" s="589"/>
      <c r="C208" s="659"/>
      <c r="D208" s="659"/>
      <c r="E208" s="659">
        <f>86961489-426862</f>
        <v>86534627</v>
      </c>
      <c r="F208" s="659"/>
      <c r="G208" s="659"/>
      <c r="H208" s="294"/>
      <c r="I208" s="637"/>
    </row>
    <row r="209" spans="1:9" ht="12.75">
      <c r="A209" s="645" t="s">
        <v>332</v>
      </c>
      <c r="B209" s="663"/>
      <c r="C209" s="664"/>
      <c r="D209" s="664"/>
      <c r="E209" s="664"/>
      <c r="F209" s="664"/>
      <c r="G209" s="664"/>
      <c r="H209" s="297"/>
      <c r="I209" s="297"/>
    </row>
    <row r="210" spans="1:9" ht="12.75">
      <c r="A210" s="585">
        <v>226071134</v>
      </c>
      <c r="B210" s="589"/>
      <c r="C210" s="665">
        <v>3500000</v>
      </c>
      <c r="D210" s="665">
        <v>1300000</v>
      </c>
      <c r="E210" s="665">
        <v>1300000</v>
      </c>
      <c r="F210" s="665">
        <f>+E210</f>
        <v>1300000</v>
      </c>
      <c r="G210" s="665">
        <f aca="true" t="shared" si="6" ref="G210:G215">+E210-F210</f>
        <v>0</v>
      </c>
      <c r="H210" s="295"/>
      <c r="I210" s="628" t="s">
        <v>814</v>
      </c>
    </row>
    <row r="211" spans="1:9" ht="25.5">
      <c r="A211" s="585">
        <v>226071135</v>
      </c>
      <c r="B211" s="589"/>
      <c r="C211" s="665">
        <v>1000000</v>
      </c>
      <c r="D211" s="665">
        <v>1000000</v>
      </c>
      <c r="E211" s="665">
        <v>0</v>
      </c>
      <c r="F211" s="665"/>
      <c r="G211" s="665">
        <f t="shared" si="6"/>
        <v>0</v>
      </c>
      <c r="H211" s="295"/>
      <c r="I211" s="628" t="s">
        <v>816</v>
      </c>
    </row>
    <row r="212" spans="1:9" ht="25.5">
      <c r="A212" s="585">
        <v>226071136</v>
      </c>
      <c r="B212" s="589"/>
      <c r="C212" s="665">
        <v>1000000</v>
      </c>
      <c r="D212" s="665">
        <v>1000000</v>
      </c>
      <c r="E212" s="665"/>
      <c r="F212" s="665"/>
      <c r="G212" s="665">
        <f t="shared" si="6"/>
        <v>0</v>
      </c>
      <c r="H212" s="295"/>
      <c r="I212" s="628" t="s">
        <v>817</v>
      </c>
    </row>
    <row r="213" spans="1:9" ht="12.75">
      <c r="A213" s="585">
        <v>226071137</v>
      </c>
      <c r="B213" s="589"/>
      <c r="C213" s="665">
        <v>2000000</v>
      </c>
      <c r="D213" s="665">
        <v>2500000</v>
      </c>
      <c r="E213" s="665">
        <v>2106841</v>
      </c>
      <c r="F213" s="665">
        <f>+E213</f>
        <v>2106841</v>
      </c>
      <c r="G213" s="665">
        <f t="shared" si="6"/>
        <v>0</v>
      </c>
      <c r="H213" s="295"/>
      <c r="I213" s="628" t="s">
        <v>815</v>
      </c>
    </row>
    <row r="214" spans="1:9" ht="25.5">
      <c r="A214" s="585">
        <v>226071138</v>
      </c>
      <c r="B214" s="398"/>
      <c r="C214" s="398"/>
      <c r="D214" s="398">
        <v>2000000</v>
      </c>
      <c r="E214" s="398">
        <v>871271</v>
      </c>
      <c r="F214" s="398">
        <f>+E214</f>
        <v>871271</v>
      </c>
      <c r="G214" s="665">
        <f t="shared" si="6"/>
        <v>0</v>
      </c>
      <c r="H214" s="278"/>
      <c r="I214" s="637" t="s">
        <v>58</v>
      </c>
    </row>
    <row r="215" spans="1:9" ht="25.5">
      <c r="A215" s="585">
        <v>226071139</v>
      </c>
      <c r="B215" s="398"/>
      <c r="C215" s="398"/>
      <c r="D215" s="398">
        <v>18500000</v>
      </c>
      <c r="E215" s="398">
        <v>18500000</v>
      </c>
      <c r="F215" s="398">
        <f>+E215</f>
        <v>18500000</v>
      </c>
      <c r="G215" s="665">
        <f t="shared" si="6"/>
        <v>0</v>
      </c>
      <c r="H215" s="278"/>
      <c r="I215" s="637" t="s">
        <v>60</v>
      </c>
    </row>
    <row r="216" spans="1:12" s="594" customFormat="1" ht="12.75">
      <c r="A216" s="581" t="s">
        <v>333</v>
      </c>
      <c r="B216" s="589"/>
      <c r="C216" s="659"/>
      <c r="D216" s="658">
        <f>SUM(D210:D215)</f>
        <v>26300000</v>
      </c>
      <c r="E216" s="658">
        <f>SUM(E210:E215)</f>
        <v>22778112</v>
      </c>
      <c r="F216" s="658">
        <f>SUM(F210:F215)</f>
        <v>22778112</v>
      </c>
      <c r="G216" s="658">
        <f>SUM(G210:G215)</f>
        <v>0</v>
      </c>
      <c r="H216" s="662"/>
      <c r="I216" s="640"/>
      <c r="J216" s="593"/>
      <c r="K216" s="593"/>
      <c r="L216" s="593"/>
    </row>
    <row r="217" spans="1:9" ht="12.75">
      <c r="A217" s="585"/>
      <c r="B217" s="589"/>
      <c r="C217" s="659"/>
      <c r="D217" s="659"/>
      <c r="E217" s="659">
        <f>+E219+E220+E226+E227+E228+E229+E239+E240</f>
        <v>611328181</v>
      </c>
      <c r="F217" s="659">
        <f>+E241-E217</f>
        <v>684487660</v>
      </c>
      <c r="G217" s="659"/>
      <c r="H217" s="294"/>
      <c r="I217" s="637"/>
    </row>
    <row r="218" spans="1:9" ht="12.75">
      <c r="A218" s="613" t="s">
        <v>734</v>
      </c>
      <c r="B218" s="635"/>
      <c r="C218" s="635"/>
      <c r="D218" s="635"/>
      <c r="E218" s="666"/>
      <c r="F218" s="666"/>
      <c r="G218" s="666"/>
      <c r="H218" s="667"/>
      <c r="I218" s="657"/>
    </row>
    <row r="219" spans="1:9" ht="12.75">
      <c r="A219" s="585">
        <v>226041118</v>
      </c>
      <c r="B219" s="589"/>
      <c r="C219" s="659">
        <v>203013801</v>
      </c>
      <c r="D219" s="659">
        <v>118050238</v>
      </c>
      <c r="E219" s="659">
        <f>122458316-5515451</f>
        <v>116942865</v>
      </c>
      <c r="F219" s="659">
        <f>+E219</f>
        <v>116942865</v>
      </c>
      <c r="G219" s="659">
        <f>+E219-F219</f>
        <v>0</v>
      </c>
      <c r="H219" s="294"/>
      <c r="I219" s="637" t="s">
        <v>205</v>
      </c>
    </row>
    <row r="220" spans="1:9" ht="12.75">
      <c r="A220" s="585">
        <v>226041119</v>
      </c>
      <c r="B220" s="589"/>
      <c r="C220" s="659">
        <v>410000</v>
      </c>
      <c r="D220" s="659">
        <v>300000</v>
      </c>
      <c r="E220" s="659">
        <v>300000</v>
      </c>
      <c r="F220" s="659">
        <f>+E220</f>
        <v>300000</v>
      </c>
      <c r="G220" s="659">
        <f aca="true" t="shared" si="7" ref="G220:G240">+E220-F220</f>
        <v>0</v>
      </c>
      <c r="H220" s="294"/>
      <c r="I220" s="637" t="s">
        <v>206</v>
      </c>
    </row>
    <row r="221" spans="1:9" ht="25.5">
      <c r="A221" s="585">
        <v>226041120</v>
      </c>
      <c r="B221" s="589"/>
      <c r="C221" s="659"/>
      <c r="D221" s="659">
        <v>215721030</v>
      </c>
      <c r="E221" s="659">
        <f>220824682-5104296</f>
        <v>215720386</v>
      </c>
      <c r="F221" s="659">
        <v>211003386</v>
      </c>
      <c r="G221" s="659">
        <v>4717000</v>
      </c>
      <c r="H221" s="294"/>
      <c r="I221" s="637" t="s">
        <v>358</v>
      </c>
    </row>
    <row r="222" spans="1:9" ht="25.5">
      <c r="A222" s="585">
        <v>226041121</v>
      </c>
      <c r="B222" s="589"/>
      <c r="C222" s="659">
        <v>360000</v>
      </c>
      <c r="D222" s="659">
        <v>27728000</v>
      </c>
      <c r="E222" s="659">
        <v>27676000</v>
      </c>
      <c r="F222" s="659">
        <v>22702000</v>
      </c>
      <c r="G222" s="659">
        <f t="shared" si="7"/>
        <v>4974000</v>
      </c>
      <c r="H222" s="294"/>
      <c r="I222" s="637" t="s">
        <v>182</v>
      </c>
    </row>
    <row r="223" spans="1:9" ht="25.5">
      <c r="A223" s="585">
        <v>226041122</v>
      </c>
      <c r="B223" s="589"/>
      <c r="C223" s="659">
        <v>238769963</v>
      </c>
      <c r="D223" s="659">
        <v>5478250</v>
      </c>
      <c r="E223" s="659">
        <v>5478250</v>
      </c>
      <c r="F223" s="659">
        <f>+E223</f>
        <v>5478250</v>
      </c>
      <c r="G223" s="659">
        <f t="shared" si="7"/>
        <v>0</v>
      </c>
      <c r="H223" s="294"/>
      <c r="I223" s="637" t="s">
        <v>358</v>
      </c>
    </row>
    <row r="224" spans="1:9" ht="12.75">
      <c r="A224" s="585">
        <v>226041123</v>
      </c>
      <c r="B224" s="589"/>
      <c r="C224" s="659">
        <v>8445000</v>
      </c>
      <c r="D224" s="659">
        <v>10000000</v>
      </c>
      <c r="E224" s="659">
        <f>10452920-540000</f>
        <v>9912920</v>
      </c>
      <c r="F224" s="659">
        <v>6906200</v>
      </c>
      <c r="G224" s="659">
        <f t="shared" si="7"/>
        <v>3006720</v>
      </c>
      <c r="H224" s="294"/>
      <c r="I224" s="637" t="s">
        <v>360</v>
      </c>
    </row>
    <row r="225" spans="1:9" ht="12.75">
      <c r="A225" s="585">
        <v>226041124</v>
      </c>
      <c r="B225" s="589"/>
      <c r="C225" s="659">
        <v>2555000</v>
      </c>
      <c r="D225" s="659">
        <v>3000000</v>
      </c>
      <c r="E225" s="659">
        <v>0</v>
      </c>
      <c r="F225" s="659"/>
      <c r="G225" s="659">
        <f t="shared" si="7"/>
        <v>0</v>
      </c>
      <c r="H225" s="294"/>
      <c r="I225" s="637" t="s">
        <v>362</v>
      </c>
    </row>
    <row r="226" spans="1:9" ht="12.75">
      <c r="A226" s="585">
        <v>226041125</v>
      </c>
      <c r="B226" s="589"/>
      <c r="C226" s="659">
        <v>25000000</v>
      </c>
      <c r="D226" s="659">
        <v>20000000</v>
      </c>
      <c r="E226" s="659">
        <v>20000000</v>
      </c>
      <c r="F226" s="659">
        <f>+E226</f>
        <v>20000000</v>
      </c>
      <c r="G226" s="659">
        <f t="shared" si="7"/>
        <v>0</v>
      </c>
      <c r="H226" s="294"/>
      <c r="I226" s="637" t="s">
        <v>361</v>
      </c>
    </row>
    <row r="227" spans="1:9" ht="12.75">
      <c r="A227" s="585">
        <v>226041126</v>
      </c>
      <c r="B227" s="589"/>
      <c r="C227" s="659"/>
      <c r="D227" s="659">
        <v>30000000</v>
      </c>
      <c r="E227" s="659">
        <v>29999528</v>
      </c>
      <c r="F227" s="659">
        <v>14999763.5</v>
      </c>
      <c r="G227" s="659">
        <f t="shared" si="7"/>
        <v>14999764.5</v>
      </c>
      <c r="H227" s="294"/>
      <c r="I227" s="637" t="s">
        <v>583</v>
      </c>
    </row>
    <row r="228" spans="1:9" ht="12.75">
      <c r="A228" s="585">
        <v>226041127</v>
      </c>
      <c r="B228" s="589"/>
      <c r="C228" s="659"/>
      <c r="D228" s="659">
        <v>30000000</v>
      </c>
      <c r="E228" s="659">
        <v>29998388</v>
      </c>
      <c r="F228" s="659">
        <v>14999194</v>
      </c>
      <c r="G228" s="659">
        <f t="shared" si="7"/>
        <v>14999194</v>
      </c>
      <c r="H228" s="294"/>
      <c r="I228" s="637" t="s">
        <v>584</v>
      </c>
    </row>
    <row r="229" spans="1:9" ht="12.75">
      <c r="A229" s="585">
        <v>226041128</v>
      </c>
      <c r="B229" s="589"/>
      <c r="C229" s="659"/>
      <c r="D229" s="659">
        <v>399996834</v>
      </c>
      <c r="E229" s="659">
        <v>399987400</v>
      </c>
      <c r="F229" s="659"/>
      <c r="G229" s="659">
        <f t="shared" si="7"/>
        <v>399987400</v>
      </c>
      <c r="H229" s="294"/>
      <c r="I229" s="637" t="s">
        <v>585</v>
      </c>
    </row>
    <row r="230" spans="1:9" ht="25.5">
      <c r="A230" s="585">
        <v>226041185</v>
      </c>
      <c r="B230" s="589"/>
      <c r="C230" s="659"/>
      <c r="D230" s="659">
        <v>1000000</v>
      </c>
      <c r="E230" s="659">
        <v>0</v>
      </c>
      <c r="F230" s="659"/>
      <c r="G230" s="659">
        <f t="shared" si="7"/>
        <v>0</v>
      </c>
      <c r="H230" s="294"/>
      <c r="I230" s="637" t="s">
        <v>586</v>
      </c>
    </row>
    <row r="231" spans="1:9" ht="25.5">
      <c r="A231" s="585">
        <v>226041186</v>
      </c>
      <c r="B231" s="589"/>
      <c r="C231" s="659"/>
      <c r="D231" s="659">
        <v>2572000</v>
      </c>
      <c r="E231" s="659">
        <v>2565000</v>
      </c>
      <c r="F231" s="659">
        <f>+E231</f>
        <v>2565000</v>
      </c>
      <c r="G231" s="659">
        <f t="shared" si="7"/>
        <v>0</v>
      </c>
      <c r="H231" s="294"/>
      <c r="I231" s="637" t="s">
        <v>587</v>
      </c>
    </row>
    <row r="232" spans="1:9" ht="25.5">
      <c r="A232" s="585">
        <v>226041187</v>
      </c>
      <c r="B232" s="589"/>
      <c r="C232" s="659"/>
      <c r="D232" s="659">
        <v>3000000</v>
      </c>
      <c r="E232" s="659">
        <v>0</v>
      </c>
      <c r="F232" s="659"/>
      <c r="G232" s="659">
        <f t="shared" si="7"/>
        <v>0</v>
      </c>
      <c r="H232" s="294"/>
      <c r="I232" s="637" t="s">
        <v>588</v>
      </c>
    </row>
    <row r="233" spans="1:9" ht="25.5">
      <c r="A233" s="585">
        <v>226041188</v>
      </c>
      <c r="B233" s="589"/>
      <c r="C233" s="659"/>
      <c r="D233" s="659">
        <v>1000000</v>
      </c>
      <c r="E233" s="659">
        <v>0</v>
      </c>
      <c r="F233" s="659"/>
      <c r="G233" s="659">
        <f t="shared" si="7"/>
        <v>0</v>
      </c>
      <c r="H233" s="294"/>
      <c r="I233" s="637" t="s">
        <v>589</v>
      </c>
    </row>
    <row r="234" spans="1:9" ht="12.75">
      <c r="A234" s="585">
        <v>226041194</v>
      </c>
      <c r="B234" s="589"/>
      <c r="C234" s="659"/>
      <c r="D234" s="659">
        <v>149969089</v>
      </c>
      <c r="E234" s="659">
        <v>149969089</v>
      </c>
      <c r="F234" s="659">
        <v>140323517.5</v>
      </c>
      <c r="G234" s="659">
        <f t="shared" si="7"/>
        <v>9645571.5</v>
      </c>
      <c r="H234" s="294"/>
      <c r="I234" s="637" t="s">
        <v>359</v>
      </c>
    </row>
    <row r="235" spans="1:9" ht="12.75">
      <c r="A235" s="585">
        <v>226041196</v>
      </c>
      <c r="B235" s="589"/>
      <c r="C235" s="659"/>
      <c r="D235" s="659">
        <v>40000000</v>
      </c>
      <c r="E235" s="659">
        <v>39960000</v>
      </c>
      <c r="F235" s="659">
        <v>6500000</v>
      </c>
      <c r="G235" s="659">
        <f t="shared" si="7"/>
        <v>33460000</v>
      </c>
      <c r="H235" s="294"/>
      <c r="I235" s="637" t="s">
        <v>590</v>
      </c>
    </row>
    <row r="236" spans="1:9" ht="25.5">
      <c r="A236" s="585">
        <v>226041197</v>
      </c>
      <c r="B236" s="589"/>
      <c r="C236" s="659"/>
      <c r="D236" s="659">
        <v>80000000</v>
      </c>
      <c r="E236" s="659">
        <v>79200000</v>
      </c>
      <c r="F236" s="659">
        <f>+E236</f>
        <v>79200000</v>
      </c>
      <c r="G236" s="659">
        <f t="shared" si="7"/>
        <v>0</v>
      </c>
      <c r="H236" s="294"/>
      <c r="I236" s="637" t="s">
        <v>591</v>
      </c>
    </row>
    <row r="237" spans="1:9" ht="25.5">
      <c r="A237" s="585">
        <v>226041198</v>
      </c>
      <c r="B237" s="589"/>
      <c r="C237" s="659">
        <v>20646403</v>
      </c>
      <c r="D237" s="659">
        <v>150000000</v>
      </c>
      <c r="E237" s="659">
        <v>138503915</v>
      </c>
      <c r="F237" s="659">
        <v>31473698</v>
      </c>
      <c r="G237" s="659">
        <f>+E237-F237</f>
        <v>107030217</v>
      </c>
      <c r="H237" s="294"/>
      <c r="I237" s="637" t="s">
        <v>592</v>
      </c>
    </row>
    <row r="238" spans="1:9" ht="12.75">
      <c r="A238" s="585">
        <v>226041226</v>
      </c>
      <c r="B238" s="589"/>
      <c r="C238" s="659">
        <v>1444000</v>
      </c>
      <c r="D238" s="659">
        <v>15703856</v>
      </c>
      <c r="E238" s="659">
        <v>15502100</v>
      </c>
      <c r="F238" s="659">
        <f>+E238</f>
        <v>15502100</v>
      </c>
      <c r="G238" s="659">
        <f t="shared" si="7"/>
        <v>0</v>
      </c>
      <c r="H238" s="294"/>
      <c r="I238" s="637" t="s">
        <v>593</v>
      </c>
    </row>
    <row r="239" spans="1:9" ht="32.25" customHeight="1">
      <c r="A239" s="585">
        <v>226041227</v>
      </c>
      <c r="B239" s="589"/>
      <c r="C239" s="659">
        <v>299992009</v>
      </c>
      <c r="D239" s="659">
        <v>2500000</v>
      </c>
      <c r="E239" s="659">
        <v>2200000</v>
      </c>
      <c r="F239" s="659">
        <f>+E239</f>
        <v>2200000</v>
      </c>
      <c r="G239" s="659">
        <f t="shared" si="7"/>
        <v>0</v>
      </c>
      <c r="H239" s="294"/>
      <c r="I239" s="637" t="s">
        <v>594</v>
      </c>
    </row>
    <row r="240" spans="1:9" ht="25.5">
      <c r="A240" s="585">
        <v>226041228</v>
      </c>
      <c r="B240" s="589"/>
      <c r="C240" s="659"/>
      <c r="D240" s="659">
        <v>13598781</v>
      </c>
      <c r="E240" s="659">
        <v>11900000</v>
      </c>
      <c r="F240" s="659">
        <f>+E240</f>
        <v>11900000</v>
      </c>
      <c r="G240" s="659">
        <f t="shared" si="7"/>
        <v>0</v>
      </c>
      <c r="H240" s="294"/>
      <c r="I240" s="637" t="s">
        <v>595</v>
      </c>
    </row>
    <row r="241" spans="1:12" s="594" customFormat="1" ht="12.75">
      <c r="A241" s="590" t="s">
        <v>735</v>
      </c>
      <c r="B241" s="632"/>
      <c r="C241" s="591">
        <f>SUM(C219:C240)</f>
        <v>800636176</v>
      </c>
      <c r="D241" s="591">
        <f>SUM(D219:D240)</f>
        <v>1319618078</v>
      </c>
      <c r="E241" s="591">
        <f>SUM(E219:E240)</f>
        <v>1295815841</v>
      </c>
      <c r="F241" s="591">
        <f>SUM(F219:F240)</f>
        <v>702995974</v>
      </c>
      <c r="G241" s="591">
        <f>SUM(G219:G240)</f>
        <v>592819867</v>
      </c>
      <c r="H241" s="402"/>
      <c r="I241" s="651"/>
      <c r="J241" s="593"/>
      <c r="K241" s="593"/>
      <c r="L241" s="593"/>
    </row>
    <row r="242" spans="1:9" ht="12.75">
      <c r="A242" s="623"/>
      <c r="C242" s="596"/>
      <c r="D242" s="596"/>
      <c r="E242" s="596">
        <f>1302258588-11159747</f>
        <v>1291098841</v>
      </c>
      <c r="F242" s="596"/>
      <c r="G242" s="596"/>
      <c r="H242" s="280"/>
      <c r="I242" s="648"/>
    </row>
    <row r="243" spans="1:9" ht="12.75">
      <c r="A243" s="613" t="s">
        <v>736</v>
      </c>
      <c r="B243" s="635"/>
      <c r="C243" s="635"/>
      <c r="D243" s="635"/>
      <c r="E243" s="666">
        <f>+E245+E246</f>
        <v>19664375</v>
      </c>
      <c r="F243" s="666"/>
      <c r="G243" s="666"/>
      <c r="H243" s="667"/>
      <c r="I243" s="657"/>
    </row>
    <row r="244" spans="1:9" ht="12.75">
      <c r="A244" s="585">
        <v>226101162</v>
      </c>
      <c r="B244" s="589"/>
      <c r="C244" s="659">
        <v>23491204</v>
      </c>
      <c r="D244" s="659">
        <v>1724915</v>
      </c>
      <c r="E244" s="659">
        <f>1919238-194323</f>
        <v>1724915</v>
      </c>
      <c r="F244" s="659">
        <f aca="true" t="shared" si="8" ref="F244:F251">+E244</f>
        <v>1724915</v>
      </c>
      <c r="G244" s="659">
        <f>+E244-F244</f>
        <v>0</v>
      </c>
      <c r="H244" s="294"/>
      <c r="I244" s="637" t="str">
        <f>+'Eje instrumental'!C558</f>
        <v>Casa de gobierno</v>
      </c>
    </row>
    <row r="245" spans="1:9" ht="12.75">
      <c r="A245" s="585">
        <v>226101163</v>
      </c>
      <c r="B245" s="589"/>
      <c r="C245" s="659"/>
      <c r="D245" s="659">
        <v>11967036</v>
      </c>
      <c r="E245" s="659">
        <v>9967036</v>
      </c>
      <c r="F245" s="659">
        <f t="shared" si="8"/>
        <v>9967036</v>
      </c>
      <c r="G245" s="659">
        <f aca="true" t="shared" si="9" ref="G245:G260">+E245-F245</f>
        <v>0</v>
      </c>
      <c r="H245" s="294"/>
      <c r="I245" s="637" t="s">
        <v>596</v>
      </c>
    </row>
    <row r="246" spans="1:9" ht="12.75">
      <c r="A246" s="585">
        <v>226101166</v>
      </c>
      <c r="B246" s="589"/>
      <c r="C246" s="659">
        <v>8140131</v>
      </c>
      <c r="D246" s="659">
        <v>9700000</v>
      </c>
      <c r="E246" s="659">
        <v>9697339</v>
      </c>
      <c r="F246" s="659">
        <f t="shared" si="8"/>
        <v>9697339</v>
      </c>
      <c r="G246" s="659">
        <f t="shared" si="9"/>
        <v>0</v>
      </c>
      <c r="H246" s="294"/>
      <c r="I246" s="637" t="s">
        <v>364</v>
      </c>
    </row>
    <row r="247" spans="1:10" ht="12.75">
      <c r="A247" s="585">
        <v>226101167</v>
      </c>
      <c r="B247" s="589"/>
      <c r="C247" s="659">
        <v>9828177</v>
      </c>
      <c r="D247" s="659">
        <v>3763100</v>
      </c>
      <c r="E247" s="659">
        <v>3763100</v>
      </c>
      <c r="F247" s="659">
        <f t="shared" si="8"/>
        <v>3763100</v>
      </c>
      <c r="G247" s="659">
        <f t="shared" si="9"/>
        <v>0</v>
      </c>
      <c r="H247" s="294"/>
      <c r="I247" s="637" t="str">
        <f>+'Eje instrumental'!C657</f>
        <v>Piscina municipal</v>
      </c>
      <c r="J247" s="153">
        <f>+E250+E252+E254+E255+E253</f>
        <v>683824994</v>
      </c>
    </row>
    <row r="248" spans="1:9" ht="12.75">
      <c r="A248" s="585">
        <v>226101168</v>
      </c>
      <c r="B248" s="589"/>
      <c r="C248" s="659">
        <v>7235000</v>
      </c>
      <c r="D248" s="659">
        <v>75000</v>
      </c>
      <c r="E248" s="659">
        <v>74360</v>
      </c>
      <c r="F248" s="659">
        <f t="shared" si="8"/>
        <v>74360</v>
      </c>
      <c r="G248" s="659">
        <f t="shared" si="9"/>
        <v>0</v>
      </c>
      <c r="H248" s="294"/>
      <c r="I248" s="637" t="s">
        <v>365</v>
      </c>
    </row>
    <row r="249" spans="1:9" ht="12.75">
      <c r="A249" s="585">
        <v>226101169</v>
      </c>
      <c r="B249" s="589"/>
      <c r="C249" s="659"/>
      <c r="D249" s="659">
        <v>2000000</v>
      </c>
      <c r="E249" s="659">
        <v>1053200</v>
      </c>
      <c r="F249" s="659">
        <f t="shared" si="8"/>
        <v>1053200</v>
      </c>
      <c r="G249" s="659">
        <f t="shared" si="9"/>
        <v>0</v>
      </c>
      <c r="H249" s="294"/>
      <c r="I249" s="637" t="s">
        <v>597</v>
      </c>
    </row>
    <row r="250" spans="1:9" ht="12.75">
      <c r="A250" s="585">
        <v>226101195</v>
      </c>
      <c r="B250" s="589"/>
      <c r="C250" s="659">
        <v>104814280</v>
      </c>
      <c r="D250" s="659">
        <v>374963556</v>
      </c>
      <c r="E250" s="659">
        <f>374963556-13460</f>
        <v>374950096</v>
      </c>
      <c r="F250" s="659">
        <f t="shared" si="8"/>
        <v>374950096</v>
      </c>
      <c r="G250" s="659">
        <f t="shared" si="9"/>
        <v>0</v>
      </c>
      <c r="H250" s="294"/>
      <c r="I250" s="637" t="str">
        <f>+'Eje instrumental'!C690</f>
        <v>Parques urbanos</v>
      </c>
    </row>
    <row r="251" spans="1:9" ht="12.75">
      <c r="A251" s="585">
        <v>226101196</v>
      </c>
      <c r="B251" s="589"/>
      <c r="C251" s="659"/>
      <c r="D251" s="659">
        <v>29129000</v>
      </c>
      <c r="E251" s="659">
        <f>29541179-546866</f>
        <v>28994313</v>
      </c>
      <c r="F251" s="659">
        <f t="shared" si="8"/>
        <v>28994313</v>
      </c>
      <c r="G251" s="659">
        <f t="shared" si="9"/>
        <v>0</v>
      </c>
      <c r="H251" s="294"/>
      <c r="I251" s="637" t="s">
        <v>598</v>
      </c>
    </row>
    <row r="252" spans="1:9" ht="25.5">
      <c r="A252" s="585">
        <v>226101270</v>
      </c>
      <c r="B252" s="589"/>
      <c r="C252" s="659">
        <v>530000000</v>
      </c>
      <c r="D252" s="659">
        <v>57994340</v>
      </c>
      <c r="E252" s="659">
        <f>47874993-95</f>
        <v>47874898</v>
      </c>
      <c r="F252" s="659">
        <v>40757673</v>
      </c>
      <c r="G252" s="659">
        <f t="shared" si="9"/>
        <v>7117225</v>
      </c>
      <c r="H252" s="294"/>
      <c r="I252" s="637" t="s">
        <v>26</v>
      </c>
    </row>
    <row r="253" spans="1:12" ht="25.5">
      <c r="A253" s="585">
        <v>226101272</v>
      </c>
      <c r="B253" s="589"/>
      <c r="C253" s="659"/>
      <c r="D253" s="659">
        <v>8000000</v>
      </c>
      <c r="E253" s="659">
        <v>8000000</v>
      </c>
      <c r="F253" s="659">
        <f>+E253</f>
        <v>8000000</v>
      </c>
      <c r="G253" s="659">
        <f t="shared" si="9"/>
        <v>0</v>
      </c>
      <c r="H253" s="294"/>
      <c r="I253" s="637" t="s">
        <v>27</v>
      </c>
      <c r="K253" s="153">
        <v>797315649</v>
      </c>
      <c r="L253" s="153">
        <f>774579515-754744</f>
        <v>773824771</v>
      </c>
    </row>
    <row r="254" spans="1:12" ht="12.75">
      <c r="A254" s="585">
        <v>226101273</v>
      </c>
      <c r="B254" s="589"/>
      <c r="C254" s="659"/>
      <c r="D254" s="659">
        <v>3000000</v>
      </c>
      <c r="E254" s="659">
        <v>3000000</v>
      </c>
      <c r="F254" s="659">
        <f>+E254</f>
        <v>3000000</v>
      </c>
      <c r="G254" s="659">
        <f t="shared" si="9"/>
        <v>0</v>
      </c>
      <c r="H254" s="294"/>
      <c r="I254" s="637" t="s">
        <v>813</v>
      </c>
      <c r="K254" s="153">
        <v>-38901602</v>
      </c>
      <c r="L254" s="153">
        <v>-30999224</v>
      </c>
    </row>
    <row r="255" spans="1:12" ht="12.75">
      <c r="A255" s="585">
        <v>226101296</v>
      </c>
      <c r="B255" s="589"/>
      <c r="C255" s="659">
        <v>71292</v>
      </c>
      <c r="D255" s="659">
        <v>250000000</v>
      </c>
      <c r="E255" s="659">
        <v>250000000</v>
      </c>
      <c r="F255" s="659">
        <v>125000000</v>
      </c>
      <c r="G255" s="659">
        <f t="shared" si="9"/>
        <v>125000000</v>
      </c>
      <c r="H255" s="294"/>
      <c r="I255" s="637" t="s">
        <v>28</v>
      </c>
      <c r="K255" s="153">
        <v>-3502000</v>
      </c>
      <c r="L255" s="153">
        <v>-2131190</v>
      </c>
    </row>
    <row r="256" spans="1:12" ht="12.75">
      <c r="A256" s="590" t="s">
        <v>737</v>
      </c>
      <c r="B256" s="632"/>
      <c r="C256" s="633">
        <f>SUM(C244:C255)</f>
        <v>683580084</v>
      </c>
      <c r="D256" s="633">
        <f>SUM(D244:D255)</f>
        <v>752316947</v>
      </c>
      <c r="E256" s="633">
        <f>SUM(E244:E255)</f>
        <v>739099257</v>
      </c>
      <c r="F256" s="633">
        <f>SUM(F244:F255)</f>
        <v>606982032</v>
      </c>
      <c r="G256" s="633">
        <f>SUM(G244:G255)</f>
        <v>132117225</v>
      </c>
      <c r="H256" s="286"/>
      <c r="I256" s="286">
        <f>SUM(I244:I255)</f>
        <v>0</v>
      </c>
      <c r="K256" s="153">
        <v>-1595100</v>
      </c>
      <c r="L256" s="153">
        <v>-1595100</v>
      </c>
    </row>
    <row r="257" spans="1:12" ht="12.75">
      <c r="A257" s="645"/>
      <c r="B257" s="663"/>
      <c r="C257" s="664"/>
      <c r="D257" s="668">
        <f>797315649-D256</f>
        <v>44998702</v>
      </c>
      <c r="E257" s="668">
        <f>797315649-E256</f>
        <v>58216392</v>
      </c>
      <c r="F257" s="659">
        <f>+E257</f>
        <v>58216392</v>
      </c>
      <c r="G257" s="659">
        <f>+F257</f>
        <v>58216392</v>
      </c>
      <c r="H257" s="319"/>
      <c r="I257" s="297"/>
      <c r="J257" s="153">
        <f>D257-D256</f>
        <v>-707318245</v>
      </c>
      <c r="K257" s="153">
        <f>SUM(K253:K256)</f>
        <v>753316947</v>
      </c>
      <c r="L257" s="153">
        <f>SUM(L253:L256)</f>
        <v>739099257</v>
      </c>
    </row>
    <row r="258" spans="1:9" ht="12.75">
      <c r="A258" s="613" t="s">
        <v>229</v>
      </c>
      <c r="B258" s="635"/>
      <c r="C258" s="669"/>
      <c r="D258" s="669"/>
      <c r="E258" s="669"/>
      <c r="F258" s="659">
        <f>+E258</f>
        <v>0</v>
      </c>
      <c r="G258" s="659">
        <f t="shared" si="9"/>
        <v>0</v>
      </c>
      <c r="H258" s="298"/>
      <c r="I258" s="298"/>
    </row>
    <row r="259" spans="1:9" ht="12.75">
      <c r="A259" s="585">
        <v>226101164</v>
      </c>
      <c r="B259" s="589"/>
      <c r="C259" s="659">
        <v>20488125</v>
      </c>
      <c r="D259" s="659">
        <v>38901602</v>
      </c>
      <c r="E259" s="659">
        <v>30999224</v>
      </c>
      <c r="F259" s="659">
        <v>9544500</v>
      </c>
      <c r="G259" s="659">
        <f t="shared" si="9"/>
        <v>21454724</v>
      </c>
      <c r="H259" s="294"/>
      <c r="I259" s="637" t="s">
        <v>363</v>
      </c>
    </row>
    <row r="260" spans="1:9" ht="12.75">
      <c r="A260" s="585">
        <v>226101165</v>
      </c>
      <c r="B260" s="589"/>
      <c r="C260" s="659">
        <v>1053208</v>
      </c>
      <c r="D260" s="659">
        <v>3502000</v>
      </c>
      <c r="E260" s="659">
        <v>2131190</v>
      </c>
      <c r="F260" s="659">
        <f>+E260</f>
        <v>2131190</v>
      </c>
      <c r="G260" s="659">
        <f t="shared" si="9"/>
        <v>0</v>
      </c>
      <c r="H260" s="294"/>
      <c r="I260" s="637" t="s">
        <v>812</v>
      </c>
    </row>
    <row r="261" spans="1:9" ht="12.75">
      <c r="A261" s="590" t="s">
        <v>231</v>
      </c>
      <c r="B261" s="632"/>
      <c r="C261" s="633"/>
      <c r="D261" s="633">
        <f>SUM(D259:D260)</f>
        <v>42403602</v>
      </c>
      <c r="E261" s="633">
        <f>SUM(E259:E260)</f>
        <v>33130414</v>
      </c>
      <c r="F261" s="633">
        <f>SUM(F259:F260)</f>
        <v>11675690</v>
      </c>
      <c r="G261" s="633">
        <f>SUM(G259:G260)</f>
        <v>21454724</v>
      </c>
      <c r="H261" s="286"/>
      <c r="I261" s="286"/>
    </row>
    <row r="262" spans="1:9" ht="12.75">
      <c r="A262" s="645"/>
      <c r="B262" s="663"/>
      <c r="C262" s="664"/>
      <c r="D262" s="664">
        <f>D256+D261</f>
        <v>794720549</v>
      </c>
      <c r="E262" s="664">
        <f>E256+E261</f>
        <v>772229671</v>
      </c>
      <c r="F262" s="664">
        <f>F256+F261</f>
        <v>618657722</v>
      </c>
      <c r="G262" s="664">
        <f>G256+G261</f>
        <v>153571949</v>
      </c>
      <c r="H262" s="297"/>
      <c r="I262" s="297"/>
    </row>
    <row r="263" spans="1:9" ht="12.75">
      <c r="A263" s="645"/>
      <c r="B263" s="663"/>
      <c r="C263" s="664"/>
      <c r="D263" s="664">
        <f>+D262+D69</f>
        <v>796315649</v>
      </c>
      <c r="E263" s="664">
        <f>+E262+E69</f>
        <v>773824771</v>
      </c>
      <c r="F263" s="664">
        <f>+F262+F69</f>
        <v>620252822</v>
      </c>
      <c r="G263" s="664">
        <f>+G262+G69</f>
        <v>153571949</v>
      </c>
      <c r="H263" s="297"/>
      <c r="I263" s="297"/>
    </row>
    <row r="264" spans="1:9" ht="12.75">
      <c r="A264" s="613" t="s">
        <v>46</v>
      </c>
      <c r="B264" s="635"/>
      <c r="C264" s="635"/>
      <c r="D264" s="635"/>
      <c r="E264" s="666">
        <f>774579515-754744</f>
        <v>773824771</v>
      </c>
      <c r="F264" s="635"/>
      <c r="G264" s="635"/>
      <c r="H264" s="290"/>
      <c r="I264" s="603"/>
    </row>
    <row r="265" spans="1:9" ht="25.5">
      <c r="A265" s="585">
        <v>226131179</v>
      </c>
      <c r="B265" s="589"/>
      <c r="C265" s="665">
        <v>0</v>
      </c>
      <c r="D265" s="665">
        <v>19144065</v>
      </c>
      <c r="E265" s="665">
        <v>19144065</v>
      </c>
      <c r="F265" s="665">
        <f aca="true" t="shared" si="10" ref="F265:F271">+E265</f>
        <v>19144065</v>
      </c>
      <c r="G265" s="659">
        <f aca="true" t="shared" si="11" ref="G265:G271">+E265-F265</f>
        <v>0</v>
      </c>
      <c r="H265" s="295"/>
      <c r="I265" s="628" t="s">
        <v>183</v>
      </c>
    </row>
    <row r="266" spans="1:9" ht="12.75">
      <c r="A266" s="585">
        <v>226131180</v>
      </c>
      <c r="B266" s="589"/>
      <c r="C266" s="659"/>
      <c r="D266" s="659">
        <v>6633603</v>
      </c>
      <c r="E266" s="659">
        <v>6625401</v>
      </c>
      <c r="F266" s="665">
        <f t="shared" si="10"/>
        <v>6625401</v>
      </c>
      <c r="G266" s="659">
        <f t="shared" si="11"/>
        <v>0</v>
      </c>
      <c r="H266" s="294"/>
      <c r="I266" s="628" t="s">
        <v>29</v>
      </c>
    </row>
    <row r="267" spans="1:9" ht="25.5">
      <c r="A267" s="585">
        <v>226131181</v>
      </c>
      <c r="B267" s="589"/>
      <c r="C267" s="659">
        <v>6000</v>
      </c>
      <c r="D267" s="659">
        <v>500000</v>
      </c>
      <c r="E267" s="589">
        <v>0</v>
      </c>
      <c r="F267" s="665">
        <f t="shared" si="10"/>
        <v>0</v>
      </c>
      <c r="G267" s="659">
        <f t="shared" si="11"/>
        <v>0</v>
      </c>
      <c r="H267" s="291"/>
      <c r="I267" s="628" t="s">
        <v>376</v>
      </c>
    </row>
    <row r="268" spans="1:9" ht="25.5">
      <c r="A268" s="585">
        <v>226131182</v>
      </c>
      <c r="B268" s="589"/>
      <c r="C268" s="659">
        <v>10000000</v>
      </c>
      <c r="D268" s="659">
        <v>16000000</v>
      </c>
      <c r="E268" s="659">
        <v>16000000</v>
      </c>
      <c r="F268" s="665">
        <f t="shared" si="10"/>
        <v>16000000</v>
      </c>
      <c r="G268" s="659">
        <f t="shared" si="11"/>
        <v>0</v>
      </c>
      <c r="H268" s="294"/>
      <c r="I268" s="628" t="s">
        <v>377</v>
      </c>
    </row>
    <row r="269" spans="1:9" ht="12.75">
      <c r="A269" s="585">
        <v>226131183</v>
      </c>
      <c r="B269" s="589"/>
      <c r="C269" s="659">
        <v>994000</v>
      </c>
      <c r="D269" s="659">
        <v>3000000</v>
      </c>
      <c r="E269" s="659">
        <v>3000000</v>
      </c>
      <c r="F269" s="665">
        <f t="shared" si="10"/>
        <v>3000000</v>
      </c>
      <c r="G269" s="659">
        <f t="shared" si="11"/>
        <v>0</v>
      </c>
      <c r="H269" s="294"/>
      <c r="I269" s="628" t="s">
        <v>30</v>
      </c>
    </row>
    <row r="270" spans="1:9" ht="12.75">
      <c r="A270" s="585">
        <v>226131283</v>
      </c>
      <c r="B270" s="589"/>
      <c r="C270" s="659">
        <v>46999900</v>
      </c>
      <c r="D270" s="659">
        <v>53727560</v>
      </c>
      <c r="E270" s="659">
        <v>40762130</v>
      </c>
      <c r="F270" s="665">
        <f t="shared" si="10"/>
        <v>40762130</v>
      </c>
      <c r="G270" s="659">
        <f t="shared" si="11"/>
        <v>0</v>
      </c>
      <c r="H270" s="294"/>
      <c r="I270" s="628" t="s">
        <v>378</v>
      </c>
    </row>
    <row r="271" spans="1:9" ht="12.75">
      <c r="A271" s="585">
        <v>226131287</v>
      </c>
      <c r="B271" s="589"/>
      <c r="C271" s="659">
        <v>1000000</v>
      </c>
      <c r="D271" s="659">
        <v>1000000</v>
      </c>
      <c r="E271" s="659">
        <f>1000000-620000</f>
        <v>380000</v>
      </c>
      <c r="F271" s="659">
        <f t="shared" si="10"/>
        <v>380000</v>
      </c>
      <c r="G271" s="659">
        <f t="shared" si="11"/>
        <v>0</v>
      </c>
      <c r="H271" s="294"/>
      <c r="I271" s="628" t="s">
        <v>379</v>
      </c>
    </row>
    <row r="272" spans="1:9" ht="12.75">
      <c r="A272" s="585">
        <v>226061132</v>
      </c>
      <c r="B272" s="589"/>
      <c r="C272" s="659"/>
      <c r="D272" s="659">
        <v>1000000</v>
      </c>
      <c r="E272" s="659">
        <v>0</v>
      </c>
      <c r="F272" s="659">
        <v>0</v>
      </c>
      <c r="G272" s="659">
        <f>+E272-F272</f>
        <v>0</v>
      </c>
      <c r="H272" s="390"/>
      <c r="I272" s="628" t="s">
        <v>483</v>
      </c>
    </row>
    <row r="273" spans="1:9" ht="25.5">
      <c r="A273" s="585">
        <v>226061133</v>
      </c>
      <c r="B273" s="589"/>
      <c r="C273" s="659"/>
      <c r="D273" s="659">
        <v>20000000</v>
      </c>
      <c r="E273" s="659">
        <f>+D273</f>
        <v>20000000</v>
      </c>
      <c r="F273" s="659">
        <f>+E273</f>
        <v>20000000</v>
      </c>
      <c r="G273" s="659">
        <f>+E273-F273</f>
        <v>0</v>
      </c>
      <c r="H273" s="390"/>
      <c r="I273" s="628" t="s">
        <v>484</v>
      </c>
    </row>
    <row r="274" spans="1:9" ht="12.75">
      <c r="A274" s="585">
        <v>226111174</v>
      </c>
      <c r="B274" s="589"/>
      <c r="C274" s="659"/>
      <c r="D274" s="659">
        <v>33000000</v>
      </c>
      <c r="E274" s="659">
        <v>30580340</v>
      </c>
      <c r="F274" s="659">
        <f>+E274</f>
        <v>30580340</v>
      </c>
      <c r="G274" s="659">
        <f>+E274-F274</f>
        <v>0</v>
      </c>
      <c r="H274" s="390"/>
      <c r="I274" s="628" t="s">
        <v>69</v>
      </c>
    </row>
    <row r="275" spans="1:9" ht="12.75" hidden="1">
      <c r="A275" s="585">
        <v>226070228</v>
      </c>
      <c r="B275" s="589"/>
      <c r="C275" s="659">
        <v>32000000</v>
      </c>
      <c r="D275" s="659"/>
      <c r="E275" s="659"/>
      <c r="F275" s="659"/>
      <c r="G275" s="659"/>
      <c r="H275" s="294"/>
      <c r="I275" s="628" t="s">
        <v>702</v>
      </c>
    </row>
    <row r="276" spans="1:9" ht="25.5" hidden="1">
      <c r="A276" s="585">
        <v>226080129</v>
      </c>
      <c r="B276" s="589"/>
      <c r="C276" s="659">
        <v>3000000</v>
      </c>
      <c r="D276" s="659"/>
      <c r="E276" s="659"/>
      <c r="F276" s="659"/>
      <c r="G276" s="659"/>
      <c r="H276" s="294"/>
      <c r="I276" s="628" t="s">
        <v>380</v>
      </c>
    </row>
    <row r="277" spans="1:9" ht="38.25" hidden="1">
      <c r="A277" s="585">
        <v>226120145</v>
      </c>
      <c r="B277" s="589"/>
      <c r="C277" s="659">
        <v>28000000</v>
      </c>
      <c r="D277" s="659"/>
      <c r="E277" s="659"/>
      <c r="F277" s="659"/>
      <c r="G277" s="659"/>
      <c r="H277" s="294"/>
      <c r="I277" s="628" t="s">
        <v>811</v>
      </c>
    </row>
    <row r="278" spans="1:9" ht="12.75">
      <c r="A278" s="670"/>
      <c r="B278" s="632"/>
      <c r="C278" s="671">
        <f>SUM(C267:C277)</f>
        <v>121999900</v>
      </c>
      <c r="D278" s="671">
        <f>SUM(D265:D277)</f>
        <v>154005228</v>
      </c>
      <c r="E278" s="671">
        <f>SUM(E265:E277)</f>
        <v>136491936</v>
      </c>
      <c r="F278" s="671">
        <f>SUM(F265:F277)</f>
        <v>136491936</v>
      </c>
      <c r="G278" s="671">
        <f>SUM(G265:G277)</f>
        <v>0</v>
      </c>
      <c r="H278" s="299"/>
      <c r="I278" s="672"/>
    </row>
    <row r="279" spans="1:9" ht="12.75">
      <c r="A279" s="670"/>
      <c r="B279" s="632"/>
      <c r="C279" s="671"/>
      <c r="D279" s="671">
        <f>100005228-D278</f>
        <v>-54000000</v>
      </c>
      <c r="E279" s="671">
        <f>86531596-620000-E278</f>
        <v>-50580340</v>
      </c>
      <c r="F279" s="671">
        <f>85911596-F278</f>
        <v>-50580340</v>
      </c>
      <c r="G279" s="671"/>
      <c r="H279" s="299"/>
      <c r="I279" s="672"/>
    </row>
    <row r="280" spans="1:10" ht="12.75">
      <c r="A280" s="670"/>
      <c r="B280" s="632"/>
      <c r="C280" s="671"/>
      <c r="D280" s="671"/>
      <c r="E280" s="638">
        <v>86911596</v>
      </c>
      <c r="F280" s="638">
        <f>86531596-620000</f>
        <v>85911596</v>
      </c>
      <c r="G280" s="638"/>
      <c r="H280" s="289"/>
      <c r="I280" s="672"/>
      <c r="J280" s="153">
        <f>E278-E280</f>
        <v>49580340</v>
      </c>
    </row>
    <row r="281" spans="1:9" ht="12.75">
      <c r="A281" s="613" t="s">
        <v>47</v>
      </c>
      <c r="B281" s="635"/>
      <c r="C281" s="635"/>
      <c r="D281" s="635"/>
      <c r="E281" s="635"/>
      <c r="F281" s="635"/>
      <c r="G281" s="635"/>
      <c r="H281" s="290"/>
      <c r="I281" s="603"/>
    </row>
    <row r="282" spans="1:9" ht="25.5">
      <c r="A282" s="673">
        <v>226031111</v>
      </c>
      <c r="B282" s="589"/>
      <c r="C282" s="665">
        <v>198224949</v>
      </c>
      <c r="D282" s="665">
        <v>71646912</v>
      </c>
      <c r="E282" s="665">
        <v>71646111</v>
      </c>
      <c r="F282" s="665">
        <f>+E282</f>
        <v>71646111</v>
      </c>
      <c r="G282" s="675">
        <f aca="true" t="shared" si="12" ref="G282:G292">+E282-F282</f>
        <v>0</v>
      </c>
      <c r="H282" s="295"/>
      <c r="I282" s="628" t="s">
        <v>818</v>
      </c>
    </row>
    <row r="283" spans="1:9" ht="25.5">
      <c r="A283" s="673">
        <v>226031112</v>
      </c>
      <c r="B283" s="589"/>
      <c r="C283" s="665"/>
      <c r="D283" s="665">
        <v>8000000</v>
      </c>
      <c r="E283" s="665">
        <v>8000000</v>
      </c>
      <c r="F283" s="665">
        <f>+E283</f>
        <v>8000000</v>
      </c>
      <c r="G283" s="675">
        <f t="shared" si="12"/>
        <v>0</v>
      </c>
      <c r="H283" s="295"/>
      <c r="I283" s="628" t="s">
        <v>316</v>
      </c>
    </row>
    <row r="284" spans="1:9" ht="25.5">
      <c r="A284" s="585">
        <v>226081141</v>
      </c>
      <c r="B284" s="589"/>
      <c r="C284" s="398">
        <v>1000000</v>
      </c>
      <c r="D284" s="398">
        <f>4500000</f>
        <v>4500000</v>
      </c>
      <c r="E284" s="398">
        <f>+D284</f>
        <v>4500000</v>
      </c>
      <c r="F284" s="398">
        <f>+E284</f>
        <v>4500000</v>
      </c>
      <c r="G284" s="675">
        <f t="shared" si="12"/>
        <v>0</v>
      </c>
      <c r="H284" s="278"/>
      <c r="I284" s="628" t="s">
        <v>317</v>
      </c>
    </row>
    <row r="285" spans="1:9" ht="45.75" customHeight="1">
      <c r="A285" s="585">
        <v>226081142</v>
      </c>
      <c r="B285" s="589"/>
      <c r="C285" s="398">
        <v>31445000</v>
      </c>
      <c r="D285" s="398">
        <v>130315000</v>
      </c>
      <c r="E285" s="398">
        <v>129690000</v>
      </c>
      <c r="F285" s="398">
        <v>85715000</v>
      </c>
      <c r="G285" s="675">
        <f t="shared" si="12"/>
        <v>43975000</v>
      </c>
      <c r="H285" s="278"/>
      <c r="I285" s="628" t="s">
        <v>318</v>
      </c>
    </row>
    <row r="286" spans="1:9" ht="38.25">
      <c r="A286" s="585">
        <v>226081143</v>
      </c>
      <c r="B286" s="589"/>
      <c r="C286" s="398">
        <v>2590000</v>
      </c>
      <c r="D286" s="398">
        <v>7500000</v>
      </c>
      <c r="E286" s="398">
        <f>+D286</f>
        <v>7500000</v>
      </c>
      <c r="F286" s="398">
        <f>+E286</f>
        <v>7500000</v>
      </c>
      <c r="G286" s="675">
        <f t="shared" si="12"/>
        <v>0</v>
      </c>
      <c r="H286" s="278"/>
      <c r="I286" s="628" t="s">
        <v>319</v>
      </c>
    </row>
    <row r="287" spans="1:9" ht="12.75">
      <c r="A287" s="585">
        <v>226081145</v>
      </c>
      <c r="B287" s="589"/>
      <c r="C287" s="398"/>
      <c r="D287" s="398">
        <v>80000000</v>
      </c>
      <c r="E287" s="398">
        <v>80000000</v>
      </c>
      <c r="F287" s="398">
        <v>0</v>
      </c>
      <c r="G287" s="675">
        <f t="shared" si="12"/>
        <v>80000000</v>
      </c>
      <c r="H287" s="278"/>
      <c r="I287" s="587" t="s">
        <v>62</v>
      </c>
    </row>
    <row r="288" spans="1:9" ht="12.75">
      <c r="A288" s="585">
        <v>226081147</v>
      </c>
      <c r="B288" s="589"/>
      <c r="C288" s="398"/>
      <c r="D288" s="398">
        <v>8000000</v>
      </c>
      <c r="E288" s="398">
        <v>7260000</v>
      </c>
      <c r="F288" s="398">
        <v>960000</v>
      </c>
      <c r="G288" s="675">
        <f t="shared" si="12"/>
        <v>6300000</v>
      </c>
      <c r="H288" s="278"/>
      <c r="I288" s="587" t="s">
        <v>64</v>
      </c>
    </row>
    <row r="289" spans="1:9" ht="25.5">
      <c r="A289" s="585">
        <v>226081197</v>
      </c>
      <c r="B289" s="589"/>
      <c r="C289" s="398"/>
      <c r="D289" s="398">
        <v>55000000</v>
      </c>
      <c r="E289" s="398">
        <f>+D289</f>
        <v>55000000</v>
      </c>
      <c r="F289" s="398">
        <f>+E289</f>
        <v>55000000</v>
      </c>
      <c r="G289" s="675">
        <f t="shared" si="12"/>
        <v>0</v>
      </c>
      <c r="H289" s="278"/>
      <c r="I289" s="587" t="s">
        <v>65</v>
      </c>
    </row>
    <row r="290" spans="1:9" ht="25.5">
      <c r="A290" s="585">
        <v>226081198</v>
      </c>
      <c r="B290" s="589"/>
      <c r="C290" s="398"/>
      <c r="D290" s="398">
        <v>150000000</v>
      </c>
      <c r="E290" s="398">
        <f>+D290</f>
        <v>150000000</v>
      </c>
      <c r="F290" s="398">
        <f>+E290</f>
        <v>150000000</v>
      </c>
      <c r="G290" s="675">
        <f t="shared" si="12"/>
        <v>0</v>
      </c>
      <c r="H290" s="278"/>
      <c r="I290" s="587" t="s">
        <v>66</v>
      </c>
    </row>
    <row r="291" spans="1:9" ht="25.5">
      <c r="A291" s="585">
        <v>226081245</v>
      </c>
      <c r="B291" s="589"/>
      <c r="C291" s="398"/>
      <c r="D291" s="398">
        <v>1000000</v>
      </c>
      <c r="E291" s="398">
        <v>1000000</v>
      </c>
      <c r="F291" s="398">
        <v>1000000</v>
      </c>
      <c r="G291" s="675">
        <f t="shared" si="12"/>
        <v>0</v>
      </c>
      <c r="H291" s="278"/>
      <c r="I291" s="628" t="s">
        <v>192</v>
      </c>
    </row>
    <row r="292" spans="1:9" ht="12.75">
      <c r="A292" s="585">
        <v>226081246</v>
      </c>
      <c r="B292" s="589"/>
      <c r="C292" s="398"/>
      <c r="D292" s="398">
        <v>2350000</v>
      </c>
      <c r="E292" s="398">
        <f>+D292</f>
        <v>2350000</v>
      </c>
      <c r="F292" s="398">
        <f>+E292</f>
        <v>2350000</v>
      </c>
      <c r="G292" s="675">
        <f t="shared" si="12"/>
        <v>0</v>
      </c>
      <c r="H292" s="278"/>
      <c r="I292" s="628" t="s">
        <v>37</v>
      </c>
    </row>
    <row r="293" spans="1:9" ht="25.5" hidden="1">
      <c r="A293" s="585"/>
      <c r="B293" s="589"/>
      <c r="C293" s="398"/>
      <c r="D293" s="398"/>
      <c r="E293" s="398"/>
      <c r="F293" s="398"/>
      <c r="G293" s="398"/>
      <c r="H293" s="398"/>
      <c r="I293" s="628" t="s">
        <v>192</v>
      </c>
    </row>
    <row r="294" spans="1:9" ht="38.25" hidden="1">
      <c r="A294" s="585"/>
      <c r="B294" s="589"/>
      <c r="C294" s="398"/>
      <c r="D294" s="398"/>
      <c r="E294" s="398"/>
      <c r="F294" s="398"/>
      <c r="G294" s="398"/>
      <c r="H294" s="278"/>
      <c r="I294" s="628" t="s">
        <v>83</v>
      </c>
    </row>
    <row r="295" spans="1:9" ht="38.25" hidden="1">
      <c r="A295" s="585"/>
      <c r="B295" s="589"/>
      <c r="C295" s="398"/>
      <c r="D295" s="398"/>
      <c r="E295" s="398"/>
      <c r="F295" s="398"/>
      <c r="G295" s="398"/>
      <c r="H295" s="278"/>
      <c r="I295" s="628" t="s">
        <v>84</v>
      </c>
    </row>
    <row r="296" spans="1:9" ht="38.25" hidden="1">
      <c r="A296" s="585"/>
      <c r="B296" s="589"/>
      <c r="C296" s="398"/>
      <c r="D296" s="398"/>
      <c r="E296" s="398"/>
      <c r="F296" s="398"/>
      <c r="G296" s="398"/>
      <c r="H296" s="278"/>
      <c r="I296" s="628" t="s">
        <v>85</v>
      </c>
    </row>
    <row r="297" spans="1:9" ht="25.5" hidden="1">
      <c r="A297" s="585"/>
      <c r="B297" s="589"/>
      <c r="C297" s="398"/>
      <c r="D297" s="398"/>
      <c r="E297" s="398"/>
      <c r="F297" s="398"/>
      <c r="G297" s="398"/>
      <c r="H297" s="278"/>
      <c r="I297" s="628" t="s">
        <v>86</v>
      </c>
    </row>
    <row r="298" spans="1:9" ht="38.25" hidden="1">
      <c r="A298" s="585"/>
      <c r="B298" s="589"/>
      <c r="C298" s="398"/>
      <c r="D298" s="398"/>
      <c r="E298" s="398"/>
      <c r="F298" s="398"/>
      <c r="G298" s="398"/>
      <c r="H298" s="278"/>
      <c r="I298" s="628" t="s">
        <v>754</v>
      </c>
    </row>
    <row r="299" spans="1:9" ht="12.75" hidden="1">
      <c r="A299" s="585"/>
      <c r="B299" s="589"/>
      <c r="C299" s="398"/>
      <c r="D299" s="398"/>
      <c r="E299" s="398"/>
      <c r="F299" s="398"/>
      <c r="G299" s="398"/>
      <c r="H299" s="278"/>
      <c r="I299" s="291"/>
    </row>
    <row r="300" spans="1:9" ht="12.75">
      <c r="A300" s="590" t="s">
        <v>48</v>
      </c>
      <c r="B300" s="632"/>
      <c r="C300" s="591">
        <f>SUM(C282:C299)</f>
        <v>233259949</v>
      </c>
      <c r="D300" s="591">
        <f>SUM(D282:D299)</f>
        <v>518311912</v>
      </c>
      <c r="E300" s="591">
        <f>SUM(E282:E299)</f>
        <v>516946111</v>
      </c>
      <c r="F300" s="591">
        <f>SUM(F282:F299)</f>
        <v>386671111</v>
      </c>
      <c r="G300" s="591">
        <f>SUM(G282:G299)</f>
        <v>130275000</v>
      </c>
      <c r="H300" s="279"/>
      <c r="I300" s="672"/>
    </row>
    <row r="301" spans="1:9" ht="12.75">
      <c r="A301" s="613" t="str">
        <f>+'Eje Economico'!C40</f>
        <v>Mejorando Procesos productivos</v>
      </c>
      <c r="B301" s="635"/>
      <c r="C301" s="635"/>
      <c r="D301" s="635"/>
      <c r="E301" s="678"/>
      <c r="F301" s="678"/>
      <c r="G301" s="678"/>
      <c r="H301" s="679"/>
      <c r="I301" s="603"/>
    </row>
    <row r="302" spans="1:9" ht="12.75">
      <c r="A302" s="673">
        <v>226031109</v>
      </c>
      <c r="B302" s="674"/>
      <c r="C302" s="674"/>
      <c r="D302" s="398">
        <v>11990300</v>
      </c>
      <c r="E302" s="398">
        <v>11989299</v>
      </c>
      <c r="F302" s="675">
        <f>+E302</f>
        <v>11989299</v>
      </c>
      <c r="G302" s="675">
        <f>+E302-F302</f>
        <v>0</v>
      </c>
      <c r="H302" s="676"/>
      <c r="I302" s="677" t="s">
        <v>184</v>
      </c>
    </row>
    <row r="303" spans="1:9" ht="12.75">
      <c r="A303" s="673">
        <v>226031110</v>
      </c>
      <c r="B303" s="674"/>
      <c r="C303" s="674"/>
      <c r="D303" s="398">
        <v>5560700</v>
      </c>
      <c r="E303" s="398">
        <v>4160927</v>
      </c>
      <c r="F303" s="675">
        <f>+E303</f>
        <v>4160927</v>
      </c>
      <c r="G303" s="675">
        <f>+E303-F303</f>
        <v>0</v>
      </c>
      <c r="H303" s="676"/>
      <c r="I303" s="677" t="s">
        <v>29</v>
      </c>
    </row>
    <row r="304" spans="1:9" ht="25.5">
      <c r="A304" s="585">
        <v>226031191</v>
      </c>
      <c r="B304" s="589"/>
      <c r="C304" s="589"/>
      <c r="D304" s="583">
        <v>7000000</v>
      </c>
      <c r="E304" s="583">
        <v>7000000</v>
      </c>
      <c r="F304" s="583">
        <f>+E304</f>
        <v>7000000</v>
      </c>
      <c r="G304" s="583">
        <f>+E304-F304</f>
        <v>0</v>
      </c>
      <c r="H304" s="288"/>
      <c r="I304" s="628" t="s">
        <v>32</v>
      </c>
    </row>
    <row r="305" spans="1:9" ht="12.75">
      <c r="A305" s="585"/>
      <c r="B305" s="589"/>
      <c r="C305" s="398"/>
      <c r="D305" s="398"/>
      <c r="E305" s="398"/>
      <c r="F305" s="398"/>
      <c r="G305" s="398"/>
      <c r="H305" s="278"/>
      <c r="I305" s="628" t="e">
        <f>+'Eje Economico'!#REF!</f>
        <v>#REF!</v>
      </c>
    </row>
    <row r="306" spans="1:12" ht="12.75">
      <c r="A306" s="585"/>
      <c r="B306" s="589"/>
      <c r="C306" s="589"/>
      <c r="D306" s="589"/>
      <c r="E306" s="589"/>
      <c r="F306" s="589"/>
      <c r="G306" s="589"/>
      <c r="H306" s="291"/>
      <c r="I306" s="628" t="e">
        <f>+'Eje Economico'!#REF!</f>
        <v>#REF!</v>
      </c>
      <c r="L306" s="153">
        <f>95000*5</f>
        <v>475000</v>
      </c>
    </row>
    <row r="307" spans="1:9" ht="12.75">
      <c r="A307" s="670" t="s">
        <v>49</v>
      </c>
      <c r="B307" s="632"/>
      <c r="C307" s="591">
        <f>SUM(C304:C306)</f>
        <v>0</v>
      </c>
      <c r="D307" s="591">
        <f>SUM(D302:D306)</f>
        <v>24551000</v>
      </c>
      <c r="E307" s="591">
        <f>SUM(E302:E306)</f>
        <v>23150226</v>
      </c>
      <c r="F307" s="591">
        <f>SUM(F302:F306)</f>
        <v>23150226</v>
      </c>
      <c r="G307" s="591">
        <f>SUM(G302:G306)</f>
        <v>0</v>
      </c>
      <c r="H307" s="279"/>
      <c r="I307" s="672"/>
    </row>
    <row r="308" spans="1:12" ht="12.75">
      <c r="A308" s="613" t="str">
        <f>+'Eje Economico'!C64</f>
        <v>Transferencia de tecnologías</v>
      </c>
      <c r="B308" s="635"/>
      <c r="C308" s="635"/>
      <c r="D308" s="635"/>
      <c r="E308" s="635"/>
      <c r="F308" s="635"/>
      <c r="G308" s="635"/>
      <c r="H308" s="290"/>
      <c r="I308" s="290"/>
      <c r="J308" s="153">
        <v>3</v>
      </c>
      <c r="K308" s="153">
        <v>50000</v>
      </c>
      <c r="L308" s="153">
        <f>+J308*K308</f>
        <v>150000</v>
      </c>
    </row>
    <row r="309" spans="1:9" ht="25.5">
      <c r="A309" s="673">
        <v>226031113</v>
      </c>
      <c r="B309" s="589"/>
      <c r="C309" s="583">
        <v>25122549</v>
      </c>
      <c r="D309" s="583">
        <v>15943314</v>
      </c>
      <c r="E309" s="583">
        <v>15921818</v>
      </c>
      <c r="F309" s="583">
        <f>+E309</f>
        <v>15921818</v>
      </c>
      <c r="G309" s="583">
        <f>+E309-F309</f>
        <v>0</v>
      </c>
      <c r="H309" s="288"/>
      <c r="I309" s="628" t="s">
        <v>323</v>
      </c>
    </row>
    <row r="310" spans="1:9" ht="25.5">
      <c r="A310" s="673">
        <v>226031114</v>
      </c>
      <c r="B310" s="589"/>
      <c r="C310" s="583">
        <v>5000000</v>
      </c>
      <c r="D310" s="583">
        <v>10592008</v>
      </c>
      <c r="E310" s="583">
        <f>10592008-1000</f>
        <v>10591008</v>
      </c>
      <c r="F310" s="583">
        <f>+E310</f>
        <v>10591008</v>
      </c>
      <c r="G310" s="583">
        <f>+E310-F310</f>
        <v>0</v>
      </c>
      <c r="H310" s="288"/>
      <c r="I310" s="628" t="s">
        <v>324</v>
      </c>
    </row>
    <row r="311" spans="1:9" ht="25.5">
      <c r="A311" s="673">
        <v>226031115</v>
      </c>
      <c r="B311" s="589"/>
      <c r="C311" s="583">
        <v>3000000</v>
      </c>
      <c r="D311" s="583">
        <v>9200000</v>
      </c>
      <c r="E311" s="583">
        <v>9199841</v>
      </c>
      <c r="F311" s="583">
        <f>+E311</f>
        <v>9199841</v>
      </c>
      <c r="G311" s="583">
        <f>+E311-F311</f>
        <v>0</v>
      </c>
      <c r="H311" s="288"/>
      <c r="I311" s="628" t="s">
        <v>191</v>
      </c>
    </row>
    <row r="312" spans="1:9" ht="12.75">
      <c r="A312" s="673">
        <v>226031116</v>
      </c>
      <c r="B312" s="589"/>
      <c r="C312" s="583">
        <v>21585000</v>
      </c>
      <c r="D312" s="583">
        <v>2796531</v>
      </c>
      <c r="E312" s="583">
        <v>2796531</v>
      </c>
      <c r="F312" s="583">
        <f>+E312</f>
        <v>2796531</v>
      </c>
      <c r="G312" s="583">
        <f>+E312-F312</f>
        <v>0</v>
      </c>
      <c r="H312" s="288"/>
      <c r="I312" s="628" t="s">
        <v>819</v>
      </c>
    </row>
    <row r="313" spans="1:9" ht="25.5">
      <c r="A313" s="585">
        <v>226081347</v>
      </c>
      <c r="B313" s="589"/>
      <c r="C313" s="398"/>
      <c r="D313" s="398">
        <v>24840000</v>
      </c>
      <c r="E313" s="398">
        <f>30240000-5400000</f>
        <v>24840000</v>
      </c>
      <c r="F313" s="398">
        <f>+E313</f>
        <v>24840000</v>
      </c>
      <c r="G313" s="583">
        <f>+E313-F313</f>
        <v>0</v>
      </c>
      <c r="H313" s="288"/>
      <c r="I313" s="628" t="s">
        <v>326</v>
      </c>
    </row>
    <row r="314" spans="1:9" ht="12.75">
      <c r="A314" s="670"/>
      <c r="B314" s="632"/>
      <c r="C314" s="638">
        <f>SUM(C309:C313)</f>
        <v>54707549</v>
      </c>
      <c r="D314" s="638">
        <f>SUM(D309:D313)</f>
        <v>63371853</v>
      </c>
      <c r="E314" s="638">
        <f>SUM(E309:E313)</f>
        <v>63349198</v>
      </c>
      <c r="F314" s="638">
        <f>SUM(F309:F313)</f>
        <v>63349198</v>
      </c>
      <c r="G314" s="638">
        <f>SUM(G309:G313)</f>
        <v>0</v>
      </c>
      <c r="H314" s="289"/>
      <c r="I314" s="672"/>
    </row>
    <row r="315" spans="1:12" ht="12.75">
      <c r="A315" s="613" t="str">
        <f>+'Eje Economico'!C88</f>
        <v>Pacho naranjero</v>
      </c>
      <c r="B315" s="635"/>
      <c r="C315" s="635"/>
      <c r="D315" s="635"/>
      <c r="E315" s="635"/>
      <c r="F315" s="635"/>
      <c r="G315" s="635"/>
      <c r="H315" s="290"/>
      <c r="I315" s="290"/>
      <c r="J315" s="153" t="e">
        <f>+#REF!*#REF!</f>
        <v>#REF!</v>
      </c>
      <c r="K315" s="153" t="e">
        <f>+J315*0.4</f>
        <v>#REF!</v>
      </c>
      <c r="L315" s="153" t="e">
        <f>+J315*0.6</f>
        <v>#REF!</v>
      </c>
    </row>
    <row r="316" spans="1:12" ht="25.5">
      <c r="A316" s="585">
        <v>226140253</v>
      </c>
      <c r="B316" s="589"/>
      <c r="C316" s="583">
        <v>55000000</v>
      </c>
      <c r="D316" s="583"/>
      <c r="E316" s="583"/>
      <c r="F316" s="583"/>
      <c r="G316" s="583"/>
      <c r="H316" s="288"/>
      <c r="I316" s="628" t="s">
        <v>322</v>
      </c>
      <c r="J316" s="153" t="e">
        <f>+#REF!*#REF!</f>
        <v>#REF!</v>
      </c>
      <c r="K316" s="153" t="e">
        <f>0.4*J316</f>
        <v>#REF!</v>
      </c>
      <c r="L316" s="153" t="e">
        <f>+J316*0.6</f>
        <v>#REF!</v>
      </c>
    </row>
    <row r="317" spans="1:11" ht="12.75">
      <c r="A317" s="670"/>
      <c r="B317" s="632"/>
      <c r="C317" s="671">
        <f>+C316</f>
        <v>55000000</v>
      </c>
      <c r="D317" s="671">
        <f>+D316</f>
        <v>0</v>
      </c>
      <c r="E317" s="671">
        <f>+E316</f>
        <v>0</v>
      </c>
      <c r="F317" s="671"/>
      <c r="G317" s="671"/>
      <c r="H317" s="299"/>
      <c r="I317" s="672"/>
      <c r="J317" s="153" t="e">
        <f>+#REF!*#REF!</f>
        <v>#REF!</v>
      </c>
      <c r="K317" s="153" t="e">
        <f>+J317*0.5</f>
        <v>#REF!</v>
      </c>
    </row>
    <row r="318" spans="9:12" ht="12.75">
      <c r="I318" s="680"/>
      <c r="J318" s="153" t="e">
        <f>+#REF!*#REF!</f>
        <v>#REF!</v>
      </c>
      <c r="K318" s="153" t="e">
        <f>+J318*0.7</f>
        <v>#REF!</v>
      </c>
      <c r="L318" s="153" t="e">
        <f>+J318*0.3</f>
        <v>#REF!</v>
      </c>
    </row>
    <row r="319" spans="1:10" ht="12.75">
      <c r="A319" s="613" t="str">
        <f>+'Eje Economico'!C107</f>
        <v>Creando estructura agropecuaria</v>
      </c>
      <c r="B319" s="635"/>
      <c r="C319" s="635"/>
      <c r="D319" s="635"/>
      <c r="E319" s="635"/>
      <c r="F319" s="635"/>
      <c r="G319" s="635"/>
      <c r="H319" s="290"/>
      <c r="I319" s="603"/>
      <c r="J319" s="153" t="e">
        <f>+#REF!*#REF!</f>
        <v>#REF!</v>
      </c>
    </row>
    <row r="320" spans="1:14" ht="25.5">
      <c r="A320" s="673">
        <v>226031217</v>
      </c>
      <c r="B320" s="589"/>
      <c r="C320" s="583">
        <v>22783000</v>
      </c>
      <c r="D320" s="583">
        <v>22447515</v>
      </c>
      <c r="E320" s="583">
        <v>21660120</v>
      </c>
      <c r="F320" s="583">
        <v>20315120</v>
      </c>
      <c r="G320" s="583">
        <f>+E320-F320</f>
        <v>1345000</v>
      </c>
      <c r="H320" s="288"/>
      <c r="I320" s="628" t="s">
        <v>325</v>
      </c>
      <c r="J320" s="153" t="e">
        <f>SUM(J315:J319)</f>
        <v>#REF!</v>
      </c>
      <c r="K320" s="153" t="e">
        <f>+J319*0.6</f>
        <v>#REF!</v>
      </c>
      <c r="N320" s="38">
        <f>2500000*1.16</f>
        <v>2900000</v>
      </c>
    </row>
    <row r="321" spans="1:9" ht="25.5">
      <c r="A321" s="585">
        <v>226160259</v>
      </c>
      <c r="B321" s="630"/>
      <c r="C321" s="681"/>
      <c r="D321" s="681"/>
      <c r="E321" s="681"/>
      <c r="F321" s="681"/>
      <c r="G321" s="681"/>
      <c r="H321" s="302"/>
      <c r="I321" s="631" t="s">
        <v>221</v>
      </c>
    </row>
    <row r="322" spans="1:9" ht="12.75">
      <c r="A322" s="670"/>
      <c r="B322" s="632"/>
      <c r="C322" s="671">
        <f>+C320</f>
        <v>22783000</v>
      </c>
      <c r="D322" s="671">
        <f>SUM(D320:D321)</f>
        <v>22447515</v>
      </c>
      <c r="E322" s="671">
        <f>SUM(E320:E321)</f>
        <v>21660120</v>
      </c>
      <c r="F322" s="671">
        <f>SUM(F320:F321)</f>
        <v>20315120</v>
      </c>
      <c r="G322" s="671">
        <f>SUM(G320:G321)</f>
        <v>1345000</v>
      </c>
      <c r="H322" s="299"/>
      <c r="I322" s="672"/>
    </row>
    <row r="323" spans="1:9" ht="12.75">
      <c r="A323" s="663"/>
      <c r="B323" s="663"/>
      <c r="C323" s="682"/>
      <c r="D323" s="682"/>
      <c r="E323" s="682"/>
      <c r="F323" s="682"/>
      <c r="G323" s="682"/>
      <c r="H323" s="300"/>
      <c r="I323" s="683"/>
    </row>
    <row r="324" spans="1:9" ht="12.75">
      <c r="A324" s="623" t="s">
        <v>232</v>
      </c>
      <c r="B324" s="623"/>
      <c r="C324" s="623"/>
      <c r="D324" s="684">
        <f>+D300+D307+D314+D317+D322</f>
        <v>628682280</v>
      </c>
      <c r="E324" s="684">
        <f>+E300+E307+E314+E317+E322</f>
        <v>625105655</v>
      </c>
      <c r="F324" s="684">
        <f>+F300+F307+F314+F317+F322</f>
        <v>493485655</v>
      </c>
      <c r="G324" s="684">
        <f>+G300+G307+G314+G317+G322</f>
        <v>131620000</v>
      </c>
      <c r="H324" s="301"/>
      <c r="I324" s="685">
        <f>139921759-5020226+64606985-11456+43388209-1500000+57626884-11185116</f>
        <v>287827039</v>
      </c>
    </row>
    <row r="325" spans="1:9" ht="12.75">
      <c r="A325" s="623"/>
      <c r="B325" s="623"/>
      <c r="C325" s="623"/>
      <c r="D325" s="684">
        <f>515505000+165177280</f>
        <v>680682280</v>
      </c>
      <c r="E325" s="684">
        <f>519534396-5400000+162966655-1000</f>
        <v>677100051</v>
      </c>
      <c r="F325" s="684">
        <f>333865000+161620655</f>
        <v>495485655</v>
      </c>
      <c r="G325" s="684">
        <f>180269396+1345000</f>
        <v>181614396</v>
      </c>
      <c r="I325" s="680"/>
    </row>
    <row r="326" spans="1:9" ht="12.75">
      <c r="A326" s="623"/>
      <c r="B326" s="623"/>
      <c r="C326" s="623"/>
      <c r="D326" s="684">
        <f>+D325-D324</f>
        <v>52000000</v>
      </c>
      <c r="E326" s="684">
        <f>+E325-E324</f>
        <v>51994396</v>
      </c>
      <c r="F326" s="684">
        <f>+F325-F324</f>
        <v>2000000</v>
      </c>
      <c r="G326" s="684">
        <f>+G325-G324</f>
        <v>49994396</v>
      </c>
      <c r="I326" s="680"/>
    </row>
    <row r="327" spans="1:9" ht="12.75">
      <c r="A327" s="613" t="s">
        <v>328</v>
      </c>
      <c r="B327" s="635"/>
      <c r="C327" s="635"/>
      <c r="D327" s="635"/>
      <c r="E327" s="635"/>
      <c r="F327" s="635"/>
      <c r="G327" s="635"/>
      <c r="H327" s="290"/>
      <c r="I327" s="603"/>
    </row>
    <row r="328" spans="1:9" ht="12.75">
      <c r="A328" s="585">
        <v>226121176</v>
      </c>
      <c r="B328" s="589"/>
      <c r="C328" s="583">
        <v>16500000</v>
      </c>
      <c r="D328" s="583">
        <v>19000000</v>
      </c>
      <c r="E328" s="583">
        <f>18939000-3000</f>
        <v>18936000</v>
      </c>
      <c r="F328" s="583">
        <f>+E328</f>
        <v>18936000</v>
      </c>
      <c r="G328" s="583">
        <f>+E328-F328</f>
        <v>0</v>
      </c>
      <c r="H328" s="288"/>
      <c r="I328" s="628" t="s">
        <v>330</v>
      </c>
    </row>
    <row r="329" spans="1:9" ht="25.5">
      <c r="A329" s="585">
        <v>226121177</v>
      </c>
      <c r="B329" s="589"/>
      <c r="C329" s="583">
        <v>55000000</v>
      </c>
      <c r="D329" s="583">
        <v>10000000</v>
      </c>
      <c r="E329" s="583">
        <v>10000000</v>
      </c>
      <c r="F329" s="583">
        <f>+E329</f>
        <v>10000000</v>
      </c>
      <c r="G329" s="583">
        <f>+E329-F329</f>
        <v>0</v>
      </c>
      <c r="H329" s="288"/>
      <c r="I329" s="628" t="s">
        <v>329</v>
      </c>
    </row>
    <row r="330" spans="1:9" ht="12.75">
      <c r="A330" s="585">
        <v>226121178</v>
      </c>
      <c r="B330" s="630"/>
      <c r="C330" s="681"/>
      <c r="D330" s="681">
        <v>28000000</v>
      </c>
      <c r="E330" s="681">
        <v>28000000</v>
      </c>
      <c r="F330" s="583">
        <f>+E330</f>
        <v>28000000</v>
      </c>
      <c r="G330" s="583">
        <f>+E330-F330</f>
        <v>0</v>
      </c>
      <c r="H330" s="302"/>
      <c r="I330" s="631" t="s">
        <v>31</v>
      </c>
    </row>
    <row r="331" spans="1:9" ht="12.75">
      <c r="A331" s="629">
        <v>226060182</v>
      </c>
      <c r="B331" s="630"/>
      <c r="C331" s="681"/>
      <c r="D331" s="681"/>
      <c r="E331" s="681"/>
      <c r="F331" s="583">
        <f>+E331</f>
        <v>0</v>
      </c>
      <c r="G331" s="681"/>
      <c r="H331" s="302"/>
      <c r="I331" s="631" t="s">
        <v>36</v>
      </c>
    </row>
    <row r="332" spans="1:9" ht="12.75">
      <c r="A332" s="670"/>
      <c r="B332" s="632"/>
      <c r="C332" s="671">
        <f>SUM(C328:C329)</f>
        <v>71500000</v>
      </c>
      <c r="D332" s="671">
        <f>SUM(D328:D331)</f>
        <v>57000000</v>
      </c>
      <c r="E332" s="671">
        <f>SUM(E328:E331)</f>
        <v>56936000</v>
      </c>
      <c r="F332" s="671">
        <f>SUM(F328:F331)</f>
        <v>56936000</v>
      </c>
      <c r="G332" s="671">
        <f>SUM(G328:G331)</f>
        <v>0</v>
      </c>
      <c r="H332" s="299"/>
      <c r="I332" s="627"/>
    </row>
    <row r="334" spans="1:8" ht="12.75">
      <c r="A334" s="623" t="s">
        <v>251</v>
      </c>
      <c r="B334" s="623"/>
      <c r="C334" s="684" t="e">
        <f>+C7+C13+C17+C20+C23+C49+C65+C73+C96+C101+C108+C118+C126+C163+C129+C138+C177+C152+C186+C197+#REF!+C241+C256+C278+C280+C300+C307+C314+C317+C322+C332</f>
        <v>#REF!</v>
      </c>
      <c r="D334" s="684">
        <f>+D25+D49+D65+D73+D96+D101+D187+D197+D201+D207+D216+D241+D256+D261+D278+D300+D307+D314+D317+D322+D332</f>
        <v>12128129171</v>
      </c>
      <c r="E334" s="684">
        <f>+E25+E49+E65+E73+E96+E101+E187+E197+E201+E207+E216+E241+E256+E261+E278+E300+E307+E314+E317+E322+E332</f>
        <v>10514695061</v>
      </c>
      <c r="F334" s="684">
        <f>+F25+F49+F65+F73+F96+F101+F187+F197+F201+F207+F216+F241+F256+F261+F278+F300+F307+F314+F317+F322+F332</f>
        <v>7419465078.5</v>
      </c>
      <c r="G334" s="684">
        <f>+G25+G49+G65+G73+G96+G101+G187+G197+G201+G207+G216+G241+G256+G261+G278+G300+G307+G314+G317+G322+G332</f>
        <v>3095229983.5</v>
      </c>
      <c r="H334" s="301"/>
    </row>
    <row r="336" spans="1:8" ht="12.75">
      <c r="A336" s="595" t="s">
        <v>327</v>
      </c>
      <c r="C336" s="686">
        <v>7439075783</v>
      </c>
      <c r="D336" s="687">
        <v>12008129171</v>
      </c>
      <c r="E336" s="686">
        <f>10572318823-177623760</f>
        <v>10394695063</v>
      </c>
      <c r="F336" s="686">
        <v>7299465080</v>
      </c>
      <c r="G336" s="686">
        <v>3095229983</v>
      </c>
      <c r="H336" s="153"/>
    </row>
    <row r="337" spans="1:8" ht="12.75">
      <c r="A337" s="595" t="s">
        <v>346</v>
      </c>
      <c r="C337" s="688" t="e">
        <f>+C336-C334</f>
        <v>#REF!</v>
      </c>
      <c r="D337" s="688">
        <f>+D336-D334</f>
        <v>-120000000</v>
      </c>
      <c r="E337" s="688">
        <f>+E336-E334</f>
        <v>-119999998</v>
      </c>
      <c r="F337" s="688">
        <f>+F128</f>
        <v>120000000</v>
      </c>
      <c r="G337" s="688">
        <v>0</v>
      </c>
      <c r="H337" s="257"/>
    </row>
    <row r="339" spans="1:8" ht="12.75">
      <c r="A339" s="595" t="s">
        <v>327</v>
      </c>
      <c r="D339" s="686">
        <v>12008129171</v>
      </c>
      <c r="E339" s="686">
        <f>10572318823-177623760</f>
        <v>10394695063</v>
      </c>
      <c r="F339" s="686">
        <f>+F336</f>
        <v>7299465080</v>
      </c>
      <c r="G339" s="686">
        <v>3095229983</v>
      </c>
      <c r="H339" s="153"/>
    </row>
    <row r="340" spans="1:8" ht="12.75">
      <c r="A340" s="595" t="s">
        <v>331</v>
      </c>
      <c r="D340" s="686">
        <v>120000000</v>
      </c>
      <c r="E340" s="686">
        <v>120000000</v>
      </c>
      <c r="F340" s="686">
        <f>+F337</f>
        <v>120000000</v>
      </c>
      <c r="G340" s="686">
        <v>0</v>
      </c>
      <c r="H340" s="153"/>
    </row>
    <row r="341" spans="4:8" ht="12.75">
      <c r="D341" s="688">
        <f>+D339+D340</f>
        <v>12128129171</v>
      </c>
      <c r="E341" s="688">
        <f>+E339+E340</f>
        <v>10514695063</v>
      </c>
      <c r="F341" s="688">
        <f>+F339+F340</f>
        <v>7419465080</v>
      </c>
      <c r="G341" s="688">
        <f>+G339-G340</f>
        <v>3095229983</v>
      </c>
      <c r="H341" s="257"/>
    </row>
    <row r="342" spans="4:8" ht="12.75">
      <c r="D342" s="688">
        <f>D334-D341</f>
        <v>0</v>
      </c>
      <c r="E342" s="688">
        <f>E334-E341</f>
        <v>-2</v>
      </c>
      <c r="F342" s="688">
        <f>F334-F341</f>
        <v>-1.5</v>
      </c>
      <c r="G342" s="688">
        <f>G334-G341</f>
        <v>0.5</v>
      </c>
      <c r="H342" s="257"/>
    </row>
  </sheetData>
  <sheetProtection/>
  <mergeCells count="1">
    <mergeCell ref="B1:D1"/>
  </mergeCells>
  <printOptions horizontalCentered="1"/>
  <pageMargins left="0.23" right="0.57" top="0.7874015748031497" bottom="0.7874015748031497" header="0" footer="0"/>
  <pageSetup horizontalDpi="600" verticalDpi="600" orientation="portrait" paperSize="9" scale="58" r:id="rId1"/>
  <rowBreaks count="2" manualBreakCount="2">
    <brk id="164" max="8" man="1"/>
    <brk id="256" max="9" man="1"/>
  </rowBreaks>
</worksheet>
</file>

<file path=xl/worksheets/sheet3.xml><?xml version="1.0" encoding="utf-8"?>
<worksheet xmlns="http://schemas.openxmlformats.org/spreadsheetml/2006/main" xmlns:r="http://schemas.openxmlformats.org/officeDocument/2006/relationships">
  <sheetPr>
    <tabColor theme="6" tint="-0.4999699890613556"/>
  </sheetPr>
  <dimension ref="A1:V134"/>
  <sheetViews>
    <sheetView view="pageBreakPreview" zoomScale="80" zoomScaleNormal="75" zoomScaleSheetLayoutView="80" zoomScalePageLayoutView="0" workbookViewId="0" topLeftCell="A114">
      <selection activeCell="A114" sqref="A1:IV16384"/>
    </sheetView>
  </sheetViews>
  <sheetFormatPr defaultColWidth="11.421875" defaultRowHeight="12.75"/>
  <cols>
    <col min="1" max="1" width="4.140625" style="26" customWidth="1"/>
    <col min="2" max="2" width="46.28125" style="26" customWidth="1"/>
    <col min="3" max="3" width="13.7109375" style="26" customWidth="1"/>
    <col min="4" max="4" width="12.00390625" style="26" customWidth="1"/>
    <col min="5" max="5" width="13.421875" style="26" customWidth="1"/>
    <col min="6" max="6" width="18.28125" style="26" customWidth="1"/>
    <col min="7" max="7" width="9.57421875" style="731" customWidth="1"/>
    <col min="8" max="8" width="12.00390625" style="26" bestFit="1" customWidth="1"/>
    <col min="9" max="9" width="10.8515625" style="26" bestFit="1" customWidth="1"/>
    <col min="10" max="10" width="10.7109375" style="26" customWidth="1"/>
    <col min="11" max="12" width="7.7109375" style="26" customWidth="1"/>
    <col min="13" max="13" width="13.00390625" style="26" bestFit="1" customWidth="1"/>
    <col min="14" max="14" width="20.57421875" style="136" bestFit="1" customWidth="1"/>
    <col min="15" max="15" width="19.57421875" style="136" bestFit="1" customWidth="1"/>
    <col min="16" max="16" width="25.8515625" style="26" customWidth="1"/>
    <col min="17" max="17" width="26.00390625" style="26" customWidth="1"/>
    <col min="18" max="19" width="16.7109375" style="26" bestFit="1" customWidth="1"/>
    <col min="20" max="21" width="11.421875" style="26" customWidth="1"/>
    <col min="22" max="22" width="13.57421875" style="26" bestFit="1" customWidth="1"/>
    <col min="23" max="16384" width="11.421875" style="26" customWidth="1"/>
  </cols>
  <sheetData>
    <row r="1" spans="1:17" ht="20.25" customHeight="1">
      <c r="A1" s="852" t="s">
        <v>420</v>
      </c>
      <c r="B1" s="852"/>
      <c r="C1" s="852"/>
      <c r="D1" s="852"/>
      <c r="E1" s="852"/>
      <c r="F1" s="852"/>
      <c r="G1" s="852"/>
      <c r="H1" s="852"/>
      <c r="I1" s="852"/>
      <c r="J1" s="852"/>
      <c r="K1" s="852"/>
      <c r="L1" s="852"/>
      <c r="M1" s="852"/>
      <c r="N1" s="852"/>
      <c r="O1" s="852"/>
      <c r="P1" s="852"/>
      <c r="Q1" s="852"/>
    </row>
    <row r="2" spans="1:17" ht="20.25" customHeight="1" thickBot="1">
      <c r="A2" s="853" t="s">
        <v>609</v>
      </c>
      <c r="B2" s="853"/>
      <c r="C2" s="853"/>
      <c r="D2" s="853"/>
      <c r="E2" s="853"/>
      <c r="F2" s="853"/>
      <c r="G2" s="853"/>
      <c r="H2" s="853"/>
      <c r="I2" s="853"/>
      <c r="J2" s="853"/>
      <c r="K2" s="853"/>
      <c r="L2" s="853"/>
      <c r="M2" s="853"/>
      <c r="N2" s="853"/>
      <c r="O2" s="853"/>
      <c r="P2" s="853"/>
      <c r="Q2" s="853"/>
    </row>
    <row r="3" spans="16:17" ht="13.5" thickBot="1">
      <c r="P3" s="854" t="s">
        <v>254</v>
      </c>
      <c r="Q3" s="855"/>
    </row>
    <row r="4" spans="1:17" ht="20.25" customHeight="1">
      <c r="A4" s="845" t="s">
        <v>76</v>
      </c>
      <c r="B4" s="845"/>
      <c r="C4" s="845"/>
      <c r="D4" s="845"/>
      <c r="E4" s="845"/>
      <c r="F4" s="845"/>
      <c r="P4" s="803" t="s">
        <v>755</v>
      </c>
      <c r="Q4" s="803"/>
    </row>
    <row r="5" spans="1:17" ht="20.25" customHeight="1">
      <c r="A5" s="845" t="s">
        <v>77</v>
      </c>
      <c r="B5" s="846"/>
      <c r="C5" s="846"/>
      <c r="D5" s="846"/>
      <c r="E5" s="846"/>
      <c r="F5" s="846"/>
      <c r="P5" s="868" t="s">
        <v>75</v>
      </c>
      <c r="Q5" s="868"/>
    </row>
    <row r="6" spans="1:9" ht="20.25" customHeight="1">
      <c r="A6" s="845" t="s">
        <v>800</v>
      </c>
      <c r="B6" s="846"/>
      <c r="C6" s="846"/>
      <c r="D6" s="846"/>
      <c r="E6" s="846"/>
      <c r="F6" s="846"/>
      <c r="G6" s="731" t="s">
        <v>72</v>
      </c>
      <c r="I6" s="126">
        <v>39083</v>
      </c>
    </row>
    <row r="7" ht="12.75"/>
    <row r="8" ht="13.5" thickBot="1"/>
    <row r="9" spans="1:17" ht="20.25" customHeight="1">
      <c r="A9" s="1" t="s">
        <v>424</v>
      </c>
      <c r="B9" s="2"/>
      <c r="C9" s="322" t="s">
        <v>660</v>
      </c>
      <c r="D9" s="2"/>
      <c r="E9" s="2"/>
      <c r="F9" s="3"/>
      <c r="G9" s="847" t="s">
        <v>425</v>
      </c>
      <c r="H9" s="848"/>
      <c r="I9" s="848"/>
      <c r="J9" s="848"/>
      <c r="K9" s="848"/>
      <c r="L9" s="848"/>
      <c r="M9" s="848"/>
      <c r="N9" s="848"/>
      <c r="O9" s="849"/>
      <c r="P9" s="847" t="s">
        <v>426</v>
      </c>
      <c r="Q9" s="849"/>
    </row>
    <row r="10" spans="1:17" ht="32.25" customHeight="1">
      <c r="A10" s="4" t="s">
        <v>422</v>
      </c>
      <c r="B10" s="5"/>
      <c r="C10" s="5" t="s">
        <v>661</v>
      </c>
      <c r="D10" s="5"/>
      <c r="E10" s="5"/>
      <c r="F10" s="6"/>
      <c r="G10" s="865" t="s">
        <v>286</v>
      </c>
      <c r="H10" s="866"/>
      <c r="I10" s="866"/>
      <c r="J10" s="866"/>
      <c r="K10" s="866"/>
      <c r="L10" s="866"/>
      <c r="M10" s="866"/>
      <c r="N10" s="866"/>
      <c r="O10" s="867"/>
      <c r="P10" s="127"/>
      <c r="Q10" s="28" t="s">
        <v>833</v>
      </c>
    </row>
    <row r="11" spans="1:17" ht="32.25" customHeight="1" thickBot="1">
      <c r="A11" s="807" t="s">
        <v>423</v>
      </c>
      <c r="B11" s="808"/>
      <c r="C11" s="808" t="s">
        <v>80</v>
      </c>
      <c r="D11" s="808"/>
      <c r="E11" s="808"/>
      <c r="F11" s="809"/>
      <c r="G11" s="805"/>
      <c r="H11" s="806"/>
      <c r="I11" s="806"/>
      <c r="J11" s="806"/>
      <c r="K11" s="806"/>
      <c r="L11" s="806"/>
      <c r="M11" s="806"/>
      <c r="N11" s="806"/>
      <c r="O11" s="802"/>
      <c r="P11" s="810"/>
      <c r="Q11" s="811"/>
    </row>
    <row r="12" spans="1:2" ht="13.5" thickBot="1">
      <c r="A12" s="26" t="s">
        <v>73</v>
      </c>
      <c r="B12" s="13"/>
    </row>
    <row r="13" spans="1:17" ht="20.25" customHeight="1">
      <c r="A13" s="837" t="s">
        <v>431</v>
      </c>
      <c r="B13" s="838"/>
      <c r="C13" s="838"/>
      <c r="D13" s="838"/>
      <c r="E13" s="838"/>
      <c r="F13" s="839"/>
      <c r="G13" s="837" t="s">
        <v>427</v>
      </c>
      <c r="H13" s="838"/>
      <c r="I13" s="838"/>
      <c r="J13" s="838"/>
      <c r="K13" s="838"/>
      <c r="L13" s="838"/>
      <c r="M13" s="838"/>
      <c r="N13" s="838"/>
      <c r="O13" s="839"/>
      <c r="P13" s="840" t="s">
        <v>428</v>
      </c>
      <c r="Q13" s="839" t="s">
        <v>429</v>
      </c>
    </row>
    <row r="14" spans="1:17" ht="13.5" thickBot="1">
      <c r="A14" s="128"/>
      <c r="B14" s="129"/>
      <c r="C14" s="129"/>
      <c r="D14" s="129"/>
      <c r="E14" s="129"/>
      <c r="F14" s="130"/>
      <c r="G14" s="732"/>
      <c r="H14" s="129"/>
      <c r="I14" s="129"/>
      <c r="J14" s="129"/>
      <c r="K14" s="129"/>
      <c r="L14" s="129"/>
      <c r="M14" s="129"/>
      <c r="N14" s="791"/>
      <c r="O14" s="792"/>
      <c r="P14" s="841"/>
      <c r="Q14" s="843"/>
    </row>
    <row r="15" spans="1:17" ht="88.5" customHeight="1" thickBot="1">
      <c r="A15" s="8" t="s">
        <v>430</v>
      </c>
      <c r="B15" s="11" t="s">
        <v>432</v>
      </c>
      <c r="C15" s="323" t="s">
        <v>739</v>
      </c>
      <c r="D15" s="323" t="s">
        <v>740</v>
      </c>
      <c r="E15" s="10" t="s">
        <v>741</v>
      </c>
      <c r="F15" s="9" t="s">
        <v>446</v>
      </c>
      <c r="G15" s="733" t="s">
        <v>436</v>
      </c>
      <c r="H15" s="12" t="s">
        <v>437</v>
      </c>
      <c r="I15" s="12" t="s">
        <v>438</v>
      </c>
      <c r="J15" s="12" t="s">
        <v>439</v>
      </c>
      <c r="K15" s="12" t="s">
        <v>663</v>
      </c>
      <c r="L15" s="12" t="s">
        <v>664</v>
      </c>
      <c r="M15" s="12" t="s">
        <v>442</v>
      </c>
      <c r="N15" s="793" t="s">
        <v>443</v>
      </c>
      <c r="O15" s="794" t="s">
        <v>444</v>
      </c>
      <c r="P15" s="841"/>
      <c r="Q15" s="843"/>
    </row>
    <row r="16" spans="1:17" ht="63.75">
      <c r="A16" s="131">
        <v>1</v>
      </c>
      <c r="B16" s="132" t="s">
        <v>670</v>
      </c>
      <c r="C16" s="812">
        <v>1300</v>
      </c>
      <c r="D16" s="812">
        <v>1800</v>
      </c>
      <c r="E16" s="23">
        <f aca="true" t="shared" si="0" ref="E16:E22">D16/C16</f>
        <v>1.3846153846153846</v>
      </c>
      <c r="F16" s="23">
        <f>320/100</f>
        <v>3.2</v>
      </c>
      <c r="G16" s="734">
        <f>4500</f>
        <v>4500</v>
      </c>
      <c r="H16" s="24"/>
      <c r="I16" s="24"/>
      <c r="J16" s="24"/>
      <c r="K16" s="24"/>
      <c r="L16" s="24"/>
      <c r="M16" s="24"/>
      <c r="N16" s="813">
        <f>SUM(G16:J16)</f>
        <v>4500</v>
      </c>
      <c r="O16" s="813">
        <f>+(4500)</f>
        <v>4500</v>
      </c>
      <c r="P16" s="341" t="s">
        <v>654</v>
      </c>
      <c r="Q16" s="359" t="s">
        <v>745</v>
      </c>
    </row>
    <row r="17" spans="1:17" ht="51">
      <c r="A17" s="16">
        <v>2</v>
      </c>
      <c r="B17" s="29" t="s">
        <v>344</v>
      </c>
      <c r="C17" s="324">
        <v>60</v>
      </c>
      <c r="D17" s="324">
        <v>85</v>
      </c>
      <c r="E17" s="133">
        <f t="shared" si="0"/>
        <v>1.4166666666666667</v>
      </c>
      <c r="F17" s="133">
        <v>3.2</v>
      </c>
      <c r="G17" s="31">
        <f>7500</f>
        <v>7500</v>
      </c>
      <c r="H17" s="30"/>
      <c r="I17" s="30"/>
      <c r="J17" s="30"/>
      <c r="K17" s="30"/>
      <c r="L17" s="30"/>
      <c r="M17" s="30"/>
      <c r="N17" s="814">
        <f>SUM(G17:M17)</f>
        <v>7500</v>
      </c>
      <c r="O17" s="800">
        <f>+(7500)</f>
        <v>7500</v>
      </c>
      <c r="P17" s="340" t="s">
        <v>654</v>
      </c>
      <c r="Q17" s="360" t="s">
        <v>671</v>
      </c>
    </row>
    <row r="18" spans="1:17" ht="38.25">
      <c r="A18" s="16">
        <v>3</v>
      </c>
      <c r="B18" s="29" t="s">
        <v>672</v>
      </c>
      <c r="C18" s="324">
        <v>150</v>
      </c>
      <c r="D18" s="324">
        <v>200</v>
      </c>
      <c r="E18" s="133">
        <f t="shared" si="0"/>
        <v>1.3333333333333333</v>
      </c>
      <c r="F18" s="133">
        <v>3.2</v>
      </c>
      <c r="G18" s="31"/>
      <c r="H18" s="30"/>
      <c r="I18" s="30"/>
      <c r="J18" s="30"/>
      <c r="K18" s="30"/>
      <c r="L18" s="30"/>
      <c r="M18" s="30"/>
      <c r="N18" s="814">
        <f>SUM(G18:M18)</f>
        <v>0</v>
      </c>
      <c r="O18" s="800"/>
      <c r="P18" s="340" t="s">
        <v>654</v>
      </c>
      <c r="Q18" s="360"/>
    </row>
    <row r="19" spans="1:17" ht="38.25">
      <c r="A19" s="16">
        <v>4</v>
      </c>
      <c r="B19" s="29" t="s">
        <v>250</v>
      </c>
      <c r="C19" s="815">
        <v>1600</v>
      </c>
      <c r="D19" s="815">
        <v>2100</v>
      </c>
      <c r="E19" s="133">
        <f t="shared" si="0"/>
        <v>1.3125</v>
      </c>
      <c r="F19" s="133">
        <v>3.2</v>
      </c>
      <c r="G19" s="31">
        <f>66132+5514.912</f>
        <v>71646.912</v>
      </c>
      <c r="H19" s="30"/>
      <c r="I19" s="30"/>
      <c r="J19" s="30"/>
      <c r="K19" s="30"/>
      <c r="L19" s="30"/>
      <c r="M19" s="30"/>
      <c r="N19" s="814">
        <f>SUM(G19:M19)</f>
        <v>71646.912</v>
      </c>
      <c r="O19" s="800">
        <f>+(71646.111)</f>
        <v>71646.111</v>
      </c>
      <c r="P19" s="340" t="s">
        <v>654</v>
      </c>
      <c r="Q19" s="360" t="s">
        <v>287</v>
      </c>
    </row>
    <row r="20" spans="1:17" ht="51">
      <c r="A20" s="16">
        <v>5</v>
      </c>
      <c r="B20" s="134" t="s">
        <v>673</v>
      </c>
      <c r="C20" s="324">
        <v>180</v>
      </c>
      <c r="D20" s="324">
        <v>230</v>
      </c>
      <c r="E20" s="133">
        <f t="shared" si="0"/>
        <v>1.2777777777777777</v>
      </c>
      <c r="F20" s="133">
        <v>3.2</v>
      </c>
      <c r="G20" s="31">
        <f>1000</f>
        <v>1000</v>
      </c>
      <c r="H20" s="30"/>
      <c r="I20" s="30"/>
      <c r="J20" s="30"/>
      <c r="K20" s="30"/>
      <c r="L20" s="30"/>
      <c r="M20" s="30"/>
      <c r="N20" s="814">
        <f aca="true" t="shared" si="1" ref="N20:N27">SUM(G20:M20)</f>
        <v>1000</v>
      </c>
      <c r="O20" s="800">
        <f>+(1000)</f>
        <v>1000</v>
      </c>
      <c r="P20" s="340" t="s">
        <v>654</v>
      </c>
      <c r="Q20" s="360" t="s">
        <v>674</v>
      </c>
    </row>
    <row r="21" spans="1:22" ht="38.25">
      <c r="A21" s="722">
        <v>6</v>
      </c>
      <c r="B21" s="134" t="s">
        <v>288</v>
      </c>
      <c r="C21" s="324">
        <v>380</v>
      </c>
      <c r="D21" s="324">
        <v>380</v>
      </c>
      <c r="E21" s="133">
        <f t="shared" si="0"/>
        <v>1</v>
      </c>
      <c r="F21" s="133">
        <v>3.2</v>
      </c>
      <c r="G21" s="31"/>
      <c r="H21" s="30"/>
      <c r="I21" s="30"/>
      <c r="J21" s="30"/>
      <c r="K21" s="30"/>
      <c r="L21" s="30"/>
      <c r="M21" s="30"/>
      <c r="N21" s="814">
        <f t="shared" si="1"/>
        <v>0</v>
      </c>
      <c r="O21" s="800">
        <v>0</v>
      </c>
      <c r="P21" s="340" t="s">
        <v>654</v>
      </c>
      <c r="Q21" s="738" t="s">
        <v>289</v>
      </c>
      <c r="V21" s="26">
        <v>6800000</v>
      </c>
    </row>
    <row r="22" spans="1:22" ht="51">
      <c r="A22" s="722">
        <v>7</v>
      </c>
      <c r="B22" s="29" t="s">
        <v>345</v>
      </c>
      <c r="C22" s="324">
        <v>15</v>
      </c>
      <c r="D22" s="324">
        <v>15</v>
      </c>
      <c r="E22" s="133">
        <f t="shared" si="0"/>
        <v>1</v>
      </c>
      <c r="F22" s="133">
        <v>3.2</v>
      </c>
      <c r="G22" s="31">
        <f>2350</f>
        <v>2350</v>
      </c>
      <c r="H22" s="333"/>
      <c r="I22" s="16"/>
      <c r="J22" s="16"/>
      <c r="K22" s="16"/>
      <c r="L22" s="16"/>
      <c r="M22" s="16"/>
      <c r="N22" s="814">
        <f t="shared" si="1"/>
        <v>2350</v>
      </c>
      <c r="O22" s="816">
        <f>+(2350)</f>
        <v>2350</v>
      </c>
      <c r="P22" s="340" t="s">
        <v>654</v>
      </c>
      <c r="Q22" s="360" t="s">
        <v>290</v>
      </c>
      <c r="V22" s="730">
        <f>V21/6</f>
        <v>1133333.3333333333</v>
      </c>
    </row>
    <row r="23" spans="1:22" ht="38.25">
      <c r="A23" s="722">
        <v>8</v>
      </c>
      <c r="B23" s="739" t="s">
        <v>675</v>
      </c>
      <c r="C23" s="724">
        <v>80</v>
      </c>
      <c r="D23" s="724">
        <v>120</v>
      </c>
      <c r="E23" s="133">
        <f>D23/C23</f>
        <v>1.5</v>
      </c>
      <c r="F23" s="133">
        <v>3.2</v>
      </c>
      <c r="G23" s="31"/>
      <c r="H23" s="333"/>
      <c r="I23" s="16"/>
      <c r="J23" s="16"/>
      <c r="K23" s="16"/>
      <c r="L23" s="16"/>
      <c r="M23" s="16"/>
      <c r="N23" s="814">
        <f t="shared" si="1"/>
        <v>0</v>
      </c>
      <c r="O23" s="816">
        <v>0</v>
      </c>
      <c r="P23" s="340" t="s">
        <v>654</v>
      </c>
      <c r="Q23" s="726" t="s">
        <v>291</v>
      </c>
      <c r="V23" s="730"/>
    </row>
    <row r="24" spans="1:17" ht="58.5" customHeight="1">
      <c r="A24" s="722">
        <v>9</v>
      </c>
      <c r="B24" s="723" t="s">
        <v>676</v>
      </c>
      <c r="C24" s="724">
        <v>30</v>
      </c>
      <c r="D24" s="724">
        <v>30</v>
      </c>
      <c r="E24" s="725">
        <f>D24/C24</f>
        <v>1</v>
      </c>
      <c r="F24" s="133">
        <v>3.2</v>
      </c>
      <c r="G24" s="31"/>
      <c r="H24" s="333"/>
      <c r="I24" s="31">
        <f>80000</f>
        <v>80000</v>
      </c>
      <c r="J24" s="16"/>
      <c r="K24" s="16"/>
      <c r="L24" s="16"/>
      <c r="M24" s="31"/>
      <c r="N24" s="814">
        <f t="shared" si="1"/>
        <v>80000</v>
      </c>
      <c r="O24" s="816">
        <f>+(80000)</f>
        <v>80000</v>
      </c>
      <c r="P24" s="340" t="s">
        <v>654</v>
      </c>
      <c r="Q24" s="726"/>
    </row>
    <row r="25" spans="1:17" ht="51">
      <c r="A25" s="722">
        <v>10</v>
      </c>
      <c r="B25" s="723" t="s">
        <v>677</v>
      </c>
      <c r="C25" s="724">
        <v>10</v>
      </c>
      <c r="D25" s="724">
        <v>10</v>
      </c>
      <c r="E25" s="725">
        <f>D25/C25</f>
        <v>1</v>
      </c>
      <c r="F25" s="133">
        <v>3.2</v>
      </c>
      <c r="G25" s="31">
        <v>4000</v>
      </c>
      <c r="H25" s="333"/>
      <c r="I25" s="31">
        <f>8000</f>
        <v>8000</v>
      </c>
      <c r="J25" s="16"/>
      <c r="K25" s="16"/>
      <c r="L25" s="16"/>
      <c r="M25" s="31"/>
      <c r="N25" s="814">
        <f t="shared" si="1"/>
        <v>12000</v>
      </c>
      <c r="O25" s="816">
        <f>+(7260)+4000</f>
        <v>11260</v>
      </c>
      <c r="P25" s="340" t="s">
        <v>654</v>
      </c>
      <c r="Q25" s="726"/>
    </row>
    <row r="26" spans="1:17" ht="51">
      <c r="A26" s="722">
        <v>11</v>
      </c>
      <c r="B26" s="723" t="s">
        <v>678</v>
      </c>
      <c r="C26" s="724">
        <v>60</v>
      </c>
      <c r="D26" s="724">
        <v>60</v>
      </c>
      <c r="E26" s="725">
        <f>D26/C26</f>
        <v>1</v>
      </c>
      <c r="F26" s="133">
        <v>3.2</v>
      </c>
      <c r="G26" s="31">
        <v>20000</v>
      </c>
      <c r="H26" s="30"/>
      <c r="I26" s="31">
        <f>55000</f>
        <v>55000</v>
      </c>
      <c r="J26" s="30"/>
      <c r="K26" s="30"/>
      <c r="L26" s="30"/>
      <c r="M26" s="31"/>
      <c r="N26" s="814">
        <f t="shared" si="1"/>
        <v>75000</v>
      </c>
      <c r="O26" s="816">
        <f>+(55000)+20000</f>
        <v>75000</v>
      </c>
      <c r="P26" s="340" t="s">
        <v>654</v>
      </c>
      <c r="Q26" s="726"/>
    </row>
    <row r="27" spans="1:17" ht="43.5" customHeight="1">
      <c r="A27" s="722">
        <v>12</v>
      </c>
      <c r="B27" s="723" t="s">
        <v>679</v>
      </c>
      <c r="C27" s="724">
        <v>15</v>
      </c>
      <c r="D27" s="724">
        <v>8</v>
      </c>
      <c r="E27" s="725">
        <f>D27/C27</f>
        <v>0.5333333333333333</v>
      </c>
      <c r="F27" s="133">
        <v>3.2</v>
      </c>
      <c r="G27" s="31"/>
      <c r="H27" s="30">
        <f>150000</f>
        <v>150000</v>
      </c>
      <c r="I27" s="30"/>
      <c r="J27" s="30"/>
      <c r="K27" s="30"/>
      <c r="L27" s="30"/>
      <c r="M27" s="30"/>
      <c r="N27" s="814">
        <f t="shared" si="1"/>
        <v>150000</v>
      </c>
      <c r="O27" s="800">
        <f>+(150000)</f>
        <v>150000</v>
      </c>
      <c r="P27" s="340" t="s">
        <v>654</v>
      </c>
      <c r="Q27" s="726" t="s">
        <v>674</v>
      </c>
    </row>
    <row r="28" spans="1:17" ht="24.75" customHeight="1" thickBot="1">
      <c r="A28" s="135"/>
      <c r="B28" s="7" t="s">
        <v>445</v>
      </c>
      <c r="C28" s="135"/>
      <c r="D28" s="135"/>
      <c r="E28" s="135"/>
      <c r="F28" s="135"/>
      <c r="G28" s="20">
        <f>SUM(G16:G27)</f>
        <v>110996.912</v>
      </c>
      <c r="H28" s="17">
        <f>SUM(H16:H27)</f>
        <v>150000</v>
      </c>
      <c r="I28" s="17">
        <f>SUM(I16:I22)</f>
        <v>0</v>
      </c>
      <c r="J28" s="17">
        <f>SUM(J16:J22)</f>
        <v>0</v>
      </c>
      <c r="K28" s="17">
        <f>SUM(K16:K22)</f>
        <v>0</v>
      </c>
      <c r="L28" s="17">
        <f>SUM(L16:L22)</f>
        <v>0</v>
      </c>
      <c r="M28" s="17">
        <f>SUM(M16:M27)</f>
        <v>0</v>
      </c>
      <c r="N28" s="17">
        <f>SUM(N16:N27)</f>
        <v>403996.912</v>
      </c>
      <c r="O28" s="17">
        <f>SUM(O16:O27)</f>
        <v>403256.11100000003</v>
      </c>
      <c r="P28" s="135"/>
      <c r="Q28" s="135"/>
    </row>
    <row r="29" spans="10:19" ht="12.75">
      <c r="J29" s="136"/>
      <c r="R29" s="701">
        <f>+'Resumen presupuesto ejecutado'!D300</f>
        <v>518311912</v>
      </c>
      <c r="S29" s="701">
        <f>+'Resumen presupuesto ejecutado'!E300</f>
        <v>516946111</v>
      </c>
    </row>
    <row r="30" spans="1:17" ht="12.75">
      <c r="A30" s="852" t="s">
        <v>420</v>
      </c>
      <c r="B30" s="852"/>
      <c r="C30" s="852"/>
      <c r="D30" s="852"/>
      <c r="E30" s="852"/>
      <c r="F30" s="852"/>
      <c r="G30" s="852"/>
      <c r="H30" s="852"/>
      <c r="I30" s="852"/>
      <c r="J30" s="852"/>
      <c r="K30" s="852"/>
      <c r="L30" s="852"/>
      <c r="M30" s="852"/>
      <c r="N30" s="852"/>
      <c r="O30" s="852"/>
      <c r="P30" s="852"/>
      <c r="Q30" s="852"/>
    </row>
    <row r="31" spans="1:17" ht="16.5" thickBot="1">
      <c r="A31" s="853" t="s">
        <v>609</v>
      </c>
      <c r="B31" s="853"/>
      <c r="C31" s="853"/>
      <c r="D31" s="853"/>
      <c r="E31" s="853"/>
      <c r="F31" s="853"/>
      <c r="G31" s="853"/>
      <c r="H31" s="853"/>
      <c r="I31" s="853"/>
      <c r="J31" s="853"/>
      <c r="K31" s="853"/>
      <c r="L31" s="853"/>
      <c r="M31" s="853"/>
      <c r="N31" s="853"/>
      <c r="O31" s="853"/>
      <c r="P31" s="853"/>
      <c r="Q31" s="853"/>
    </row>
    <row r="32" spans="16:17" ht="13.5" thickBot="1">
      <c r="P32" s="854" t="s">
        <v>421</v>
      </c>
      <c r="Q32" s="855"/>
    </row>
    <row r="33" spans="1:17" ht="12.75">
      <c r="A33" s="845" t="s">
        <v>76</v>
      </c>
      <c r="B33" s="845"/>
      <c r="C33" s="845"/>
      <c r="D33" s="845"/>
      <c r="E33" s="845"/>
      <c r="F33" s="845"/>
      <c r="P33" s="803" t="s">
        <v>756</v>
      </c>
      <c r="Q33" s="803"/>
    </row>
    <row r="34" spans="1:17" ht="12.75">
      <c r="A34" s="845" t="s">
        <v>77</v>
      </c>
      <c r="B34" s="846"/>
      <c r="C34" s="846"/>
      <c r="D34" s="846"/>
      <c r="E34" s="846"/>
      <c r="F34" s="846"/>
      <c r="P34" s="846" t="s">
        <v>75</v>
      </c>
      <c r="Q34" s="846"/>
    </row>
    <row r="35" spans="1:9" ht="12.75">
      <c r="A35" s="845" t="s">
        <v>800</v>
      </c>
      <c r="B35" s="846"/>
      <c r="C35" s="846"/>
      <c r="D35" s="846"/>
      <c r="E35" s="846"/>
      <c r="F35" s="846"/>
      <c r="G35" s="731" t="s">
        <v>72</v>
      </c>
      <c r="I35" s="126">
        <v>39083</v>
      </c>
    </row>
    <row r="36" ht="12.75"/>
    <row r="37" ht="13.5" thickBot="1"/>
    <row r="38" spans="1:17" ht="12.75">
      <c r="A38" s="1" t="s">
        <v>424</v>
      </c>
      <c r="B38" s="2"/>
      <c r="C38" s="322" t="s">
        <v>660</v>
      </c>
      <c r="D38" s="2"/>
      <c r="E38" s="2"/>
      <c r="F38" s="3"/>
      <c r="G38" s="847" t="s">
        <v>425</v>
      </c>
      <c r="H38" s="848"/>
      <c r="I38" s="848"/>
      <c r="J38" s="848"/>
      <c r="K38" s="848"/>
      <c r="L38" s="848"/>
      <c r="M38" s="848"/>
      <c r="N38" s="848"/>
      <c r="O38" s="849"/>
      <c r="P38" s="847" t="s">
        <v>426</v>
      </c>
      <c r="Q38" s="849"/>
    </row>
    <row r="39" spans="1:17" ht="21.75" customHeight="1">
      <c r="A39" s="4" t="s">
        <v>422</v>
      </c>
      <c r="B39" s="5"/>
      <c r="C39" s="5" t="s">
        <v>661</v>
      </c>
      <c r="D39" s="5"/>
      <c r="E39" s="5"/>
      <c r="F39" s="6"/>
      <c r="G39" s="865" t="s">
        <v>680</v>
      </c>
      <c r="H39" s="866"/>
      <c r="I39" s="866"/>
      <c r="J39" s="866"/>
      <c r="K39" s="866"/>
      <c r="L39" s="866"/>
      <c r="M39" s="866"/>
      <c r="N39" s="866"/>
      <c r="O39" s="867"/>
      <c r="P39" s="127"/>
      <c r="Q39" s="137" t="s">
        <v>650</v>
      </c>
    </row>
    <row r="40" spans="1:17" ht="21.75" customHeight="1" thickBot="1">
      <c r="A40" s="807" t="s">
        <v>423</v>
      </c>
      <c r="B40" s="808"/>
      <c r="C40" s="808" t="s">
        <v>87</v>
      </c>
      <c r="D40" s="808"/>
      <c r="E40" s="808"/>
      <c r="F40" s="809"/>
      <c r="G40" s="805"/>
      <c r="H40" s="806"/>
      <c r="I40" s="806"/>
      <c r="J40" s="806"/>
      <c r="K40" s="806"/>
      <c r="L40" s="806"/>
      <c r="M40" s="806"/>
      <c r="N40" s="806"/>
      <c r="O40" s="802"/>
      <c r="P40" s="810"/>
      <c r="Q40" s="811"/>
    </row>
    <row r="41" spans="1:2" ht="13.5" thickBot="1">
      <c r="A41" s="26" t="s">
        <v>73</v>
      </c>
      <c r="B41" s="13"/>
    </row>
    <row r="42" spans="1:17" ht="12.75">
      <c r="A42" s="837" t="s">
        <v>431</v>
      </c>
      <c r="B42" s="838"/>
      <c r="C42" s="838"/>
      <c r="D42" s="838"/>
      <c r="E42" s="838"/>
      <c r="F42" s="839"/>
      <c r="G42" s="837" t="s">
        <v>427</v>
      </c>
      <c r="H42" s="838"/>
      <c r="I42" s="838"/>
      <c r="J42" s="838"/>
      <c r="K42" s="838"/>
      <c r="L42" s="838"/>
      <c r="M42" s="838"/>
      <c r="N42" s="838"/>
      <c r="O42" s="839"/>
      <c r="P42" s="840" t="s">
        <v>428</v>
      </c>
      <c r="Q42" s="839" t="s">
        <v>429</v>
      </c>
    </row>
    <row r="43" spans="1:17" ht="13.5" thickBot="1">
      <c r="A43" s="128"/>
      <c r="B43" s="129"/>
      <c r="C43" s="129"/>
      <c r="D43" s="129"/>
      <c r="E43" s="129"/>
      <c r="F43" s="130"/>
      <c r="G43" s="732"/>
      <c r="H43" s="129"/>
      <c r="I43" s="129"/>
      <c r="J43" s="129"/>
      <c r="K43" s="129"/>
      <c r="L43" s="129"/>
      <c r="M43" s="129"/>
      <c r="N43" s="791"/>
      <c r="O43" s="792"/>
      <c r="P43" s="841"/>
      <c r="Q43" s="843"/>
    </row>
    <row r="44" spans="1:17" ht="51.75" thickBot="1">
      <c r="A44" s="343" t="s">
        <v>430</v>
      </c>
      <c r="B44" s="344" t="s">
        <v>432</v>
      </c>
      <c r="C44" s="323" t="s">
        <v>739</v>
      </c>
      <c r="D44" s="323" t="s">
        <v>434</v>
      </c>
      <c r="E44" s="345" t="s">
        <v>435</v>
      </c>
      <c r="F44" s="346" t="s">
        <v>446</v>
      </c>
      <c r="G44" s="735" t="s">
        <v>436</v>
      </c>
      <c r="H44" s="19" t="s">
        <v>437</v>
      </c>
      <c r="I44" s="19" t="s">
        <v>438</v>
      </c>
      <c r="J44" s="19" t="s">
        <v>439</v>
      </c>
      <c r="K44" s="19" t="s">
        <v>440</v>
      </c>
      <c r="L44" s="19" t="s">
        <v>441</v>
      </c>
      <c r="M44" s="19" t="s">
        <v>442</v>
      </c>
      <c r="N44" s="795" t="s">
        <v>443</v>
      </c>
      <c r="O44" s="796" t="s">
        <v>444</v>
      </c>
      <c r="P44" s="842"/>
      <c r="Q44" s="844"/>
    </row>
    <row r="45" spans="1:17" ht="82.5" customHeight="1">
      <c r="A45" s="16">
        <v>1</v>
      </c>
      <c r="B45" s="740" t="s">
        <v>292</v>
      </c>
      <c r="C45" s="324">
        <v>600</v>
      </c>
      <c r="D45" s="324">
        <v>750</v>
      </c>
      <c r="E45" s="725">
        <f aca="true" t="shared" si="2" ref="E45:E51">D45/C45</f>
        <v>1.25</v>
      </c>
      <c r="F45" s="133">
        <f aca="true" t="shared" si="3" ref="F45:F51">50/20</f>
        <v>2.5</v>
      </c>
      <c r="G45" s="31">
        <f>130315-4000-20000-4000</f>
        <v>102315</v>
      </c>
      <c r="H45" s="30"/>
      <c r="I45" s="30"/>
      <c r="J45" s="30"/>
      <c r="K45" s="30"/>
      <c r="L45" s="30"/>
      <c r="M45" s="30"/>
      <c r="N45" s="814">
        <f aca="true" t="shared" si="4" ref="N45:N51">SUM(G45:M45)</f>
        <v>102315</v>
      </c>
      <c r="O45" s="800">
        <f>+(129690)-4000-20000-4000</f>
        <v>101690</v>
      </c>
      <c r="P45" s="340" t="s">
        <v>367</v>
      </c>
      <c r="Q45" s="16"/>
    </row>
    <row r="46" spans="1:17" ht="38.25">
      <c r="A46" s="16">
        <v>2</v>
      </c>
      <c r="B46" s="29" t="s">
        <v>293</v>
      </c>
      <c r="C46" s="324">
        <v>80</v>
      </c>
      <c r="D46" s="324">
        <v>130</v>
      </c>
      <c r="E46" s="725">
        <f t="shared" si="2"/>
        <v>1.625</v>
      </c>
      <c r="F46" s="133">
        <f t="shared" si="3"/>
        <v>2.5</v>
      </c>
      <c r="G46" s="31"/>
      <c r="H46" s="30"/>
      <c r="I46" s="30"/>
      <c r="J46" s="30"/>
      <c r="K46" s="30"/>
      <c r="L46" s="30"/>
      <c r="M46" s="30"/>
      <c r="N46" s="814">
        <f t="shared" si="4"/>
        <v>0</v>
      </c>
      <c r="O46" s="800"/>
      <c r="P46" s="340" t="s">
        <v>367</v>
      </c>
      <c r="Q46" s="16"/>
    </row>
    <row r="47" spans="1:17" ht="38.25">
      <c r="A47" s="722">
        <v>3</v>
      </c>
      <c r="B47" s="739" t="s">
        <v>296</v>
      </c>
      <c r="C47" s="724">
        <v>50</v>
      </c>
      <c r="D47" s="724">
        <v>45</v>
      </c>
      <c r="E47" s="725">
        <f t="shared" si="2"/>
        <v>0.9</v>
      </c>
      <c r="F47" s="133">
        <f t="shared" si="3"/>
        <v>2.5</v>
      </c>
      <c r="G47" s="744">
        <v>4000</v>
      </c>
      <c r="H47" s="745"/>
      <c r="I47" s="745"/>
      <c r="J47" s="745"/>
      <c r="K47" s="745"/>
      <c r="L47" s="745"/>
      <c r="M47" s="745"/>
      <c r="N47" s="814">
        <f t="shared" si="4"/>
        <v>4000</v>
      </c>
      <c r="O47" s="817">
        <v>4000</v>
      </c>
      <c r="P47" s="340" t="s">
        <v>367</v>
      </c>
      <c r="Q47" s="722"/>
    </row>
    <row r="48" spans="1:17" ht="38.25">
      <c r="A48" s="722">
        <v>4</v>
      </c>
      <c r="B48" s="739" t="s">
        <v>649</v>
      </c>
      <c r="C48" s="724">
        <v>90</v>
      </c>
      <c r="D48" s="724">
        <v>91</v>
      </c>
      <c r="E48" s="725">
        <f t="shared" si="2"/>
        <v>1.011111111111111</v>
      </c>
      <c r="F48" s="133">
        <f t="shared" si="3"/>
        <v>2.5</v>
      </c>
      <c r="G48" s="744"/>
      <c r="H48" s="745"/>
      <c r="I48" s="745"/>
      <c r="J48" s="745"/>
      <c r="K48" s="745"/>
      <c r="L48" s="745"/>
      <c r="M48" s="745"/>
      <c r="N48" s="814">
        <f t="shared" si="4"/>
        <v>0</v>
      </c>
      <c r="O48" s="817"/>
      <c r="P48" s="340" t="s">
        <v>367</v>
      </c>
      <c r="Q48" s="722"/>
    </row>
    <row r="49" spans="1:17" ht="38.25">
      <c r="A49" s="16">
        <v>5</v>
      </c>
      <c r="B49" s="29" t="s">
        <v>294</v>
      </c>
      <c r="C49" s="324">
        <v>150</v>
      </c>
      <c r="D49" s="324">
        <v>180</v>
      </c>
      <c r="E49" s="725">
        <f t="shared" si="2"/>
        <v>1.2</v>
      </c>
      <c r="F49" s="133">
        <f t="shared" si="3"/>
        <v>2.5</v>
      </c>
      <c r="G49" s="31"/>
      <c r="H49" s="30"/>
      <c r="I49" s="30"/>
      <c r="J49" s="30"/>
      <c r="K49" s="30"/>
      <c r="L49" s="30"/>
      <c r="M49" s="30"/>
      <c r="N49" s="814">
        <f t="shared" si="4"/>
        <v>0</v>
      </c>
      <c r="O49" s="800"/>
      <c r="P49" s="340" t="s">
        <v>367</v>
      </c>
      <c r="Q49" s="16"/>
    </row>
    <row r="50" spans="1:17" ht="38.25">
      <c r="A50" s="16">
        <v>6</v>
      </c>
      <c r="B50" s="29" t="s">
        <v>295</v>
      </c>
      <c r="C50" s="324">
        <v>200</v>
      </c>
      <c r="D50" s="324">
        <v>250</v>
      </c>
      <c r="E50" s="725">
        <f t="shared" si="2"/>
        <v>1.25</v>
      </c>
      <c r="F50" s="133">
        <f t="shared" si="3"/>
        <v>2.5</v>
      </c>
      <c r="G50" s="31">
        <f>11990.3+5560.7</f>
        <v>17551</v>
      </c>
      <c r="H50" s="30"/>
      <c r="I50" s="30"/>
      <c r="J50" s="30"/>
      <c r="K50" s="30"/>
      <c r="L50" s="30"/>
      <c r="M50" s="30"/>
      <c r="N50" s="814">
        <f t="shared" si="4"/>
        <v>17551</v>
      </c>
      <c r="O50" s="800">
        <f>(11989.299)+(4160.927)</f>
        <v>16150.226</v>
      </c>
      <c r="P50" s="340" t="s">
        <v>367</v>
      </c>
      <c r="Q50" s="16"/>
    </row>
    <row r="51" spans="1:17" ht="38.25">
      <c r="A51" s="16">
        <v>7</v>
      </c>
      <c r="B51" s="29" t="s">
        <v>651</v>
      </c>
      <c r="C51" s="324">
        <v>31</v>
      </c>
      <c r="D51" s="324">
        <v>31</v>
      </c>
      <c r="E51" s="725">
        <f t="shared" si="2"/>
        <v>1</v>
      </c>
      <c r="F51" s="133">
        <f t="shared" si="3"/>
        <v>2.5</v>
      </c>
      <c r="G51" s="31">
        <f>7000</f>
        <v>7000</v>
      </c>
      <c r="H51" s="30"/>
      <c r="I51" s="30"/>
      <c r="J51" s="30"/>
      <c r="K51" s="30"/>
      <c r="L51" s="30"/>
      <c r="M51" s="30"/>
      <c r="N51" s="814">
        <f t="shared" si="4"/>
        <v>7000</v>
      </c>
      <c r="O51" s="800">
        <f>+(7000)</f>
        <v>7000</v>
      </c>
      <c r="P51" s="340" t="s">
        <v>367</v>
      </c>
      <c r="Q51" s="16"/>
    </row>
    <row r="52" spans="1:17" ht="13.5" thickBot="1">
      <c r="A52" s="135"/>
      <c r="B52" s="7" t="s">
        <v>445</v>
      </c>
      <c r="C52" s="135"/>
      <c r="D52" s="135"/>
      <c r="E52" s="135"/>
      <c r="F52" s="135"/>
      <c r="G52" s="20">
        <f aca="true" t="shared" si="5" ref="G52:M52">SUM(G51:G51)</f>
        <v>7000</v>
      </c>
      <c r="H52" s="17">
        <f t="shared" si="5"/>
        <v>0</v>
      </c>
      <c r="I52" s="17">
        <f t="shared" si="5"/>
        <v>0</v>
      </c>
      <c r="J52" s="17">
        <f t="shared" si="5"/>
        <v>0</v>
      </c>
      <c r="K52" s="17">
        <f t="shared" si="5"/>
        <v>0</v>
      </c>
      <c r="L52" s="17">
        <f t="shared" si="5"/>
        <v>0</v>
      </c>
      <c r="M52" s="17">
        <f t="shared" si="5"/>
        <v>0</v>
      </c>
      <c r="N52" s="17">
        <f>SUM(N45:N51)</f>
        <v>130866</v>
      </c>
      <c r="O52" s="17">
        <f>SUM(O45:O51)</f>
        <v>128840.226</v>
      </c>
      <c r="P52" s="135"/>
      <c r="Q52" s="135"/>
    </row>
    <row r="53" spans="10:15" ht="12.75">
      <c r="J53" s="136"/>
      <c r="O53" s="797">
        <f>+'Resumen presupuesto ejecutado'!E307</f>
        <v>23150226</v>
      </c>
    </row>
    <row r="54" spans="1:17" ht="12.75">
      <c r="A54" s="852" t="s">
        <v>420</v>
      </c>
      <c r="B54" s="852"/>
      <c r="C54" s="852"/>
      <c r="D54" s="852"/>
      <c r="E54" s="852"/>
      <c r="F54" s="852"/>
      <c r="G54" s="852"/>
      <c r="H54" s="852"/>
      <c r="I54" s="852"/>
      <c r="J54" s="852"/>
      <c r="K54" s="852"/>
      <c r="L54" s="852"/>
      <c r="M54" s="852"/>
      <c r="N54" s="852"/>
      <c r="O54" s="852"/>
      <c r="P54" s="852"/>
      <c r="Q54" s="852"/>
    </row>
    <row r="55" spans="1:17" ht="16.5" thickBot="1">
      <c r="A55" s="853" t="s">
        <v>609</v>
      </c>
      <c r="B55" s="853"/>
      <c r="C55" s="853"/>
      <c r="D55" s="853"/>
      <c r="E55" s="853"/>
      <c r="F55" s="853"/>
      <c r="G55" s="853"/>
      <c r="H55" s="853"/>
      <c r="I55" s="853"/>
      <c r="J55" s="853"/>
      <c r="K55" s="853"/>
      <c r="L55" s="853"/>
      <c r="M55" s="853"/>
      <c r="N55" s="853"/>
      <c r="O55" s="853"/>
      <c r="P55" s="853"/>
      <c r="Q55" s="853"/>
    </row>
    <row r="56" spans="16:17" ht="13.5" thickBot="1">
      <c r="P56" s="854" t="s">
        <v>90</v>
      </c>
      <c r="Q56" s="855"/>
    </row>
    <row r="57" spans="1:17" ht="12.75">
      <c r="A57" s="845" t="s">
        <v>76</v>
      </c>
      <c r="B57" s="845"/>
      <c r="C57" s="845"/>
      <c r="D57" s="845"/>
      <c r="E57" s="845"/>
      <c r="F57" s="845"/>
      <c r="P57" s="803" t="s">
        <v>757</v>
      </c>
      <c r="Q57" s="803"/>
    </row>
    <row r="58" spans="1:17" ht="12.75">
      <c r="A58" s="845" t="s">
        <v>77</v>
      </c>
      <c r="B58" s="846"/>
      <c r="C58" s="846"/>
      <c r="D58" s="846"/>
      <c r="E58" s="846"/>
      <c r="F58" s="846"/>
      <c r="P58" s="846" t="s">
        <v>75</v>
      </c>
      <c r="Q58" s="846"/>
    </row>
    <row r="59" spans="1:9" ht="12.75">
      <c r="A59" s="845" t="s">
        <v>800</v>
      </c>
      <c r="B59" s="846"/>
      <c r="C59" s="846"/>
      <c r="D59" s="846"/>
      <c r="E59" s="846"/>
      <c r="F59" s="846"/>
      <c r="G59" s="731" t="s">
        <v>72</v>
      </c>
      <c r="I59" s="126">
        <v>39083</v>
      </c>
    </row>
    <row r="60" ht="12.75"/>
    <row r="61" ht="13.5" thickBot="1"/>
    <row r="62" spans="1:17" ht="13.5" thickBot="1">
      <c r="A62" s="1" t="s">
        <v>424</v>
      </c>
      <c r="B62" s="2"/>
      <c r="C62" s="322" t="s">
        <v>78</v>
      </c>
      <c r="D62" s="2"/>
      <c r="E62" s="2"/>
      <c r="F62" s="3"/>
      <c r="G62" s="847" t="s">
        <v>425</v>
      </c>
      <c r="H62" s="848"/>
      <c r="I62" s="848"/>
      <c r="J62" s="848"/>
      <c r="K62" s="848"/>
      <c r="L62" s="848"/>
      <c r="M62" s="848"/>
      <c r="N62" s="848"/>
      <c r="O62" s="849"/>
      <c r="P62" s="847" t="s">
        <v>426</v>
      </c>
      <c r="Q62" s="849"/>
    </row>
    <row r="63" spans="1:17" ht="25.5" customHeight="1">
      <c r="A63" s="4" t="s">
        <v>422</v>
      </c>
      <c r="B63" s="5"/>
      <c r="C63" s="5" t="s">
        <v>79</v>
      </c>
      <c r="D63" s="5"/>
      <c r="E63" s="5"/>
      <c r="F63" s="6"/>
      <c r="G63" s="862" t="s">
        <v>338</v>
      </c>
      <c r="H63" s="863"/>
      <c r="I63" s="863"/>
      <c r="J63" s="863"/>
      <c r="K63" s="863"/>
      <c r="L63" s="863"/>
      <c r="M63" s="863"/>
      <c r="N63" s="863"/>
      <c r="O63" s="864"/>
      <c r="P63" s="127"/>
      <c r="Q63" s="137" t="s">
        <v>652</v>
      </c>
    </row>
    <row r="64" spans="1:17" ht="32.25" customHeight="1" thickBot="1">
      <c r="A64" s="807" t="s">
        <v>423</v>
      </c>
      <c r="B64" s="808"/>
      <c r="C64" s="808" t="s">
        <v>89</v>
      </c>
      <c r="D64" s="808"/>
      <c r="E64" s="808"/>
      <c r="F64" s="809"/>
      <c r="G64" s="859"/>
      <c r="H64" s="860"/>
      <c r="I64" s="860"/>
      <c r="J64" s="860"/>
      <c r="K64" s="860"/>
      <c r="L64" s="860"/>
      <c r="M64" s="860"/>
      <c r="N64" s="860"/>
      <c r="O64" s="861"/>
      <c r="P64" s="810"/>
      <c r="Q64" s="811"/>
    </row>
    <row r="65" spans="1:2" ht="13.5" thickBot="1">
      <c r="A65" s="26" t="s">
        <v>73</v>
      </c>
      <c r="B65" s="13"/>
    </row>
    <row r="66" spans="1:17" ht="12.75">
      <c r="A66" s="837" t="s">
        <v>431</v>
      </c>
      <c r="B66" s="838"/>
      <c r="C66" s="838"/>
      <c r="D66" s="838"/>
      <c r="E66" s="838"/>
      <c r="F66" s="839"/>
      <c r="G66" s="837" t="s">
        <v>427</v>
      </c>
      <c r="H66" s="838"/>
      <c r="I66" s="838"/>
      <c r="J66" s="838"/>
      <c r="K66" s="838"/>
      <c r="L66" s="838"/>
      <c r="M66" s="838"/>
      <c r="N66" s="838"/>
      <c r="O66" s="839"/>
      <c r="P66" s="840" t="s">
        <v>428</v>
      </c>
      <c r="Q66" s="839" t="s">
        <v>429</v>
      </c>
    </row>
    <row r="67" spans="1:17" ht="13.5" thickBot="1">
      <c r="A67" s="128"/>
      <c r="B67" s="129"/>
      <c r="C67" s="129"/>
      <c r="D67" s="129"/>
      <c r="E67" s="129"/>
      <c r="F67" s="130"/>
      <c r="G67" s="732"/>
      <c r="H67" s="129"/>
      <c r="I67" s="129"/>
      <c r="J67" s="129"/>
      <c r="K67" s="129"/>
      <c r="L67" s="129"/>
      <c r="M67" s="129"/>
      <c r="N67" s="791"/>
      <c r="O67" s="792"/>
      <c r="P67" s="841"/>
      <c r="Q67" s="843"/>
    </row>
    <row r="68" spans="1:17" ht="51.75" thickBot="1">
      <c r="A68" s="343" t="s">
        <v>430</v>
      </c>
      <c r="B68" s="344" t="s">
        <v>432</v>
      </c>
      <c r="C68" s="323" t="s">
        <v>433</v>
      </c>
      <c r="D68" s="323" t="s">
        <v>434</v>
      </c>
      <c r="E68" s="345" t="s">
        <v>435</v>
      </c>
      <c r="F68" s="346" t="s">
        <v>446</v>
      </c>
      <c r="G68" s="735" t="s">
        <v>436</v>
      </c>
      <c r="H68" s="19" t="s">
        <v>437</v>
      </c>
      <c r="I68" s="19" t="s">
        <v>438</v>
      </c>
      <c r="J68" s="19" t="s">
        <v>439</v>
      </c>
      <c r="K68" s="19" t="s">
        <v>440</v>
      </c>
      <c r="L68" s="19" t="s">
        <v>441</v>
      </c>
      <c r="M68" s="19" t="s">
        <v>442</v>
      </c>
      <c r="N68" s="798" t="s">
        <v>443</v>
      </c>
      <c r="O68" s="794" t="s">
        <v>444</v>
      </c>
      <c r="P68" s="842"/>
      <c r="Q68" s="844"/>
    </row>
    <row r="69" spans="1:17" ht="86.25" customHeight="1">
      <c r="A69" s="16">
        <v>1</v>
      </c>
      <c r="B69" s="29" t="s">
        <v>681</v>
      </c>
      <c r="C69" s="324">
        <v>600</v>
      </c>
      <c r="D69" s="324">
        <v>850</v>
      </c>
      <c r="E69" s="725">
        <f>D69/C69</f>
        <v>1.4166666666666667</v>
      </c>
      <c r="F69" s="133">
        <f>500/400</f>
        <v>1.25</v>
      </c>
      <c r="G69" s="31">
        <f>24840</f>
        <v>24840</v>
      </c>
      <c r="H69" s="30"/>
      <c r="I69" s="30"/>
      <c r="J69" s="30"/>
      <c r="K69" s="30"/>
      <c r="L69" s="30"/>
      <c r="M69" s="30"/>
      <c r="N69" s="814">
        <f>SUM(G69:M69)</f>
        <v>24840</v>
      </c>
      <c r="O69" s="800">
        <f>+(30240-5400)</f>
        <v>24840</v>
      </c>
      <c r="P69" s="340" t="s">
        <v>654</v>
      </c>
      <c r="Q69" s="16"/>
    </row>
    <row r="70" spans="1:17" ht="38.25">
      <c r="A70" s="16">
        <v>2</v>
      </c>
      <c r="B70" s="29" t="s">
        <v>657</v>
      </c>
      <c r="C70" s="324">
        <v>70</v>
      </c>
      <c r="D70" s="324">
        <v>92</v>
      </c>
      <c r="E70" s="725">
        <f>D70/C70</f>
        <v>1.3142857142857143</v>
      </c>
      <c r="F70" s="133">
        <f>500/400</f>
        <v>1.25</v>
      </c>
      <c r="G70" s="31">
        <v>8000</v>
      </c>
      <c r="H70" s="30"/>
      <c r="I70" s="30"/>
      <c r="J70" s="30"/>
      <c r="K70" s="30"/>
      <c r="L70" s="30"/>
      <c r="M70" s="30"/>
      <c r="N70" s="814">
        <f>SUM(G70:M70)</f>
        <v>8000</v>
      </c>
      <c r="O70" s="800">
        <v>8000</v>
      </c>
      <c r="P70" s="340" t="s">
        <v>654</v>
      </c>
      <c r="Q70" s="16"/>
    </row>
    <row r="71" spans="1:17" ht="38.25">
      <c r="A71" s="16">
        <v>3</v>
      </c>
      <c r="B71" s="29" t="s">
        <v>658</v>
      </c>
      <c r="C71" s="324">
        <v>250</v>
      </c>
      <c r="D71" s="324">
        <v>280</v>
      </c>
      <c r="E71" s="725">
        <f>D71/C71</f>
        <v>1.12</v>
      </c>
      <c r="F71" s="133">
        <f>500/400</f>
        <v>1.25</v>
      </c>
      <c r="G71" s="31"/>
      <c r="H71" s="30"/>
      <c r="I71" s="30"/>
      <c r="J71" s="30"/>
      <c r="K71" s="30"/>
      <c r="L71" s="30"/>
      <c r="M71" s="30"/>
      <c r="N71" s="814">
        <f>SUM(G71:M71)</f>
        <v>0</v>
      </c>
      <c r="O71" s="800">
        <v>0</v>
      </c>
      <c r="P71" s="340" t="s">
        <v>654</v>
      </c>
      <c r="Q71" s="16"/>
    </row>
    <row r="72" spans="1:17" ht="38.25">
      <c r="A72" s="16">
        <v>4</v>
      </c>
      <c r="B72" s="29" t="s">
        <v>659</v>
      </c>
      <c r="C72" s="324">
        <v>600</v>
      </c>
      <c r="D72" s="324">
        <v>850</v>
      </c>
      <c r="E72" s="725">
        <f>D72/C72</f>
        <v>1.4166666666666667</v>
      </c>
      <c r="F72" s="133">
        <f>500/400</f>
        <v>1.25</v>
      </c>
      <c r="G72" s="31"/>
      <c r="H72" s="30"/>
      <c r="I72" s="30"/>
      <c r="J72" s="30"/>
      <c r="K72" s="30"/>
      <c r="L72" s="30"/>
      <c r="M72" s="30"/>
      <c r="N72" s="814">
        <f>SUM(G72:M72)</f>
        <v>0</v>
      </c>
      <c r="O72" s="800">
        <v>0</v>
      </c>
      <c r="P72" s="340" t="s">
        <v>654</v>
      </c>
      <c r="Q72" s="16"/>
    </row>
    <row r="73" spans="1:17" ht="13.5" thickBot="1">
      <c r="A73" s="135"/>
      <c r="B73" s="7" t="s">
        <v>445</v>
      </c>
      <c r="C73" s="135"/>
      <c r="D73" s="135"/>
      <c r="E73" s="135"/>
      <c r="F73" s="135"/>
      <c r="G73" s="20">
        <f aca="true" t="shared" si="6" ref="G73:M73">SUM(G72:G72)</f>
        <v>0</v>
      </c>
      <c r="H73" s="700">
        <f t="shared" si="6"/>
        <v>0</v>
      </c>
      <c r="I73" s="700">
        <f t="shared" si="6"/>
        <v>0</v>
      </c>
      <c r="J73" s="700">
        <f t="shared" si="6"/>
        <v>0</v>
      </c>
      <c r="K73" s="700">
        <f t="shared" si="6"/>
        <v>0</v>
      </c>
      <c r="L73" s="700">
        <f t="shared" si="6"/>
        <v>0</v>
      </c>
      <c r="M73" s="700">
        <f t="shared" si="6"/>
        <v>0</v>
      </c>
      <c r="N73" s="17">
        <f>SUM(N69:N72)</f>
        <v>32840</v>
      </c>
      <c r="O73" s="17">
        <f>SUM(O69:O72)</f>
        <v>32840</v>
      </c>
      <c r="P73" s="135"/>
      <c r="Q73" s="135"/>
    </row>
    <row r="74" spans="1:17" ht="12.75">
      <c r="A74" s="689"/>
      <c r="B74" s="727"/>
      <c r="C74" s="689"/>
      <c r="D74" s="689"/>
      <c r="E74" s="689"/>
      <c r="F74" s="689"/>
      <c r="G74" s="736"/>
      <c r="H74" s="728"/>
      <c r="I74" s="728"/>
      <c r="J74" s="728"/>
      <c r="K74" s="728"/>
      <c r="L74" s="728"/>
      <c r="M74" s="728"/>
      <c r="N74" s="818"/>
      <c r="O74" s="819"/>
      <c r="P74" s="689"/>
      <c r="Q74" s="689"/>
    </row>
    <row r="75" spans="1:17" ht="12.75">
      <c r="A75" s="689"/>
      <c r="B75" s="727"/>
      <c r="C75" s="689"/>
      <c r="D75" s="689"/>
      <c r="E75" s="689"/>
      <c r="F75" s="689"/>
      <c r="G75" s="736"/>
      <c r="H75" s="728"/>
      <c r="I75" s="728"/>
      <c r="J75" s="728"/>
      <c r="K75" s="728"/>
      <c r="L75" s="728"/>
      <c r="M75" s="728"/>
      <c r="N75" s="818"/>
      <c r="O75" s="819"/>
      <c r="P75" s="689"/>
      <c r="Q75" s="689"/>
    </row>
    <row r="76" ht="12.75">
      <c r="R76" s="701">
        <f>+'Resumen presupuesto ejecutado'!E314</f>
        <v>63349198</v>
      </c>
    </row>
    <row r="77" ht="12.75"/>
    <row r="78" spans="1:17" ht="12.75">
      <c r="A78" s="852" t="s">
        <v>420</v>
      </c>
      <c r="B78" s="852"/>
      <c r="C78" s="852"/>
      <c r="D78" s="852"/>
      <c r="E78" s="852"/>
      <c r="F78" s="852"/>
      <c r="G78" s="852"/>
      <c r="H78" s="852"/>
      <c r="I78" s="852"/>
      <c r="J78" s="852"/>
      <c r="K78" s="852"/>
      <c r="L78" s="852"/>
      <c r="M78" s="852"/>
      <c r="N78" s="852"/>
      <c r="O78" s="852"/>
      <c r="P78" s="852"/>
      <c r="Q78" s="852"/>
    </row>
    <row r="79" spans="1:17" ht="16.5" thickBot="1">
      <c r="A79" s="853" t="s">
        <v>609</v>
      </c>
      <c r="B79" s="853"/>
      <c r="C79" s="853"/>
      <c r="D79" s="853"/>
      <c r="E79" s="853"/>
      <c r="F79" s="853"/>
      <c r="G79" s="853"/>
      <c r="H79" s="853"/>
      <c r="I79" s="853"/>
      <c r="J79" s="853"/>
      <c r="K79" s="853"/>
      <c r="L79" s="853"/>
      <c r="M79" s="853"/>
      <c r="N79" s="853"/>
      <c r="O79" s="853"/>
      <c r="P79" s="853"/>
      <c r="Q79" s="853"/>
    </row>
    <row r="80" spans="16:17" ht="13.5" thickBot="1">
      <c r="P80" s="854" t="s">
        <v>91</v>
      </c>
      <c r="Q80" s="855"/>
    </row>
    <row r="81" spans="1:17" ht="12.75">
      <c r="A81" s="845" t="s">
        <v>76</v>
      </c>
      <c r="B81" s="845"/>
      <c r="C81" s="845"/>
      <c r="D81" s="845"/>
      <c r="E81" s="845"/>
      <c r="F81" s="845"/>
      <c r="P81" s="803" t="s">
        <v>758</v>
      </c>
      <c r="Q81" s="803"/>
    </row>
    <row r="82" spans="1:17" ht="12.75">
      <c r="A82" s="845" t="s">
        <v>77</v>
      </c>
      <c r="B82" s="846"/>
      <c r="C82" s="846"/>
      <c r="D82" s="846"/>
      <c r="E82" s="846"/>
      <c r="F82" s="846"/>
      <c r="P82" s="846" t="s">
        <v>75</v>
      </c>
      <c r="Q82" s="846"/>
    </row>
    <row r="83" spans="1:9" ht="12.75">
      <c r="A83" s="845" t="s">
        <v>800</v>
      </c>
      <c r="B83" s="846"/>
      <c r="C83" s="846"/>
      <c r="D83" s="846"/>
      <c r="E83" s="846"/>
      <c r="F83" s="846"/>
      <c r="G83" s="731" t="s">
        <v>72</v>
      </c>
      <c r="I83" s="126">
        <v>39083</v>
      </c>
    </row>
    <row r="84" ht="12.75"/>
    <row r="85" ht="13.5" thickBot="1"/>
    <row r="86" spans="1:17" ht="12.75">
      <c r="A86" s="1" t="s">
        <v>424</v>
      </c>
      <c r="B86" s="2"/>
      <c r="C86" s="322" t="s">
        <v>660</v>
      </c>
      <c r="D86" s="2"/>
      <c r="E86" s="2"/>
      <c r="F86" s="3"/>
      <c r="G86" s="847" t="s">
        <v>425</v>
      </c>
      <c r="H86" s="848"/>
      <c r="I86" s="848"/>
      <c r="J86" s="848"/>
      <c r="K86" s="848"/>
      <c r="L86" s="848"/>
      <c r="M86" s="848"/>
      <c r="N86" s="848"/>
      <c r="O86" s="849"/>
      <c r="P86" s="847" t="s">
        <v>426</v>
      </c>
      <c r="Q86" s="849"/>
    </row>
    <row r="87" spans="1:17" ht="15" customHeight="1">
      <c r="A87" s="4" t="s">
        <v>422</v>
      </c>
      <c r="B87" s="5"/>
      <c r="C87" s="5" t="s">
        <v>661</v>
      </c>
      <c r="D87" s="5"/>
      <c r="E87" s="5"/>
      <c r="F87" s="6"/>
      <c r="G87" s="856" t="s">
        <v>662</v>
      </c>
      <c r="H87" s="857"/>
      <c r="I87" s="857"/>
      <c r="J87" s="857"/>
      <c r="K87" s="857"/>
      <c r="L87" s="857"/>
      <c r="M87" s="857"/>
      <c r="N87" s="857"/>
      <c r="O87" s="858"/>
      <c r="P87" s="127"/>
      <c r="Q87" s="28" t="s">
        <v>762</v>
      </c>
    </row>
    <row r="88" spans="1:17" ht="13.5" thickBot="1">
      <c r="A88" s="807" t="s">
        <v>423</v>
      </c>
      <c r="B88" s="808"/>
      <c r="C88" s="808" t="s">
        <v>92</v>
      </c>
      <c r="D88" s="808"/>
      <c r="E88" s="808"/>
      <c r="F88" s="809"/>
      <c r="G88" s="859"/>
      <c r="H88" s="860"/>
      <c r="I88" s="860"/>
      <c r="J88" s="860"/>
      <c r="K88" s="860"/>
      <c r="L88" s="860"/>
      <c r="M88" s="860"/>
      <c r="N88" s="860"/>
      <c r="O88" s="861"/>
      <c r="P88" s="810"/>
      <c r="Q88" s="811"/>
    </row>
    <row r="89" spans="1:2" ht="13.5" thickBot="1">
      <c r="A89" s="26" t="s">
        <v>73</v>
      </c>
      <c r="B89" s="13"/>
    </row>
    <row r="90" spans="1:17" ht="12.75">
      <c r="A90" s="837" t="s">
        <v>431</v>
      </c>
      <c r="B90" s="838"/>
      <c r="C90" s="838"/>
      <c r="D90" s="838"/>
      <c r="E90" s="838"/>
      <c r="F90" s="839"/>
      <c r="G90" s="837" t="s">
        <v>427</v>
      </c>
      <c r="H90" s="838"/>
      <c r="I90" s="838"/>
      <c r="J90" s="838"/>
      <c r="K90" s="838"/>
      <c r="L90" s="838"/>
      <c r="M90" s="838"/>
      <c r="N90" s="838"/>
      <c r="O90" s="839"/>
      <c r="P90" s="840" t="s">
        <v>428</v>
      </c>
      <c r="Q90" s="839" t="s">
        <v>429</v>
      </c>
    </row>
    <row r="91" spans="1:17" ht="13.5" thickBot="1">
      <c r="A91" s="128"/>
      <c r="B91" s="129"/>
      <c r="C91" s="129"/>
      <c r="D91" s="129"/>
      <c r="E91" s="129"/>
      <c r="F91" s="130"/>
      <c r="G91" s="732"/>
      <c r="H91" s="129"/>
      <c r="I91" s="129"/>
      <c r="J91" s="129"/>
      <c r="K91" s="129"/>
      <c r="L91" s="129"/>
      <c r="M91" s="129"/>
      <c r="N91" s="791"/>
      <c r="O91" s="792"/>
      <c r="P91" s="841"/>
      <c r="Q91" s="843"/>
    </row>
    <row r="92" spans="1:17" ht="51.75" thickBot="1">
      <c r="A92" s="8" t="s">
        <v>430</v>
      </c>
      <c r="B92" s="11" t="s">
        <v>432</v>
      </c>
      <c r="C92" s="325" t="s">
        <v>739</v>
      </c>
      <c r="D92" s="325" t="s">
        <v>740</v>
      </c>
      <c r="E92" s="310" t="s">
        <v>741</v>
      </c>
      <c r="F92" s="9" t="s">
        <v>446</v>
      </c>
      <c r="G92" s="735" t="s">
        <v>436</v>
      </c>
      <c r="H92" s="19" t="s">
        <v>437</v>
      </c>
      <c r="I92" s="19" t="s">
        <v>438</v>
      </c>
      <c r="J92" s="19" t="s">
        <v>439</v>
      </c>
      <c r="K92" s="19" t="s">
        <v>663</v>
      </c>
      <c r="L92" s="19" t="s">
        <v>664</v>
      </c>
      <c r="M92" s="19" t="s">
        <v>442</v>
      </c>
      <c r="N92" s="798" t="s">
        <v>443</v>
      </c>
      <c r="O92" s="794" t="s">
        <v>444</v>
      </c>
      <c r="P92" s="842"/>
      <c r="Q92" s="843"/>
    </row>
    <row r="93" spans="1:17" ht="45">
      <c r="A93" s="131"/>
      <c r="B93" s="132"/>
      <c r="C93" s="326"/>
      <c r="D93" s="326"/>
      <c r="E93" s="309"/>
      <c r="F93" s="133"/>
      <c r="G93" s="33"/>
      <c r="H93" s="33"/>
      <c r="I93" s="33"/>
      <c r="J93" s="33"/>
      <c r="K93" s="33"/>
      <c r="L93" s="33"/>
      <c r="M93" s="33"/>
      <c r="N93" s="799">
        <f>G93+H93+I93+J93</f>
        <v>0</v>
      </c>
      <c r="O93" s="799"/>
      <c r="P93" s="342" t="s">
        <v>654</v>
      </c>
      <c r="Q93" s="359" t="s">
        <v>314</v>
      </c>
    </row>
    <row r="94" spans="1:17" ht="38.25">
      <c r="A94" s="16"/>
      <c r="B94" s="134"/>
      <c r="C94" s="324"/>
      <c r="D94" s="324"/>
      <c r="E94" s="133"/>
      <c r="F94" s="133"/>
      <c r="G94" s="31"/>
      <c r="H94" s="31"/>
      <c r="I94" s="31"/>
      <c r="J94" s="31"/>
      <c r="K94" s="31"/>
      <c r="L94" s="31"/>
      <c r="M94" s="31"/>
      <c r="N94" s="799">
        <f>+J94+H94</f>
        <v>0</v>
      </c>
      <c r="O94" s="800"/>
      <c r="P94" s="340" t="s">
        <v>654</v>
      </c>
      <c r="Q94" s="360"/>
    </row>
    <row r="95" spans="1:17" ht="13.5" thickBot="1">
      <c r="A95" s="135"/>
      <c r="B95" s="7" t="s">
        <v>445</v>
      </c>
      <c r="C95" s="135"/>
      <c r="D95" s="135"/>
      <c r="E95" s="135"/>
      <c r="F95" s="135"/>
      <c r="G95" s="20">
        <f aca="true" t="shared" si="7" ref="G95:O95">SUM(G93:G94)</f>
        <v>0</v>
      </c>
      <c r="H95" s="20">
        <f t="shared" si="7"/>
        <v>0</v>
      </c>
      <c r="I95" s="20">
        <f t="shared" si="7"/>
        <v>0</v>
      </c>
      <c r="J95" s="20">
        <f t="shared" si="7"/>
        <v>0</v>
      </c>
      <c r="K95" s="20">
        <f t="shared" si="7"/>
        <v>0</v>
      </c>
      <c r="L95" s="20">
        <f t="shared" si="7"/>
        <v>0</v>
      </c>
      <c r="M95" s="20">
        <f t="shared" si="7"/>
        <v>0</v>
      </c>
      <c r="N95" s="801">
        <f t="shared" si="7"/>
        <v>0</v>
      </c>
      <c r="O95" s="801">
        <f t="shared" si="7"/>
        <v>0</v>
      </c>
      <c r="P95" s="135"/>
      <c r="Q95" s="135"/>
    </row>
    <row r="96" spans="10:15" ht="12.75">
      <c r="J96" s="32"/>
      <c r="O96" s="136">
        <f>+'Resumen presupuesto ejecutado'!E317</f>
        <v>0</v>
      </c>
    </row>
    <row r="97" spans="1:17" ht="12.75">
      <c r="A97" s="852" t="s">
        <v>420</v>
      </c>
      <c r="B97" s="852"/>
      <c r="C97" s="852"/>
      <c r="D97" s="852"/>
      <c r="E97" s="852"/>
      <c r="F97" s="852"/>
      <c r="G97" s="852"/>
      <c r="H97" s="852"/>
      <c r="I97" s="852"/>
      <c r="J97" s="852"/>
      <c r="K97" s="852"/>
      <c r="L97" s="852"/>
      <c r="M97" s="852"/>
      <c r="N97" s="852"/>
      <c r="O97" s="852"/>
      <c r="P97" s="852"/>
      <c r="Q97" s="852"/>
    </row>
    <row r="98" spans="1:17" ht="16.5" thickBot="1">
      <c r="A98" s="853" t="s">
        <v>609</v>
      </c>
      <c r="B98" s="853"/>
      <c r="C98" s="853"/>
      <c r="D98" s="853"/>
      <c r="E98" s="853"/>
      <c r="F98" s="853"/>
      <c r="G98" s="853"/>
      <c r="H98" s="853"/>
      <c r="I98" s="853"/>
      <c r="J98" s="853"/>
      <c r="K98" s="853"/>
      <c r="L98" s="853"/>
      <c r="M98" s="853"/>
      <c r="N98" s="853"/>
      <c r="O98" s="853"/>
      <c r="P98" s="853"/>
      <c r="Q98" s="853"/>
    </row>
    <row r="99" spans="16:17" ht="13.5" thickBot="1">
      <c r="P99" s="854" t="s">
        <v>93</v>
      </c>
      <c r="Q99" s="855"/>
    </row>
    <row r="100" spans="1:20" ht="12.75">
      <c r="A100" s="845" t="s">
        <v>76</v>
      </c>
      <c r="B100" s="845"/>
      <c r="C100" s="845"/>
      <c r="D100" s="845"/>
      <c r="E100" s="845"/>
      <c r="F100" s="845"/>
      <c r="P100" s="803" t="s">
        <v>759</v>
      </c>
      <c r="Q100" s="803"/>
      <c r="T100" s="26">
        <f>41-25</f>
        <v>16</v>
      </c>
    </row>
    <row r="101" spans="1:17" ht="12.75">
      <c r="A101" s="845" t="s">
        <v>77</v>
      </c>
      <c r="B101" s="846"/>
      <c r="C101" s="846"/>
      <c r="D101" s="846"/>
      <c r="E101" s="846"/>
      <c r="F101" s="846"/>
      <c r="P101" s="846" t="s">
        <v>75</v>
      </c>
      <c r="Q101" s="846"/>
    </row>
    <row r="102" spans="1:9" ht="12.75">
      <c r="A102" s="845" t="s">
        <v>800</v>
      </c>
      <c r="B102" s="846"/>
      <c r="C102" s="846"/>
      <c r="D102" s="846"/>
      <c r="E102" s="846"/>
      <c r="F102" s="846"/>
      <c r="G102" s="731" t="s">
        <v>72</v>
      </c>
      <c r="I102" s="126">
        <v>39083</v>
      </c>
    </row>
    <row r="103" ht="12.75"/>
    <row r="104" ht="13.5" thickBot="1"/>
    <row r="105" spans="1:17" ht="13.5" thickBot="1">
      <c r="A105" s="1" t="s">
        <v>424</v>
      </c>
      <c r="B105" s="2"/>
      <c r="C105" s="322" t="s">
        <v>660</v>
      </c>
      <c r="D105" s="2"/>
      <c r="E105" s="2"/>
      <c r="F105" s="3"/>
      <c r="G105" s="847" t="s">
        <v>425</v>
      </c>
      <c r="H105" s="848"/>
      <c r="I105" s="848"/>
      <c r="J105" s="848"/>
      <c r="K105" s="848"/>
      <c r="L105" s="848"/>
      <c r="M105" s="848"/>
      <c r="N105" s="848"/>
      <c r="O105" s="849"/>
      <c r="P105" s="847" t="s">
        <v>426</v>
      </c>
      <c r="Q105" s="849"/>
    </row>
    <row r="106" spans="1:17" ht="25.5" customHeight="1">
      <c r="A106" s="4" t="s">
        <v>422</v>
      </c>
      <c r="B106" s="5"/>
      <c r="C106" s="5" t="s">
        <v>661</v>
      </c>
      <c r="D106" s="5"/>
      <c r="E106" s="5"/>
      <c r="F106" s="6"/>
      <c r="G106" s="850" t="s">
        <v>665</v>
      </c>
      <c r="H106" s="851"/>
      <c r="I106" s="851"/>
      <c r="J106" s="851"/>
      <c r="K106" s="851"/>
      <c r="L106" s="851"/>
      <c r="M106" s="851"/>
      <c r="N106" s="851"/>
      <c r="O106" s="804"/>
      <c r="P106" s="127"/>
      <c r="Q106" s="28" t="s">
        <v>95</v>
      </c>
    </row>
    <row r="107" spans="1:17" ht="31.5" customHeight="1" thickBot="1">
      <c r="A107" s="807" t="s">
        <v>423</v>
      </c>
      <c r="B107" s="808"/>
      <c r="C107" s="808" t="s">
        <v>94</v>
      </c>
      <c r="D107" s="808"/>
      <c r="E107" s="808"/>
      <c r="F107" s="809"/>
      <c r="G107" s="805"/>
      <c r="H107" s="806"/>
      <c r="I107" s="806"/>
      <c r="J107" s="806"/>
      <c r="K107" s="806"/>
      <c r="L107" s="806"/>
      <c r="M107" s="806"/>
      <c r="N107" s="806"/>
      <c r="O107" s="802"/>
      <c r="P107" s="810"/>
      <c r="Q107" s="811"/>
    </row>
    <row r="108" spans="1:2" ht="13.5" thickBot="1">
      <c r="A108" s="26" t="s">
        <v>73</v>
      </c>
      <c r="B108" s="13"/>
    </row>
    <row r="109" spans="1:17" ht="12.75">
      <c r="A109" s="837" t="s">
        <v>431</v>
      </c>
      <c r="B109" s="838"/>
      <c r="C109" s="838"/>
      <c r="D109" s="838"/>
      <c r="E109" s="838"/>
      <c r="F109" s="839"/>
      <c r="G109" s="837" t="s">
        <v>427</v>
      </c>
      <c r="H109" s="838"/>
      <c r="I109" s="838"/>
      <c r="J109" s="838"/>
      <c r="K109" s="838"/>
      <c r="L109" s="838"/>
      <c r="M109" s="838"/>
      <c r="N109" s="838"/>
      <c r="O109" s="839"/>
      <c r="P109" s="840" t="s">
        <v>428</v>
      </c>
      <c r="Q109" s="839" t="s">
        <v>429</v>
      </c>
    </row>
    <row r="110" spans="1:17" ht="13.5" thickBot="1">
      <c r="A110" s="128"/>
      <c r="B110" s="129"/>
      <c r="C110" s="129"/>
      <c r="D110" s="129"/>
      <c r="E110" s="129"/>
      <c r="F110" s="130"/>
      <c r="G110" s="732"/>
      <c r="H110" s="129"/>
      <c r="I110" s="129"/>
      <c r="J110" s="129"/>
      <c r="K110" s="129"/>
      <c r="L110" s="129"/>
      <c r="M110" s="129"/>
      <c r="N110" s="791"/>
      <c r="O110" s="792"/>
      <c r="P110" s="841"/>
      <c r="Q110" s="843"/>
    </row>
    <row r="111" spans="1:17" ht="66" thickBot="1">
      <c r="A111" s="343" t="s">
        <v>430</v>
      </c>
      <c r="B111" s="344" t="s">
        <v>432</v>
      </c>
      <c r="C111" s="323" t="s">
        <v>739</v>
      </c>
      <c r="D111" s="323" t="s">
        <v>740</v>
      </c>
      <c r="E111" s="345" t="s">
        <v>741</v>
      </c>
      <c r="F111" s="346" t="s">
        <v>446</v>
      </c>
      <c r="G111" s="735" t="s">
        <v>436</v>
      </c>
      <c r="H111" s="19" t="s">
        <v>437</v>
      </c>
      <c r="I111" s="19" t="s">
        <v>438</v>
      </c>
      <c r="J111" s="19" t="s">
        <v>439</v>
      </c>
      <c r="K111" s="19" t="s">
        <v>663</v>
      </c>
      <c r="L111" s="19" t="s">
        <v>664</v>
      </c>
      <c r="M111" s="19" t="s">
        <v>442</v>
      </c>
      <c r="N111" s="798" t="s">
        <v>443</v>
      </c>
      <c r="O111" s="794" t="s">
        <v>444</v>
      </c>
      <c r="P111" s="842"/>
      <c r="Q111" s="844"/>
    </row>
    <row r="112" spans="1:17" ht="38.25">
      <c r="A112" s="741">
        <v>1</v>
      </c>
      <c r="B112" s="742" t="s">
        <v>666</v>
      </c>
      <c r="C112" s="820">
        <v>12</v>
      </c>
      <c r="D112" s="820">
        <v>12</v>
      </c>
      <c r="E112" s="725">
        <f>D112/C112</f>
        <v>1</v>
      </c>
      <c r="F112" s="309"/>
      <c r="G112" s="31">
        <f>203.469+15739.845</f>
        <v>15943.313999999998</v>
      </c>
      <c r="H112" s="33"/>
      <c r="I112" s="33"/>
      <c r="J112" s="33"/>
      <c r="K112" s="33"/>
      <c r="L112" s="33"/>
      <c r="M112" s="33"/>
      <c r="N112" s="814">
        <f>SUM(G112:M112)</f>
        <v>15943.313999999998</v>
      </c>
      <c r="O112" s="799">
        <f>+(203.469+15718.349)</f>
        <v>15921.818</v>
      </c>
      <c r="P112" s="342"/>
      <c r="Q112" s="743"/>
    </row>
    <row r="113" spans="1:17" ht="38.25">
      <c r="A113" s="16">
        <v>2</v>
      </c>
      <c r="B113" s="29" t="s">
        <v>667</v>
      </c>
      <c r="C113" s="324">
        <v>250</v>
      </c>
      <c r="D113" s="324">
        <v>260</v>
      </c>
      <c r="E113" s="725">
        <f>D113/C113</f>
        <v>1.04</v>
      </c>
      <c r="F113" s="16"/>
      <c r="G113" s="31">
        <f>8000+2592.008</f>
        <v>10592.008</v>
      </c>
      <c r="H113" s="30"/>
      <c r="I113" s="30"/>
      <c r="J113" s="30"/>
      <c r="K113" s="30"/>
      <c r="L113" s="30"/>
      <c r="M113" s="30"/>
      <c r="N113" s="814">
        <f>SUM(G113:M113)</f>
        <v>10592.008</v>
      </c>
      <c r="O113" s="800">
        <f>+(8000)+(2592.008-1)</f>
        <v>10591.008</v>
      </c>
      <c r="P113" s="340"/>
      <c r="Q113" s="16"/>
    </row>
    <row r="114" spans="1:17" ht="25.5">
      <c r="A114" s="16">
        <v>3</v>
      </c>
      <c r="B114" s="29" t="s">
        <v>668</v>
      </c>
      <c r="C114" s="324">
        <v>73</v>
      </c>
      <c r="D114" s="324">
        <v>73</v>
      </c>
      <c r="E114" s="725">
        <f>D114/C114</f>
        <v>1</v>
      </c>
      <c r="F114" s="16"/>
      <c r="G114" s="31">
        <f>2000+7200</f>
        <v>9200</v>
      </c>
      <c r="H114" s="30"/>
      <c r="I114" s="30"/>
      <c r="J114" s="30"/>
      <c r="K114" s="30"/>
      <c r="L114" s="30"/>
      <c r="M114" s="30"/>
      <c r="N114" s="814">
        <f>SUM(G114:M114)</f>
        <v>9200</v>
      </c>
      <c r="O114" s="800">
        <f>+(1999.841+7200)</f>
        <v>9199.841</v>
      </c>
      <c r="P114" s="340"/>
      <c r="Q114" s="16"/>
    </row>
    <row r="115" spans="1:17" ht="38.25">
      <c r="A115" s="16">
        <v>4</v>
      </c>
      <c r="B115" s="29" t="s">
        <v>653</v>
      </c>
      <c r="C115" s="324">
        <v>180</v>
      </c>
      <c r="D115" s="324">
        <v>210</v>
      </c>
      <c r="E115" s="725">
        <f>D115/C115</f>
        <v>1.1666666666666667</v>
      </c>
      <c r="F115" s="16"/>
      <c r="G115" s="31">
        <f>2796.531</f>
        <v>2796.531</v>
      </c>
      <c r="H115" s="30"/>
      <c r="I115" s="30"/>
      <c r="J115" s="30"/>
      <c r="K115" s="30"/>
      <c r="L115" s="30"/>
      <c r="M115" s="30"/>
      <c r="N115" s="814">
        <f>SUM(G115:M115)</f>
        <v>2796.531</v>
      </c>
      <c r="O115" s="800">
        <f>+(2796.531)</f>
        <v>2796.531</v>
      </c>
      <c r="P115" s="340"/>
      <c r="Q115" s="16"/>
    </row>
    <row r="116" spans="1:17" ht="45">
      <c r="A116" s="16">
        <v>5</v>
      </c>
      <c r="B116" s="29" t="s">
        <v>669</v>
      </c>
      <c r="C116" s="324">
        <v>200</v>
      </c>
      <c r="D116" s="324">
        <v>220</v>
      </c>
      <c r="E116" s="725">
        <f>D116/C116</f>
        <v>1.1</v>
      </c>
      <c r="F116" s="16"/>
      <c r="G116" s="31">
        <f>15000</f>
        <v>15000</v>
      </c>
      <c r="H116" s="30">
        <f>7447.515</f>
        <v>7447.515</v>
      </c>
      <c r="I116" s="30"/>
      <c r="J116" s="30"/>
      <c r="K116" s="30"/>
      <c r="L116" s="30"/>
      <c r="M116" s="30"/>
      <c r="N116" s="814">
        <f>SUM(G116:M116)</f>
        <v>22447.515</v>
      </c>
      <c r="O116" s="800">
        <f>+(15000+6660.12)</f>
        <v>21660.12</v>
      </c>
      <c r="P116" s="340" t="s">
        <v>654</v>
      </c>
      <c r="Q116" s="747" t="s">
        <v>749</v>
      </c>
    </row>
    <row r="117" spans="1:17" ht="12.75">
      <c r="A117" s="722"/>
      <c r="B117" s="739"/>
      <c r="C117" s="724"/>
      <c r="D117" s="724"/>
      <c r="E117" s="722"/>
      <c r="F117" s="722"/>
      <c r="G117" s="744"/>
      <c r="H117" s="745"/>
      <c r="I117" s="745"/>
      <c r="J117" s="745"/>
      <c r="K117" s="745"/>
      <c r="L117" s="745"/>
      <c r="M117" s="745"/>
      <c r="N117" s="821"/>
      <c r="O117" s="817"/>
      <c r="P117" s="746"/>
      <c r="Q117" s="722"/>
    </row>
    <row r="118" spans="1:17" ht="12.75">
      <c r="A118" s="722"/>
      <c r="B118" s="739"/>
      <c r="C118" s="724"/>
      <c r="D118" s="722"/>
      <c r="E118" s="722"/>
      <c r="F118" s="722"/>
      <c r="G118" s="744"/>
      <c r="H118" s="745"/>
      <c r="I118" s="745"/>
      <c r="J118" s="745"/>
      <c r="K118" s="745"/>
      <c r="L118" s="745"/>
      <c r="M118" s="745"/>
      <c r="N118" s="821"/>
      <c r="O118" s="817"/>
      <c r="P118" s="746"/>
      <c r="Q118" s="722"/>
    </row>
    <row r="119" spans="1:19" ht="13.5" thickBot="1">
      <c r="A119" s="135"/>
      <c r="B119" s="7" t="s">
        <v>445</v>
      </c>
      <c r="C119" s="135"/>
      <c r="D119" s="135"/>
      <c r="E119" s="135"/>
      <c r="F119" s="135"/>
      <c r="G119" s="20">
        <f aca="true" t="shared" si="8" ref="G119:M119">SUM(G116:G116)</f>
        <v>15000</v>
      </c>
      <c r="H119" s="17">
        <f t="shared" si="8"/>
        <v>7447.515</v>
      </c>
      <c r="I119" s="17">
        <f t="shared" si="8"/>
        <v>0</v>
      </c>
      <c r="J119" s="17">
        <f t="shared" si="8"/>
        <v>0</v>
      </c>
      <c r="K119" s="17">
        <f t="shared" si="8"/>
        <v>0</v>
      </c>
      <c r="L119" s="17">
        <f t="shared" si="8"/>
        <v>0</v>
      </c>
      <c r="M119" s="17">
        <f t="shared" si="8"/>
        <v>0</v>
      </c>
      <c r="N119" s="17">
        <f>SUM(N112:N116)</f>
        <v>60979.368</v>
      </c>
      <c r="O119" s="17">
        <f>SUM(O112:O116)</f>
        <v>60169.318</v>
      </c>
      <c r="P119" s="135"/>
      <c r="Q119" s="135"/>
      <c r="R119" s="136" t="e">
        <f>+N28+N52+#REF!+N95+N119</f>
        <v>#REF!</v>
      </c>
      <c r="S119" s="136" t="e">
        <f>+R119-'Resumen presupuesto ejecutado'!D324/1000</f>
        <v>#REF!</v>
      </c>
    </row>
    <row r="120" spans="1:19" ht="12.75">
      <c r="A120" s="689"/>
      <c r="B120" s="231"/>
      <c r="C120" s="689"/>
      <c r="D120" s="689"/>
      <c r="E120" s="689"/>
      <c r="F120" s="689"/>
      <c r="G120" s="737"/>
      <c r="H120" s="690"/>
      <c r="I120" s="690"/>
      <c r="J120" s="690"/>
      <c r="K120" s="690"/>
      <c r="L120" s="690"/>
      <c r="M120" s="690"/>
      <c r="N120" s="690"/>
      <c r="O120" s="690"/>
      <c r="P120" s="689"/>
      <c r="Q120" s="689"/>
      <c r="R120" s="136"/>
      <c r="S120" s="136"/>
    </row>
    <row r="121" spans="14:15" ht="12.75">
      <c r="N121" s="136">
        <f>+N28+N52+N73+N95+N119</f>
        <v>628682.28</v>
      </c>
      <c r="O121" s="136">
        <f>+O28+O52+O73+O95+O119</f>
        <v>625105.655</v>
      </c>
    </row>
    <row r="122" spans="14:15" ht="12.75">
      <c r="N122" s="797">
        <f>N121-'Resumen presupuesto ejecutado'!D324/1000</f>
        <v>0</v>
      </c>
      <c r="O122" s="797">
        <f>O121-'Resumen presupuesto ejecutado'!E324/1000</f>
        <v>0</v>
      </c>
    </row>
    <row r="124" spans="12:15" ht="12.75">
      <c r="L124" s="248" t="s">
        <v>655</v>
      </c>
      <c r="N124" s="797">
        <f>('Resumen presupuesto ejecutado'!D334/1000)</f>
        <v>12128129.171</v>
      </c>
      <c r="O124" s="797">
        <f>('Resumen presupuesto ejecutado'!E334/1000)</f>
        <v>10514695.061</v>
      </c>
    </row>
    <row r="125" spans="12:15" ht="12.75">
      <c r="L125" s="248" t="s">
        <v>656</v>
      </c>
      <c r="N125" s="797">
        <f>N121+'Eje social'!N686+'Eje instrumental'!N929</f>
        <v>12128129.171</v>
      </c>
      <c r="O125" s="797">
        <f>O121+'Eje social'!O686+'Eje instrumental'!O929</f>
        <v>10514694.9495</v>
      </c>
    </row>
    <row r="126" spans="12:15" ht="12.75">
      <c r="L126" s="242" t="s">
        <v>366</v>
      </c>
      <c r="O126" s="797"/>
    </row>
    <row r="127" ht="12.75">
      <c r="L127" s="26" t="s">
        <v>304</v>
      </c>
    </row>
    <row r="129" spans="14:15" ht="12.75">
      <c r="N129" s="136">
        <f>N124-N125</f>
        <v>0</v>
      </c>
      <c r="O129" s="136">
        <f>O124-O125</f>
        <v>0.11150000058114529</v>
      </c>
    </row>
    <row r="130" ht="12.75">
      <c r="O130" s="797"/>
    </row>
    <row r="132" ht="12.75">
      <c r="O132" s="797"/>
    </row>
    <row r="134" ht="12.75">
      <c r="O134" s="136">
        <f>+O133-'Resumen presupuesto ejecutado'!E324</f>
        <v>-625105655</v>
      </c>
    </row>
  </sheetData>
  <sheetProtection/>
  <mergeCells count="75">
    <mergeCell ref="A54:Q54"/>
    <mergeCell ref="A55:Q55"/>
    <mergeCell ref="P56:Q56"/>
    <mergeCell ref="A57:F57"/>
    <mergeCell ref="P57:Q57"/>
    <mergeCell ref="A30:Q30"/>
    <mergeCell ref="A31:Q31"/>
    <mergeCell ref="P32:Q32"/>
    <mergeCell ref="A33:F33"/>
    <mergeCell ref="P33:Q33"/>
    <mergeCell ref="Q42:Q44"/>
    <mergeCell ref="G39:O40"/>
    <mergeCell ref="A42:F42"/>
    <mergeCell ref="G42:O42"/>
    <mergeCell ref="P42:P44"/>
    <mergeCell ref="A34:F34"/>
    <mergeCell ref="P34:Q34"/>
    <mergeCell ref="A35:F35"/>
    <mergeCell ref="G38:O38"/>
    <mergeCell ref="P38:Q38"/>
    <mergeCell ref="A1:Q1"/>
    <mergeCell ref="A2:Q2"/>
    <mergeCell ref="A4:F4"/>
    <mergeCell ref="A5:F5"/>
    <mergeCell ref="A6:F6"/>
    <mergeCell ref="P4:Q4"/>
    <mergeCell ref="P3:Q3"/>
    <mergeCell ref="P5:Q5"/>
    <mergeCell ref="G9:O9"/>
    <mergeCell ref="P9:Q9"/>
    <mergeCell ref="A13:F13"/>
    <mergeCell ref="G13:O13"/>
    <mergeCell ref="P13:P15"/>
    <mergeCell ref="Q13:Q15"/>
    <mergeCell ref="G10:O11"/>
    <mergeCell ref="A78:Q78"/>
    <mergeCell ref="A79:Q79"/>
    <mergeCell ref="P80:Q80"/>
    <mergeCell ref="A81:F81"/>
    <mergeCell ref="P81:Q81"/>
    <mergeCell ref="A66:F66"/>
    <mergeCell ref="G66:O66"/>
    <mergeCell ref="P66:P68"/>
    <mergeCell ref="A58:F58"/>
    <mergeCell ref="P58:Q58"/>
    <mergeCell ref="A59:F59"/>
    <mergeCell ref="G62:O62"/>
    <mergeCell ref="P62:Q62"/>
    <mergeCell ref="Q66:Q68"/>
    <mergeCell ref="G63:O64"/>
    <mergeCell ref="P82:Q82"/>
    <mergeCell ref="A83:F83"/>
    <mergeCell ref="G86:O86"/>
    <mergeCell ref="P86:Q86"/>
    <mergeCell ref="A82:F82"/>
    <mergeCell ref="G87:O88"/>
    <mergeCell ref="A90:F90"/>
    <mergeCell ref="G90:O90"/>
    <mergeCell ref="P90:P92"/>
    <mergeCell ref="Q90:Q92"/>
    <mergeCell ref="A97:Q97"/>
    <mergeCell ref="A98:Q98"/>
    <mergeCell ref="P99:Q99"/>
    <mergeCell ref="A100:F100"/>
    <mergeCell ref="P100:Q100"/>
    <mergeCell ref="A101:F101"/>
    <mergeCell ref="P101:Q101"/>
    <mergeCell ref="A102:F102"/>
    <mergeCell ref="G105:O105"/>
    <mergeCell ref="P105:Q105"/>
    <mergeCell ref="G106:O107"/>
    <mergeCell ref="A109:F109"/>
    <mergeCell ref="G109:O109"/>
    <mergeCell ref="P109:P111"/>
    <mergeCell ref="Q109:Q111"/>
  </mergeCells>
  <printOptions horizontalCentered="1" verticalCentered="1"/>
  <pageMargins left="1.1811023622047245" right="0.75" top="0.17" bottom="0.7874015748031497" header="0" footer="0"/>
  <pageSetup horizontalDpi="600" verticalDpi="600" orientation="landscape" paperSize="5" scale="54" r:id="rId3"/>
  <rowBreaks count="4" manualBreakCount="4">
    <brk id="28" max="255" man="1"/>
    <brk id="52" max="255" man="1"/>
    <brk id="75" max="255" man="1"/>
    <brk id="95" max="255" man="1"/>
  </rowBreaks>
  <legacyDrawing r:id="rId2"/>
</worksheet>
</file>

<file path=xl/worksheets/sheet4.xml><?xml version="1.0" encoding="utf-8"?>
<worksheet xmlns="http://schemas.openxmlformats.org/spreadsheetml/2006/main" xmlns:r="http://schemas.openxmlformats.org/officeDocument/2006/relationships">
  <sheetPr>
    <tabColor rgb="FFFFFF00"/>
  </sheetPr>
  <dimension ref="A2:W686"/>
  <sheetViews>
    <sheetView tabSelected="1" view="pageBreakPreview" zoomScale="80" zoomScaleNormal="80" zoomScaleSheetLayoutView="80" zoomScalePageLayoutView="0" workbookViewId="0" topLeftCell="A183">
      <selection activeCell="B187" sqref="B187:B188"/>
    </sheetView>
  </sheetViews>
  <sheetFormatPr defaultColWidth="11.421875" defaultRowHeight="12.75"/>
  <cols>
    <col min="1" max="1" width="4.140625" style="176" customWidth="1"/>
    <col min="2" max="2" width="44.00390625" style="38" customWidth="1"/>
    <col min="3" max="3" width="13.7109375" style="40" customWidth="1"/>
    <col min="4" max="4" width="12.00390625" style="40" customWidth="1"/>
    <col min="5" max="5" width="13.421875" style="38" customWidth="1"/>
    <col min="6" max="6" width="18.28125" style="38" customWidth="1"/>
    <col min="7" max="7" width="12.421875" style="38" customWidth="1"/>
    <col min="8" max="8" width="13.7109375" style="38" bestFit="1" customWidth="1"/>
    <col min="9" max="9" width="13.00390625" style="38" bestFit="1" customWidth="1"/>
    <col min="10" max="10" width="12.00390625" style="38" bestFit="1" customWidth="1"/>
    <col min="11" max="11" width="8.140625" style="38" bestFit="1" customWidth="1"/>
    <col min="12" max="12" width="7.7109375" style="38" customWidth="1"/>
    <col min="13" max="13" width="10.8515625" style="38" bestFit="1" customWidth="1"/>
    <col min="14" max="14" width="16.7109375" style="87" bestFit="1" customWidth="1"/>
    <col min="15" max="15" width="15.7109375" style="87" bestFit="1" customWidth="1"/>
    <col min="16" max="16" width="22.421875" style="38" customWidth="1"/>
    <col min="17" max="17" width="21.421875" style="38" customWidth="1"/>
    <col min="18" max="18" width="21.140625" style="153" customWidth="1"/>
    <col min="19" max="19" width="15.7109375" style="153" bestFit="1" customWidth="1"/>
    <col min="20" max="20" width="14.57421875" style="38" customWidth="1"/>
    <col min="21" max="21" width="14.57421875" style="38" bestFit="1" customWidth="1"/>
    <col min="22" max="22" width="11.421875" style="38" customWidth="1"/>
    <col min="23" max="23" width="15.7109375" style="153" bestFit="1" customWidth="1"/>
    <col min="24" max="16384" width="11.421875" style="38" customWidth="1"/>
  </cols>
  <sheetData>
    <row r="2" spans="1:17" ht="12.75">
      <c r="A2" s="878" t="s">
        <v>420</v>
      </c>
      <c r="B2" s="878"/>
      <c r="C2" s="878"/>
      <c r="D2" s="878"/>
      <c r="E2" s="878"/>
      <c r="F2" s="878"/>
      <c r="G2" s="878"/>
      <c r="H2" s="878"/>
      <c r="I2" s="878"/>
      <c r="J2" s="878"/>
      <c r="K2" s="878"/>
      <c r="L2" s="878"/>
      <c r="M2" s="878"/>
      <c r="N2" s="878"/>
      <c r="O2" s="878"/>
      <c r="P2" s="878"/>
      <c r="Q2" s="878"/>
    </row>
    <row r="3" spans="1:23" s="39" customFormat="1" ht="16.5" thickBot="1">
      <c r="A3" s="891" t="s">
        <v>609</v>
      </c>
      <c r="B3" s="891"/>
      <c r="C3" s="891"/>
      <c r="D3" s="891"/>
      <c r="E3" s="891"/>
      <c r="F3" s="891"/>
      <c r="G3" s="891"/>
      <c r="H3" s="891"/>
      <c r="I3" s="891"/>
      <c r="J3" s="891"/>
      <c r="K3" s="891"/>
      <c r="L3" s="891"/>
      <c r="M3" s="891"/>
      <c r="N3" s="891"/>
      <c r="O3" s="891"/>
      <c r="P3" s="891"/>
      <c r="Q3" s="891"/>
      <c r="R3" s="184"/>
      <c r="S3" s="184"/>
      <c r="W3" s="184"/>
    </row>
    <row r="4" spans="1:23" s="39" customFormat="1" ht="13.5" thickBot="1">
      <c r="A4" s="175"/>
      <c r="C4" s="822"/>
      <c r="D4" s="822"/>
      <c r="N4" s="755"/>
      <c r="O4" s="755"/>
      <c r="P4" s="892" t="s">
        <v>96</v>
      </c>
      <c r="Q4" s="893"/>
      <c r="R4" s="184"/>
      <c r="S4" s="184"/>
      <c r="W4" s="184"/>
    </row>
    <row r="5" spans="1:17" ht="12.75">
      <c r="A5" s="878" t="s">
        <v>76</v>
      </c>
      <c r="B5" s="878"/>
      <c r="C5" s="878"/>
      <c r="D5" s="878"/>
      <c r="E5" s="878"/>
      <c r="F5" s="878"/>
      <c r="P5" s="889" t="s">
        <v>74</v>
      </c>
      <c r="Q5" s="889"/>
    </row>
    <row r="6" spans="1:17" ht="12.75">
      <c r="A6" s="878" t="s">
        <v>77</v>
      </c>
      <c r="B6" s="879"/>
      <c r="C6" s="879"/>
      <c r="D6" s="879"/>
      <c r="E6" s="879"/>
      <c r="F6" s="879"/>
      <c r="P6" s="890" t="s">
        <v>75</v>
      </c>
      <c r="Q6" s="890"/>
    </row>
    <row r="7" spans="1:9" ht="12.75">
      <c r="A7" s="878" t="s">
        <v>808</v>
      </c>
      <c r="B7" s="879"/>
      <c r="C7" s="879"/>
      <c r="D7" s="879"/>
      <c r="E7" s="879"/>
      <c r="F7" s="879"/>
      <c r="G7" s="38" t="s">
        <v>72</v>
      </c>
      <c r="I7" s="41">
        <v>39083</v>
      </c>
    </row>
    <row r="9" spans="3:4" ht="13.5" thickBot="1">
      <c r="C9" s="822"/>
      <c r="D9" s="822"/>
    </row>
    <row r="10" spans="1:17" ht="13.5" thickBot="1">
      <c r="A10" s="177" t="s">
        <v>424</v>
      </c>
      <c r="B10" s="43"/>
      <c r="C10" s="44" t="s">
        <v>97</v>
      </c>
      <c r="D10" s="44"/>
      <c r="E10" s="43"/>
      <c r="F10" s="45"/>
      <c r="G10" s="880" t="s">
        <v>425</v>
      </c>
      <c r="H10" s="881"/>
      <c r="I10" s="881"/>
      <c r="J10" s="881"/>
      <c r="K10" s="881"/>
      <c r="L10" s="881"/>
      <c r="M10" s="881"/>
      <c r="N10" s="881"/>
      <c r="O10" s="882"/>
      <c r="P10" s="880" t="s">
        <v>426</v>
      </c>
      <c r="Q10" s="882"/>
    </row>
    <row r="11" spans="1:17" ht="15">
      <c r="A11" s="178" t="s">
        <v>422</v>
      </c>
      <c r="B11" s="47"/>
      <c r="C11" s="48" t="s">
        <v>98</v>
      </c>
      <c r="D11" s="48"/>
      <c r="E11" s="47"/>
      <c r="F11" s="49"/>
      <c r="G11" s="914" t="s">
        <v>820</v>
      </c>
      <c r="H11" s="915"/>
      <c r="I11" s="915"/>
      <c r="J11" s="915"/>
      <c r="K11" s="915"/>
      <c r="L11" s="915"/>
      <c r="M11" s="915"/>
      <c r="N11" s="915"/>
      <c r="O11" s="916"/>
      <c r="P11" s="50"/>
      <c r="Q11" s="18" t="s">
        <v>707</v>
      </c>
    </row>
    <row r="12" spans="1:17" ht="13.5" thickBot="1">
      <c r="A12" s="179" t="s">
        <v>423</v>
      </c>
      <c r="B12" s="52"/>
      <c r="C12" s="53" t="s">
        <v>705</v>
      </c>
      <c r="D12" s="53"/>
      <c r="E12" s="52"/>
      <c r="F12" s="54"/>
      <c r="G12" s="911"/>
      <c r="H12" s="912"/>
      <c r="I12" s="912"/>
      <c r="J12" s="912"/>
      <c r="K12" s="912"/>
      <c r="L12" s="912"/>
      <c r="M12" s="912"/>
      <c r="N12" s="912"/>
      <c r="O12" s="913"/>
      <c r="P12" s="55"/>
      <c r="Q12" s="56"/>
    </row>
    <row r="13" spans="1:21" ht="13.5" thickBot="1">
      <c r="A13" s="176" t="s">
        <v>73</v>
      </c>
      <c r="B13" s="57"/>
      <c r="T13" s="59"/>
      <c r="U13" s="60">
        <f>+T13+T17+8000000+7955000</f>
        <v>15955000</v>
      </c>
    </row>
    <row r="14" spans="1:20" ht="12.75">
      <c r="A14" s="869" t="s">
        <v>431</v>
      </c>
      <c r="B14" s="870"/>
      <c r="C14" s="870"/>
      <c r="D14" s="870"/>
      <c r="E14" s="870"/>
      <c r="F14" s="871"/>
      <c r="G14" s="872" t="s">
        <v>427</v>
      </c>
      <c r="H14" s="873"/>
      <c r="I14" s="873"/>
      <c r="J14" s="873"/>
      <c r="K14" s="873"/>
      <c r="L14" s="873"/>
      <c r="M14" s="873"/>
      <c r="N14" s="873"/>
      <c r="O14" s="874"/>
      <c r="P14" s="875" t="s">
        <v>428</v>
      </c>
      <c r="Q14" s="874" t="s">
        <v>429</v>
      </c>
      <c r="T14" s="58"/>
    </row>
    <row r="15" spans="1:20" ht="13.5" thickBot="1">
      <c r="A15" s="61"/>
      <c r="B15" s="62"/>
      <c r="C15" s="63"/>
      <c r="D15" s="63"/>
      <c r="E15" s="62"/>
      <c r="F15" s="64"/>
      <c r="G15" s="365"/>
      <c r="H15" s="62"/>
      <c r="I15" s="366"/>
      <c r="J15" s="62"/>
      <c r="K15" s="62"/>
      <c r="L15" s="62"/>
      <c r="M15" s="62"/>
      <c r="N15" s="756"/>
      <c r="O15" s="757"/>
      <c r="P15" s="876"/>
      <c r="Q15" s="877"/>
      <c r="T15" s="58"/>
    </row>
    <row r="16" spans="1:20" ht="52.5" thickBot="1">
      <c r="A16" s="35" t="s">
        <v>430</v>
      </c>
      <c r="B16" s="65" t="s">
        <v>432</v>
      </c>
      <c r="C16" s="66" t="s">
        <v>433</v>
      </c>
      <c r="D16" s="66" t="s">
        <v>434</v>
      </c>
      <c r="E16" s="37" t="s">
        <v>435</v>
      </c>
      <c r="F16" s="36" t="s">
        <v>446</v>
      </c>
      <c r="G16" s="67" t="s">
        <v>436</v>
      </c>
      <c r="H16" s="68" t="s">
        <v>437</v>
      </c>
      <c r="I16" s="68" t="s">
        <v>438</v>
      </c>
      <c r="J16" s="68" t="s">
        <v>439</v>
      </c>
      <c r="K16" s="68" t="s">
        <v>440</v>
      </c>
      <c r="L16" s="68" t="s">
        <v>441</v>
      </c>
      <c r="M16" s="68" t="s">
        <v>442</v>
      </c>
      <c r="N16" s="758" t="s">
        <v>443</v>
      </c>
      <c r="O16" s="759" t="s">
        <v>444</v>
      </c>
      <c r="P16" s="876"/>
      <c r="Q16" s="877"/>
      <c r="T16" s="58"/>
    </row>
    <row r="17" spans="1:20" ht="51">
      <c r="A17" s="105">
        <v>1</v>
      </c>
      <c r="B17" s="70" t="s">
        <v>714</v>
      </c>
      <c r="C17" s="823">
        <v>60</v>
      </c>
      <c r="D17" s="823">
        <v>62</v>
      </c>
      <c r="E17" s="71">
        <f>D17/C17</f>
        <v>1.0333333333333334</v>
      </c>
      <c r="F17" s="71">
        <f aca="true" t="shared" si="0" ref="F17:F22">2750/300</f>
        <v>9.166666666666666</v>
      </c>
      <c r="G17" s="72"/>
      <c r="H17" s="72"/>
      <c r="I17" s="72"/>
      <c r="J17" s="72"/>
      <c r="K17" s="72"/>
      <c r="L17" s="72"/>
      <c r="M17" s="72"/>
      <c r="N17" s="778">
        <f>G17+H17+I17+J17</f>
        <v>0</v>
      </c>
      <c r="O17" s="778"/>
      <c r="P17" s="349" t="s">
        <v>370</v>
      </c>
      <c r="Q17" s="69"/>
      <c r="T17" s="58"/>
    </row>
    <row r="18" spans="1:20" ht="26.25" customHeight="1">
      <c r="A18" s="180">
        <v>2</v>
      </c>
      <c r="B18" s="74" t="s">
        <v>271</v>
      </c>
      <c r="C18" s="164">
        <f>1589+200</f>
        <v>1789</v>
      </c>
      <c r="D18" s="824">
        <f>1589+150</f>
        <v>1739</v>
      </c>
      <c r="E18" s="75">
        <f aca="true" t="shared" si="1" ref="E18:E25">+D18/C18</f>
        <v>0.9720514253773057</v>
      </c>
      <c r="F18" s="75">
        <f t="shared" si="0"/>
        <v>9.166666666666666</v>
      </c>
      <c r="G18" s="77"/>
      <c r="H18" s="77"/>
      <c r="I18" s="77"/>
      <c r="J18" s="77"/>
      <c r="K18" s="77"/>
      <c r="L18" s="77"/>
      <c r="M18" s="77"/>
      <c r="N18" s="253">
        <f aca="true" t="shared" si="2" ref="N18:N23">+G18+H18+I18+J18+K18+L18+M18</f>
        <v>0</v>
      </c>
      <c r="O18" s="89"/>
      <c r="P18" s="349" t="s">
        <v>370</v>
      </c>
      <c r="Q18" s="73"/>
      <c r="T18" s="58"/>
    </row>
    <row r="19" spans="1:20" ht="25.5">
      <c r="A19" s="180">
        <v>3</v>
      </c>
      <c r="B19" s="74" t="s">
        <v>623</v>
      </c>
      <c r="C19" s="164">
        <v>250</v>
      </c>
      <c r="D19" s="825">
        <f>134+113</f>
        <v>247</v>
      </c>
      <c r="E19" s="75">
        <f t="shared" si="1"/>
        <v>0.988</v>
      </c>
      <c r="F19" s="75">
        <f t="shared" si="0"/>
        <v>9.166666666666666</v>
      </c>
      <c r="G19" s="77"/>
      <c r="H19" s="77"/>
      <c r="I19" s="77"/>
      <c r="J19" s="78"/>
      <c r="K19" s="77"/>
      <c r="L19" s="77"/>
      <c r="M19" s="77"/>
      <c r="N19" s="253">
        <f t="shared" si="2"/>
        <v>0</v>
      </c>
      <c r="O19" s="78"/>
      <c r="P19" s="349" t="s">
        <v>370</v>
      </c>
      <c r="Q19" s="73"/>
      <c r="T19" s="58"/>
    </row>
    <row r="20" spans="1:20" ht="25.5">
      <c r="A20" s="180">
        <v>4</v>
      </c>
      <c r="B20" s="74" t="s">
        <v>624</v>
      </c>
      <c r="C20" s="164">
        <v>1500</v>
      </c>
      <c r="D20" s="164">
        <v>1471</v>
      </c>
      <c r="E20" s="75">
        <f t="shared" si="1"/>
        <v>0.9806666666666667</v>
      </c>
      <c r="F20" s="75">
        <f t="shared" si="0"/>
        <v>9.166666666666666</v>
      </c>
      <c r="G20" s="77"/>
      <c r="H20" s="77"/>
      <c r="I20" s="77"/>
      <c r="J20" s="77"/>
      <c r="K20" s="77"/>
      <c r="L20" s="77"/>
      <c r="M20" s="77"/>
      <c r="N20" s="253">
        <f t="shared" si="2"/>
        <v>0</v>
      </c>
      <c r="O20" s="89"/>
      <c r="P20" s="349" t="s">
        <v>370</v>
      </c>
      <c r="Q20" s="73"/>
      <c r="T20" s="58"/>
    </row>
    <row r="21" spans="1:17" ht="25.5">
      <c r="A21" s="180">
        <v>5</v>
      </c>
      <c r="B21" s="74" t="s">
        <v>625</v>
      </c>
      <c r="C21" s="164">
        <v>650</v>
      </c>
      <c r="D21" s="164">
        <f>96+79+106+80+89+56+63+57</f>
        <v>626</v>
      </c>
      <c r="E21" s="75">
        <f t="shared" si="1"/>
        <v>0.963076923076923</v>
      </c>
      <c r="F21" s="75">
        <f t="shared" si="0"/>
        <v>9.166666666666666</v>
      </c>
      <c r="G21" s="77"/>
      <c r="H21" s="77"/>
      <c r="I21" s="77"/>
      <c r="J21" s="77"/>
      <c r="K21" s="77"/>
      <c r="L21" s="77"/>
      <c r="M21" s="77"/>
      <c r="N21" s="253">
        <f t="shared" si="2"/>
        <v>0</v>
      </c>
      <c r="O21" s="89"/>
      <c r="P21" s="349" t="s">
        <v>370</v>
      </c>
      <c r="Q21" s="73"/>
    </row>
    <row r="22" spans="1:17" ht="25.5">
      <c r="A22" s="180">
        <v>6</v>
      </c>
      <c r="B22" s="74" t="s">
        <v>626</v>
      </c>
      <c r="C22" s="164">
        <v>170</v>
      </c>
      <c r="D22" s="164">
        <f>61+42+32+33</f>
        <v>168</v>
      </c>
      <c r="E22" s="75">
        <f t="shared" si="1"/>
        <v>0.9882352941176471</v>
      </c>
      <c r="F22" s="75">
        <f t="shared" si="0"/>
        <v>9.166666666666666</v>
      </c>
      <c r="G22" s="73"/>
      <c r="H22" s="73"/>
      <c r="I22" s="73"/>
      <c r="J22" s="73"/>
      <c r="K22" s="73"/>
      <c r="L22" s="73"/>
      <c r="M22" s="73"/>
      <c r="N22" s="253">
        <f t="shared" si="2"/>
        <v>0</v>
      </c>
      <c r="O22" s="89"/>
      <c r="P22" s="349" t="s">
        <v>370</v>
      </c>
      <c r="Q22" s="73"/>
    </row>
    <row r="23" spans="1:19" ht="25.5">
      <c r="A23" s="180">
        <v>7</v>
      </c>
      <c r="B23" s="74" t="s">
        <v>708</v>
      </c>
      <c r="C23" s="164">
        <v>1150</v>
      </c>
      <c r="D23" s="164">
        <f>1247-100</f>
        <v>1147</v>
      </c>
      <c r="E23" s="327">
        <f t="shared" si="1"/>
        <v>0.9973913043478261</v>
      </c>
      <c r="F23" s="75">
        <f aca="true" t="shared" si="3" ref="F23:F28">75/75</f>
        <v>1</v>
      </c>
      <c r="G23" s="77">
        <f>+(53228.575+3000)*0.65</f>
        <v>36548.573749999996</v>
      </c>
      <c r="H23" s="77"/>
      <c r="I23" s="77"/>
      <c r="J23" s="77"/>
      <c r="K23" s="77">
        <v>0</v>
      </c>
      <c r="L23" s="77"/>
      <c r="M23" s="77"/>
      <c r="N23" s="711">
        <f t="shared" si="2"/>
        <v>36548.573749999996</v>
      </c>
      <c r="O23" s="761">
        <f>(48882.6+2983.75)*0.65</f>
        <v>33713.1275</v>
      </c>
      <c r="P23" s="349" t="s">
        <v>370</v>
      </c>
      <c r="Q23" s="73"/>
      <c r="R23" s="715">
        <f>N23</f>
        <v>36548.573749999996</v>
      </c>
      <c r="S23" s="715">
        <v>0.65</v>
      </c>
    </row>
    <row r="24" spans="1:20" ht="51">
      <c r="A24" s="180">
        <v>8</v>
      </c>
      <c r="B24" s="74" t="s">
        <v>257</v>
      </c>
      <c r="C24" s="164">
        <v>2600</v>
      </c>
      <c r="D24" s="164">
        <v>2512</v>
      </c>
      <c r="E24" s="327">
        <f t="shared" si="1"/>
        <v>0.9661538461538461</v>
      </c>
      <c r="F24" s="75">
        <f t="shared" si="3"/>
        <v>1</v>
      </c>
      <c r="G24" s="77">
        <f>(56753.295+2000)*0.5</f>
        <v>29376.6475</v>
      </c>
      <c r="H24" s="77">
        <f>25000*0.5</f>
        <v>12500</v>
      </c>
      <c r="I24" s="77"/>
      <c r="J24" s="77"/>
      <c r="K24" s="77"/>
      <c r="L24" s="77"/>
      <c r="M24" s="77"/>
      <c r="N24" s="711">
        <f>+G24+H24+I24+J24+K24+L24+M24</f>
        <v>41876.6475</v>
      </c>
      <c r="O24" s="761">
        <f>(81753.295-0.735+2000)*0.5</f>
        <v>41876.28</v>
      </c>
      <c r="P24" s="349" t="s">
        <v>370</v>
      </c>
      <c r="Q24" s="73"/>
      <c r="R24" s="715">
        <f>R23*S24</f>
        <v>3654857.3749999995</v>
      </c>
      <c r="S24" s="715">
        <v>100</v>
      </c>
      <c r="T24" s="240">
        <f>+R24-0.735</f>
        <v>3654856.6399999997</v>
      </c>
    </row>
    <row r="25" spans="1:19" ht="25.5">
      <c r="A25" s="180">
        <v>9</v>
      </c>
      <c r="B25" s="74" t="s">
        <v>712</v>
      </c>
      <c r="C25" s="164">
        <v>2600</v>
      </c>
      <c r="D25" s="164">
        <f>(247+1471+794)</f>
        <v>2512</v>
      </c>
      <c r="E25" s="327">
        <f t="shared" si="1"/>
        <v>0.9661538461538461</v>
      </c>
      <c r="F25" s="75">
        <f t="shared" si="3"/>
        <v>1</v>
      </c>
      <c r="G25" s="77">
        <f>(4443.416)*0.5</f>
        <v>2221.708</v>
      </c>
      <c r="H25" s="77">
        <f>(3455+2000)*0.5</f>
        <v>2727.5</v>
      </c>
      <c r="I25" s="77"/>
      <c r="J25" s="77"/>
      <c r="K25" s="73"/>
      <c r="L25" s="73"/>
      <c r="M25" s="73"/>
      <c r="N25" s="711">
        <f>+G25+H25+I25+J25+K25+L25+M25</f>
        <v>4949.2080000000005</v>
      </c>
      <c r="O25" s="780">
        <f>(4443.616-0.2+3455+2000)*0.5</f>
        <v>4949.2080000000005</v>
      </c>
      <c r="P25" s="350" t="s">
        <v>369</v>
      </c>
      <c r="Q25" s="73"/>
      <c r="R25" s="241">
        <f>R24/S23</f>
        <v>5622857.499999999</v>
      </c>
      <c r="S25" s="241">
        <f aca="true" t="shared" si="4" ref="R24:S26">O25+O62+O93</f>
        <v>9898.416000000001</v>
      </c>
    </row>
    <row r="26" spans="1:19" ht="25.5">
      <c r="A26" s="180">
        <v>10</v>
      </c>
      <c r="B26" s="74" t="s">
        <v>709</v>
      </c>
      <c r="C26" s="164">
        <v>2600</v>
      </c>
      <c r="D26" s="164">
        <f>(247+1471+794)</f>
        <v>2512</v>
      </c>
      <c r="E26" s="88">
        <f>D26/C26</f>
        <v>0.9661538461538461</v>
      </c>
      <c r="F26" s="75">
        <f t="shared" si="3"/>
        <v>1</v>
      </c>
      <c r="G26" s="329">
        <f>(6880.886+214.114)*0.5</f>
        <v>3547.5</v>
      </c>
      <c r="H26" s="77"/>
      <c r="I26" s="77"/>
      <c r="J26" s="77"/>
      <c r="K26" s="73"/>
      <c r="L26" s="73"/>
      <c r="M26" s="73"/>
      <c r="N26" s="711">
        <f>+G26+H26+I26+J26+K26+L26+M26</f>
        <v>3547.5</v>
      </c>
      <c r="O26" s="780">
        <f>7095*0.5</f>
        <v>3547.5</v>
      </c>
      <c r="P26" s="349" t="s">
        <v>370</v>
      </c>
      <c r="Q26" s="73"/>
      <c r="R26" s="241">
        <f t="shared" si="4"/>
        <v>7095</v>
      </c>
      <c r="S26" s="241">
        <f t="shared" si="4"/>
        <v>7095</v>
      </c>
    </row>
    <row r="27" spans="1:19" ht="38.25">
      <c r="A27" s="180">
        <v>11</v>
      </c>
      <c r="B27" s="74" t="s">
        <v>170</v>
      </c>
      <c r="C27" s="79">
        <v>60</v>
      </c>
      <c r="D27" s="164">
        <v>60</v>
      </c>
      <c r="E27" s="88">
        <f>D27/C27</f>
        <v>1</v>
      </c>
      <c r="F27" s="75">
        <f t="shared" si="3"/>
        <v>1</v>
      </c>
      <c r="G27" s="73"/>
      <c r="H27" s="73"/>
      <c r="I27" s="73"/>
      <c r="J27" s="73"/>
      <c r="K27" s="73"/>
      <c r="L27" s="73"/>
      <c r="M27" s="73"/>
      <c r="N27" s="253">
        <f>+G27+H27+I27+J27+K27+L27+M27</f>
        <v>0</v>
      </c>
      <c r="O27" s="89"/>
      <c r="P27" s="349" t="s">
        <v>370</v>
      </c>
      <c r="Q27" s="697" t="s">
        <v>169</v>
      </c>
      <c r="R27" s="241">
        <f>3455+4443.416</f>
        <v>7898.416</v>
      </c>
      <c r="S27" s="241">
        <f>4443.616-0.2+3455</f>
        <v>7898.416</v>
      </c>
    </row>
    <row r="28" spans="1:19" ht="38.25">
      <c r="A28" s="180">
        <v>12</v>
      </c>
      <c r="B28" s="74" t="s">
        <v>171</v>
      </c>
      <c r="C28" s="164">
        <v>2600</v>
      </c>
      <c r="D28" s="164">
        <v>2512</v>
      </c>
      <c r="E28" s="88">
        <f>D28/C28</f>
        <v>0.9661538461538461</v>
      </c>
      <c r="F28" s="75">
        <f t="shared" si="3"/>
        <v>1</v>
      </c>
      <c r="G28" s="151">
        <f>(40743+7500)*0.5</f>
        <v>24121.5</v>
      </c>
      <c r="H28" s="73"/>
      <c r="I28" s="73"/>
      <c r="J28" s="73"/>
      <c r="K28" s="73"/>
      <c r="L28" s="73"/>
      <c r="M28" s="73"/>
      <c r="N28" s="711">
        <f>+G28+H28+I28+J28+K28+L28+M28</f>
        <v>24121.5</v>
      </c>
      <c r="O28" s="765">
        <f>(40742.349+7500)*0.5</f>
        <v>24121.1745</v>
      </c>
      <c r="P28" s="350" t="s">
        <v>369</v>
      </c>
      <c r="Q28" s="73"/>
      <c r="R28" s="241">
        <f>3455+4443.416</f>
        <v>7898.416</v>
      </c>
      <c r="S28" s="241">
        <f>4443.616-0.2+3455</f>
        <v>7898.416</v>
      </c>
    </row>
    <row r="29" spans="1:19" ht="38.25">
      <c r="A29" s="180">
        <v>13</v>
      </c>
      <c r="B29" s="118" t="s">
        <v>39</v>
      </c>
      <c r="C29" s="164">
        <v>600</v>
      </c>
      <c r="D29" s="164">
        <v>595</v>
      </c>
      <c r="E29" s="75">
        <f>D29/C29</f>
        <v>0.9916666666666667</v>
      </c>
      <c r="F29" s="75">
        <f>23780/23780</f>
        <v>1</v>
      </c>
      <c r="G29" s="329">
        <f>14320*0.5</f>
        <v>7160</v>
      </c>
      <c r="H29" s="77"/>
      <c r="I29" s="77"/>
      <c r="J29" s="77"/>
      <c r="K29" s="77"/>
      <c r="L29" s="77"/>
      <c r="M29" s="77"/>
      <c r="N29" s="780">
        <f>SUM(G29:M29)</f>
        <v>7160</v>
      </c>
      <c r="O29" s="780">
        <f>14320*0.5</f>
        <v>7160</v>
      </c>
      <c r="P29" s="349" t="s">
        <v>370</v>
      </c>
      <c r="Q29" s="73"/>
      <c r="R29" s="241">
        <f>3455+4443.416</f>
        <v>7898.416</v>
      </c>
      <c r="S29" s="241">
        <f>4443.616-0.2+3455</f>
        <v>7898.416</v>
      </c>
    </row>
    <row r="30" spans="1:20" ht="43.5" customHeight="1">
      <c r="A30" s="180">
        <v>14</v>
      </c>
      <c r="B30" s="74" t="s">
        <v>172</v>
      </c>
      <c r="C30" s="164">
        <f>1328*70%</f>
        <v>929.5999999999999</v>
      </c>
      <c r="D30" s="164">
        <f>1328*70%</f>
        <v>929.5999999999999</v>
      </c>
      <c r="E30" s="75">
        <f>D30/C30</f>
        <v>1</v>
      </c>
      <c r="F30" s="75">
        <f>23780/23780</f>
        <v>1</v>
      </c>
      <c r="G30" s="73"/>
      <c r="H30" s="73"/>
      <c r="I30" s="73"/>
      <c r="J30" s="712">
        <f>28857.44*0.5</f>
        <v>14428.72</v>
      </c>
      <c r="K30" s="73"/>
      <c r="L30" s="73"/>
      <c r="M30" s="73"/>
      <c r="N30" s="780">
        <f>SUM(G30:M30)</f>
        <v>14428.72</v>
      </c>
      <c r="O30" s="761">
        <f>28857.44*0.5</f>
        <v>14428.72</v>
      </c>
      <c r="P30" s="349" t="s">
        <v>370</v>
      </c>
      <c r="Q30" s="73"/>
      <c r="R30" s="241">
        <f>SUM(R24:R29)</f>
        <v>9308505.122999996</v>
      </c>
      <c r="S30" s="241">
        <f>SUM(S24:S29)</f>
        <v>40788.664</v>
      </c>
      <c r="T30" s="80"/>
    </row>
    <row r="31" spans="1:20" ht="12.75">
      <c r="A31" s="180"/>
      <c r="B31" s="74"/>
      <c r="C31" s="79"/>
      <c r="D31" s="79"/>
      <c r="E31" s="73"/>
      <c r="F31" s="73"/>
      <c r="G31" s="73"/>
      <c r="H31" s="73"/>
      <c r="I31" s="73"/>
      <c r="J31" s="73"/>
      <c r="K31" s="73"/>
      <c r="L31" s="73"/>
      <c r="M31" s="73"/>
      <c r="N31" s="89"/>
      <c r="O31" s="89"/>
      <c r="P31" s="73"/>
      <c r="Q31" s="73"/>
      <c r="T31" s="80"/>
    </row>
    <row r="32" spans="1:20" ht="12.75">
      <c r="A32" s="180"/>
      <c r="B32" s="74"/>
      <c r="C32" s="79"/>
      <c r="D32" s="79"/>
      <c r="E32" s="73"/>
      <c r="F32" s="73"/>
      <c r="G32" s="73"/>
      <c r="H32" s="73"/>
      <c r="I32" s="73"/>
      <c r="J32" s="73"/>
      <c r="K32" s="73"/>
      <c r="L32" s="73"/>
      <c r="M32" s="73"/>
      <c r="N32" s="89"/>
      <c r="O32" s="89"/>
      <c r="P32" s="73"/>
      <c r="Q32" s="73"/>
      <c r="T32" s="80"/>
    </row>
    <row r="33" spans="1:17" ht="12.75">
      <c r="A33" s="180"/>
      <c r="B33" s="73"/>
      <c r="C33" s="79"/>
      <c r="D33" s="79"/>
      <c r="E33" s="73"/>
      <c r="F33" s="73"/>
      <c r="G33" s="73"/>
      <c r="H33" s="73"/>
      <c r="I33" s="73"/>
      <c r="J33" s="73"/>
      <c r="K33" s="73"/>
      <c r="L33" s="73"/>
      <c r="M33" s="73"/>
      <c r="N33" s="89"/>
      <c r="O33" s="89"/>
      <c r="P33" s="73"/>
      <c r="Q33" s="73"/>
    </row>
    <row r="34" spans="1:17" ht="12.75">
      <c r="A34" s="180"/>
      <c r="B34" s="73"/>
      <c r="C34" s="79"/>
      <c r="D34" s="79"/>
      <c r="E34" s="73"/>
      <c r="F34" s="73"/>
      <c r="G34" s="73"/>
      <c r="H34" s="73"/>
      <c r="I34" s="73"/>
      <c r="J34" s="73"/>
      <c r="K34" s="73"/>
      <c r="L34" s="73"/>
      <c r="M34" s="73"/>
      <c r="N34" s="89"/>
      <c r="O34" s="89"/>
      <c r="P34" s="73"/>
      <c r="Q34" s="73"/>
    </row>
    <row r="35" spans="1:17" ht="12.75">
      <c r="A35" s="180"/>
      <c r="B35" s="73"/>
      <c r="C35" s="79"/>
      <c r="D35" s="79"/>
      <c r="E35" s="73"/>
      <c r="F35" s="73"/>
      <c r="G35" s="73"/>
      <c r="H35" s="73"/>
      <c r="I35" s="73"/>
      <c r="J35" s="73"/>
      <c r="K35" s="73"/>
      <c r="L35" s="73"/>
      <c r="M35" s="73"/>
      <c r="N35" s="89"/>
      <c r="O35" s="89"/>
      <c r="P35" s="73"/>
      <c r="Q35" s="73"/>
    </row>
    <row r="36" spans="1:17" ht="12.75">
      <c r="A36" s="180"/>
      <c r="B36" s="73"/>
      <c r="C36" s="79"/>
      <c r="D36" s="79"/>
      <c r="E36" s="73"/>
      <c r="F36" s="73"/>
      <c r="G36" s="73"/>
      <c r="H36" s="73"/>
      <c r="I36" s="73"/>
      <c r="J36" s="73"/>
      <c r="K36" s="73"/>
      <c r="L36" s="73"/>
      <c r="M36" s="73"/>
      <c r="N36" s="89"/>
      <c r="O36" s="89"/>
      <c r="P36" s="73"/>
      <c r="Q36" s="73"/>
    </row>
    <row r="37" spans="1:17" ht="12.75">
      <c r="A37" s="180"/>
      <c r="B37" s="73"/>
      <c r="C37" s="79"/>
      <c r="D37" s="79"/>
      <c r="E37" s="73"/>
      <c r="F37" s="73"/>
      <c r="G37" s="73"/>
      <c r="H37" s="73"/>
      <c r="I37" s="73"/>
      <c r="J37" s="73"/>
      <c r="K37" s="73"/>
      <c r="L37" s="73"/>
      <c r="M37" s="73"/>
      <c r="N37" s="89"/>
      <c r="O37" s="89"/>
      <c r="P37" s="73"/>
      <c r="Q37" s="73"/>
    </row>
    <row r="38" spans="1:17" ht="13.5" thickBot="1">
      <c r="A38" s="181"/>
      <c r="B38" s="82" t="s">
        <v>445</v>
      </c>
      <c r="C38" s="83"/>
      <c r="D38" s="83"/>
      <c r="E38" s="81"/>
      <c r="F38" s="81"/>
      <c r="G38" s="84">
        <f aca="true" t="shared" si="5" ref="G38:M38">SUM(G17:G37)</f>
        <v>102975.92925</v>
      </c>
      <c r="H38" s="84">
        <f t="shared" si="5"/>
        <v>15227.5</v>
      </c>
      <c r="I38" s="84">
        <f t="shared" si="5"/>
        <v>0</v>
      </c>
      <c r="J38" s="84">
        <f t="shared" si="5"/>
        <v>14428.72</v>
      </c>
      <c r="K38" s="85">
        <f t="shared" si="5"/>
        <v>0</v>
      </c>
      <c r="L38" s="85">
        <f t="shared" si="5"/>
        <v>0</v>
      </c>
      <c r="M38" s="85">
        <f t="shared" si="5"/>
        <v>0</v>
      </c>
      <c r="N38" s="762">
        <f>SUM(N17:N36)</f>
        <v>132632.14925</v>
      </c>
      <c r="O38" s="762">
        <f>SUM(O17:O37)</f>
        <v>129796.01000000001</v>
      </c>
      <c r="P38" s="81"/>
      <c r="Q38" s="81"/>
    </row>
    <row r="40" spans="1:17" ht="12.75">
      <c r="A40" s="878" t="s">
        <v>420</v>
      </c>
      <c r="B40" s="878"/>
      <c r="C40" s="878"/>
      <c r="D40" s="878"/>
      <c r="E40" s="878"/>
      <c r="F40" s="878"/>
      <c r="G40" s="878"/>
      <c r="H40" s="878"/>
      <c r="I40" s="878"/>
      <c r="J40" s="878"/>
      <c r="K40" s="878"/>
      <c r="L40" s="878"/>
      <c r="M40" s="878"/>
      <c r="N40" s="878"/>
      <c r="O40" s="878"/>
      <c r="P40" s="878"/>
      <c r="Q40" s="878"/>
    </row>
    <row r="41" spans="1:23" s="39" customFormat="1" ht="16.5" thickBot="1">
      <c r="A41" s="891" t="s">
        <v>609</v>
      </c>
      <c r="B41" s="891"/>
      <c r="C41" s="891"/>
      <c r="D41" s="891"/>
      <c r="E41" s="891"/>
      <c r="F41" s="891"/>
      <c r="G41" s="891"/>
      <c r="H41" s="891"/>
      <c r="I41" s="891"/>
      <c r="J41" s="891"/>
      <c r="K41" s="891"/>
      <c r="L41" s="891"/>
      <c r="M41" s="891"/>
      <c r="N41" s="891"/>
      <c r="O41" s="891"/>
      <c r="P41" s="891"/>
      <c r="Q41" s="891"/>
      <c r="R41" s="184"/>
      <c r="S41" s="184"/>
      <c r="W41" s="184"/>
    </row>
    <row r="42" spans="1:23" s="39" customFormat="1" ht="13.5" thickBot="1">
      <c r="A42" s="175"/>
      <c r="C42" s="40"/>
      <c r="D42" s="40"/>
      <c r="N42" s="755"/>
      <c r="O42" s="755"/>
      <c r="P42" s="892" t="s">
        <v>99</v>
      </c>
      <c r="Q42" s="893"/>
      <c r="R42" s="184"/>
      <c r="S42" s="184"/>
      <c r="W42" s="184"/>
    </row>
    <row r="43" spans="1:17" ht="12.75">
      <c r="A43" s="878" t="s">
        <v>76</v>
      </c>
      <c r="B43" s="878"/>
      <c r="C43" s="878"/>
      <c r="D43" s="878"/>
      <c r="E43" s="878"/>
      <c r="F43" s="878"/>
      <c r="P43" s="889" t="s">
        <v>74</v>
      </c>
      <c r="Q43" s="889"/>
    </row>
    <row r="44" spans="1:17" ht="12.75">
      <c r="A44" s="878" t="s">
        <v>77</v>
      </c>
      <c r="B44" s="879"/>
      <c r="C44" s="879"/>
      <c r="D44" s="879"/>
      <c r="E44" s="879"/>
      <c r="F44" s="879"/>
      <c r="P44" s="890" t="s">
        <v>75</v>
      </c>
      <c r="Q44" s="890"/>
    </row>
    <row r="45" spans="1:9" ht="12.75">
      <c r="A45" s="878" t="s">
        <v>808</v>
      </c>
      <c r="B45" s="879"/>
      <c r="C45" s="879"/>
      <c r="D45" s="879"/>
      <c r="E45" s="879"/>
      <c r="F45" s="879"/>
      <c r="G45" s="38" t="s">
        <v>72</v>
      </c>
      <c r="I45" s="41">
        <v>39083</v>
      </c>
    </row>
    <row r="47" ht="13.5" thickBot="1"/>
    <row r="48" spans="1:17" ht="12.75">
      <c r="A48" s="177" t="s">
        <v>424</v>
      </c>
      <c r="B48" s="43"/>
      <c r="C48" s="44" t="s">
        <v>97</v>
      </c>
      <c r="D48" s="44"/>
      <c r="E48" s="43"/>
      <c r="F48" s="45"/>
      <c r="G48" s="880" t="s">
        <v>425</v>
      </c>
      <c r="H48" s="881"/>
      <c r="I48" s="881"/>
      <c r="J48" s="881"/>
      <c r="K48" s="881"/>
      <c r="L48" s="881"/>
      <c r="M48" s="881"/>
      <c r="N48" s="881"/>
      <c r="O48" s="882"/>
      <c r="P48" s="880" t="s">
        <v>426</v>
      </c>
      <c r="Q48" s="882"/>
    </row>
    <row r="49" spans="1:17" ht="27" customHeight="1">
      <c r="A49" s="178" t="s">
        <v>422</v>
      </c>
      <c r="B49" s="47"/>
      <c r="C49" s="48" t="s">
        <v>98</v>
      </c>
      <c r="D49" s="48"/>
      <c r="E49" s="47"/>
      <c r="F49" s="49"/>
      <c r="G49" s="908" t="s">
        <v>821</v>
      </c>
      <c r="H49" s="909"/>
      <c r="I49" s="909"/>
      <c r="J49" s="909"/>
      <c r="K49" s="909"/>
      <c r="L49" s="909"/>
      <c r="M49" s="909"/>
      <c r="N49" s="909"/>
      <c r="O49" s="910"/>
      <c r="P49" s="50"/>
      <c r="Q49" s="15" t="s">
        <v>763</v>
      </c>
    </row>
    <row r="50" spans="1:17" ht="19.5" customHeight="1" thickBot="1">
      <c r="A50" s="179" t="s">
        <v>423</v>
      </c>
      <c r="B50" s="52"/>
      <c r="C50" s="53" t="s">
        <v>706</v>
      </c>
      <c r="D50" s="53"/>
      <c r="E50" s="52"/>
      <c r="F50" s="54"/>
      <c r="G50" s="911"/>
      <c r="H50" s="912"/>
      <c r="I50" s="912"/>
      <c r="J50" s="912"/>
      <c r="K50" s="912"/>
      <c r="L50" s="912"/>
      <c r="M50" s="912"/>
      <c r="N50" s="912"/>
      <c r="O50" s="913"/>
      <c r="P50" s="55"/>
      <c r="Q50" s="56"/>
    </row>
    <row r="51" spans="1:2" ht="13.5" thickBot="1">
      <c r="A51" s="176" t="s">
        <v>73</v>
      </c>
      <c r="B51" s="57"/>
    </row>
    <row r="52" spans="1:17" ht="12.75">
      <c r="A52" s="869" t="s">
        <v>431</v>
      </c>
      <c r="B52" s="870"/>
      <c r="C52" s="870"/>
      <c r="D52" s="870"/>
      <c r="E52" s="870"/>
      <c r="F52" s="871"/>
      <c r="G52" s="872" t="s">
        <v>427</v>
      </c>
      <c r="H52" s="873"/>
      <c r="I52" s="873"/>
      <c r="J52" s="873"/>
      <c r="K52" s="873"/>
      <c r="L52" s="873"/>
      <c r="M52" s="873"/>
      <c r="N52" s="873"/>
      <c r="O52" s="874"/>
      <c r="P52" s="875" t="s">
        <v>428</v>
      </c>
      <c r="Q52" s="874" t="s">
        <v>429</v>
      </c>
    </row>
    <row r="53" spans="1:17" ht="13.5" thickBot="1">
      <c r="A53" s="61"/>
      <c r="B53" s="62"/>
      <c r="C53" s="63"/>
      <c r="D53" s="63"/>
      <c r="E53" s="62"/>
      <c r="F53" s="64"/>
      <c r="G53" s="61"/>
      <c r="H53" s="62"/>
      <c r="I53" s="62"/>
      <c r="J53" s="62"/>
      <c r="K53" s="62"/>
      <c r="L53" s="62"/>
      <c r="M53" s="62"/>
      <c r="N53" s="756"/>
      <c r="O53" s="757"/>
      <c r="P53" s="876"/>
      <c r="Q53" s="877"/>
    </row>
    <row r="54" spans="1:17" ht="52.5" thickBot="1">
      <c r="A54" s="141" t="s">
        <v>430</v>
      </c>
      <c r="B54" s="142" t="s">
        <v>432</v>
      </c>
      <c r="C54" s="243" t="s">
        <v>433</v>
      </c>
      <c r="D54" s="243" t="s">
        <v>434</v>
      </c>
      <c r="E54" s="144" t="s">
        <v>435</v>
      </c>
      <c r="F54" s="145" t="s">
        <v>446</v>
      </c>
      <c r="G54" s="146" t="s">
        <v>436</v>
      </c>
      <c r="H54" s="147" t="s">
        <v>437</v>
      </c>
      <c r="I54" s="147" t="s">
        <v>438</v>
      </c>
      <c r="J54" s="147" t="s">
        <v>439</v>
      </c>
      <c r="K54" s="147" t="s">
        <v>440</v>
      </c>
      <c r="L54" s="147" t="s">
        <v>441</v>
      </c>
      <c r="M54" s="147" t="s">
        <v>442</v>
      </c>
      <c r="N54" s="763" t="s">
        <v>443</v>
      </c>
      <c r="O54" s="764" t="s">
        <v>444</v>
      </c>
      <c r="P54" s="900"/>
      <c r="Q54" s="901"/>
    </row>
    <row r="55" spans="1:17" ht="38.25">
      <c r="A55" s="115">
        <v>1</v>
      </c>
      <c r="B55" s="92" t="s">
        <v>272</v>
      </c>
      <c r="C55" s="823">
        <v>220</v>
      </c>
      <c r="D55" s="826">
        <v>220</v>
      </c>
      <c r="E55" s="149">
        <f aca="true" t="shared" si="6" ref="E55:E62">+D55/C55</f>
        <v>1</v>
      </c>
      <c r="F55" s="149">
        <f>50/10</f>
        <v>5</v>
      </c>
      <c r="G55" s="76"/>
      <c r="H55" s="76"/>
      <c r="I55" s="76"/>
      <c r="J55" s="76"/>
      <c r="K55" s="76"/>
      <c r="L55" s="76"/>
      <c r="M55" s="76"/>
      <c r="N55" s="253">
        <f aca="true" t="shared" si="7" ref="N55:N69">+G55+H55+I55+J55+K55+L55+M55</f>
        <v>0</v>
      </c>
      <c r="O55" s="121"/>
      <c r="P55" s="349" t="s">
        <v>370</v>
      </c>
      <c r="Q55" s="116"/>
    </row>
    <row r="56" spans="1:17" ht="25.5">
      <c r="A56" s="180">
        <v>2</v>
      </c>
      <c r="B56" s="74" t="s">
        <v>623</v>
      </c>
      <c r="C56" s="164">
        <v>320</v>
      </c>
      <c r="D56" s="164">
        <f>214+86</f>
        <v>300</v>
      </c>
      <c r="E56" s="75">
        <f t="shared" si="6"/>
        <v>0.9375</v>
      </c>
      <c r="F56" s="75">
        <f>50/10</f>
        <v>5</v>
      </c>
      <c r="G56" s="77"/>
      <c r="H56" s="77"/>
      <c r="I56" s="77"/>
      <c r="J56" s="77"/>
      <c r="K56" s="77"/>
      <c r="L56" s="77"/>
      <c r="M56" s="77"/>
      <c r="N56" s="253">
        <f t="shared" si="7"/>
        <v>0</v>
      </c>
      <c r="O56" s="89"/>
      <c r="P56" s="349" t="s">
        <v>370</v>
      </c>
      <c r="Q56" s="73"/>
    </row>
    <row r="57" spans="1:17" ht="25.5">
      <c r="A57" s="180">
        <v>3</v>
      </c>
      <c r="B57" s="74" t="s">
        <v>624</v>
      </c>
      <c r="C57" s="164">
        <v>1600</v>
      </c>
      <c r="D57" s="164">
        <f>1412+175</f>
        <v>1587</v>
      </c>
      <c r="E57" s="75">
        <f t="shared" si="6"/>
        <v>0.991875</v>
      </c>
      <c r="F57" s="75">
        <f>50/10</f>
        <v>5</v>
      </c>
      <c r="G57" s="77"/>
      <c r="H57" s="77"/>
      <c r="I57" s="77"/>
      <c r="J57" s="77"/>
      <c r="K57" s="77"/>
      <c r="L57" s="77"/>
      <c r="M57" s="77"/>
      <c r="N57" s="253">
        <f t="shared" si="7"/>
        <v>0</v>
      </c>
      <c r="O57" s="89"/>
      <c r="P57" s="349" t="s">
        <v>370</v>
      </c>
      <c r="Q57" s="73"/>
    </row>
    <row r="58" spans="1:17" ht="25.5">
      <c r="A58" s="180">
        <v>4</v>
      </c>
      <c r="B58" s="74" t="s">
        <v>625</v>
      </c>
      <c r="C58" s="164">
        <v>1750</v>
      </c>
      <c r="D58" s="164">
        <f>207+209+223+234+165+216+173+258+22+18+22</f>
        <v>1747</v>
      </c>
      <c r="E58" s="75">
        <f t="shared" si="6"/>
        <v>0.9982857142857143</v>
      </c>
      <c r="F58" s="75">
        <f>50/10</f>
        <v>5</v>
      </c>
      <c r="G58" s="77"/>
      <c r="H58" s="77"/>
      <c r="I58" s="77"/>
      <c r="J58" s="77"/>
      <c r="K58" s="77"/>
      <c r="L58" s="77"/>
      <c r="M58" s="77"/>
      <c r="N58" s="253">
        <f t="shared" si="7"/>
        <v>0</v>
      </c>
      <c r="O58" s="89"/>
      <c r="P58" s="349" t="s">
        <v>370</v>
      </c>
      <c r="Q58" s="73"/>
    </row>
    <row r="59" spans="1:17" ht="25.5">
      <c r="A59" s="180">
        <v>5</v>
      </c>
      <c r="B59" s="74" t="s">
        <v>627</v>
      </c>
      <c r="C59" s="164">
        <v>650</v>
      </c>
      <c r="D59" s="164">
        <f>118+199+137+189</f>
        <v>643</v>
      </c>
      <c r="E59" s="75">
        <f t="shared" si="6"/>
        <v>0.9892307692307692</v>
      </c>
      <c r="F59" s="75">
        <f>50/10</f>
        <v>5</v>
      </c>
      <c r="G59" s="77"/>
      <c r="H59" s="77"/>
      <c r="I59" s="77"/>
      <c r="J59" s="77"/>
      <c r="K59" s="77"/>
      <c r="L59" s="77"/>
      <c r="M59" s="77"/>
      <c r="N59" s="253">
        <f t="shared" si="7"/>
        <v>0</v>
      </c>
      <c r="O59" s="89"/>
      <c r="P59" s="349" t="s">
        <v>370</v>
      </c>
      <c r="Q59" s="73"/>
    </row>
    <row r="60" spans="1:20" ht="25.5">
      <c r="A60" s="180">
        <v>6</v>
      </c>
      <c r="B60" s="74" t="s">
        <v>708</v>
      </c>
      <c r="C60" s="164">
        <v>100</v>
      </c>
      <c r="D60" s="164">
        <v>100</v>
      </c>
      <c r="E60" s="327">
        <f t="shared" si="6"/>
        <v>1</v>
      </c>
      <c r="F60" s="75">
        <f aca="true" t="shared" si="8" ref="F60:F65">75/75</f>
        <v>1</v>
      </c>
      <c r="G60" s="77">
        <f>+(53228.575+3000)*0.35</f>
        <v>19680.001249999998</v>
      </c>
      <c r="H60" s="77"/>
      <c r="I60" s="77"/>
      <c r="J60" s="77"/>
      <c r="K60" s="77">
        <v>0</v>
      </c>
      <c r="L60" s="77"/>
      <c r="M60" s="77"/>
      <c r="N60" s="711">
        <f t="shared" si="7"/>
        <v>19680.001249999998</v>
      </c>
      <c r="O60" s="761">
        <f>(48882.6+2983.75)*0.35</f>
        <v>18153.2225</v>
      </c>
      <c r="P60" s="349" t="s">
        <v>370</v>
      </c>
      <c r="Q60" s="73"/>
      <c r="R60" s="153">
        <f>N60+N23</f>
        <v>56228.575</v>
      </c>
      <c r="S60" s="153">
        <f>O60+O23</f>
        <v>51866.350000000006</v>
      </c>
      <c r="T60" s="938">
        <f>D60+D23</f>
        <v>1247</v>
      </c>
    </row>
    <row r="61" spans="1:19" ht="51">
      <c r="A61" s="180">
        <v>7</v>
      </c>
      <c r="B61" s="74" t="s">
        <v>257</v>
      </c>
      <c r="C61" s="164">
        <v>4320</v>
      </c>
      <c r="D61" s="164">
        <v>4277</v>
      </c>
      <c r="E61" s="327">
        <f t="shared" si="6"/>
        <v>0.9900462962962963</v>
      </c>
      <c r="F61" s="75">
        <f t="shared" si="8"/>
        <v>1</v>
      </c>
      <c r="G61" s="77">
        <f>(56753.295+2000)*0.2</f>
        <v>11750.659</v>
      </c>
      <c r="H61" s="77">
        <f>25000*0.2</f>
        <v>5000</v>
      </c>
      <c r="I61" s="77"/>
      <c r="J61" s="77"/>
      <c r="K61" s="77"/>
      <c r="L61" s="77"/>
      <c r="M61" s="77"/>
      <c r="N61" s="711">
        <f t="shared" si="7"/>
        <v>16750.659</v>
      </c>
      <c r="O61" s="761">
        <f>(81753.295-0.735+2000)*0.2</f>
        <v>16750.512</v>
      </c>
      <c r="P61" s="349" t="s">
        <v>370</v>
      </c>
      <c r="Q61" s="73"/>
      <c r="R61" s="153">
        <f>N24+N25+N26+N61+N62+N63</f>
        <v>70522.69769999999</v>
      </c>
      <c r="S61" s="153">
        <f>O24+O25+O26+O61+O62+O63</f>
        <v>70522.1832</v>
      </c>
    </row>
    <row r="62" spans="1:17" ht="25.5">
      <c r="A62" s="180">
        <v>8</v>
      </c>
      <c r="B62" s="74" t="s">
        <v>712</v>
      </c>
      <c r="C62" s="164">
        <v>4320</v>
      </c>
      <c r="D62" s="164">
        <v>4277</v>
      </c>
      <c r="E62" s="327">
        <f t="shared" si="6"/>
        <v>0.9900462962962963</v>
      </c>
      <c r="F62" s="75">
        <f t="shared" si="8"/>
        <v>1</v>
      </c>
      <c r="G62" s="77">
        <f>(4443.416)*0.2</f>
        <v>888.6832</v>
      </c>
      <c r="H62" s="77">
        <f>(3455+2000)*0.2</f>
        <v>1091</v>
      </c>
      <c r="I62" s="77"/>
      <c r="J62" s="77"/>
      <c r="K62" s="73"/>
      <c r="L62" s="73"/>
      <c r="M62" s="73"/>
      <c r="N62" s="711">
        <f t="shared" si="7"/>
        <v>1979.6832</v>
      </c>
      <c r="O62" s="780">
        <f>(4443.616-0.2+3455+2000)*0.2</f>
        <v>1979.6832000000004</v>
      </c>
      <c r="P62" s="350" t="s">
        <v>369</v>
      </c>
      <c r="Q62" s="73"/>
    </row>
    <row r="63" spans="1:17" ht="25.5">
      <c r="A63" s="180">
        <v>9</v>
      </c>
      <c r="B63" s="74" t="s">
        <v>709</v>
      </c>
      <c r="C63" s="164">
        <v>4320</v>
      </c>
      <c r="D63" s="164">
        <v>4277</v>
      </c>
      <c r="E63" s="88">
        <f>D63/C63</f>
        <v>0.9900462962962963</v>
      </c>
      <c r="F63" s="75">
        <f t="shared" si="8"/>
        <v>1</v>
      </c>
      <c r="G63" s="77">
        <f>(6880.886+214.114)*0.2</f>
        <v>1419</v>
      </c>
      <c r="H63" s="77"/>
      <c r="I63" s="77"/>
      <c r="J63" s="77"/>
      <c r="K63" s="73"/>
      <c r="L63" s="73"/>
      <c r="M63" s="73"/>
      <c r="N63" s="711">
        <f t="shared" si="7"/>
        <v>1419</v>
      </c>
      <c r="O63" s="780">
        <f>7095*0.2</f>
        <v>1419</v>
      </c>
      <c r="P63" s="349" t="s">
        <v>370</v>
      </c>
      <c r="Q63" s="73"/>
    </row>
    <row r="64" spans="1:17" ht="38.25">
      <c r="A64" s="180">
        <v>10</v>
      </c>
      <c r="B64" s="74" t="s">
        <v>170</v>
      </c>
      <c r="C64" s="79">
        <v>25</v>
      </c>
      <c r="D64" s="164">
        <v>25</v>
      </c>
      <c r="E64" s="88">
        <f>D64/C64</f>
        <v>1</v>
      </c>
      <c r="F64" s="75">
        <f t="shared" si="8"/>
        <v>1</v>
      </c>
      <c r="G64" s="73"/>
      <c r="H64" s="73"/>
      <c r="I64" s="73"/>
      <c r="J64" s="73"/>
      <c r="K64" s="73"/>
      <c r="L64" s="73"/>
      <c r="M64" s="73"/>
      <c r="N64" s="253">
        <f t="shared" si="7"/>
        <v>0</v>
      </c>
      <c r="O64" s="89"/>
      <c r="P64" s="349" t="s">
        <v>370</v>
      </c>
      <c r="Q64" s="73"/>
    </row>
    <row r="65" spans="1:17" ht="38.25">
      <c r="A65" s="180">
        <v>11</v>
      </c>
      <c r="B65" s="74" t="s">
        <v>782</v>
      </c>
      <c r="C65" s="164">
        <v>1000</v>
      </c>
      <c r="D65" s="164">
        <f>4277*0.25</f>
        <v>1069.25</v>
      </c>
      <c r="E65" s="88">
        <f>D65/C65</f>
        <v>1.06925</v>
      </c>
      <c r="F65" s="75">
        <f t="shared" si="8"/>
        <v>1</v>
      </c>
      <c r="G65" s="151">
        <f>(40743+7500)*0.2</f>
        <v>9648.6</v>
      </c>
      <c r="H65" s="73"/>
      <c r="I65" s="73"/>
      <c r="J65" s="73"/>
      <c r="K65" s="73"/>
      <c r="L65" s="73"/>
      <c r="M65" s="73"/>
      <c r="N65" s="711">
        <f>+G65+H65+I65+J65+K65+L65+M65</f>
        <v>9648.6</v>
      </c>
      <c r="O65" s="765">
        <f>+(40742.349+7500)*0.2</f>
        <v>9648.4698</v>
      </c>
      <c r="P65" s="350" t="s">
        <v>369</v>
      </c>
      <c r="Q65" s="73"/>
    </row>
    <row r="66" spans="1:17" ht="38.25">
      <c r="A66" s="180">
        <v>12</v>
      </c>
      <c r="B66" s="118" t="s">
        <v>264</v>
      </c>
      <c r="C66" s="79">
        <v>110</v>
      </c>
      <c r="D66" s="79">
        <v>105</v>
      </c>
      <c r="E66" s="75">
        <f>D66/C66</f>
        <v>0.9545454545454546</v>
      </c>
      <c r="F66" s="75">
        <f>23780/23780</f>
        <v>1</v>
      </c>
      <c r="G66" s="712">
        <f>14320*0.2</f>
        <v>2864</v>
      </c>
      <c r="H66" s="77"/>
      <c r="I66" s="77"/>
      <c r="J66" s="77"/>
      <c r="K66" s="77"/>
      <c r="L66" s="77"/>
      <c r="M66" s="77"/>
      <c r="N66" s="780">
        <f>SUM(G66:M66)</f>
        <v>2864</v>
      </c>
      <c r="O66" s="780">
        <f>14320*0.2</f>
        <v>2864</v>
      </c>
      <c r="P66" s="349" t="s">
        <v>370</v>
      </c>
      <c r="Q66" s="73"/>
    </row>
    <row r="67" spans="1:20" ht="29.25" customHeight="1">
      <c r="A67" s="180">
        <v>13</v>
      </c>
      <c r="B67" s="74" t="s">
        <v>496</v>
      </c>
      <c r="C67" s="164">
        <f>1328*30%</f>
        <v>398.4</v>
      </c>
      <c r="D67" s="164">
        <f>1328*30%</f>
        <v>398.4</v>
      </c>
      <c r="E67" s="75">
        <f>D67/C67</f>
        <v>1</v>
      </c>
      <c r="F67" s="75">
        <f>23780/23780</f>
        <v>1</v>
      </c>
      <c r="G67" s="73"/>
      <c r="H67" s="73"/>
      <c r="I67" s="73"/>
      <c r="J67" s="712">
        <f>28857.44*0.2</f>
        <v>5771.488</v>
      </c>
      <c r="K67" s="73"/>
      <c r="L67" s="73"/>
      <c r="M67" s="73"/>
      <c r="N67" s="780">
        <f>SUM(G67:M67)</f>
        <v>5771.488</v>
      </c>
      <c r="O67" s="761">
        <f>28857.44*0.2</f>
        <v>5771.488</v>
      </c>
      <c r="P67" s="349" t="s">
        <v>370</v>
      </c>
      <c r="Q67" s="73"/>
      <c r="T67" s="80"/>
    </row>
    <row r="68" spans="1:17" ht="12.75">
      <c r="A68" s="180"/>
      <c r="B68" s="73"/>
      <c r="C68" s="79"/>
      <c r="D68" s="79"/>
      <c r="E68" s="73"/>
      <c r="F68" s="73"/>
      <c r="G68" s="77"/>
      <c r="H68" s="77"/>
      <c r="I68" s="77"/>
      <c r="J68" s="77"/>
      <c r="K68" s="77"/>
      <c r="L68" s="77"/>
      <c r="M68" s="77"/>
      <c r="N68" s="253">
        <f t="shared" si="7"/>
        <v>0</v>
      </c>
      <c r="O68" s="89"/>
      <c r="P68" s="73"/>
      <c r="Q68" s="73"/>
    </row>
    <row r="69" spans="1:17" ht="12.75">
      <c r="A69" s="180"/>
      <c r="B69" s="73"/>
      <c r="C69" s="79"/>
      <c r="D69" s="79"/>
      <c r="E69" s="73"/>
      <c r="F69" s="73"/>
      <c r="G69" s="77"/>
      <c r="H69" s="77"/>
      <c r="I69" s="77"/>
      <c r="J69" s="77"/>
      <c r="K69" s="77"/>
      <c r="L69" s="77"/>
      <c r="M69" s="77"/>
      <c r="N69" s="253">
        <f t="shared" si="7"/>
        <v>0</v>
      </c>
      <c r="O69" s="89"/>
      <c r="P69" s="73"/>
      <c r="Q69" s="73"/>
    </row>
    <row r="70" spans="1:17" ht="12.75">
      <c r="A70" s="180"/>
      <c r="B70" s="73"/>
      <c r="C70" s="79"/>
      <c r="D70" s="79"/>
      <c r="E70" s="73"/>
      <c r="F70" s="73"/>
      <c r="G70" s="77"/>
      <c r="H70" s="77"/>
      <c r="I70" s="77"/>
      <c r="J70" s="77"/>
      <c r="K70" s="77"/>
      <c r="L70" s="77"/>
      <c r="M70" s="77"/>
      <c r="N70" s="78"/>
      <c r="O70" s="89"/>
      <c r="P70" s="73"/>
      <c r="Q70" s="73"/>
    </row>
    <row r="71" spans="1:17" ht="12.75">
      <c r="A71" s="180"/>
      <c r="B71" s="73"/>
      <c r="C71" s="79"/>
      <c r="D71" s="79"/>
      <c r="E71" s="73"/>
      <c r="F71" s="73"/>
      <c r="G71" s="77"/>
      <c r="H71" s="77"/>
      <c r="I71" s="77"/>
      <c r="J71" s="77"/>
      <c r="K71" s="77"/>
      <c r="L71" s="77"/>
      <c r="M71" s="77"/>
      <c r="N71" s="78"/>
      <c r="O71" s="89"/>
      <c r="P71" s="73"/>
      <c r="Q71" s="73"/>
    </row>
    <row r="72" spans="1:17" ht="12.75">
      <c r="A72" s="180"/>
      <c r="B72" s="73"/>
      <c r="C72" s="79"/>
      <c r="D72" s="79"/>
      <c r="E72" s="73"/>
      <c r="F72" s="73"/>
      <c r="G72" s="77"/>
      <c r="H72" s="77"/>
      <c r="I72" s="77"/>
      <c r="J72" s="77"/>
      <c r="K72" s="77"/>
      <c r="L72" s="77"/>
      <c r="M72" s="77"/>
      <c r="N72" s="78"/>
      <c r="O72" s="89"/>
      <c r="P72" s="73"/>
      <c r="Q72" s="73"/>
    </row>
    <row r="73" spans="1:17" ht="12.75">
      <c r="A73" s="180"/>
      <c r="B73" s="73"/>
      <c r="C73" s="79"/>
      <c r="D73" s="79"/>
      <c r="E73" s="73"/>
      <c r="F73" s="73"/>
      <c r="G73" s="77"/>
      <c r="H73" s="77"/>
      <c r="I73" s="77"/>
      <c r="J73" s="77"/>
      <c r="K73" s="77"/>
      <c r="L73" s="77"/>
      <c r="M73" s="77"/>
      <c r="N73" s="78"/>
      <c r="O73" s="89"/>
      <c r="P73" s="73"/>
      <c r="Q73" s="73"/>
    </row>
    <row r="74" spans="1:17" ht="12.75">
      <c r="A74" s="180"/>
      <c r="B74" s="73"/>
      <c r="C74" s="79"/>
      <c r="D74" s="79"/>
      <c r="E74" s="73"/>
      <c r="F74" s="73"/>
      <c r="G74" s="77"/>
      <c r="H74" s="77"/>
      <c r="I74" s="77"/>
      <c r="J74" s="77"/>
      <c r="K74" s="77"/>
      <c r="L74" s="77"/>
      <c r="M74" s="77"/>
      <c r="N74" s="78"/>
      <c r="O74" s="89"/>
      <c r="P74" s="73"/>
      <c r="Q74" s="73"/>
    </row>
    <row r="75" spans="1:17" ht="13.5" thickBot="1">
      <c r="A75" s="181"/>
      <c r="B75" s="82" t="s">
        <v>445</v>
      </c>
      <c r="C75" s="83"/>
      <c r="D75" s="83"/>
      <c r="E75" s="81"/>
      <c r="F75" s="81"/>
      <c r="G75" s="86">
        <f aca="true" t="shared" si="9" ref="G75:M75">SUM(G55:G74)</f>
        <v>46250.94345</v>
      </c>
      <c r="H75" s="86">
        <f t="shared" si="9"/>
        <v>6091</v>
      </c>
      <c r="I75" s="86">
        <f t="shared" si="9"/>
        <v>0</v>
      </c>
      <c r="J75" s="86">
        <f t="shared" si="9"/>
        <v>5771.488</v>
      </c>
      <c r="K75" s="86">
        <f t="shared" si="9"/>
        <v>0</v>
      </c>
      <c r="L75" s="86">
        <f t="shared" si="9"/>
        <v>0</v>
      </c>
      <c r="M75" s="86">
        <f t="shared" si="9"/>
        <v>0</v>
      </c>
      <c r="N75" s="787">
        <f>SUM(N57:N73)</f>
        <v>58113.43145</v>
      </c>
      <c r="O75" s="762">
        <f>SUM(O55:O74)</f>
        <v>56586.375499999995</v>
      </c>
      <c r="P75" s="81"/>
      <c r="Q75" s="81"/>
    </row>
    <row r="77" spans="1:17" ht="12.75">
      <c r="A77" s="878" t="s">
        <v>420</v>
      </c>
      <c r="B77" s="878"/>
      <c r="C77" s="878"/>
      <c r="D77" s="878"/>
      <c r="E77" s="878"/>
      <c r="F77" s="878"/>
      <c r="G77" s="878"/>
      <c r="H77" s="878"/>
      <c r="I77" s="878"/>
      <c r="J77" s="878"/>
      <c r="K77" s="878"/>
      <c r="L77" s="878"/>
      <c r="M77" s="878"/>
      <c r="N77" s="878"/>
      <c r="O77" s="878"/>
      <c r="P77" s="878"/>
      <c r="Q77" s="878"/>
    </row>
    <row r="78" spans="1:23" s="39" customFormat="1" ht="16.5" thickBot="1">
      <c r="A78" s="891" t="s">
        <v>609</v>
      </c>
      <c r="B78" s="891"/>
      <c r="C78" s="891"/>
      <c r="D78" s="891"/>
      <c r="E78" s="891"/>
      <c r="F78" s="891"/>
      <c r="G78" s="891"/>
      <c r="H78" s="891"/>
      <c r="I78" s="891"/>
      <c r="J78" s="891"/>
      <c r="K78" s="891"/>
      <c r="L78" s="891"/>
      <c r="M78" s="891"/>
      <c r="N78" s="891"/>
      <c r="O78" s="891"/>
      <c r="P78" s="891"/>
      <c r="Q78" s="891"/>
      <c r="R78" s="184"/>
      <c r="S78" s="184"/>
      <c r="W78" s="184"/>
    </row>
    <row r="79" spans="1:23" s="39" customFormat="1" ht="13.5" thickBot="1">
      <c r="A79" s="175"/>
      <c r="C79" s="40"/>
      <c r="D79" s="40"/>
      <c r="N79" s="755"/>
      <c r="O79" s="755"/>
      <c r="P79" s="892" t="s">
        <v>100</v>
      </c>
      <c r="Q79" s="893"/>
      <c r="R79" s="184"/>
      <c r="S79" s="184"/>
      <c r="W79" s="184"/>
    </row>
    <row r="80" spans="1:17" ht="12.75">
      <c r="A80" s="878" t="s">
        <v>76</v>
      </c>
      <c r="B80" s="878"/>
      <c r="C80" s="878"/>
      <c r="D80" s="878"/>
      <c r="E80" s="878"/>
      <c r="F80" s="878"/>
      <c r="P80" s="889" t="s">
        <v>74</v>
      </c>
      <c r="Q80" s="889"/>
    </row>
    <row r="81" spans="1:17" ht="12.75" customHeight="1">
      <c r="A81" s="878" t="s">
        <v>77</v>
      </c>
      <c r="B81" s="879"/>
      <c r="C81" s="879"/>
      <c r="D81" s="879"/>
      <c r="E81" s="879"/>
      <c r="F81" s="879"/>
      <c r="P81" s="890" t="s">
        <v>75</v>
      </c>
      <c r="Q81" s="890"/>
    </row>
    <row r="82" spans="1:9" ht="12.75" customHeight="1">
      <c r="A82" s="878" t="s">
        <v>808</v>
      </c>
      <c r="B82" s="879"/>
      <c r="C82" s="879"/>
      <c r="D82" s="879"/>
      <c r="E82" s="879"/>
      <c r="F82" s="879"/>
      <c r="G82" s="38" t="s">
        <v>72</v>
      </c>
      <c r="I82" s="41">
        <v>39083</v>
      </c>
    </row>
    <row r="84" ht="13.5" thickBot="1"/>
    <row r="85" spans="1:17" ht="13.5" thickBot="1">
      <c r="A85" s="177" t="s">
        <v>424</v>
      </c>
      <c r="B85" s="43"/>
      <c r="C85" s="44" t="s">
        <v>97</v>
      </c>
      <c r="D85" s="44"/>
      <c r="E85" s="43"/>
      <c r="F85" s="45"/>
      <c r="G85" s="880" t="s">
        <v>425</v>
      </c>
      <c r="H85" s="881"/>
      <c r="I85" s="881"/>
      <c r="J85" s="881"/>
      <c r="K85" s="881"/>
      <c r="L85" s="881"/>
      <c r="M85" s="881"/>
      <c r="N85" s="881"/>
      <c r="O85" s="882"/>
      <c r="P85" s="880" t="s">
        <v>426</v>
      </c>
      <c r="Q85" s="882"/>
    </row>
    <row r="86" spans="1:17" ht="15" customHeight="1">
      <c r="A86" s="178" t="s">
        <v>422</v>
      </c>
      <c r="B86" s="47"/>
      <c r="C86" s="48" t="s">
        <v>98</v>
      </c>
      <c r="D86" s="48"/>
      <c r="E86" s="47"/>
      <c r="F86" s="49"/>
      <c r="G86" s="883" t="s">
        <v>822</v>
      </c>
      <c r="H86" s="884"/>
      <c r="I86" s="884"/>
      <c r="J86" s="884"/>
      <c r="K86" s="884"/>
      <c r="L86" s="884"/>
      <c r="M86" s="884"/>
      <c r="N86" s="884"/>
      <c r="O86" s="885"/>
      <c r="P86" s="50"/>
      <c r="Q86" s="14" t="s">
        <v>764</v>
      </c>
    </row>
    <row r="87" spans="1:17" ht="35.25" customHeight="1" thickBot="1">
      <c r="A87" s="179" t="s">
        <v>423</v>
      </c>
      <c r="B87" s="52"/>
      <c r="C87" s="53" t="s">
        <v>101</v>
      </c>
      <c r="D87" s="53"/>
      <c r="E87" s="52"/>
      <c r="F87" s="54"/>
      <c r="G87" s="886"/>
      <c r="H87" s="887"/>
      <c r="I87" s="887"/>
      <c r="J87" s="887"/>
      <c r="K87" s="887"/>
      <c r="L87" s="887"/>
      <c r="M87" s="887"/>
      <c r="N87" s="887"/>
      <c r="O87" s="888"/>
      <c r="P87" s="55"/>
      <c r="Q87" s="56"/>
    </row>
    <row r="88" spans="1:14" ht="13.5" thickBot="1">
      <c r="A88" s="176" t="s">
        <v>73</v>
      </c>
      <c r="B88" s="57"/>
      <c r="G88" s="87" t="e">
        <f>+#REF!*100/30</f>
        <v>#REF!</v>
      </c>
      <c r="N88" s="87">
        <f>(+N92+N93+N94)*100/30</f>
        <v>100746.711</v>
      </c>
    </row>
    <row r="89" spans="1:17" ht="12.75">
      <c r="A89" s="869" t="s">
        <v>431</v>
      </c>
      <c r="B89" s="870"/>
      <c r="C89" s="870"/>
      <c r="D89" s="870"/>
      <c r="E89" s="870"/>
      <c r="F89" s="871"/>
      <c r="G89" s="872" t="s">
        <v>427</v>
      </c>
      <c r="H89" s="873"/>
      <c r="I89" s="873"/>
      <c r="J89" s="873"/>
      <c r="K89" s="873"/>
      <c r="L89" s="873"/>
      <c r="M89" s="873"/>
      <c r="N89" s="873"/>
      <c r="O89" s="874"/>
      <c r="P89" s="875" t="s">
        <v>428</v>
      </c>
      <c r="Q89" s="874" t="s">
        <v>429</v>
      </c>
    </row>
    <row r="90" spans="1:17" ht="13.5" thickBot="1">
      <c r="A90" s="61"/>
      <c r="B90" s="62"/>
      <c r="C90" s="63"/>
      <c r="D90" s="63"/>
      <c r="E90" s="62"/>
      <c r="F90" s="64"/>
      <c r="G90" s="61"/>
      <c r="H90" s="62"/>
      <c r="I90" s="62"/>
      <c r="J90" s="62"/>
      <c r="K90" s="62"/>
      <c r="L90" s="62"/>
      <c r="M90" s="62"/>
      <c r="N90" s="756"/>
      <c r="O90" s="757"/>
      <c r="P90" s="876"/>
      <c r="Q90" s="877"/>
    </row>
    <row r="91" spans="1:17" ht="52.5" thickBot="1">
      <c r="A91" s="35" t="s">
        <v>430</v>
      </c>
      <c r="B91" s="142" t="s">
        <v>432</v>
      </c>
      <c r="C91" s="243" t="s">
        <v>433</v>
      </c>
      <c r="D91" s="243" t="s">
        <v>434</v>
      </c>
      <c r="E91" s="144" t="s">
        <v>435</v>
      </c>
      <c r="F91" s="145" t="s">
        <v>446</v>
      </c>
      <c r="G91" s="146" t="s">
        <v>436</v>
      </c>
      <c r="H91" s="147" t="s">
        <v>437</v>
      </c>
      <c r="I91" s="147" t="s">
        <v>438</v>
      </c>
      <c r="J91" s="147" t="s">
        <v>439</v>
      </c>
      <c r="K91" s="147" t="s">
        <v>440</v>
      </c>
      <c r="L91" s="147" t="s">
        <v>441</v>
      </c>
      <c r="M91" s="147" t="s">
        <v>442</v>
      </c>
      <c r="N91" s="763" t="s">
        <v>443</v>
      </c>
      <c r="O91" s="764" t="s">
        <v>444</v>
      </c>
      <c r="P91" s="876"/>
      <c r="Q91" s="877"/>
    </row>
    <row r="92" spans="1:17" ht="51">
      <c r="A92" s="180">
        <v>1</v>
      </c>
      <c r="B92" s="74" t="s">
        <v>257</v>
      </c>
      <c r="C92" s="164">
        <f>(+C61+C24)*0.7</f>
        <v>4844</v>
      </c>
      <c r="D92" s="164">
        <f>(+D61+D24)*0.7</f>
        <v>4752.299999999999</v>
      </c>
      <c r="E92" s="327">
        <f>+D92/C92</f>
        <v>0.9810693641618495</v>
      </c>
      <c r="F92" s="75">
        <f>75/75</f>
        <v>1</v>
      </c>
      <c r="G92" s="77">
        <f>(56753.295+2000)*0.3</f>
        <v>17625.9885</v>
      </c>
      <c r="H92" s="77">
        <f>25000*0.3</f>
        <v>7500</v>
      </c>
      <c r="I92" s="77"/>
      <c r="J92" s="77"/>
      <c r="K92" s="77"/>
      <c r="L92" s="77"/>
      <c r="M92" s="77"/>
      <c r="N92" s="711">
        <f aca="true" t="shared" si="10" ref="N92:N99">+G92+H92+I92+J92+K92+L92+M92</f>
        <v>25125.9885</v>
      </c>
      <c r="O92" s="761">
        <f>(81753.295-0.735+2000)*0.3</f>
        <v>25125.768</v>
      </c>
      <c r="P92" s="349" t="s">
        <v>370</v>
      </c>
      <c r="Q92" s="73"/>
    </row>
    <row r="93" spans="1:17" ht="25.5">
      <c r="A93" s="180">
        <v>2</v>
      </c>
      <c r="B93" s="74" t="s">
        <v>712</v>
      </c>
      <c r="C93" s="164">
        <f>(+C25+C62)*0.5</f>
        <v>3460</v>
      </c>
      <c r="D93" s="164">
        <f>(+D25+D62)*0.5</f>
        <v>3394.5</v>
      </c>
      <c r="E93" s="327">
        <f>+D93/C93</f>
        <v>0.9810693641618498</v>
      </c>
      <c r="F93" s="75">
        <f>75/75</f>
        <v>1</v>
      </c>
      <c r="G93" s="713">
        <f>(4443.416)*0.3</f>
        <v>1333.0248</v>
      </c>
      <c r="H93" s="77">
        <f>(3455+2000)*0.3</f>
        <v>1636.5</v>
      </c>
      <c r="I93" s="77"/>
      <c r="J93" s="77"/>
      <c r="K93" s="73"/>
      <c r="L93" s="73"/>
      <c r="M93" s="73"/>
      <c r="N93" s="711">
        <f t="shared" si="10"/>
        <v>2969.5248</v>
      </c>
      <c r="O93" s="780">
        <f>(4443.616-0.2+3455+2000)*0.3</f>
        <v>2969.5248</v>
      </c>
      <c r="P93" s="350" t="s">
        <v>369</v>
      </c>
      <c r="Q93" s="73"/>
    </row>
    <row r="94" spans="1:17" ht="25.5">
      <c r="A94" s="180">
        <v>3</v>
      </c>
      <c r="B94" s="74" t="s">
        <v>709</v>
      </c>
      <c r="C94" s="164">
        <f>(+C25+C62)*0.5</f>
        <v>3460</v>
      </c>
      <c r="D94" s="164">
        <f>(+D25+D62)*0.5</f>
        <v>3394.5</v>
      </c>
      <c r="E94" s="88">
        <f>D94/C94</f>
        <v>0.9810693641618498</v>
      </c>
      <c r="F94" s="75">
        <f>75/75</f>
        <v>1</v>
      </c>
      <c r="G94" s="713">
        <f>(6880.886+214.114)*0.3</f>
        <v>2128.5</v>
      </c>
      <c r="H94" s="77"/>
      <c r="I94" s="77"/>
      <c r="J94" s="77"/>
      <c r="K94" s="73"/>
      <c r="L94" s="73"/>
      <c r="M94" s="73"/>
      <c r="N94" s="711">
        <f t="shared" si="10"/>
        <v>2128.5</v>
      </c>
      <c r="O94" s="780">
        <f>7095*0.3</f>
        <v>2128.5</v>
      </c>
      <c r="P94" s="349" t="s">
        <v>370</v>
      </c>
      <c r="Q94" s="73"/>
    </row>
    <row r="95" spans="1:17" ht="38.25">
      <c r="A95" s="180">
        <v>4</v>
      </c>
      <c r="B95" s="74" t="s">
        <v>273</v>
      </c>
      <c r="C95" s="79">
        <f>C27+C64</f>
        <v>85</v>
      </c>
      <c r="D95" s="79">
        <f>D27+D64</f>
        <v>85</v>
      </c>
      <c r="E95" s="88">
        <f>D95/C95</f>
        <v>1</v>
      </c>
      <c r="F95" s="75">
        <f>75/75</f>
        <v>1</v>
      </c>
      <c r="G95" s="73"/>
      <c r="H95" s="73"/>
      <c r="I95" s="73"/>
      <c r="J95" s="73"/>
      <c r="K95" s="73"/>
      <c r="L95" s="73"/>
      <c r="M95" s="73"/>
      <c r="N95" s="253">
        <f t="shared" si="10"/>
        <v>0</v>
      </c>
      <c r="O95" s="89"/>
      <c r="P95" s="349" t="s">
        <v>370</v>
      </c>
      <c r="Q95" s="73"/>
    </row>
    <row r="96" spans="1:17" ht="39" customHeight="1">
      <c r="A96" s="180">
        <v>5</v>
      </c>
      <c r="B96" s="74" t="s">
        <v>782</v>
      </c>
      <c r="C96" s="164">
        <f>C28+C65</f>
        <v>3600</v>
      </c>
      <c r="D96" s="164">
        <f>D28+D65</f>
        <v>3581.25</v>
      </c>
      <c r="E96" s="88">
        <f>D96/C96</f>
        <v>0.9947916666666666</v>
      </c>
      <c r="F96" s="75">
        <f>75/75</f>
        <v>1</v>
      </c>
      <c r="G96" s="151">
        <f>(40743+7500)*0.3</f>
        <v>14472.9</v>
      </c>
      <c r="H96" s="73"/>
      <c r="I96" s="73"/>
      <c r="J96" s="73"/>
      <c r="K96" s="73"/>
      <c r="L96" s="73"/>
      <c r="M96" s="73"/>
      <c r="N96" s="711">
        <f t="shared" si="10"/>
        <v>14472.9</v>
      </c>
      <c r="O96" s="765">
        <f>+(40742.349+7500)*0.3</f>
        <v>14472.7047</v>
      </c>
      <c r="P96" s="350" t="s">
        <v>369</v>
      </c>
      <c r="Q96" s="73"/>
    </row>
    <row r="97" spans="1:17" ht="38.25">
      <c r="A97" s="180">
        <v>6</v>
      </c>
      <c r="B97" s="118" t="s">
        <v>264</v>
      </c>
      <c r="C97" s="79">
        <f>500*1.15</f>
        <v>575</v>
      </c>
      <c r="D97" s="79">
        <v>575</v>
      </c>
      <c r="E97" s="75">
        <f>D97/C97</f>
        <v>1</v>
      </c>
      <c r="F97" s="75">
        <f>23780/23780</f>
        <v>1</v>
      </c>
      <c r="G97" s="712">
        <f>14320*0.3</f>
        <v>4296</v>
      </c>
      <c r="H97" s="77"/>
      <c r="I97" s="77"/>
      <c r="J97" s="77"/>
      <c r="K97" s="77"/>
      <c r="L97" s="77"/>
      <c r="M97" s="77"/>
      <c r="N97" s="780">
        <f>SUM(G97:M97)</f>
        <v>4296</v>
      </c>
      <c r="O97" s="780">
        <f>14320*0.3</f>
        <v>4296</v>
      </c>
      <c r="P97" s="349" t="s">
        <v>370</v>
      </c>
      <c r="Q97" s="73"/>
    </row>
    <row r="98" spans="1:20" ht="29.25" customHeight="1">
      <c r="A98" s="180">
        <v>7</v>
      </c>
      <c r="B98" s="74" t="s">
        <v>496</v>
      </c>
      <c r="C98" s="164">
        <f>C30+C67</f>
        <v>1328</v>
      </c>
      <c r="D98" s="164">
        <f>D30+D67</f>
        <v>1328</v>
      </c>
      <c r="E98" s="75">
        <f>D98/C98</f>
        <v>1</v>
      </c>
      <c r="F98" s="75">
        <f>23780/23780</f>
        <v>1</v>
      </c>
      <c r="G98" s="73"/>
      <c r="H98" s="73"/>
      <c r="I98" s="73"/>
      <c r="J98" s="712">
        <f>28857.44*0.3</f>
        <v>8657.232</v>
      </c>
      <c r="K98" s="73"/>
      <c r="L98" s="73"/>
      <c r="M98" s="73"/>
      <c r="N98" s="780">
        <f>SUM(G98:M98)</f>
        <v>8657.232</v>
      </c>
      <c r="O98" s="761">
        <f>28857.44*0.3</f>
        <v>8657.232</v>
      </c>
      <c r="P98" s="349" t="s">
        <v>370</v>
      </c>
      <c r="Q98" s="73"/>
      <c r="T98" s="80"/>
    </row>
    <row r="99" spans="1:17" ht="12.75">
      <c r="A99" s="180"/>
      <c r="B99" s="73"/>
      <c r="C99" s="79"/>
      <c r="D99" s="79"/>
      <c r="E99" s="73"/>
      <c r="F99" s="73"/>
      <c r="G99" s="73"/>
      <c r="H99" s="73"/>
      <c r="I99" s="73"/>
      <c r="J99" s="73"/>
      <c r="K99" s="73"/>
      <c r="L99" s="73"/>
      <c r="M99" s="73"/>
      <c r="N99" s="253">
        <f t="shared" si="10"/>
        <v>0</v>
      </c>
      <c r="O99" s="89"/>
      <c r="P99" s="350"/>
      <c r="Q99" s="73"/>
    </row>
    <row r="100" spans="1:17" ht="12.75">
      <c r="A100" s="180"/>
      <c r="B100" s="73"/>
      <c r="C100" s="79"/>
      <c r="D100" s="79"/>
      <c r="E100" s="73"/>
      <c r="F100" s="73"/>
      <c r="G100" s="73"/>
      <c r="H100" s="73"/>
      <c r="I100" s="73"/>
      <c r="J100" s="73"/>
      <c r="K100" s="73"/>
      <c r="L100" s="73"/>
      <c r="M100" s="73"/>
      <c r="N100" s="89"/>
      <c r="O100" s="89"/>
      <c r="P100" s="73"/>
      <c r="Q100" s="73"/>
    </row>
    <row r="101" spans="1:17" ht="12.75">
      <c r="A101" s="180"/>
      <c r="B101" s="73"/>
      <c r="C101" s="79"/>
      <c r="D101" s="79"/>
      <c r="E101" s="73"/>
      <c r="F101" s="73"/>
      <c r="G101" s="73"/>
      <c r="H101" s="73"/>
      <c r="I101" s="73"/>
      <c r="J101" s="73"/>
      <c r="K101" s="73"/>
      <c r="L101" s="73"/>
      <c r="M101" s="73"/>
      <c r="N101" s="89"/>
      <c r="O101" s="89"/>
      <c r="P101" s="73"/>
      <c r="Q101" s="73"/>
    </row>
    <row r="102" spans="1:17" ht="12.75">
      <c r="A102" s="180"/>
      <c r="B102" s="73"/>
      <c r="C102" s="79"/>
      <c r="D102" s="79"/>
      <c r="E102" s="73"/>
      <c r="F102" s="73"/>
      <c r="G102" s="73"/>
      <c r="H102" s="73"/>
      <c r="I102" s="73"/>
      <c r="J102" s="73"/>
      <c r="K102" s="73"/>
      <c r="L102" s="73"/>
      <c r="M102" s="73"/>
      <c r="N102" s="89"/>
      <c r="O102" s="89"/>
      <c r="P102" s="73"/>
      <c r="Q102" s="73"/>
    </row>
    <row r="103" spans="1:17" ht="12.75">
      <c r="A103" s="180"/>
      <c r="B103" s="73"/>
      <c r="C103" s="79"/>
      <c r="D103" s="79"/>
      <c r="E103" s="73"/>
      <c r="F103" s="73"/>
      <c r="G103" s="73"/>
      <c r="H103" s="73"/>
      <c r="I103" s="73"/>
      <c r="J103" s="73"/>
      <c r="K103" s="73"/>
      <c r="L103" s="73"/>
      <c r="M103" s="73"/>
      <c r="N103" s="89"/>
      <c r="O103" s="89"/>
      <c r="P103" s="73"/>
      <c r="Q103" s="73"/>
    </row>
    <row r="104" spans="1:17" ht="12.75">
      <c r="A104" s="180"/>
      <c r="B104" s="73"/>
      <c r="C104" s="79"/>
      <c r="D104" s="79"/>
      <c r="E104" s="73"/>
      <c r="F104" s="73"/>
      <c r="G104" s="73"/>
      <c r="H104" s="73"/>
      <c r="I104" s="73"/>
      <c r="J104" s="73"/>
      <c r="K104" s="73"/>
      <c r="L104" s="73"/>
      <c r="M104" s="73"/>
      <c r="N104" s="89"/>
      <c r="O104" s="89"/>
      <c r="P104" s="73"/>
      <c r="Q104" s="73"/>
    </row>
    <row r="105" spans="1:17" ht="13.5" thickBot="1">
      <c r="A105" s="181"/>
      <c r="B105" s="82" t="s">
        <v>445</v>
      </c>
      <c r="C105" s="83"/>
      <c r="D105" s="83"/>
      <c r="E105" s="81"/>
      <c r="F105" s="81"/>
      <c r="G105" s="84">
        <f>SUM(G92:G104)</f>
        <v>39856.4133</v>
      </c>
      <c r="H105" s="84">
        <f>SUM(H92:H104)</f>
        <v>9136.5</v>
      </c>
      <c r="I105" s="84">
        <f>SUM(I92:I104)</f>
        <v>0</v>
      </c>
      <c r="J105" s="84">
        <f>SUM(J92:J104)</f>
        <v>8657.232</v>
      </c>
      <c r="K105" s="84">
        <f>SUM(K92:K104)</f>
        <v>0</v>
      </c>
      <c r="L105" s="81"/>
      <c r="M105" s="81"/>
      <c r="N105" s="762">
        <f>SUM(N92:N104)</f>
        <v>57650.145300000004</v>
      </c>
      <c r="O105" s="762">
        <f>SUM(O92:O104)</f>
        <v>57649.7295</v>
      </c>
      <c r="P105" s="81"/>
      <c r="Q105" s="81"/>
    </row>
    <row r="106" spans="13:14" ht="12.75">
      <c r="M106" s="87"/>
      <c r="N106" s="362"/>
    </row>
    <row r="107" spans="1:17" ht="12.75">
      <c r="A107" s="878" t="s">
        <v>420</v>
      </c>
      <c r="B107" s="878"/>
      <c r="C107" s="878"/>
      <c r="D107" s="878"/>
      <c r="E107" s="878"/>
      <c r="F107" s="878"/>
      <c r="G107" s="878"/>
      <c r="H107" s="878"/>
      <c r="I107" s="878"/>
      <c r="J107" s="878"/>
      <c r="K107" s="878"/>
      <c r="L107" s="878"/>
      <c r="M107" s="878"/>
      <c r="N107" s="878"/>
      <c r="O107" s="878"/>
      <c r="P107" s="878"/>
      <c r="Q107" s="878"/>
    </row>
    <row r="108" spans="1:23" s="39" customFormat="1" ht="16.5" thickBot="1">
      <c r="A108" s="891" t="s">
        <v>609</v>
      </c>
      <c r="B108" s="891"/>
      <c r="C108" s="891"/>
      <c r="D108" s="891"/>
      <c r="E108" s="891"/>
      <c r="F108" s="891"/>
      <c r="G108" s="891"/>
      <c r="H108" s="891"/>
      <c r="I108" s="891"/>
      <c r="J108" s="891"/>
      <c r="K108" s="891"/>
      <c r="L108" s="891"/>
      <c r="M108" s="891"/>
      <c r="N108" s="891"/>
      <c r="O108" s="891"/>
      <c r="P108" s="891"/>
      <c r="Q108" s="891"/>
      <c r="R108" s="184"/>
      <c r="S108" s="184"/>
      <c r="W108" s="184"/>
    </row>
    <row r="109" spans="1:23" s="39" customFormat="1" ht="13.5" thickBot="1">
      <c r="A109" s="175"/>
      <c r="C109" s="40"/>
      <c r="D109" s="40"/>
      <c r="N109" s="755"/>
      <c r="O109" s="755"/>
      <c r="P109" s="892" t="s">
        <v>255</v>
      </c>
      <c r="Q109" s="893"/>
      <c r="R109" s="184"/>
      <c r="S109" s="184"/>
      <c r="W109" s="184"/>
    </row>
    <row r="110" spans="1:17" ht="12.75" customHeight="1">
      <c r="A110" s="878" t="s">
        <v>76</v>
      </c>
      <c r="B110" s="878"/>
      <c r="C110" s="878"/>
      <c r="D110" s="878"/>
      <c r="E110" s="878"/>
      <c r="F110" s="878"/>
      <c r="P110" s="889" t="s">
        <v>74</v>
      </c>
      <c r="Q110" s="889"/>
    </row>
    <row r="111" spans="1:17" ht="12.75" customHeight="1">
      <c r="A111" s="878" t="s">
        <v>77</v>
      </c>
      <c r="B111" s="879"/>
      <c r="C111" s="879"/>
      <c r="D111" s="879"/>
      <c r="E111" s="879"/>
      <c r="F111" s="879"/>
      <c r="P111" s="890" t="s">
        <v>75</v>
      </c>
      <c r="Q111" s="890"/>
    </row>
    <row r="112" spans="1:9" ht="12.75" customHeight="1">
      <c r="A112" s="878" t="s">
        <v>808</v>
      </c>
      <c r="B112" s="879"/>
      <c r="C112" s="879"/>
      <c r="D112" s="879"/>
      <c r="E112" s="879"/>
      <c r="F112" s="879"/>
      <c r="G112" s="38" t="s">
        <v>72</v>
      </c>
      <c r="I112" s="41">
        <v>39083</v>
      </c>
    </row>
    <row r="114" ht="13.5" thickBot="1"/>
    <row r="115" spans="1:17" ht="13.5" thickBot="1">
      <c r="A115" s="177" t="s">
        <v>424</v>
      </c>
      <c r="B115" s="43"/>
      <c r="C115" s="44" t="s">
        <v>97</v>
      </c>
      <c r="D115" s="44"/>
      <c r="E115" s="43"/>
      <c r="F115" s="45"/>
      <c r="G115" s="880" t="s">
        <v>425</v>
      </c>
      <c r="H115" s="881"/>
      <c r="I115" s="881"/>
      <c r="J115" s="881"/>
      <c r="K115" s="881"/>
      <c r="L115" s="881"/>
      <c r="M115" s="881"/>
      <c r="N115" s="881"/>
      <c r="O115" s="882"/>
      <c r="P115" s="880" t="s">
        <v>426</v>
      </c>
      <c r="Q115" s="882"/>
    </row>
    <row r="116" spans="1:17" ht="34.5" customHeight="1">
      <c r="A116" s="178" t="s">
        <v>422</v>
      </c>
      <c r="B116" s="47"/>
      <c r="C116" s="48" t="s">
        <v>98</v>
      </c>
      <c r="D116" s="48"/>
      <c r="E116" s="47"/>
      <c r="F116" s="49"/>
      <c r="G116" s="883" t="s">
        <v>497</v>
      </c>
      <c r="H116" s="884"/>
      <c r="I116" s="884"/>
      <c r="J116" s="884"/>
      <c r="K116" s="884"/>
      <c r="L116" s="884"/>
      <c r="M116" s="884"/>
      <c r="N116" s="884"/>
      <c r="O116" s="885"/>
      <c r="P116" s="50"/>
      <c r="Q116" s="15" t="s">
        <v>498</v>
      </c>
    </row>
    <row r="117" spans="1:17" ht="13.5" thickBot="1">
      <c r="A117" s="179" t="s">
        <v>423</v>
      </c>
      <c r="B117" s="52"/>
      <c r="C117" s="53" t="s">
        <v>102</v>
      </c>
      <c r="D117" s="53"/>
      <c r="E117" s="52"/>
      <c r="F117" s="54"/>
      <c r="G117" s="886"/>
      <c r="H117" s="887"/>
      <c r="I117" s="887"/>
      <c r="J117" s="887"/>
      <c r="K117" s="887"/>
      <c r="L117" s="887"/>
      <c r="M117" s="887"/>
      <c r="N117" s="887"/>
      <c r="O117" s="888"/>
      <c r="P117" s="55"/>
      <c r="Q117" s="56"/>
    </row>
    <row r="118" spans="1:2" ht="13.5" thickBot="1">
      <c r="A118" s="176" t="s">
        <v>73</v>
      </c>
      <c r="B118" s="57"/>
    </row>
    <row r="119" spans="1:17" ht="12.75">
      <c r="A119" s="869" t="s">
        <v>431</v>
      </c>
      <c r="B119" s="870"/>
      <c r="C119" s="870"/>
      <c r="D119" s="870"/>
      <c r="E119" s="870"/>
      <c r="F119" s="871"/>
      <c r="G119" s="872" t="s">
        <v>427</v>
      </c>
      <c r="H119" s="873"/>
      <c r="I119" s="873"/>
      <c r="J119" s="873"/>
      <c r="K119" s="873"/>
      <c r="L119" s="873"/>
      <c r="M119" s="873"/>
      <c r="N119" s="873"/>
      <c r="O119" s="874"/>
      <c r="P119" s="875" t="s">
        <v>428</v>
      </c>
      <c r="Q119" s="875" t="s">
        <v>429</v>
      </c>
    </row>
    <row r="120" spans="1:17" ht="13.5" thickBot="1">
      <c r="A120" s="61"/>
      <c r="B120" s="62"/>
      <c r="C120" s="63"/>
      <c r="D120" s="63"/>
      <c r="E120" s="62"/>
      <c r="F120" s="64"/>
      <c r="G120" s="61"/>
      <c r="H120" s="62"/>
      <c r="I120" s="62"/>
      <c r="J120" s="62"/>
      <c r="K120" s="62"/>
      <c r="L120" s="62"/>
      <c r="M120" s="62"/>
      <c r="N120" s="756"/>
      <c r="O120" s="757"/>
      <c r="P120" s="876"/>
      <c r="Q120" s="876"/>
    </row>
    <row r="121" spans="1:17" ht="52.5" thickBot="1">
      <c r="A121" s="35" t="s">
        <v>430</v>
      </c>
      <c r="B121" s="90" t="s">
        <v>432</v>
      </c>
      <c r="C121" s="91" t="s">
        <v>433</v>
      </c>
      <c r="D121" s="66" t="s">
        <v>434</v>
      </c>
      <c r="E121" s="37" t="s">
        <v>435</v>
      </c>
      <c r="F121" s="36" t="s">
        <v>446</v>
      </c>
      <c r="G121" s="67" t="s">
        <v>436</v>
      </c>
      <c r="H121" s="68" t="s">
        <v>437</v>
      </c>
      <c r="I121" s="68" t="s">
        <v>438</v>
      </c>
      <c r="J121" s="68" t="s">
        <v>439</v>
      </c>
      <c r="K121" s="68" t="s">
        <v>440</v>
      </c>
      <c r="L121" s="68" t="s">
        <v>441</v>
      </c>
      <c r="M121" s="68" t="s">
        <v>442</v>
      </c>
      <c r="N121" s="763" t="s">
        <v>443</v>
      </c>
      <c r="O121" s="759" t="s">
        <v>444</v>
      </c>
      <c r="P121" s="876"/>
      <c r="Q121" s="900"/>
    </row>
    <row r="122" spans="1:17" ht="42.75" customHeight="1">
      <c r="A122" s="105">
        <v>1</v>
      </c>
      <c r="B122" s="92" t="s">
        <v>715</v>
      </c>
      <c r="C122" s="367">
        <v>9</v>
      </c>
      <c r="D122" s="367">
        <v>9</v>
      </c>
      <c r="E122" s="751">
        <f>D122/C122</f>
        <v>1</v>
      </c>
      <c r="F122" s="751">
        <f>4547/4547</f>
        <v>1</v>
      </c>
      <c r="G122" s="72">
        <f>66021.236+7285.764+844.64+8255.36</f>
        <v>82407</v>
      </c>
      <c r="H122" s="72"/>
      <c r="I122" s="72"/>
      <c r="J122" s="72"/>
      <c r="K122" s="72"/>
      <c r="L122" s="72"/>
      <c r="M122" s="72"/>
      <c r="N122" s="711">
        <f aca="true" t="shared" si="11" ref="N122:N129">+G122+H122+I122+J122+K122+L122+M122</f>
        <v>82407</v>
      </c>
      <c r="O122" s="760">
        <f>69192.323-3289.726+7285.764+844.64+8255.015</f>
        <v>82288.016</v>
      </c>
      <c r="P122" s="351" t="s">
        <v>611</v>
      </c>
      <c r="Q122" s="116"/>
    </row>
    <row r="123" spans="1:17" ht="45" customHeight="1">
      <c r="A123" s="180">
        <v>2</v>
      </c>
      <c r="B123" s="74" t="s">
        <v>716</v>
      </c>
      <c r="C123" s="79">
        <v>69</v>
      </c>
      <c r="D123" s="79">
        <v>67</v>
      </c>
      <c r="E123" s="748">
        <f>+D123/C123</f>
        <v>0.9710144927536232</v>
      </c>
      <c r="F123" s="748">
        <f>4547/4547</f>
        <v>1</v>
      </c>
      <c r="G123" s="77">
        <f>110200.433+11653.975+10000+10000</f>
        <v>141854.408</v>
      </c>
      <c r="H123" s="77">
        <f>6000+5000+7000+2745</f>
        <v>20745</v>
      </c>
      <c r="I123" s="77"/>
      <c r="J123" s="77"/>
      <c r="K123" s="77">
        <f>11000+10000</f>
        <v>21000</v>
      </c>
      <c r="L123" s="77"/>
      <c r="M123" s="77"/>
      <c r="N123" s="711">
        <f>+G123+H123+I123+J123+K123+L123+M123</f>
        <v>183599.408</v>
      </c>
      <c r="O123" s="780">
        <f>123061.761-2158.491+12141.568-487.593+10000+9999.15+10000+6000</f>
        <v>168556.395</v>
      </c>
      <c r="P123" s="352" t="s">
        <v>611</v>
      </c>
      <c r="Q123" s="73"/>
    </row>
    <row r="124" spans="1:17" ht="38.25">
      <c r="A124" s="180">
        <v>3</v>
      </c>
      <c r="B124" s="74" t="s">
        <v>38</v>
      </c>
      <c r="C124" s="164">
        <f>+C19+C20+C21+C22+C56+C57+C58+C59</f>
        <v>6890</v>
      </c>
      <c r="D124" s="164">
        <f>+D19+D20+D21+D22+D56+D57+D58+D59</f>
        <v>6789</v>
      </c>
      <c r="E124" s="748">
        <f>+D124/C124</f>
        <v>0.9853410740203193</v>
      </c>
      <c r="F124" s="748">
        <f>4547/4547</f>
        <v>1</v>
      </c>
      <c r="G124" s="78">
        <f>25066.203+1061.722+1555.901+9000</f>
        <v>36683.826</v>
      </c>
      <c r="H124" s="73"/>
      <c r="I124" s="73"/>
      <c r="J124" s="73"/>
      <c r="K124" s="73"/>
      <c r="L124" s="73"/>
      <c r="M124" s="151">
        <f>4000+3702.252</f>
        <v>7702.252</v>
      </c>
      <c r="N124" s="711">
        <f>+G124+H124+I124+J124+K124+L124+M124</f>
        <v>44386.078</v>
      </c>
      <c r="O124" s="780">
        <f>29474.128+12702.252</f>
        <v>42176.380000000005</v>
      </c>
      <c r="P124" s="350" t="s">
        <v>372</v>
      </c>
      <c r="Q124" s="73"/>
    </row>
    <row r="125" spans="1:20" ht="12.75">
      <c r="A125" s="180"/>
      <c r="B125" s="74"/>
      <c r="C125" s="164"/>
      <c r="D125" s="164"/>
      <c r="E125" s="75"/>
      <c r="F125" s="75"/>
      <c r="G125" s="77"/>
      <c r="H125" s="73"/>
      <c r="I125" s="73"/>
      <c r="J125" s="73"/>
      <c r="K125" s="73"/>
      <c r="L125" s="73"/>
      <c r="M125" s="151"/>
      <c r="N125" s="253"/>
      <c r="O125" s="78"/>
      <c r="P125" s="350"/>
      <c r="Q125" s="73"/>
      <c r="T125" s="153"/>
    </row>
    <row r="126" spans="1:20" ht="12.75">
      <c r="A126" s="180"/>
      <c r="B126" s="74"/>
      <c r="C126" s="79"/>
      <c r="D126" s="79"/>
      <c r="E126" s="73"/>
      <c r="F126" s="73"/>
      <c r="G126" s="73"/>
      <c r="H126" s="73"/>
      <c r="I126" s="73"/>
      <c r="J126" s="73"/>
      <c r="K126" s="73"/>
      <c r="L126" s="73"/>
      <c r="M126" s="73"/>
      <c r="N126" s="253">
        <f t="shared" si="11"/>
        <v>0</v>
      </c>
      <c r="O126" s="89"/>
      <c r="P126" s="73"/>
      <c r="Q126" s="73"/>
      <c r="T126" s="153">
        <f>+T125*1.035</f>
        <v>0</v>
      </c>
    </row>
    <row r="127" spans="1:17" ht="12.75">
      <c r="A127" s="180"/>
      <c r="B127" s="74"/>
      <c r="C127" s="75"/>
      <c r="D127" s="79"/>
      <c r="E127" s="73"/>
      <c r="F127" s="73"/>
      <c r="G127" s="73"/>
      <c r="H127" s="73"/>
      <c r="I127" s="73"/>
      <c r="J127" s="73"/>
      <c r="K127" s="73"/>
      <c r="L127" s="73"/>
      <c r="M127" s="73"/>
      <c r="N127" s="253">
        <f t="shared" si="11"/>
        <v>0</v>
      </c>
      <c r="O127" s="89"/>
      <c r="P127" s="73"/>
      <c r="Q127" s="73"/>
    </row>
    <row r="128" spans="1:17" ht="12.75">
      <c r="A128" s="180"/>
      <c r="B128" s="74"/>
      <c r="C128" s="75"/>
      <c r="D128" s="79"/>
      <c r="E128" s="73"/>
      <c r="F128" s="73"/>
      <c r="G128" s="73"/>
      <c r="H128" s="73"/>
      <c r="I128" s="73"/>
      <c r="J128" s="73"/>
      <c r="K128" s="73"/>
      <c r="L128" s="73"/>
      <c r="M128" s="73"/>
      <c r="N128" s="253">
        <f t="shared" si="11"/>
        <v>0</v>
      </c>
      <c r="O128" s="89"/>
      <c r="P128" s="73"/>
      <c r="Q128" s="73"/>
    </row>
    <row r="129" spans="1:17" ht="12.75">
      <c r="A129" s="180"/>
      <c r="B129" s="73"/>
      <c r="C129" s="79"/>
      <c r="D129" s="79"/>
      <c r="E129" s="73"/>
      <c r="F129" s="73"/>
      <c r="G129" s="73"/>
      <c r="H129" s="73"/>
      <c r="I129" s="73"/>
      <c r="J129" s="73"/>
      <c r="K129" s="73"/>
      <c r="L129" s="73"/>
      <c r="M129" s="73"/>
      <c r="N129" s="253">
        <f t="shared" si="11"/>
        <v>0</v>
      </c>
      <c r="O129" s="89"/>
      <c r="P129" s="73"/>
      <c r="Q129" s="73"/>
    </row>
    <row r="130" spans="1:17" ht="12.75">
      <c r="A130" s="180"/>
      <c r="B130" s="73"/>
      <c r="C130" s="79"/>
      <c r="D130" s="79"/>
      <c r="E130" s="73"/>
      <c r="F130" s="73"/>
      <c r="G130" s="73"/>
      <c r="H130" s="73"/>
      <c r="I130" s="73"/>
      <c r="J130" s="73"/>
      <c r="K130" s="73"/>
      <c r="L130" s="73"/>
      <c r="M130" s="73"/>
      <c r="N130" s="89"/>
      <c r="O130" s="89"/>
      <c r="P130" s="73"/>
      <c r="Q130" s="73"/>
    </row>
    <row r="131" spans="1:17" ht="12.75">
      <c r="A131" s="180"/>
      <c r="B131" s="73"/>
      <c r="C131" s="79"/>
      <c r="D131" s="79"/>
      <c r="E131" s="73"/>
      <c r="F131" s="73"/>
      <c r="G131" s="73"/>
      <c r="H131" s="73"/>
      <c r="I131" s="73"/>
      <c r="J131" s="73"/>
      <c r="K131" s="73"/>
      <c r="L131" s="73"/>
      <c r="M131" s="73"/>
      <c r="N131" s="89"/>
      <c r="O131" s="89"/>
      <c r="P131" s="73"/>
      <c r="Q131" s="73"/>
    </row>
    <row r="132" spans="1:17" ht="12.75">
      <c r="A132" s="180"/>
      <c r="B132" s="73"/>
      <c r="C132" s="79"/>
      <c r="D132" s="79"/>
      <c r="E132" s="73"/>
      <c r="F132" s="73"/>
      <c r="G132" s="73"/>
      <c r="H132" s="73"/>
      <c r="I132" s="73"/>
      <c r="J132" s="73"/>
      <c r="K132" s="73"/>
      <c r="L132" s="73"/>
      <c r="M132" s="73"/>
      <c r="N132" s="89"/>
      <c r="O132" s="89"/>
      <c r="P132" s="73"/>
      <c r="Q132" s="73"/>
    </row>
    <row r="133" spans="1:17" ht="12.75">
      <c r="A133" s="180"/>
      <c r="B133" s="73"/>
      <c r="C133" s="79"/>
      <c r="D133" s="79"/>
      <c r="E133" s="73"/>
      <c r="F133" s="73"/>
      <c r="G133" s="73"/>
      <c r="H133" s="73"/>
      <c r="I133" s="73"/>
      <c r="J133" s="73"/>
      <c r="K133" s="73"/>
      <c r="L133" s="73"/>
      <c r="M133" s="73"/>
      <c r="N133" s="89"/>
      <c r="O133" s="89"/>
      <c r="P133" s="73"/>
      <c r="Q133" s="73"/>
    </row>
    <row r="134" spans="1:17" ht="12.75">
      <c r="A134" s="180"/>
      <c r="B134" s="73"/>
      <c r="C134" s="79"/>
      <c r="D134" s="79"/>
      <c r="E134" s="73"/>
      <c r="F134" s="73"/>
      <c r="G134" s="73"/>
      <c r="H134" s="73"/>
      <c r="I134" s="73"/>
      <c r="J134" s="73"/>
      <c r="K134" s="73"/>
      <c r="L134" s="73"/>
      <c r="M134" s="73"/>
      <c r="N134" s="89"/>
      <c r="O134" s="89"/>
      <c r="P134" s="73"/>
      <c r="Q134" s="73"/>
    </row>
    <row r="135" spans="1:17" ht="12.75">
      <c r="A135" s="180"/>
      <c r="B135" s="73"/>
      <c r="C135" s="79"/>
      <c r="D135" s="79"/>
      <c r="E135" s="73"/>
      <c r="F135" s="73"/>
      <c r="G135" s="73"/>
      <c r="H135" s="73"/>
      <c r="I135" s="73"/>
      <c r="J135" s="73"/>
      <c r="K135" s="73"/>
      <c r="L135" s="73"/>
      <c r="M135" s="73"/>
      <c r="N135" s="89"/>
      <c r="O135" s="89"/>
      <c r="P135" s="73"/>
      <c r="Q135" s="73"/>
    </row>
    <row r="136" spans="1:17" ht="12.75">
      <c r="A136" s="180"/>
      <c r="B136" s="73"/>
      <c r="C136" s="79"/>
      <c r="D136" s="79"/>
      <c r="E136" s="73"/>
      <c r="F136" s="73"/>
      <c r="G136" s="73"/>
      <c r="H136" s="73"/>
      <c r="I136" s="73"/>
      <c r="J136" s="73"/>
      <c r="K136" s="73"/>
      <c r="L136" s="73"/>
      <c r="M136" s="73"/>
      <c r="N136" s="89"/>
      <c r="O136" s="89"/>
      <c r="P136" s="73"/>
      <c r="Q136" s="73"/>
    </row>
    <row r="137" spans="1:17" ht="12.75">
      <c r="A137" s="180"/>
      <c r="B137" s="73"/>
      <c r="C137" s="79"/>
      <c r="D137" s="79"/>
      <c r="E137" s="73"/>
      <c r="F137" s="73"/>
      <c r="G137" s="73"/>
      <c r="H137" s="73"/>
      <c r="I137" s="73"/>
      <c r="J137" s="73"/>
      <c r="K137" s="73"/>
      <c r="L137" s="73"/>
      <c r="M137" s="73"/>
      <c r="N137" s="89"/>
      <c r="O137" s="89"/>
      <c r="P137" s="73"/>
      <c r="Q137" s="73"/>
    </row>
    <row r="138" spans="1:19" ht="13.5" thickBot="1">
      <c r="A138" s="181"/>
      <c r="B138" s="82" t="s">
        <v>445</v>
      </c>
      <c r="C138" s="83"/>
      <c r="D138" s="83"/>
      <c r="E138" s="81"/>
      <c r="F138" s="81"/>
      <c r="G138" s="84">
        <f>SUM(G122:G137)</f>
        <v>260945.234</v>
      </c>
      <c r="H138" s="84">
        <f aca="true" t="shared" si="12" ref="H138:M138">SUM(H122:H137)</f>
        <v>20745</v>
      </c>
      <c r="I138" s="84">
        <f t="shared" si="12"/>
        <v>0</v>
      </c>
      <c r="J138" s="84">
        <f t="shared" si="12"/>
        <v>0</v>
      </c>
      <c r="K138" s="84">
        <f t="shared" si="12"/>
        <v>21000</v>
      </c>
      <c r="L138" s="84">
        <f t="shared" si="12"/>
        <v>0</v>
      </c>
      <c r="M138" s="84">
        <f t="shared" si="12"/>
        <v>7702.252</v>
      </c>
      <c r="N138" s="762">
        <f>SUM(N122:N130)</f>
        <v>310392.486</v>
      </c>
      <c r="O138" s="762">
        <f>SUM(O122:O130)</f>
        <v>293020.79099999997</v>
      </c>
      <c r="P138" s="81"/>
      <c r="Q138" s="81"/>
      <c r="R138" s="153" t="e">
        <f>+'Resumen presupuesto ejecutado'!D3+'Resumen presupuesto ejecutado'!D6+'Resumen presupuesto ejecutado'!#REF!+'Resumen presupuesto ejecutado'!#REF!+'Resumen presupuesto ejecutado'!#REF!+'Resumen presupuesto ejecutado'!#REF!</f>
        <v>#REF!</v>
      </c>
      <c r="S138" s="153" t="e">
        <f>+'Resumen presupuesto ejecutado'!E3+'Resumen presupuesto ejecutado'!E6+'Resumen presupuesto ejecutado'!#REF!+'Resumen presupuesto ejecutado'!#REF!+'Resumen presupuesto ejecutado'!#REF!+'Resumen presupuesto ejecutado'!#REF!</f>
        <v>#REF!</v>
      </c>
    </row>
    <row r="139" spans="16:17" ht="12.75">
      <c r="P139" s="336"/>
      <c r="Q139" s="337"/>
    </row>
    <row r="140" spans="1:17" ht="12.75">
      <c r="A140" s="878" t="s">
        <v>420</v>
      </c>
      <c r="B140" s="878"/>
      <c r="C140" s="878"/>
      <c r="D140" s="878"/>
      <c r="E140" s="878"/>
      <c r="F140" s="878"/>
      <c r="G140" s="878"/>
      <c r="H140" s="878"/>
      <c r="I140" s="878"/>
      <c r="J140" s="878"/>
      <c r="K140" s="878"/>
      <c r="L140" s="878"/>
      <c r="M140" s="878"/>
      <c r="N140" s="878"/>
      <c r="O140" s="878"/>
      <c r="P140" s="878"/>
      <c r="Q140" s="878"/>
    </row>
    <row r="141" spans="1:23" s="39" customFormat="1" ht="16.5" thickBot="1">
      <c r="A141" s="891" t="s">
        <v>609</v>
      </c>
      <c r="B141" s="891"/>
      <c r="C141" s="891"/>
      <c r="D141" s="891"/>
      <c r="E141" s="891"/>
      <c r="F141" s="891"/>
      <c r="G141" s="891"/>
      <c r="H141" s="891"/>
      <c r="I141" s="891"/>
      <c r="J141" s="891"/>
      <c r="K141" s="891"/>
      <c r="L141" s="891"/>
      <c r="M141" s="891"/>
      <c r="N141" s="891"/>
      <c r="O141" s="891"/>
      <c r="P141" s="891"/>
      <c r="Q141" s="891"/>
      <c r="R141" s="184"/>
      <c r="S141" s="184"/>
      <c r="W141" s="184"/>
    </row>
    <row r="142" spans="1:23" s="39" customFormat="1" ht="13.5" thickBot="1">
      <c r="A142" s="175"/>
      <c r="C142" s="40"/>
      <c r="D142" s="40"/>
      <c r="N142" s="755"/>
      <c r="O142" s="755"/>
      <c r="P142" s="892" t="s">
        <v>536</v>
      </c>
      <c r="Q142" s="893"/>
      <c r="R142" s="184"/>
      <c r="S142" s="184"/>
      <c r="W142" s="184"/>
    </row>
    <row r="143" spans="1:17" ht="12.75">
      <c r="A143" s="878" t="s">
        <v>76</v>
      </c>
      <c r="B143" s="878"/>
      <c r="C143" s="878"/>
      <c r="D143" s="878"/>
      <c r="E143" s="878"/>
      <c r="F143" s="878"/>
      <c r="P143" s="889" t="s">
        <v>74</v>
      </c>
      <c r="Q143" s="889"/>
    </row>
    <row r="144" spans="1:17" ht="12.75">
      <c r="A144" s="878" t="s">
        <v>77</v>
      </c>
      <c r="B144" s="879"/>
      <c r="C144" s="879"/>
      <c r="D144" s="879"/>
      <c r="E144" s="879"/>
      <c r="F144" s="879"/>
      <c r="P144" s="890" t="s">
        <v>75</v>
      </c>
      <c r="Q144" s="890"/>
    </row>
    <row r="145" spans="1:9" ht="12.75">
      <c r="A145" s="878" t="s">
        <v>808</v>
      </c>
      <c r="B145" s="879"/>
      <c r="C145" s="879"/>
      <c r="D145" s="879"/>
      <c r="E145" s="879"/>
      <c r="F145" s="879"/>
      <c r="G145" s="38" t="s">
        <v>72</v>
      </c>
      <c r="I145" s="41">
        <v>39083</v>
      </c>
    </row>
    <row r="147" ht="13.5" thickBot="1"/>
    <row r="148" spans="1:17" ht="13.5" thickBot="1">
      <c r="A148" s="177" t="s">
        <v>424</v>
      </c>
      <c r="B148" s="43"/>
      <c r="C148" s="44" t="s">
        <v>97</v>
      </c>
      <c r="D148" s="44"/>
      <c r="E148" s="43"/>
      <c r="F148" s="45"/>
      <c r="G148" s="880" t="s">
        <v>425</v>
      </c>
      <c r="H148" s="881"/>
      <c r="I148" s="881"/>
      <c r="J148" s="881"/>
      <c r="K148" s="881"/>
      <c r="L148" s="881"/>
      <c r="M148" s="881"/>
      <c r="N148" s="881"/>
      <c r="O148" s="882"/>
      <c r="P148" s="880" t="s">
        <v>426</v>
      </c>
      <c r="Q148" s="882"/>
    </row>
    <row r="149" spans="1:17" ht="15">
      <c r="A149" s="178" t="s">
        <v>422</v>
      </c>
      <c r="B149" s="47"/>
      <c r="C149" s="48" t="s">
        <v>98</v>
      </c>
      <c r="D149" s="48"/>
      <c r="E149" s="47"/>
      <c r="F149" s="49"/>
      <c r="G149" s="902" t="s">
        <v>823</v>
      </c>
      <c r="H149" s="903"/>
      <c r="I149" s="903"/>
      <c r="J149" s="903"/>
      <c r="K149" s="903"/>
      <c r="L149" s="903"/>
      <c r="M149" s="903"/>
      <c r="N149" s="903"/>
      <c r="O149" s="904"/>
      <c r="P149" s="50"/>
      <c r="Q149" s="15" t="s">
        <v>400</v>
      </c>
    </row>
    <row r="150" spans="1:17" ht="27.75" customHeight="1" thickBot="1">
      <c r="A150" s="179" t="s">
        <v>423</v>
      </c>
      <c r="B150" s="52"/>
      <c r="C150" s="53" t="s">
        <v>537</v>
      </c>
      <c r="D150" s="53"/>
      <c r="E150" s="52"/>
      <c r="F150" s="54"/>
      <c r="G150" s="905"/>
      <c r="H150" s="906"/>
      <c r="I150" s="906"/>
      <c r="J150" s="906"/>
      <c r="K150" s="906"/>
      <c r="L150" s="906"/>
      <c r="M150" s="906"/>
      <c r="N150" s="906"/>
      <c r="O150" s="907"/>
      <c r="P150" s="55"/>
      <c r="Q150" s="56"/>
    </row>
    <row r="151" spans="1:2" ht="13.5" thickBot="1">
      <c r="A151" s="176" t="s">
        <v>73</v>
      </c>
      <c r="B151" s="57"/>
    </row>
    <row r="152" spans="1:17" ht="12.75">
      <c r="A152" s="869" t="s">
        <v>431</v>
      </c>
      <c r="B152" s="870"/>
      <c r="C152" s="870"/>
      <c r="D152" s="870"/>
      <c r="E152" s="870"/>
      <c r="F152" s="871"/>
      <c r="G152" s="872" t="s">
        <v>427</v>
      </c>
      <c r="H152" s="873"/>
      <c r="I152" s="873"/>
      <c r="J152" s="873"/>
      <c r="K152" s="873"/>
      <c r="L152" s="873"/>
      <c r="M152" s="873"/>
      <c r="N152" s="873"/>
      <c r="O152" s="874"/>
      <c r="P152" s="875" t="s">
        <v>428</v>
      </c>
      <c r="Q152" s="874" t="s">
        <v>429</v>
      </c>
    </row>
    <row r="153" spans="1:17" ht="13.5" thickBot="1">
      <c r="A153" s="61"/>
      <c r="B153" s="62"/>
      <c r="C153" s="63"/>
      <c r="D153" s="63"/>
      <c r="E153" s="62"/>
      <c r="F153" s="64"/>
      <c r="G153" s="61"/>
      <c r="H153" s="62"/>
      <c r="I153" s="62"/>
      <c r="J153" s="62"/>
      <c r="K153" s="62"/>
      <c r="L153" s="62"/>
      <c r="M153" s="62"/>
      <c r="N153" s="756"/>
      <c r="O153" s="757"/>
      <c r="P153" s="876"/>
      <c r="Q153" s="877"/>
    </row>
    <row r="154" spans="1:17" ht="52.5" thickBot="1">
      <c r="A154" s="35" t="s">
        <v>430</v>
      </c>
      <c r="B154" s="90" t="s">
        <v>432</v>
      </c>
      <c r="C154" s="91" t="s">
        <v>433</v>
      </c>
      <c r="D154" s="66" t="s">
        <v>434</v>
      </c>
      <c r="E154" s="37" t="s">
        <v>435</v>
      </c>
      <c r="F154" s="36" t="s">
        <v>446</v>
      </c>
      <c r="G154" s="67" t="s">
        <v>436</v>
      </c>
      <c r="H154" s="68" t="s">
        <v>437</v>
      </c>
      <c r="I154" s="68" t="s">
        <v>438</v>
      </c>
      <c r="J154" s="68" t="s">
        <v>439</v>
      </c>
      <c r="K154" s="68" t="s">
        <v>440</v>
      </c>
      <c r="L154" s="68" t="s">
        <v>441</v>
      </c>
      <c r="M154" s="68" t="s">
        <v>442</v>
      </c>
      <c r="N154" s="763" t="s">
        <v>443</v>
      </c>
      <c r="O154" s="759" t="s">
        <v>444</v>
      </c>
      <c r="P154" s="900"/>
      <c r="Q154" s="877"/>
    </row>
    <row r="155" spans="1:19" ht="38.25">
      <c r="A155" s="105">
        <v>1</v>
      </c>
      <c r="B155" s="92" t="s">
        <v>258</v>
      </c>
      <c r="C155" s="249">
        <v>1400</v>
      </c>
      <c r="D155" s="249">
        <v>1350</v>
      </c>
      <c r="E155" s="93">
        <f aca="true" t="shared" si="13" ref="E155:E161">D155/C155</f>
        <v>0.9642857142857143</v>
      </c>
      <c r="F155" s="93">
        <f aca="true" t="shared" si="14" ref="F155:F161">42/10</f>
        <v>4.2</v>
      </c>
      <c r="G155" s="72">
        <f>2933.797+1147.7+500</f>
        <v>4581.497</v>
      </c>
      <c r="H155" s="72"/>
      <c r="I155" s="72"/>
      <c r="J155" s="72"/>
      <c r="K155" s="72"/>
      <c r="L155" s="72"/>
      <c r="M155" s="72"/>
      <c r="N155" s="711">
        <f aca="true" t="shared" si="15" ref="N155:N163">+G155+H155+I155+J155+K155+L155+M155</f>
        <v>4581.497</v>
      </c>
      <c r="O155" s="760">
        <f>4081.497+499.8</f>
        <v>4581.297</v>
      </c>
      <c r="P155" s="348" t="s">
        <v>369</v>
      </c>
      <c r="Q155" s="69"/>
      <c r="R155" s="241">
        <f>N155+N124</f>
        <v>48967.575000000004</v>
      </c>
      <c r="S155" s="241">
        <f>O155+O124</f>
        <v>46757.677</v>
      </c>
    </row>
    <row r="156" spans="1:17" ht="25.5">
      <c r="A156" s="180">
        <v>2</v>
      </c>
      <c r="B156" s="74" t="s">
        <v>274</v>
      </c>
      <c r="C156" s="164">
        <v>1500</v>
      </c>
      <c r="D156" s="164">
        <v>1490</v>
      </c>
      <c r="E156" s="75">
        <f t="shared" si="13"/>
        <v>0.9933333333333333</v>
      </c>
      <c r="F156" s="75">
        <f t="shared" si="14"/>
        <v>4.2</v>
      </c>
      <c r="G156" s="77">
        <v>1000</v>
      </c>
      <c r="H156" s="77"/>
      <c r="I156" s="77"/>
      <c r="J156" s="77"/>
      <c r="K156" s="77"/>
      <c r="L156" s="77"/>
      <c r="M156" s="77"/>
      <c r="N156" s="711">
        <f t="shared" si="15"/>
        <v>1000</v>
      </c>
      <c r="O156" s="780">
        <v>1000</v>
      </c>
      <c r="P156" s="349" t="s">
        <v>370</v>
      </c>
      <c r="Q156" s="73"/>
    </row>
    <row r="157" spans="1:17" ht="25.5">
      <c r="A157" s="180">
        <v>3</v>
      </c>
      <c r="B157" s="94" t="s">
        <v>253</v>
      </c>
      <c r="C157" s="164">
        <v>4400</v>
      </c>
      <c r="D157" s="164">
        <v>4350</v>
      </c>
      <c r="E157" s="75">
        <f t="shared" si="13"/>
        <v>0.9886363636363636</v>
      </c>
      <c r="F157" s="75">
        <f t="shared" si="14"/>
        <v>4.2</v>
      </c>
      <c r="G157" s="77">
        <f>28000</f>
        <v>28000</v>
      </c>
      <c r="H157" s="77"/>
      <c r="I157" s="77"/>
      <c r="J157" s="77"/>
      <c r="K157" s="73"/>
      <c r="L157" s="73"/>
      <c r="M157" s="73"/>
      <c r="N157" s="711">
        <f t="shared" si="15"/>
        <v>28000</v>
      </c>
      <c r="O157" s="780">
        <v>27072.717</v>
      </c>
      <c r="P157" s="349" t="s">
        <v>370</v>
      </c>
      <c r="Q157" s="73"/>
    </row>
    <row r="158" spans="1:17" ht="38.25">
      <c r="A158" s="180"/>
      <c r="B158" s="94" t="s">
        <v>284</v>
      </c>
      <c r="C158" s="164">
        <v>7000</v>
      </c>
      <c r="D158" s="164">
        <v>6789</v>
      </c>
      <c r="E158" s="75">
        <f t="shared" si="13"/>
        <v>0.9698571428571429</v>
      </c>
      <c r="F158" s="75">
        <f t="shared" si="14"/>
        <v>4.2</v>
      </c>
      <c r="G158" s="77">
        <v>12000</v>
      </c>
      <c r="H158" s="77"/>
      <c r="I158" s="77"/>
      <c r="J158" s="77"/>
      <c r="K158" s="73"/>
      <c r="L158" s="73"/>
      <c r="M158" s="73"/>
      <c r="N158" s="711">
        <f t="shared" si="15"/>
        <v>12000</v>
      </c>
      <c r="O158" s="780">
        <v>11678</v>
      </c>
      <c r="P158" s="349" t="s">
        <v>370</v>
      </c>
      <c r="Q158" s="73"/>
    </row>
    <row r="159" spans="1:17" ht="25.5">
      <c r="A159" s="180"/>
      <c r="B159" s="94" t="s">
        <v>781</v>
      </c>
      <c r="C159" s="164">
        <v>1800</v>
      </c>
      <c r="D159" s="164">
        <f>250*7</f>
        <v>1750</v>
      </c>
      <c r="E159" s="75">
        <f t="shared" si="13"/>
        <v>0.9722222222222222</v>
      </c>
      <c r="F159" s="75">
        <f t="shared" si="14"/>
        <v>4.2</v>
      </c>
      <c r="G159" s="77">
        <v>14757</v>
      </c>
      <c r="H159" s="77"/>
      <c r="I159" s="77"/>
      <c r="J159" s="77"/>
      <c r="K159" s="73"/>
      <c r="L159" s="73"/>
      <c r="M159" s="73"/>
      <c r="N159" s="711">
        <f t="shared" si="15"/>
        <v>14757</v>
      </c>
      <c r="O159" s="780">
        <v>14757</v>
      </c>
      <c r="P159" s="349" t="s">
        <v>370</v>
      </c>
      <c r="Q159" s="73"/>
    </row>
    <row r="160" spans="1:18" ht="38.25">
      <c r="A160" s="180">
        <v>4</v>
      </c>
      <c r="B160" s="74" t="s">
        <v>605</v>
      </c>
      <c r="C160" s="79">
        <v>120</v>
      </c>
      <c r="D160" s="79">
        <v>115</v>
      </c>
      <c r="E160" s="75">
        <f t="shared" si="13"/>
        <v>0.9583333333333334</v>
      </c>
      <c r="F160" s="75">
        <f t="shared" si="14"/>
        <v>4.2</v>
      </c>
      <c r="G160" s="77"/>
      <c r="H160" s="77"/>
      <c r="I160" s="77"/>
      <c r="J160" s="77"/>
      <c r="K160" s="73"/>
      <c r="L160" s="73"/>
      <c r="M160" s="151"/>
      <c r="N160" s="253">
        <f t="shared" si="15"/>
        <v>0</v>
      </c>
      <c r="O160" s="78">
        <v>0</v>
      </c>
      <c r="P160" s="349" t="s">
        <v>370</v>
      </c>
      <c r="Q160" s="73"/>
      <c r="R160" s="153">
        <f>13378336-28</f>
        <v>13378308</v>
      </c>
    </row>
    <row r="161" spans="1:17" ht="51">
      <c r="A161" s="180">
        <v>5</v>
      </c>
      <c r="B161" s="74" t="s">
        <v>606</v>
      </c>
      <c r="C161" s="164">
        <v>900</v>
      </c>
      <c r="D161" s="164">
        <v>850</v>
      </c>
      <c r="E161" s="75">
        <f t="shared" si="13"/>
        <v>0.9444444444444444</v>
      </c>
      <c r="F161" s="75">
        <f t="shared" si="14"/>
        <v>4.2</v>
      </c>
      <c r="G161" s="95">
        <v>18000</v>
      </c>
      <c r="H161" s="73"/>
      <c r="I161" s="73"/>
      <c r="J161" s="73"/>
      <c r="K161" s="73"/>
      <c r="L161" s="73"/>
      <c r="M161" s="73"/>
      <c r="N161" s="711">
        <f t="shared" si="15"/>
        <v>18000</v>
      </c>
      <c r="O161" s="780">
        <v>18000</v>
      </c>
      <c r="P161" s="350" t="s">
        <v>369</v>
      </c>
      <c r="Q161" s="73"/>
    </row>
    <row r="162" spans="1:17" ht="25.5" hidden="1">
      <c r="A162" s="180"/>
      <c r="B162" s="74" t="s">
        <v>226</v>
      </c>
      <c r="C162" s="79"/>
      <c r="D162" s="79"/>
      <c r="E162" s="73"/>
      <c r="F162" s="75">
        <v>0</v>
      </c>
      <c r="G162" s="73"/>
      <c r="H162" s="73"/>
      <c r="I162" s="89"/>
      <c r="J162" s="73"/>
      <c r="K162" s="73"/>
      <c r="L162" s="73"/>
      <c r="M162" s="73"/>
      <c r="N162" s="253">
        <f t="shared" si="15"/>
        <v>0</v>
      </c>
      <c r="O162" s="89"/>
      <c r="P162" s="73"/>
      <c r="Q162" s="73"/>
    </row>
    <row r="163" spans="1:17" ht="12.75">
      <c r="A163" s="180"/>
      <c r="B163" s="73"/>
      <c r="C163" s="79"/>
      <c r="D163" s="79"/>
      <c r="E163" s="73"/>
      <c r="F163" s="73"/>
      <c r="G163" s="73"/>
      <c r="H163" s="73"/>
      <c r="I163" s="73"/>
      <c r="J163" s="73"/>
      <c r="K163" s="73"/>
      <c r="L163" s="73"/>
      <c r="M163" s="73"/>
      <c r="N163" s="253">
        <f t="shared" si="15"/>
        <v>0</v>
      </c>
      <c r="O163" s="89"/>
      <c r="P163" s="73"/>
      <c r="Q163" s="73"/>
    </row>
    <row r="164" spans="1:17" ht="12.75">
      <c r="A164" s="180"/>
      <c r="B164" s="73"/>
      <c r="C164" s="79"/>
      <c r="D164" s="79"/>
      <c r="E164" s="73"/>
      <c r="F164" s="73"/>
      <c r="G164" s="73"/>
      <c r="H164" s="73"/>
      <c r="I164" s="73"/>
      <c r="J164" s="73"/>
      <c r="K164" s="73"/>
      <c r="L164" s="73"/>
      <c r="M164" s="73"/>
      <c r="N164" s="89"/>
      <c r="O164" s="89"/>
      <c r="P164" s="73"/>
      <c r="Q164" s="73"/>
    </row>
    <row r="165" spans="1:17" ht="12.75">
      <c r="A165" s="180"/>
      <c r="B165" s="73"/>
      <c r="C165" s="79"/>
      <c r="D165" s="79"/>
      <c r="E165" s="73"/>
      <c r="F165" s="73"/>
      <c r="G165" s="73"/>
      <c r="H165" s="73"/>
      <c r="I165" s="73"/>
      <c r="J165" s="73"/>
      <c r="K165" s="73"/>
      <c r="L165" s="73"/>
      <c r="M165" s="73"/>
      <c r="N165" s="89"/>
      <c r="O165" s="89"/>
      <c r="P165" s="73"/>
      <c r="Q165" s="73"/>
    </row>
    <row r="166" spans="1:17" ht="12.75">
      <c r="A166" s="180"/>
      <c r="B166" s="73"/>
      <c r="C166" s="79"/>
      <c r="D166" s="79"/>
      <c r="E166" s="73"/>
      <c r="F166" s="73"/>
      <c r="G166" s="73"/>
      <c r="H166" s="73"/>
      <c r="I166" s="73"/>
      <c r="J166" s="73"/>
      <c r="K166" s="73"/>
      <c r="L166" s="73"/>
      <c r="M166" s="73"/>
      <c r="N166" s="89"/>
      <c r="O166" s="89"/>
      <c r="P166" s="73"/>
      <c r="Q166" s="73"/>
    </row>
    <row r="167" spans="1:17" ht="12.75">
      <c r="A167" s="180"/>
      <c r="B167" s="73"/>
      <c r="C167" s="79"/>
      <c r="D167" s="79"/>
      <c r="E167" s="73"/>
      <c r="F167" s="73"/>
      <c r="G167" s="73"/>
      <c r="H167" s="73"/>
      <c r="I167" s="73"/>
      <c r="J167" s="73"/>
      <c r="K167" s="73"/>
      <c r="L167" s="73"/>
      <c r="M167" s="73"/>
      <c r="N167" s="89"/>
      <c r="O167" s="89"/>
      <c r="P167" s="73"/>
      <c r="Q167" s="73"/>
    </row>
    <row r="168" spans="1:17" ht="12.75">
      <c r="A168" s="180"/>
      <c r="B168" s="73"/>
      <c r="C168" s="79"/>
      <c r="D168" s="79"/>
      <c r="E168" s="73"/>
      <c r="F168" s="73"/>
      <c r="G168" s="73"/>
      <c r="H168" s="73"/>
      <c r="I168" s="73"/>
      <c r="J168" s="73"/>
      <c r="K168" s="73"/>
      <c r="L168" s="73"/>
      <c r="M168" s="73"/>
      <c r="N168" s="89"/>
      <c r="O168" s="89"/>
      <c r="P168" s="73"/>
      <c r="Q168" s="73"/>
    </row>
    <row r="169" spans="1:17" ht="12.75">
      <c r="A169" s="180"/>
      <c r="B169" s="73"/>
      <c r="C169" s="79"/>
      <c r="D169" s="79"/>
      <c r="E169" s="73"/>
      <c r="F169" s="73"/>
      <c r="G169" s="73"/>
      <c r="H169" s="73"/>
      <c r="I169" s="73"/>
      <c r="J169" s="73"/>
      <c r="K169" s="73"/>
      <c r="L169" s="73"/>
      <c r="M169" s="73"/>
      <c r="N169" s="89"/>
      <c r="O169" s="89"/>
      <c r="P169" s="73"/>
      <c r="Q169" s="73"/>
    </row>
    <row r="170" spans="1:17" ht="13.5" thickBot="1">
      <c r="A170" s="181"/>
      <c r="B170" s="82" t="s">
        <v>445</v>
      </c>
      <c r="C170" s="83"/>
      <c r="D170" s="83"/>
      <c r="E170" s="81"/>
      <c r="F170" s="81"/>
      <c r="G170" s="84">
        <f>SUM(G155:G169)</f>
        <v>78338.497</v>
      </c>
      <c r="H170" s="84">
        <f aca="true" t="shared" si="16" ref="H170:M170">SUM(H155:H169)</f>
        <v>0</v>
      </c>
      <c r="I170" s="84">
        <f t="shared" si="16"/>
        <v>0</v>
      </c>
      <c r="J170" s="84">
        <f t="shared" si="16"/>
        <v>0</v>
      </c>
      <c r="K170" s="84">
        <f t="shared" si="16"/>
        <v>0</v>
      </c>
      <c r="L170" s="84">
        <f t="shared" si="16"/>
        <v>0</v>
      </c>
      <c r="M170" s="84">
        <f t="shared" si="16"/>
        <v>0</v>
      </c>
      <c r="N170" s="762">
        <f>SUM(N155:N169)</f>
        <v>78338.497</v>
      </c>
      <c r="O170" s="762">
        <f>SUM(O155:O169)</f>
        <v>77089.014</v>
      </c>
      <c r="P170" s="81"/>
      <c r="Q170" s="81"/>
    </row>
    <row r="172" spans="1:17" ht="12.75">
      <c r="A172" s="878" t="s">
        <v>420</v>
      </c>
      <c r="B172" s="878"/>
      <c r="C172" s="878"/>
      <c r="D172" s="878"/>
      <c r="E172" s="878"/>
      <c r="F172" s="878"/>
      <c r="G172" s="878"/>
      <c r="H172" s="878"/>
      <c r="I172" s="878"/>
      <c r="J172" s="878"/>
      <c r="K172" s="878"/>
      <c r="L172" s="878"/>
      <c r="M172" s="878"/>
      <c r="N172" s="878"/>
      <c r="O172" s="878"/>
      <c r="P172" s="878"/>
      <c r="Q172" s="878"/>
    </row>
    <row r="173" spans="1:23" s="39" customFormat="1" ht="16.5" thickBot="1">
      <c r="A173" s="891" t="s">
        <v>609</v>
      </c>
      <c r="B173" s="891"/>
      <c r="C173" s="891"/>
      <c r="D173" s="891"/>
      <c r="E173" s="891"/>
      <c r="F173" s="891"/>
      <c r="G173" s="891"/>
      <c r="H173" s="891"/>
      <c r="I173" s="891"/>
      <c r="J173" s="891"/>
      <c r="K173" s="891"/>
      <c r="L173" s="891"/>
      <c r="M173" s="891"/>
      <c r="N173" s="891"/>
      <c r="O173" s="891"/>
      <c r="P173" s="891"/>
      <c r="Q173" s="891"/>
      <c r="R173" s="184"/>
      <c r="S173" s="184"/>
      <c r="W173" s="184"/>
    </row>
    <row r="174" spans="1:23" s="39" customFormat="1" ht="13.5" thickBot="1">
      <c r="A174" s="175"/>
      <c r="C174" s="40"/>
      <c r="D174" s="40"/>
      <c r="N174" s="755"/>
      <c r="O174" s="755"/>
      <c r="P174" s="892" t="s">
        <v>538</v>
      </c>
      <c r="Q174" s="893"/>
      <c r="R174" s="184"/>
      <c r="S174" s="184"/>
      <c r="W174" s="184"/>
    </row>
    <row r="175" spans="1:17" ht="12.75">
      <c r="A175" s="878" t="s">
        <v>76</v>
      </c>
      <c r="B175" s="878"/>
      <c r="C175" s="878"/>
      <c r="D175" s="878"/>
      <c r="E175" s="878"/>
      <c r="F175" s="878"/>
      <c r="P175" s="889" t="s">
        <v>74</v>
      </c>
      <c r="Q175" s="889"/>
    </row>
    <row r="176" spans="1:17" ht="12.75">
      <c r="A176" s="878" t="s">
        <v>77</v>
      </c>
      <c r="B176" s="879"/>
      <c r="C176" s="879"/>
      <c r="D176" s="879"/>
      <c r="E176" s="879"/>
      <c r="F176" s="879"/>
      <c r="P176" s="890" t="s">
        <v>75</v>
      </c>
      <c r="Q176" s="890"/>
    </row>
    <row r="177" spans="1:9" ht="12.75">
      <c r="A177" s="878" t="s">
        <v>808</v>
      </c>
      <c r="B177" s="879"/>
      <c r="C177" s="879"/>
      <c r="D177" s="879"/>
      <c r="E177" s="879"/>
      <c r="F177" s="879"/>
      <c r="G177" s="38" t="s">
        <v>72</v>
      </c>
      <c r="I177" s="41">
        <v>39083</v>
      </c>
    </row>
    <row r="179" ht="13.5" thickBot="1"/>
    <row r="180" spans="1:17" ht="13.5" thickBot="1">
      <c r="A180" s="177" t="s">
        <v>424</v>
      </c>
      <c r="B180" s="43"/>
      <c r="C180" s="44" t="s">
        <v>97</v>
      </c>
      <c r="D180" s="44"/>
      <c r="E180" s="43"/>
      <c r="F180" s="45"/>
      <c r="G180" s="880" t="s">
        <v>425</v>
      </c>
      <c r="H180" s="881"/>
      <c r="I180" s="881"/>
      <c r="J180" s="881"/>
      <c r="K180" s="881"/>
      <c r="L180" s="881"/>
      <c r="M180" s="881"/>
      <c r="N180" s="881"/>
      <c r="O180" s="882"/>
      <c r="P180" s="880" t="s">
        <v>426</v>
      </c>
      <c r="Q180" s="882"/>
    </row>
    <row r="181" spans="1:17" ht="25.5" customHeight="1">
      <c r="A181" s="178" t="s">
        <v>422</v>
      </c>
      <c r="B181" s="47"/>
      <c r="C181" s="48" t="s">
        <v>98</v>
      </c>
      <c r="D181" s="48"/>
      <c r="E181" s="47"/>
      <c r="F181" s="49"/>
      <c r="G181" s="896" t="s">
        <v>824</v>
      </c>
      <c r="H181" s="884"/>
      <c r="I181" s="884"/>
      <c r="J181" s="884"/>
      <c r="K181" s="884"/>
      <c r="L181" s="884"/>
      <c r="M181" s="884"/>
      <c r="N181" s="884"/>
      <c r="O181" s="885"/>
      <c r="P181" s="50"/>
      <c r="Q181" s="14" t="s">
        <v>401</v>
      </c>
    </row>
    <row r="182" spans="1:17" ht="20.25" customHeight="1" thickBot="1">
      <c r="A182" s="179" t="s">
        <v>423</v>
      </c>
      <c r="B182" s="52"/>
      <c r="C182" s="53" t="s">
        <v>539</v>
      </c>
      <c r="D182" s="53"/>
      <c r="E182" s="52"/>
      <c r="F182" s="54"/>
      <c r="G182" s="886"/>
      <c r="H182" s="887"/>
      <c r="I182" s="887"/>
      <c r="J182" s="887"/>
      <c r="K182" s="887"/>
      <c r="L182" s="887"/>
      <c r="M182" s="887"/>
      <c r="N182" s="887"/>
      <c r="O182" s="888"/>
      <c r="P182" s="55"/>
      <c r="Q182" s="56"/>
    </row>
    <row r="183" spans="1:2" ht="13.5" thickBot="1">
      <c r="A183" s="176" t="s">
        <v>73</v>
      </c>
      <c r="B183" s="57"/>
    </row>
    <row r="184" spans="1:17" ht="12.75">
      <c r="A184" s="869" t="s">
        <v>431</v>
      </c>
      <c r="B184" s="870"/>
      <c r="C184" s="870"/>
      <c r="D184" s="870"/>
      <c r="E184" s="870"/>
      <c r="F184" s="871"/>
      <c r="G184" s="872" t="s">
        <v>427</v>
      </c>
      <c r="H184" s="873"/>
      <c r="I184" s="873"/>
      <c r="J184" s="873"/>
      <c r="K184" s="873"/>
      <c r="L184" s="873"/>
      <c r="M184" s="873"/>
      <c r="N184" s="873"/>
      <c r="O184" s="874"/>
      <c r="P184" s="875" t="s">
        <v>428</v>
      </c>
      <c r="Q184" s="874" t="s">
        <v>429</v>
      </c>
    </row>
    <row r="185" spans="1:17" ht="13.5" thickBot="1">
      <c r="A185" s="61"/>
      <c r="B185" s="62"/>
      <c r="C185" s="63"/>
      <c r="D185" s="63"/>
      <c r="E185" s="62"/>
      <c r="F185" s="64"/>
      <c r="G185" s="61"/>
      <c r="H185" s="62"/>
      <c r="I185" s="62"/>
      <c r="J185" s="62"/>
      <c r="K185" s="62"/>
      <c r="L185" s="62"/>
      <c r="M185" s="62"/>
      <c r="N185" s="756"/>
      <c r="O185" s="757"/>
      <c r="P185" s="876"/>
      <c r="Q185" s="877"/>
    </row>
    <row r="186" spans="1:17" ht="52.5" thickBot="1">
      <c r="A186" s="141" t="s">
        <v>430</v>
      </c>
      <c r="B186" s="90" t="s">
        <v>432</v>
      </c>
      <c r="C186" s="244" t="s">
        <v>433</v>
      </c>
      <c r="D186" s="243" t="s">
        <v>434</v>
      </c>
      <c r="E186" s="144" t="s">
        <v>435</v>
      </c>
      <c r="F186" s="145" t="s">
        <v>446</v>
      </c>
      <c r="G186" s="146" t="s">
        <v>436</v>
      </c>
      <c r="H186" s="147" t="s">
        <v>437</v>
      </c>
      <c r="I186" s="147" t="s">
        <v>438</v>
      </c>
      <c r="J186" s="147" t="s">
        <v>439</v>
      </c>
      <c r="K186" s="147" t="s">
        <v>440</v>
      </c>
      <c r="L186" s="147" t="s">
        <v>441</v>
      </c>
      <c r="M186" s="147" t="s">
        <v>442</v>
      </c>
      <c r="N186" s="763" t="s">
        <v>443</v>
      </c>
      <c r="O186" s="764" t="s">
        <v>444</v>
      </c>
      <c r="P186" s="900"/>
      <c r="Q186" s="901"/>
    </row>
    <row r="187" spans="1:17" ht="57" customHeight="1">
      <c r="A187" s="115">
        <v>1</v>
      </c>
      <c r="B187" s="92" t="s">
        <v>285</v>
      </c>
      <c r="C187" s="249">
        <v>6650</v>
      </c>
      <c r="D187" s="249">
        <v>6600</v>
      </c>
      <c r="E187" s="328">
        <f>D187/C187</f>
        <v>0.9924812030075187</v>
      </c>
      <c r="F187" s="328">
        <f>350/120</f>
        <v>2.9166666666666665</v>
      </c>
      <c r="G187" s="76">
        <v>0</v>
      </c>
      <c r="H187" s="76"/>
      <c r="I187" s="76"/>
      <c r="J187" s="76"/>
      <c r="K187" s="76"/>
      <c r="L187" s="76"/>
      <c r="M187" s="76"/>
      <c r="N187" s="711">
        <f>+G187+H187+I187+J187+K187+L187+M187</f>
        <v>0</v>
      </c>
      <c r="O187" s="711">
        <v>0</v>
      </c>
      <c r="P187" s="368" t="s">
        <v>367</v>
      </c>
      <c r="Q187" s="116"/>
    </row>
    <row r="188" spans="1:17" ht="63.75">
      <c r="A188" s="180"/>
      <c r="B188" s="74" t="s">
        <v>780</v>
      </c>
      <c r="C188" s="79">
        <v>850</v>
      </c>
      <c r="D188" s="79">
        <v>850</v>
      </c>
      <c r="E188" s="75">
        <f>+D188/C188</f>
        <v>1</v>
      </c>
      <c r="F188" s="75">
        <f>350/120</f>
        <v>2.9166666666666665</v>
      </c>
      <c r="G188" s="151">
        <v>2000</v>
      </c>
      <c r="H188" s="95"/>
      <c r="I188" s="73"/>
      <c r="J188" s="73"/>
      <c r="K188" s="73"/>
      <c r="L188" s="73"/>
      <c r="M188" s="73"/>
      <c r="N188" s="711">
        <f>+G188+H188+I188+J188+K188+L188+M188</f>
        <v>2000</v>
      </c>
      <c r="O188" s="765">
        <v>2000</v>
      </c>
      <c r="P188" s="369" t="s">
        <v>367</v>
      </c>
      <c r="Q188" s="73"/>
    </row>
    <row r="189" spans="1:17" ht="12.75">
      <c r="A189" s="180"/>
      <c r="B189" s="73"/>
      <c r="C189" s="79"/>
      <c r="D189" s="79"/>
      <c r="E189" s="73"/>
      <c r="F189" s="73"/>
      <c r="G189" s="73"/>
      <c r="H189" s="73"/>
      <c r="I189" s="73"/>
      <c r="J189" s="73"/>
      <c r="K189" s="73"/>
      <c r="L189" s="73"/>
      <c r="M189" s="73"/>
      <c r="N189" s="89"/>
      <c r="O189" s="89"/>
      <c r="P189" s="73"/>
      <c r="Q189" s="73"/>
    </row>
    <row r="190" spans="1:17" ht="12.75">
      <c r="A190" s="180"/>
      <c r="B190" s="73"/>
      <c r="C190" s="79"/>
      <c r="D190" s="79"/>
      <c r="E190" s="73"/>
      <c r="F190" s="73"/>
      <c r="G190" s="73"/>
      <c r="H190" s="73"/>
      <c r="I190" s="73"/>
      <c r="J190" s="73"/>
      <c r="K190" s="73"/>
      <c r="L190" s="73"/>
      <c r="M190" s="73"/>
      <c r="N190" s="89"/>
      <c r="O190" s="89"/>
      <c r="P190" s="73"/>
      <c r="Q190" s="73"/>
    </row>
    <row r="191" spans="1:17" ht="12.75">
      <c r="A191" s="180"/>
      <c r="B191" s="73"/>
      <c r="C191" s="79"/>
      <c r="D191" s="79"/>
      <c r="E191" s="73"/>
      <c r="F191" s="73"/>
      <c r="G191" s="73"/>
      <c r="H191" s="73"/>
      <c r="I191" s="73"/>
      <c r="J191" s="73"/>
      <c r="K191" s="73"/>
      <c r="L191" s="73"/>
      <c r="M191" s="73"/>
      <c r="N191" s="89"/>
      <c r="O191" s="89"/>
      <c r="P191" s="73"/>
      <c r="Q191" s="73"/>
    </row>
    <row r="192" spans="1:17" ht="12.75">
      <c r="A192" s="180"/>
      <c r="B192" s="73"/>
      <c r="C192" s="79"/>
      <c r="D192" s="79"/>
      <c r="E192" s="73"/>
      <c r="F192" s="73"/>
      <c r="G192" s="73"/>
      <c r="H192" s="73"/>
      <c r="I192" s="73"/>
      <c r="J192" s="73"/>
      <c r="K192" s="73"/>
      <c r="L192" s="73"/>
      <c r="M192" s="73"/>
      <c r="N192" s="89"/>
      <c r="O192" s="89"/>
      <c r="P192" s="73"/>
      <c r="Q192" s="73"/>
    </row>
    <row r="193" spans="1:17" ht="12.75">
      <c r="A193" s="180"/>
      <c r="B193" s="73"/>
      <c r="C193" s="79"/>
      <c r="D193" s="79"/>
      <c r="E193" s="73"/>
      <c r="F193" s="73"/>
      <c r="G193" s="73"/>
      <c r="H193" s="73"/>
      <c r="I193" s="73"/>
      <c r="J193" s="73"/>
      <c r="K193" s="73"/>
      <c r="L193" s="73"/>
      <c r="M193" s="73"/>
      <c r="N193" s="89"/>
      <c r="O193" s="89"/>
      <c r="P193" s="73"/>
      <c r="Q193" s="73"/>
    </row>
    <row r="194" spans="1:17" ht="12.75">
      <c r="A194" s="180"/>
      <c r="B194" s="73"/>
      <c r="C194" s="79"/>
      <c r="D194" s="79"/>
      <c r="E194" s="73"/>
      <c r="F194" s="73"/>
      <c r="G194" s="73"/>
      <c r="H194" s="73"/>
      <c r="I194" s="73"/>
      <c r="J194" s="73"/>
      <c r="K194" s="73"/>
      <c r="L194" s="73"/>
      <c r="M194" s="73"/>
      <c r="N194" s="89"/>
      <c r="O194" s="89"/>
      <c r="P194" s="73"/>
      <c r="Q194" s="73"/>
    </row>
    <row r="195" spans="1:17" ht="12.75">
      <c r="A195" s="180"/>
      <c r="B195" s="73"/>
      <c r="C195" s="79"/>
      <c r="D195" s="79"/>
      <c r="E195" s="73"/>
      <c r="F195" s="73"/>
      <c r="G195" s="73"/>
      <c r="H195" s="73"/>
      <c r="I195" s="73"/>
      <c r="J195" s="73"/>
      <c r="K195" s="73"/>
      <c r="L195" s="73"/>
      <c r="M195" s="73"/>
      <c r="N195" s="89"/>
      <c r="O195" s="89"/>
      <c r="P195" s="73"/>
      <c r="Q195" s="73"/>
    </row>
    <row r="196" spans="1:17" ht="12.75">
      <c r="A196" s="180"/>
      <c r="B196" s="73"/>
      <c r="C196" s="79"/>
      <c r="D196" s="79"/>
      <c r="E196" s="73"/>
      <c r="F196" s="73"/>
      <c r="G196" s="73"/>
      <c r="H196" s="73"/>
      <c r="I196" s="73"/>
      <c r="J196" s="73"/>
      <c r="K196" s="73"/>
      <c r="L196" s="73"/>
      <c r="M196" s="73"/>
      <c r="N196" s="89"/>
      <c r="O196" s="89"/>
      <c r="P196" s="73"/>
      <c r="Q196" s="73"/>
    </row>
    <row r="197" spans="1:17" ht="12.75">
      <c r="A197" s="180"/>
      <c r="B197" s="73"/>
      <c r="C197" s="79"/>
      <c r="D197" s="79"/>
      <c r="E197" s="73"/>
      <c r="F197" s="73"/>
      <c r="G197" s="73"/>
      <c r="H197" s="73"/>
      <c r="I197" s="73"/>
      <c r="J197" s="73"/>
      <c r="K197" s="73"/>
      <c r="L197" s="73"/>
      <c r="M197" s="73"/>
      <c r="N197" s="89"/>
      <c r="O197" s="89"/>
      <c r="P197" s="73"/>
      <c r="Q197" s="73"/>
    </row>
    <row r="198" spans="1:17" ht="12.75">
      <c r="A198" s="180"/>
      <c r="B198" s="73"/>
      <c r="C198" s="79"/>
      <c r="D198" s="79"/>
      <c r="E198" s="73"/>
      <c r="F198" s="73"/>
      <c r="G198" s="73"/>
      <c r="H198" s="73"/>
      <c r="I198" s="73"/>
      <c r="J198" s="73"/>
      <c r="K198" s="73"/>
      <c r="L198" s="73"/>
      <c r="M198" s="73"/>
      <c r="N198" s="89"/>
      <c r="O198" s="89"/>
      <c r="P198" s="73"/>
      <c r="Q198" s="73"/>
    </row>
    <row r="199" spans="1:17" ht="12.75">
      <c r="A199" s="180"/>
      <c r="B199" s="73"/>
      <c r="C199" s="79"/>
      <c r="D199" s="79"/>
      <c r="E199" s="73"/>
      <c r="F199" s="73"/>
      <c r="G199" s="73"/>
      <c r="H199" s="73"/>
      <c r="I199" s="73"/>
      <c r="J199" s="73"/>
      <c r="K199" s="73"/>
      <c r="L199" s="73"/>
      <c r="M199" s="73"/>
      <c r="N199" s="89"/>
      <c r="O199" s="89"/>
      <c r="P199" s="73"/>
      <c r="Q199" s="73"/>
    </row>
    <row r="200" spans="1:17" ht="12.75">
      <c r="A200" s="180"/>
      <c r="B200" s="73"/>
      <c r="C200" s="79"/>
      <c r="D200" s="79"/>
      <c r="E200" s="73"/>
      <c r="F200" s="73"/>
      <c r="G200" s="73"/>
      <c r="H200" s="73"/>
      <c r="I200" s="73"/>
      <c r="J200" s="73"/>
      <c r="K200" s="73"/>
      <c r="L200" s="73"/>
      <c r="M200" s="73"/>
      <c r="N200" s="89"/>
      <c r="O200" s="89"/>
      <c r="P200" s="73"/>
      <c r="Q200" s="73"/>
    </row>
    <row r="201" spans="1:19" ht="13.5" thickBot="1">
      <c r="A201" s="181"/>
      <c r="B201" s="82" t="s">
        <v>445</v>
      </c>
      <c r="C201" s="83"/>
      <c r="D201" s="83"/>
      <c r="E201" s="81"/>
      <c r="F201" s="81"/>
      <c r="G201" s="84">
        <f aca="true" t="shared" si="17" ref="G201:O201">SUM(G187:G200)</f>
        <v>2000</v>
      </c>
      <c r="H201" s="84">
        <f t="shared" si="17"/>
        <v>0</v>
      </c>
      <c r="I201" s="84">
        <f t="shared" si="17"/>
        <v>0</v>
      </c>
      <c r="J201" s="84">
        <f t="shared" si="17"/>
        <v>0</v>
      </c>
      <c r="K201" s="84">
        <f t="shared" si="17"/>
        <v>0</v>
      </c>
      <c r="L201" s="84">
        <f t="shared" si="17"/>
        <v>0</v>
      </c>
      <c r="M201" s="84">
        <f t="shared" si="17"/>
        <v>0</v>
      </c>
      <c r="N201" s="762">
        <f>SUM(N187:N200)</f>
        <v>2000</v>
      </c>
      <c r="O201" s="762">
        <f t="shared" si="17"/>
        <v>2000</v>
      </c>
      <c r="P201" s="81"/>
      <c r="Q201" s="81"/>
      <c r="R201" s="241">
        <f>+'Resumen presupuesto ejecutado'!D25/1000</f>
        <v>639126.709</v>
      </c>
      <c r="S201" s="241">
        <f>+'Resumen presupuesto ejecutado'!E25/1000</f>
        <v>616141.92</v>
      </c>
    </row>
    <row r="202" spans="6:20" ht="12.75">
      <c r="F202" s="238"/>
      <c r="M202" s="87"/>
      <c r="N202" s="87">
        <f>+N38+N75+N105+N138+N170+N201</f>
        <v>639126.7089999999</v>
      </c>
      <c r="O202" s="87">
        <f>+O38+O75+O105+O138+O170+O201</f>
        <v>616141.9199999999</v>
      </c>
      <c r="P202" s="336"/>
      <c r="Q202" s="237"/>
      <c r="R202" s="714">
        <f>+N202-R201</f>
        <v>0</v>
      </c>
      <c r="S202" s="338">
        <f>+O202-S201</f>
        <v>0</v>
      </c>
      <c r="T202" s="38" t="s">
        <v>125</v>
      </c>
    </row>
    <row r="203" spans="1:17" ht="12.75">
      <c r="A203" s="878" t="s">
        <v>420</v>
      </c>
      <c r="B203" s="878"/>
      <c r="C203" s="878"/>
      <c r="D203" s="878"/>
      <c r="E203" s="878"/>
      <c r="F203" s="878"/>
      <c r="G203" s="878"/>
      <c r="H203" s="878"/>
      <c r="I203" s="878"/>
      <c r="J203" s="878"/>
      <c r="K203" s="878"/>
      <c r="L203" s="878"/>
      <c r="M203" s="878"/>
      <c r="N203" s="878"/>
      <c r="O203" s="878"/>
      <c r="P203" s="878"/>
      <c r="Q203" s="878"/>
    </row>
    <row r="204" spans="1:23" s="39" customFormat="1" ht="16.5" thickBot="1">
      <c r="A204" s="891" t="s">
        <v>609</v>
      </c>
      <c r="B204" s="891"/>
      <c r="C204" s="891"/>
      <c r="D204" s="891"/>
      <c r="E204" s="891"/>
      <c r="F204" s="891"/>
      <c r="G204" s="891"/>
      <c r="H204" s="891"/>
      <c r="I204" s="891"/>
      <c r="J204" s="891"/>
      <c r="K204" s="891"/>
      <c r="L204" s="891"/>
      <c r="M204" s="891"/>
      <c r="N204" s="891"/>
      <c r="O204" s="891"/>
      <c r="P204" s="891"/>
      <c r="Q204" s="891"/>
      <c r="R204" s="184"/>
      <c r="S204" s="184"/>
      <c r="W204" s="184"/>
    </row>
    <row r="205" spans="1:23" s="39" customFormat="1" ht="13.5" thickBot="1">
      <c r="A205" s="175"/>
      <c r="C205" s="40"/>
      <c r="D205" s="40"/>
      <c r="N205" s="755"/>
      <c r="O205" s="755"/>
      <c r="P205" s="892" t="s">
        <v>542</v>
      </c>
      <c r="Q205" s="893"/>
      <c r="R205" s="184"/>
      <c r="S205" s="184"/>
      <c r="W205" s="184"/>
    </row>
    <row r="206" spans="1:17" ht="12.75">
      <c r="A206" s="878" t="s">
        <v>76</v>
      </c>
      <c r="B206" s="878"/>
      <c r="C206" s="878"/>
      <c r="D206" s="878"/>
      <c r="E206" s="878"/>
      <c r="F206" s="878"/>
      <c r="P206" s="889" t="s">
        <v>74</v>
      </c>
      <c r="Q206" s="889"/>
    </row>
    <row r="207" spans="1:17" ht="12.75">
      <c r="A207" s="878" t="s">
        <v>77</v>
      </c>
      <c r="B207" s="879"/>
      <c r="C207" s="879"/>
      <c r="D207" s="879"/>
      <c r="E207" s="879"/>
      <c r="F207" s="879"/>
      <c r="P207" s="890" t="s">
        <v>75</v>
      </c>
      <c r="Q207" s="890"/>
    </row>
    <row r="208" spans="1:9" ht="12.75">
      <c r="A208" s="878" t="s">
        <v>808</v>
      </c>
      <c r="B208" s="879"/>
      <c r="C208" s="879"/>
      <c r="D208" s="879"/>
      <c r="E208" s="879"/>
      <c r="F208" s="879"/>
      <c r="G208" s="38" t="s">
        <v>72</v>
      </c>
      <c r="I208" s="41">
        <v>39083</v>
      </c>
    </row>
    <row r="210" ht="13.5" thickBot="1"/>
    <row r="211" spans="1:17" ht="13.5" thickBot="1">
      <c r="A211" s="182" t="s">
        <v>424</v>
      </c>
      <c r="B211" s="98"/>
      <c r="C211" s="99" t="s">
        <v>97</v>
      </c>
      <c r="D211" s="99"/>
      <c r="E211" s="98"/>
      <c r="F211" s="100"/>
      <c r="G211" s="880" t="s">
        <v>425</v>
      </c>
      <c r="H211" s="881"/>
      <c r="I211" s="881"/>
      <c r="J211" s="881"/>
      <c r="K211" s="881"/>
      <c r="L211" s="881"/>
      <c r="M211" s="881"/>
      <c r="N211" s="881"/>
      <c r="O211" s="882"/>
      <c r="P211" s="880" t="s">
        <v>426</v>
      </c>
      <c r="Q211" s="882"/>
    </row>
    <row r="212" spans="1:17" ht="15">
      <c r="A212" s="183" t="s">
        <v>422</v>
      </c>
      <c r="B212" s="102"/>
      <c r="C212" s="103" t="s">
        <v>540</v>
      </c>
      <c r="D212" s="103"/>
      <c r="E212" s="102"/>
      <c r="F212" s="104"/>
      <c r="G212" s="883" t="s">
        <v>342</v>
      </c>
      <c r="H212" s="884"/>
      <c r="I212" s="884"/>
      <c r="J212" s="884"/>
      <c r="K212" s="884"/>
      <c r="L212" s="884"/>
      <c r="M212" s="884"/>
      <c r="N212" s="884"/>
      <c r="O212" s="885"/>
      <c r="P212" s="50"/>
      <c r="Q212" s="14" t="s">
        <v>402</v>
      </c>
    </row>
    <row r="213" spans="1:17" ht="13.5" thickBot="1">
      <c r="A213" s="179" t="s">
        <v>423</v>
      </c>
      <c r="B213" s="52"/>
      <c r="C213" s="53" t="s">
        <v>541</v>
      </c>
      <c r="D213" s="53"/>
      <c r="E213" s="52"/>
      <c r="F213" s="54"/>
      <c r="G213" s="886"/>
      <c r="H213" s="887"/>
      <c r="I213" s="887"/>
      <c r="J213" s="887"/>
      <c r="K213" s="887"/>
      <c r="L213" s="887"/>
      <c r="M213" s="887"/>
      <c r="N213" s="887"/>
      <c r="O213" s="888"/>
      <c r="P213" s="55"/>
      <c r="Q213" s="56"/>
    </row>
    <row r="214" spans="1:2" ht="13.5" thickBot="1">
      <c r="A214" s="176" t="s">
        <v>73</v>
      </c>
      <c r="B214" s="57"/>
    </row>
    <row r="215" spans="1:17" ht="12.75">
      <c r="A215" s="869" t="s">
        <v>431</v>
      </c>
      <c r="B215" s="870"/>
      <c r="C215" s="870"/>
      <c r="D215" s="870"/>
      <c r="E215" s="870"/>
      <c r="F215" s="871"/>
      <c r="G215" s="872" t="s">
        <v>427</v>
      </c>
      <c r="H215" s="873"/>
      <c r="I215" s="873"/>
      <c r="J215" s="873"/>
      <c r="K215" s="873"/>
      <c r="L215" s="873"/>
      <c r="M215" s="873"/>
      <c r="N215" s="873"/>
      <c r="O215" s="874"/>
      <c r="P215" s="875" t="s">
        <v>428</v>
      </c>
      <c r="Q215" s="874" t="s">
        <v>429</v>
      </c>
    </row>
    <row r="216" spans="1:17" ht="13.5" thickBot="1">
      <c r="A216" s="61"/>
      <c r="B216" s="62"/>
      <c r="C216" s="63"/>
      <c r="D216" s="63"/>
      <c r="E216" s="62"/>
      <c r="F216" s="64"/>
      <c r="G216" s="61"/>
      <c r="H216" s="62"/>
      <c r="I216" s="62"/>
      <c r="J216" s="62"/>
      <c r="K216" s="62"/>
      <c r="L216" s="62"/>
      <c r="M216" s="62"/>
      <c r="N216" s="756"/>
      <c r="O216" s="757"/>
      <c r="P216" s="876"/>
      <c r="Q216" s="877"/>
    </row>
    <row r="217" spans="1:17" ht="52.5" thickBot="1">
      <c r="A217" s="35" t="s">
        <v>430</v>
      </c>
      <c r="B217" s="90" t="s">
        <v>432</v>
      </c>
      <c r="C217" s="91" t="s">
        <v>433</v>
      </c>
      <c r="D217" s="66" t="s">
        <v>434</v>
      </c>
      <c r="E217" s="37" t="s">
        <v>435</v>
      </c>
      <c r="F217" s="36" t="s">
        <v>446</v>
      </c>
      <c r="G217" s="67" t="s">
        <v>436</v>
      </c>
      <c r="H217" s="68" t="s">
        <v>437</v>
      </c>
      <c r="I217" s="68" t="s">
        <v>438</v>
      </c>
      <c r="J217" s="68" t="s">
        <v>439</v>
      </c>
      <c r="K217" s="68" t="s">
        <v>440</v>
      </c>
      <c r="L217" s="68" t="s">
        <v>441</v>
      </c>
      <c r="M217" s="68" t="s">
        <v>442</v>
      </c>
      <c r="N217" s="758" t="s">
        <v>443</v>
      </c>
      <c r="O217" s="759" t="s">
        <v>444</v>
      </c>
      <c r="P217" s="876"/>
      <c r="Q217" s="877"/>
    </row>
    <row r="218" spans="1:19" ht="27" customHeight="1">
      <c r="A218" s="105">
        <v>1</v>
      </c>
      <c r="B218" s="106" t="s">
        <v>343</v>
      </c>
      <c r="C218" s="249">
        <v>1254</v>
      </c>
      <c r="D218" s="249">
        <v>1254</v>
      </c>
      <c r="E218" s="751">
        <f>D218/C218</f>
        <v>1</v>
      </c>
      <c r="F218" s="751">
        <f>1254/520</f>
        <v>2.4115384615384614</v>
      </c>
      <c r="G218" s="107">
        <f>4197.855+36391.011+175.366+760.178+660.287+3697.181</f>
        <v>45881.87799999999</v>
      </c>
      <c r="H218" s="107">
        <f>88096.359+5006.194+3733.412+155.964+2360.432</f>
        <v>99352.361</v>
      </c>
      <c r="I218" s="159">
        <f>69.551+5134.64+207.062+69320.137+1223.23+2787.826+8562.607+13882.234+80.437+80.437+43.384+2262.812</f>
        <v>103654.35700000002</v>
      </c>
      <c r="J218" s="159">
        <f>400366.974+16725.404</f>
        <v>417092.37799999997</v>
      </c>
      <c r="K218" s="69"/>
      <c r="L218" s="69"/>
      <c r="M218" s="330">
        <f>950.86+1521.375+29.791+47.667</f>
        <v>2549.693</v>
      </c>
      <c r="N218" s="775">
        <f>SUM(G218:M218)</f>
        <v>668530.6669999999</v>
      </c>
      <c r="O218" s="775">
        <f>+(143497.699-18107.146)+(1115.794-107.734)+(727.205)</f>
        <v>127125.81799999998</v>
      </c>
      <c r="P218" s="717" t="s">
        <v>368</v>
      </c>
      <c r="Q218" s="69"/>
      <c r="R218" s="718">
        <f>('Resumen presupuesto ejecutado'!K50)/1000</f>
        <v>127125.818</v>
      </c>
      <c r="S218" s="153">
        <f>O218-R218</f>
        <v>0</v>
      </c>
    </row>
    <row r="219" spans="1:19" ht="25.5">
      <c r="A219" s="180">
        <v>2</v>
      </c>
      <c r="B219" s="109" t="s">
        <v>259</v>
      </c>
      <c r="C219" s="164">
        <v>14190</v>
      </c>
      <c r="D219" s="164">
        <v>14190</v>
      </c>
      <c r="E219" s="748">
        <f>D219/C219</f>
        <v>1</v>
      </c>
      <c r="F219" s="748">
        <f>1254/520</f>
        <v>2.4115384615384614</v>
      </c>
      <c r="G219" s="95">
        <f>1810808.883+325401.25+75646.876+18496.596+40033.283</f>
        <v>2270386.888</v>
      </c>
      <c r="H219" s="95">
        <f>5006.38+28826.285+286.549+1204.223+553.805</f>
        <v>35877.242</v>
      </c>
      <c r="I219" s="95">
        <f>826630.26+274973.392+2847.33+85467.678+81650.002+34461.193+11487.064+166.719+4790.841+4759.471+54695.508+38192.067</f>
        <v>1420121.5250000001</v>
      </c>
      <c r="J219" s="95">
        <f>12845.221+4882.758+2032.882+80371.517+52411.429+799.679+234.449+119.83+2985.89+2189.497+3492.52</f>
        <v>162365.672</v>
      </c>
      <c r="K219" s="73"/>
      <c r="L219" s="73"/>
      <c r="M219" s="151">
        <f>11949.418+1320.754+762.805+49.33+463.334+376.32+229.287+850.931</f>
        <v>16002.179</v>
      </c>
      <c r="N219" s="761">
        <f>SUM(G219:M219)</f>
        <v>3904753.506</v>
      </c>
      <c r="O219" s="761">
        <f>+(3609249.514-125074.235)+(158654.711-4118.532)+(25900.83)+(213.8115)</f>
        <v>3664826.0995</v>
      </c>
      <c r="P219" s="73"/>
      <c r="Q219" s="719"/>
      <c r="R219" s="153">
        <f>('Resumen presupuesto ejecutado'!K49/1000)</f>
        <v>3664826.101</v>
      </c>
      <c r="S219" s="718">
        <f>O219-R219</f>
        <v>-0.0014999997802078724</v>
      </c>
    </row>
    <row r="220" spans="1:21" ht="38.25">
      <c r="A220" s="180">
        <v>3</v>
      </c>
      <c r="B220" s="109" t="s">
        <v>355</v>
      </c>
      <c r="C220" s="164">
        <f>21382-15444</f>
        <v>5938</v>
      </c>
      <c r="D220" s="164">
        <f>21382-15444</f>
        <v>5938</v>
      </c>
      <c r="E220" s="748">
        <f>D220/C220</f>
        <v>1</v>
      </c>
      <c r="F220" s="748">
        <f>1254/520</f>
        <v>2.4115384615384614</v>
      </c>
      <c r="G220" s="95">
        <v>10300</v>
      </c>
      <c r="H220" s="95"/>
      <c r="I220" s="73"/>
      <c r="J220" s="73"/>
      <c r="K220" s="73"/>
      <c r="L220" s="73"/>
      <c r="M220" s="73"/>
      <c r="N220" s="761">
        <f>H220+G220</f>
        <v>10300</v>
      </c>
      <c r="O220" s="761">
        <f>10300-66.65</f>
        <v>10233.35</v>
      </c>
      <c r="P220" s="73"/>
      <c r="Q220" s="73"/>
      <c r="U220" s="38">
        <f>+S219*1000</f>
        <v>-1.4999997802078724</v>
      </c>
    </row>
    <row r="221" spans="1:17" ht="12.75">
      <c r="A221" s="180"/>
      <c r="B221" s="74"/>
      <c r="C221" s="79"/>
      <c r="D221" s="79"/>
      <c r="E221" s="73"/>
      <c r="F221" s="73"/>
      <c r="G221" s="73"/>
      <c r="H221" s="73"/>
      <c r="I221" s="73"/>
      <c r="J221" s="73"/>
      <c r="K221" s="73"/>
      <c r="L221" s="73"/>
      <c r="M221" s="73"/>
      <c r="N221" s="89"/>
      <c r="O221" s="89"/>
      <c r="P221" s="73"/>
      <c r="Q221" s="698"/>
    </row>
    <row r="222" spans="1:17" ht="12.75">
      <c r="A222" s="180"/>
      <c r="B222" s="74"/>
      <c r="C222" s="79"/>
      <c r="D222" s="79"/>
      <c r="E222" s="73"/>
      <c r="F222" s="73"/>
      <c r="G222" s="73"/>
      <c r="H222" s="73"/>
      <c r="I222" s="73"/>
      <c r="J222" s="73"/>
      <c r="K222" s="73"/>
      <c r="L222" s="73"/>
      <c r="M222" s="73"/>
      <c r="N222" s="89"/>
      <c r="O222" s="89"/>
      <c r="P222" s="73"/>
      <c r="Q222" s="698"/>
    </row>
    <row r="223" spans="1:17" ht="12.75">
      <c r="A223" s="180"/>
      <c r="B223" s="74"/>
      <c r="C223" s="79"/>
      <c r="D223" s="79"/>
      <c r="E223" s="73"/>
      <c r="F223" s="73"/>
      <c r="G223" s="73"/>
      <c r="H223" s="73"/>
      <c r="I223" s="73"/>
      <c r="J223" s="73"/>
      <c r="K223" s="73"/>
      <c r="L223" s="73"/>
      <c r="M223" s="73"/>
      <c r="N223" s="89"/>
      <c r="O223" s="89"/>
      <c r="P223" s="73"/>
      <c r="Q223" s="720"/>
    </row>
    <row r="224" spans="1:17" ht="12.75">
      <c r="A224" s="180"/>
      <c r="B224" s="74"/>
      <c r="C224" s="79"/>
      <c r="D224" s="79"/>
      <c r="E224" s="73"/>
      <c r="F224" s="73"/>
      <c r="G224" s="73"/>
      <c r="H224" s="73"/>
      <c r="I224" s="73"/>
      <c r="J224" s="73"/>
      <c r="K224" s="73"/>
      <c r="L224" s="73"/>
      <c r="M224" s="73"/>
      <c r="N224" s="89"/>
      <c r="O224" s="89"/>
      <c r="P224" s="73"/>
      <c r="Q224" s="73"/>
    </row>
    <row r="225" spans="1:17" ht="12.75">
      <c r="A225" s="180"/>
      <c r="B225" s="73"/>
      <c r="C225" s="79"/>
      <c r="D225" s="79"/>
      <c r="E225" s="73"/>
      <c r="F225" s="73"/>
      <c r="G225" s="73"/>
      <c r="H225" s="73"/>
      <c r="I225" s="73"/>
      <c r="J225" s="73"/>
      <c r="K225" s="73"/>
      <c r="L225" s="73"/>
      <c r="M225" s="73"/>
      <c r="N225" s="89"/>
      <c r="O225" s="89"/>
      <c r="P225" s="73"/>
      <c r="Q225" s="73"/>
    </row>
    <row r="226" spans="1:17" ht="12.75">
      <c r="A226" s="180"/>
      <c r="B226" s="73"/>
      <c r="C226" s="79"/>
      <c r="D226" s="79"/>
      <c r="E226" s="73"/>
      <c r="F226" s="73"/>
      <c r="G226" s="73"/>
      <c r="H226" s="73"/>
      <c r="I226" s="73"/>
      <c r="J226" s="73"/>
      <c r="K226" s="73"/>
      <c r="L226" s="73"/>
      <c r="M226" s="73"/>
      <c r="N226" s="89"/>
      <c r="O226" s="89"/>
      <c r="P226" s="73"/>
      <c r="Q226" s="73"/>
    </row>
    <row r="227" spans="1:17" ht="12.75">
      <c r="A227" s="180"/>
      <c r="B227" s="73"/>
      <c r="C227" s="79"/>
      <c r="D227" s="79"/>
      <c r="E227" s="73"/>
      <c r="F227" s="73"/>
      <c r="G227" s="73"/>
      <c r="H227" s="73"/>
      <c r="I227" s="73"/>
      <c r="J227" s="73"/>
      <c r="K227" s="73"/>
      <c r="L227" s="73"/>
      <c r="M227" s="73"/>
      <c r="N227" s="89"/>
      <c r="O227" s="89"/>
      <c r="P227" s="73"/>
      <c r="Q227" s="73"/>
    </row>
    <row r="228" spans="1:17" ht="12.75">
      <c r="A228" s="180"/>
      <c r="B228" s="73"/>
      <c r="C228" s="79"/>
      <c r="D228" s="79"/>
      <c r="E228" s="73"/>
      <c r="F228" s="73"/>
      <c r="G228" s="73"/>
      <c r="H228" s="73"/>
      <c r="I228" s="73"/>
      <c r="J228" s="73"/>
      <c r="K228" s="73"/>
      <c r="L228" s="73"/>
      <c r="M228" s="73"/>
      <c r="N228" s="89"/>
      <c r="O228" s="89"/>
      <c r="P228" s="73"/>
      <c r="Q228" s="73"/>
    </row>
    <row r="229" spans="1:17" ht="12.75">
      <c r="A229" s="180"/>
      <c r="B229" s="73"/>
      <c r="C229" s="79"/>
      <c r="D229" s="79"/>
      <c r="E229" s="73"/>
      <c r="F229" s="73"/>
      <c r="G229" s="73"/>
      <c r="H229" s="73"/>
      <c r="I229" s="73"/>
      <c r="J229" s="73"/>
      <c r="K229" s="73"/>
      <c r="L229" s="73"/>
      <c r="M229" s="73"/>
      <c r="N229" s="89"/>
      <c r="O229" s="89"/>
      <c r="P229" s="73"/>
      <c r="Q229" s="73"/>
    </row>
    <row r="230" spans="1:17" ht="12.75">
      <c r="A230" s="180"/>
      <c r="B230" s="73"/>
      <c r="C230" s="79"/>
      <c r="D230" s="79"/>
      <c r="E230" s="73"/>
      <c r="F230" s="73"/>
      <c r="G230" s="73"/>
      <c r="H230" s="73"/>
      <c r="I230" s="73"/>
      <c r="J230" s="73"/>
      <c r="K230" s="73"/>
      <c r="L230" s="73"/>
      <c r="M230" s="73"/>
      <c r="N230" s="89"/>
      <c r="O230" s="89"/>
      <c r="P230" s="73"/>
      <c r="Q230" s="73"/>
    </row>
    <row r="231" spans="1:17" ht="12.75">
      <c r="A231" s="180"/>
      <c r="B231" s="73"/>
      <c r="C231" s="79"/>
      <c r="D231" s="79"/>
      <c r="E231" s="73"/>
      <c r="F231" s="73"/>
      <c r="G231" s="73"/>
      <c r="H231" s="73"/>
      <c r="I231" s="73"/>
      <c r="J231" s="73"/>
      <c r="K231" s="73"/>
      <c r="L231" s="73"/>
      <c r="M231" s="73"/>
      <c r="N231" s="89"/>
      <c r="O231" s="89"/>
      <c r="P231" s="73"/>
      <c r="Q231" s="73"/>
    </row>
    <row r="232" spans="1:17" ht="12.75">
      <c r="A232" s="180"/>
      <c r="B232" s="73"/>
      <c r="C232" s="79"/>
      <c r="D232" s="79"/>
      <c r="E232" s="73"/>
      <c r="F232" s="73"/>
      <c r="G232" s="73"/>
      <c r="H232" s="73"/>
      <c r="I232" s="73"/>
      <c r="J232" s="73"/>
      <c r="K232" s="73"/>
      <c r="L232" s="73"/>
      <c r="M232" s="73"/>
      <c r="N232" s="89"/>
      <c r="O232" s="89"/>
      <c r="P232" s="73"/>
      <c r="Q232" s="73"/>
    </row>
    <row r="233" spans="1:17" ht="12.75">
      <c r="A233" s="180"/>
      <c r="B233" s="73"/>
      <c r="C233" s="79"/>
      <c r="D233" s="79"/>
      <c r="E233" s="73"/>
      <c r="F233" s="73"/>
      <c r="G233" s="73"/>
      <c r="H233" s="73"/>
      <c r="I233" s="73"/>
      <c r="J233" s="73"/>
      <c r="K233" s="73"/>
      <c r="L233" s="73"/>
      <c r="M233" s="73"/>
      <c r="N233" s="89"/>
      <c r="O233" s="89"/>
      <c r="P233" s="73"/>
      <c r="Q233" s="73"/>
    </row>
    <row r="234" spans="1:17" ht="13.5" thickBot="1">
      <c r="A234" s="181"/>
      <c r="B234" s="82" t="s">
        <v>445</v>
      </c>
      <c r="C234" s="83"/>
      <c r="D234" s="83"/>
      <c r="E234" s="81"/>
      <c r="F234" s="81"/>
      <c r="G234" s="84">
        <f>SUM(G218:G233)</f>
        <v>2326568.766</v>
      </c>
      <c r="H234" s="84">
        <f aca="true" t="shared" si="18" ref="H234:O234">SUM(H218:H233)</f>
        <v>135229.603</v>
      </c>
      <c r="I234" s="84">
        <f t="shared" si="18"/>
        <v>1523775.8820000002</v>
      </c>
      <c r="J234" s="84">
        <f t="shared" si="18"/>
        <v>579458.0499999999</v>
      </c>
      <c r="K234" s="84">
        <f t="shared" si="18"/>
        <v>0</v>
      </c>
      <c r="L234" s="84">
        <f t="shared" si="18"/>
        <v>0</v>
      </c>
      <c r="M234" s="84">
        <f t="shared" si="18"/>
        <v>18551.872</v>
      </c>
      <c r="N234" s="84">
        <f t="shared" si="18"/>
        <v>4583584.173</v>
      </c>
      <c r="O234" s="84">
        <f t="shared" si="18"/>
        <v>3802185.2675</v>
      </c>
      <c r="P234" s="81"/>
      <c r="Q234" s="81"/>
    </row>
    <row r="236" spans="1:17" ht="12.75">
      <c r="A236" s="878" t="s">
        <v>420</v>
      </c>
      <c r="B236" s="878"/>
      <c r="C236" s="878"/>
      <c r="D236" s="878"/>
      <c r="E236" s="878"/>
      <c r="F236" s="878"/>
      <c r="G236" s="878"/>
      <c r="H236" s="878"/>
      <c r="I236" s="878"/>
      <c r="J236" s="878"/>
      <c r="K236" s="878"/>
      <c r="L236" s="878"/>
      <c r="M236" s="878"/>
      <c r="N236" s="878"/>
      <c r="O236" s="878"/>
      <c r="P236" s="878"/>
      <c r="Q236" s="878"/>
    </row>
    <row r="237" spans="1:23" s="39" customFormat="1" ht="16.5" thickBot="1">
      <c r="A237" s="891" t="s">
        <v>609</v>
      </c>
      <c r="B237" s="891"/>
      <c r="C237" s="891"/>
      <c r="D237" s="891"/>
      <c r="E237" s="891"/>
      <c r="F237" s="891"/>
      <c r="G237" s="891"/>
      <c r="H237" s="891"/>
      <c r="I237" s="891"/>
      <c r="J237" s="891"/>
      <c r="K237" s="891"/>
      <c r="L237" s="891"/>
      <c r="M237" s="891"/>
      <c r="N237" s="891"/>
      <c r="O237" s="891"/>
      <c r="P237" s="891"/>
      <c r="Q237" s="891"/>
      <c r="R237" s="184"/>
      <c r="S237" s="184"/>
      <c r="W237" s="184"/>
    </row>
    <row r="238" spans="1:23" s="39" customFormat="1" ht="13.5" thickBot="1">
      <c r="A238" s="175"/>
      <c r="C238" s="40"/>
      <c r="D238" s="40"/>
      <c r="N238" s="755"/>
      <c r="O238" s="755"/>
      <c r="P238" s="892" t="s">
        <v>544</v>
      </c>
      <c r="Q238" s="893"/>
      <c r="R238" s="184"/>
      <c r="S238" s="184"/>
      <c r="W238" s="184"/>
    </row>
    <row r="239" spans="1:19" ht="12.75">
      <c r="A239" s="878" t="s">
        <v>76</v>
      </c>
      <c r="B239" s="878"/>
      <c r="C239" s="878"/>
      <c r="D239" s="878"/>
      <c r="E239" s="878"/>
      <c r="F239" s="878"/>
      <c r="P239" s="889" t="s">
        <v>74</v>
      </c>
      <c r="Q239" s="889"/>
      <c r="S239" s="153">
        <v>312800</v>
      </c>
    </row>
    <row r="240" spans="1:19" ht="12.75">
      <c r="A240" s="878" t="s">
        <v>260</v>
      </c>
      <c r="B240" s="879"/>
      <c r="C240" s="879"/>
      <c r="D240" s="879"/>
      <c r="E240" s="879"/>
      <c r="F240" s="879"/>
      <c r="P240" s="890" t="s">
        <v>75</v>
      </c>
      <c r="Q240" s="890"/>
      <c r="S240" s="153">
        <v>673200</v>
      </c>
    </row>
    <row r="241" spans="1:19" ht="12.75">
      <c r="A241" s="878" t="s">
        <v>808</v>
      </c>
      <c r="B241" s="879"/>
      <c r="C241" s="879"/>
      <c r="D241" s="879"/>
      <c r="E241" s="879"/>
      <c r="F241" s="879"/>
      <c r="G241" s="38" t="s">
        <v>72</v>
      </c>
      <c r="I241" s="41">
        <v>39083</v>
      </c>
      <c r="S241" s="153">
        <f>+S239+S240</f>
        <v>986000</v>
      </c>
    </row>
    <row r="243" ht="13.5" thickBot="1"/>
    <row r="244" spans="1:17" ht="13.5" thickBot="1">
      <c r="A244" s="182" t="s">
        <v>424</v>
      </c>
      <c r="B244" s="98"/>
      <c r="C244" s="99" t="s">
        <v>97</v>
      </c>
      <c r="D244" s="99"/>
      <c r="E244" s="98"/>
      <c r="F244" s="100"/>
      <c r="G244" s="880" t="s">
        <v>425</v>
      </c>
      <c r="H244" s="881"/>
      <c r="I244" s="881"/>
      <c r="J244" s="881"/>
      <c r="K244" s="881"/>
      <c r="L244" s="881"/>
      <c r="M244" s="881"/>
      <c r="N244" s="881"/>
      <c r="O244" s="882"/>
      <c r="P244" s="880" t="s">
        <v>426</v>
      </c>
      <c r="Q244" s="882"/>
    </row>
    <row r="245" spans="1:17" ht="27.75" customHeight="1">
      <c r="A245" s="183" t="s">
        <v>422</v>
      </c>
      <c r="B245" s="102"/>
      <c r="C245" s="103" t="s">
        <v>540</v>
      </c>
      <c r="D245" s="103"/>
      <c r="E245" s="102"/>
      <c r="F245" s="104"/>
      <c r="G245" s="896" t="s">
        <v>848</v>
      </c>
      <c r="H245" s="884"/>
      <c r="I245" s="884"/>
      <c r="J245" s="884"/>
      <c r="K245" s="884"/>
      <c r="L245" s="884"/>
      <c r="M245" s="884"/>
      <c r="N245" s="884"/>
      <c r="O245" s="885"/>
      <c r="P245" s="50"/>
      <c r="Q245" s="14" t="s">
        <v>403</v>
      </c>
    </row>
    <row r="246" spans="1:17" ht="27.75" customHeight="1" thickBot="1">
      <c r="A246" s="179" t="s">
        <v>423</v>
      </c>
      <c r="B246" s="52"/>
      <c r="C246" s="53" t="s">
        <v>543</v>
      </c>
      <c r="D246" s="53"/>
      <c r="E246" s="52"/>
      <c r="F246" s="54"/>
      <c r="G246" s="886"/>
      <c r="H246" s="887"/>
      <c r="I246" s="887"/>
      <c r="J246" s="887"/>
      <c r="K246" s="887"/>
      <c r="L246" s="887"/>
      <c r="M246" s="887"/>
      <c r="N246" s="887"/>
      <c r="O246" s="888"/>
      <c r="P246" s="55"/>
      <c r="Q246" s="56"/>
    </row>
    <row r="247" spans="1:2" ht="13.5" thickBot="1">
      <c r="A247" s="176" t="s">
        <v>73</v>
      </c>
      <c r="B247" s="57"/>
    </row>
    <row r="248" spans="1:17" ht="12.75">
      <c r="A248" s="869" t="s">
        <v>431</v>
      </c>
      <c r="B248" s="870"/>
      <c r="C248" s="870"/>
      <c r="D248" s="870"/>
      <c r="E248" s="870"/>
      <c r="F248" s="871"/>
      <c r="G248" s="872" t="s">
        <v>427</v>
      </c>
      <c r="H248" s="873"/>
      <c r="I248" s="873"/>
      <c r="J248" s="873"/>
      <c r="K248" s="873"/>
      <c r="L248" s="873"/>
      <c r="M248" s="873"/>
      <c r="N248" s="873"/>
      <c r="O248" s="874"/>
      <c r="P248" s="875" t="s">
        <v>428</v>
      </c>
      <c r="Q248" s="874" t="s">
        <v>429</v>
      </c>
    </row>
    <row r="249" spans="1:17" ht="13.5" thickBot="1">
      <c r="A249" s="61"/>
      <c r="B249" s="62"/>
      <c r="C249" s="63"/>
      <c r="D249" s="63"/>
      <c r="E249" s="62"/>
      <c r="F249" s="64"/>
      <c r="G249" s="61"/>
      <c r="H249" s="62"/>
      <c r="I249" s="62"/>
      <c r="J249" s="62"/>
      <c r="K249" s="62"/>
      <c r="L249" s="62"/>
      <c r="M249" s="62"/>
      <c r="N249" s="756"/>
      <c r="O249" s="757"/>
      <c r="P249" s="876"/>
      <c r="Q249" s="877"/>
    </row>
    <row r="250" spans="1:17" ht="52.5" thickBot="1">
      <c r="A250" s="35" t="s">
        <v>430</v>
      </c>
      <c r="B250" s="90" t="s">
        <v>432</v>
      </c>
      <c r="C250" s="91" t="s">
        <v>433</v>
      </c>
      <c r="D250" s="66" t="s">
        <v>434</v>
      </c>
      <c r="E250" s="37" t="s">
        <v>435</v>
      </c>
      <c r="F250" s="36" t="s">
        <v>446</v>
      </c>
      <c r="G250" s="67" t="s">
        <v>436</v>
      </c>
      <c r="H250" s="68" t="s">
        <v>437</v>
      </c>
      <c r="I250" s="68" t="s">
        <v>438</v>
      </c>
      <c r="J250" s="68" t="s">
        <v>439</v>
      </c>
      <c r="K250" s="68" t="s">
        <v>440</v>
      </c>
      <c r="L250" s="68" t="s">
        <v>441</v>
      </c>
      <c r="M250" s="68" t="s">
        <v>442</v>
      </c>
      <c r="N250" s="758" t="s">
        <v>443</v>
      </c>
      <c r="O250" s="759" t="s">
        <v>444</v>
      </c>
      <c r="P250" s="876"/>
      <c r="Q250" s="877"/>
    </row>
    <row r="251" spans="1:17" ht="34.5" customHeight="1">
      <c r="A251" s="105">
        <v>1</v>
      </c>
      <c r="B251" s="70" t="s">
        <v>275</v>
      </c>
      <c r="C251" s="370">
        <v>3500</v>
      </c>
      <c r="D251" s="370">
        <v>3500</v>
      </c>
      <c r="E251" s="93">
        <f>D251/C251</f>
        <v>1</v>
      </c>
      <c r="F251" s="93">
        <f aca="true" t="shared" si="19" ref="F251:F257">800/278</f>
        <v>2.8776978417266186</v>
      </c>
      <c r="G251" s="72">
        <v>14428</v>
      </c>
      <c r="H251" s="72"/>
      <c r="I251" s="72"/>
      <c r="J251" s="72"/>
      <c r="K251" s="72"/>
      <c r="L251" s="72"/>
      <c r="M251" s="72"/>
      <c r="N251" s="760">
        <f aca="true" t="shared" si="20" ref="N251:N257">SUM(G251:M251)</f>
        <v>14428</v>
      </c>
      <c r="O251" s="760">
        <f>14428-121.25</f>
        <v>14306.75</v>
      </c>
      <c r="P251" s="69"/>
      <c r="Q251" s="69"/>
    </row>
    <row r="252" spans="1:17" ht="51">
      <c r="A252" s="180">
        <v>2</v>
      </c>
      <c r="B252" s="109" t="s">
        <v>261</v>
      </c>
      <c r="C252" s="79">
        <v>22</v>
      </c>
      <c r="D252" s="79">
        <v>22</v>
      </c>
      <c r="E252" s="75">
        <f>D252/C252</f>
        <v>1</v>
      </c>
      <c r="F252" s="75">
        <f t="shared" si="19"/>
        <v>2.8776978417266186</v>
      </c>
      <c r="G252" s="77"/>
      <c r="H252" s="77"/>
      <c r="I252" s="77"/>
      <c r="J252" s="77"/>
      <c r="K252" s="77"/>
      <c r="L252" s="77"/>
      <c r="M252" s="77"/>
      <c r="N252" s="253">
        <f t="shared" si="20"/>
        <v>0</v>
      </c>
      <c r="O252" s="78">
        <v>0</v>
      </c>
      <c r="P252" s="73"/>
      <c r="Q252" s="73"/>
    </row>
    <row r="253" spans="1:17" ht="55.5" customHeight="1">
      <c r="A253" s="180">
        <v>3</v>
      </c>
      <c r="B253" s="118" t="s">
        <v>276</v>
      </c>
      <c r="C253" s="79">
        <v>240</v>
      </c>
      <c r="D253" s="79">
        <v>238</v>
      </c>
      <c r="E253" s="75">
        <f>+D253/C253</f>
        <v>0.9916666666666667</v>
      </c>
      <c r="F253" s="75">
        <f t="shared" si="19"/>
        <v>2.8776978417266186</v>
      </c>
      <c r="G253" s="73"/>
      <c r="H253" s="77"/>
      <c r="I253" s="73"/>
      <c r="J253" s="73"/>
      <c r="K253" s="73"/>
      <c r="L253" s="73"/>
      <c r="M253" s="73"/>
      <c r="N253" s="253">
        <f t="shared" si="20"/>
        <v>0</v>
      </c>
      <c r="O253" s="78">
        <v>0</v>
      </c>
      <c r="P253" s="73"/>
      <c r="Q253" s="73"/>
    </row>
    <row r="254" spans="1:17" ht="43.5" customHeight="1">
      <c r="A254" s="180">
        <v>4</v>
      </c>
      <c r="B254" s="74" t="s">
        <v>499</v>
      </c>
      <c r="C254" s="164">
        <v>634</v>
      </c>
      <c r="D254" s="164">
        <v>654</v>
      </c>
      <c r="E254" s="75">
        <f>+D254/C254</f>
        <v>1.0315457413249212</v>
      </c>
      <c r="F254" s="75">
        <f t="shared" si="19"/>
        <v>2.8776978417266186</v>
      </c>
      <c r="G254" s="151">
        <v>2213.387</v>
      </c>
      <c r="H254" s="77"/>
      <c r="I254" s="73"/>
      <c r="J254" s="89"/>
      <c r="K254" s="73"/>
      <c r="L254" s="73"/>
      <c r="M254" s="73"/>
      <c r="N254" s="711">
        <f t="shared" si="20"/>
        <v>2213.387</v>
      </c>
      <c r="O254" s="761">
        <v>2213.387</v>
      </c>
      <c r="P254" s="73"/>
      <c r="Q254" s="73"/>
    </row>
    <row r="255" spans="1:17" ht="38.25">
      <c r="A255" s="180">
        <v>5</v>
      </c>
      <c r="B255" s="74" t="s">
        <v>500</v>
      </c>
      <c r="C255" s="164">
        <v>5710</v>
      </c>
      <c r="D255" s="164">
        <v>7171</v>
      </c>
      <c r="E255" s="75">
        <f>+D255/C255</f>
        <v>1.2558669001751313</v>
      </c>
      <c r="F255" s="75">
        <f t="shared" si="19"/>
        <v>2.8776978417266186</v>
      </c>
      <c r="G255" s="151">
        <v>17270</v>
      </c>
      <c r="H255" s="73"/>
      <c r="I255" s="73"/>
      <c r="J255" s="73"/>
      <c r="K255" s="73"/>
      <c r="L255" s="73"/>
      <c r="M255" s="73"/>
      <c r="N255" s="711">
        <f t="shared" si="20"/>
        <v>17270</v>
      </c>
      <c r="O255" s="761">
        <v>17270</v>
      </c>
      <c r="P255" s="73"/>
      <c r="Q255" s="73"/>
    </row>
    <row r="256" spans="1:17" ht="25.5">
      <c r="A256" s="180">
        <v>6</v>
      </c>
      <c r="B256" s="74" t="s">
        <v>501</v>
      </c>
      <c r="C256" s="164">
        <v>4020</v>
      </c>
      <c r="D256" s="164">
        <v>9372</v>
      </c>
      <c r="E256" s="75">
        <f>+D256/C256</f>
        <v>2.3313432835820898</v>
      </c>
      <c r="F256" s="75">
        <f t="shared" si="19"/>
        <v>2.8776978417266186</v>
      </c>
      <c r="G256" s="712">
        <v>12938.858</v>
      </c>
      <c r="H256" s="73"/>
      <c r="I256" s="73"/>
      <c r="J256" s="73"/>
      <c r="K256" s="73"/>
      <c r="L256" s="73"/>
      <c r="M256" s="73"/>
      <c r="N256" s="711">
        <f t="shared" si="20"/>
        <v>12938.858</v>
      </c>
      <c r="O256" s="761">
        <v>12938.858</v>
      </c>
      <c r="P256" s="73"/>
      <c r="Q256" s="73"/>
    </row>
    <row r="257" spans="1:17" ht="38.25">
      <c r="A257" s="180">
        <v>7</v>
      </c>
      <c r="B257" s="74" t="s">
        <v>502</v>
      </c>
      <c r="C257" s="164">
        <f>26000*65%</f>
        <v>16900</v>
      </c>
      <c r="D257" s="164">
        <f>26000*65%</f>
        <v>16900</v>
      </c>
      <c r="E257" s="75">
        <f>+D257/C257</f>
        <v>1</v>
      </c>
      <c r="F257" s="75">
        <f t="shared" si="19"/>
        <v>2.8776978417266186</v>
      </c>
      <c r="G257" s="151">
        <v>81650</v>
      </c>
      <c r="H257" s="73"/>
      <c r="I257" s="73"/>
      <c r="J257" s="73"/>
      <c r="K257" s="73"/>
      <c r="L257" s="73"/>
      <c r="M257" s="73"/>
      <c r="N257" s="711">
        <f t="shared" si="20"/>
        <v>81650</v>
      </c>
      <c r="O257" s="761">
        <f>83372.769-1732.786</f>
        <v>81639.98300000001</v>
      </c>
      <c r="P257" s="73"/>
      <c r="Q257" s="73"/>
    </row>
    <row r="258" spans="1:17" ht="12.75">
      <c r="A258" s="180"/>
      <c r="B258" s="73"/>
      <c r="C258" s="79"/>
      <c r="D258" s="79"/>
      <c r="E258" s="73"/>
      <c r="F258" s="73"/>
      <c r="G258" s="73"/>
      <c r="H258" s="73"/>
      <c r="I258" s="73"/>
      <c r="J258" s="73"/>
      <c r="K258" s="73"/>
      <c r="L258" s="73"/>
      <c r="M258" s="73"/>
      <c r="N258" s="89"/>
      <c r="O258" s="89"/>
      <c r="P258" s="73"/>
      <c r="Q258" s="73"/>
    </row>
    <row r="259" spans="1:17" ht="12.75">
      <c r="A259" s="180"/>
      <c r="B259" s="73"/>
      <c r="C259" s="79"/>
      <c r="D259" s="79"/>
      <c r="E259" s="73"/>
      <c r="F259" s="73"/>
      <c r="G259" s="73"/>
      <c r="H259" s="73"/>
      <c r="I259" s="73"/>
      <c r="J259" s="73"/>
      <c r="K259" s="73"/>
      <c r="L259" s="73"/>
      <c r="M259" s="73"/>
      <c r="N259" s="89"/>
      <c r="O259" s="89"/>
      <c r="P259" s="73"/>
      <c r="Q259" s="73"/>
    </row>
    <row r="260" spans="1:17" ht="12.75">
      <c r="A260" s="180"/>
      <c r="B260" s="73"/>
      <c r="C260" s="79"/>
      <c r="D260" s="79"/>
      <c r="E260" s="73"/>
      <c r="F260" s="73"/>
      <c r="G260" s="73"/>
      <c r="H260" s="73"/>
      <c r="I260" s="73"/>
      <c r="J260" s="73"/>
      <c r="K260" s="73"/>
      <c r="L260" s="73"/>
      <c r="M260" s="73"/>
      <c r="N260" s="89"/>
      <c r="O260" s="89"/>
      <c r="P260" s="73"/>
      <c r="Q260" s="73"/>
    </row>
    <row r="261" spans="1:17" ht="12.75">
      <c r="A261" s="180"/>
      <c r="B261" s="73"/>
      <c r="C261" s="79"/>
      <c r="D261" s="79"/>
      <c r="E261" s="73"/>
      <c r="F261" s="73"/>
      <c r="G261" s="73"/>
      <c r="H261" s="73"/>
      <c r="I261" s="73"/>
      <c r="J261" s="73"/>
      <c r="K261" s="73"/>
      <c r="L261" s="73"/>
      <c r="M261" s="73"/>
      <c r="N261" s="89"/>
      <c r="O261" s="89"/>
      <c r="P261" s="73"/>
      <c r="Q261" s="73"/>
    </row>
    <row r="262" spans="1:17" ht="12.75">
      <c r="A262" s="180"/>
      <c r="B262" s="73"/>
      <c r="C262" s="79"/>
      <c r="D262" s="79"/>
      <c r="E262" s="73"/>
      <c r="F262" s="73"/>
      <c r="G262" s="73"/>
      <c r="H262" s="73"/>
      <c r="I262" s="73"/>
      <c r="J262" s="73"/>
      <c r="K262" s="73"/>
      <c r="L262" s="73"/>
      <c r="M262" s="73"/>
      <c r="N262" s="89"/>
      <c r="O262" s="89"/>
      <c r="P262" s="73"/>
      <c r="Q262" s="73"/>
    </row>
    <row r="263" spans="1:17" ht="12.75">
      <c r="A263" s="180"/>
      <c r="B263" s="73"/>
      <c r="C263" s="79"/>
      <c r="D263" s="79"/>
      <c r="E263" s="73"/>
      <c r="F263" s="73"/>
      <c r="G263" s="73"/>
      <c r="H263" s="73"/>
      <c r="I263" s="73"/>
      <c r="J263" s="73"/>
      <c r="K263" s="73"/>
      <c r="L263" s="73"/>
      <c r="M263" s="73"/>
      <c r="N263" s="89"/>
      <c r="O263" s="89"/>
      <c r="P263" s="73"/>
      <c r="Q263" s="73"/>
    </row>
    <row r="264" spans="1:17" ht="12.75">
      <c r="A264" s="180"/>
      <c r="B264" s="73"/>
      <c r="C264" s="79"/>
      <c r="D264" s="79"/>
      <c r="E264" s="73"/>
      <c r="F264" s="73"/>
      <c r="G264" s="73"/>
      <c r="H264" s="73"/>
      <c r="I264" s="73"/>
      <c r="J264" s="73"/>
      <c r="K264" s="73"/>
      <c r="L264" s="73"/>
      <c r="M264" s="73"/>
      <c r="N264" s="89"/>
      <c r="O264" s="89"/>
      <c r="P264" s="73"/>
      <c r="Q264" s="73"/>
    </row>
    <row r="265" spans="1:17" ht="12.75">
      <c r="A265" s="180"/>
      <c r="B265" s="73"/>
      <c r="C265" s="79"/>
      <c r="D265" s="79"/>
      <c r="E265" s="73"/>
      <c r="F265" s="73"/>
      <c r="G265" s="73"/>
      <c r="H265" s="73"/>
      <c r="I265" s="73"/>
      <c r="J265" s="73"/>
      <c r="K265" s="73"/>
      <c r="L265" s="73"/>
      <c r="M265" s="73"/>
      <c r="N265" s="89"/>
      <c r="O265" s="89"/>
      <c r="P265" s="73"/>
      <c r="Q265" s="73"/>
    </row>
    <row r="266" spans="1:17" ht="13.5" thickBot="1">
      <c r="A266" s="181"/>
      <c r="B266" s="82" t="s">
        <v>445</v>
      </c>
      <c r="C266" s="83"/>
      <c r="D266" s="83"/>
      <c r="E266" s="81"/>
      <c r="F266" s="81"/>
      <c r="G266" s="84">
        <f aca="true" t="shared" si="21" ref="G266:M266">SUM(G251:G265)</f>
        <v>128500.245</v>
      </c>
      <c r="H266" s="84">
        <f t="shared" si="21"/>
        <v>0</v>
      </c>
      <c r="I266" s="84">
        <f t="shared" si="21"/>
        <v>0</v>
      </c>
      <c r="J266" s="84">
        <f t="shared" si="21"/>
        <v>0</v>
      </c>
      <c r="K266" s="84">
        <f t="shared" si="21"/>
        <v>0</v>
      </c>
      <c r="L266" s="84">
        <f t="shared" si="21"/>
        <v>0</v>
      </c>
      <c r="M266" s="84">
        <f t="shared" si="21"/>
        <v>0</v>
      </c>
      <c r="N266" s="762">
        <f>SUM(N251:N265)</f>
        <v>128500.245</v>
      </c>
      <c r="O266" s="762">
        <f>SUM(O251:O265)</f>
        <v>128368.978</v>
      </c>
      <c r="P266" s="81"/>
      <c r="Q266" s="81"/>
    </row>
    <row r="267" spans="1:17" ht="12.75">
      <c r="A267" s="263"/>
      <c r="B267" s="264"/>
      <c r="C267" s="265"/>
      <c r="D267" s="265"/>
      <c r="E267" s="266"/>
      <c r="F267" s="266"/>
      <c r="G267" s="267"/>
      <c r="H267" s="267"/>
      <c r="I267" s="267"/>
      <c r="J267" s="267"/>
      <c r="K267" s="267"/>
      <c r="L267" s="267"/>
      <c r="M267" s="267"/>
      <c r="N267" s="267"/>
      <c r="O267" s="267"/>
      <c r="P267" s="266"/>
      <c r="Q267" s="266"/>
    </row>
    <row r="268" spans="1:17" ht="12.75">
      <c r="A268" s="878" t="s">
        <v>420</v>
      </c>
      <c r="B268" s="878"/>
      <c r="C268" s="878"/>
      <c r="D268" s="878"/>
      <c r="E268" s="878"/>
      <c r="F268" s="878"/>
      <c r="G268" s="878"/>
      <c r="H268" s="878"/>
      <c r="I268" s="878"/>
      <c r="J268" s="878"/>
      <c r="K268" s="878"/>
      <c r="L268" s="878"/>
      <c r="M268" s="878"/>
      <c r="N268" s="878"/>
      <c r="O268" s="878"/>
      <c r="P268" s="878"/>
      <c r="Q268" s="878"/>
    </row>
    <row r="269" spans="1:23" s="39" customFormat="1" ht="16.5" thickBot="1">
      <c r="A269" s="891" t="s">
        <v>609</v>
      </c>
      <c r="B269" s="891"/>
      <c r="C269" s="891"/>
      <c r="D269" s="891"/>
      <c r="E269" s="891"/>
      <c r="F269" s="891"/>
      <c r="G269" s="891"/>
      <c r="H269" s="891"/>
      <c r="I269" s="891"/>
      <c r="J269" s="891"/>
      <c r="K269" s="891"/>
      <c r="L269" s="891"/>
      <c r="M269" s="891"/>
      <c r="N269" s="891"/>
      <c r="O269" s="891"/>
      <c r="P269" s="891"/>
      <c r="Q269" s="891"/>
      <c r="R269" s="184"/>
      <c r="S269" s="184"/>
      <c r="W269" s="184"/>
    </row>
    <row r="270" spans="1:23" s="39" customFormat="1" ht="13.5" thickBot="1">
      <c r="A270" s="175"/>
      <c r="C270" s="40"/>
      <c r="D270" s="40"/>
      <c r="N270" s="755"/>
      <c r="O270" s="755"/>
      <c r="P270" s="892" t="s">
        <v>207</v>
      </c>
      <c r="Q270" s="893"/>
      <c r="R270" s="184"/>
      <c r="S270" s="184"/>
      <c r="W270" s="184"/>
    </row>
    <row r="271" spans="1:17" ht="12.75">
      <c r="A271" s="878" t="s">
        <v>76</v>
      </c>
      <c r="B271" s="878"/>
      <c r="C271" s="878"/>
      <c r="D271" s="878"/>
      <c r="E271" s="878"/>
      <c r="F271" s="878"/>
      <c r="P271" s="889" t="s">
        <v>74</v>
      </c>
      <c r="Q271" s="889"/>
    </row>
    <row r="272" spans="1:17" ht="12.75">
      <c r="A272" s="878" t="s">
        <v>260</v>
      </c>
      <c r="B272" s="879"/>
      <c r="C272" s="879"/>
      <c r="D272" s="879"/>
      <c r="E272" s="879"/>
      <c r="F272" s="879"/>
      <c r="P272" s="890" t="s">
        <v>75</v>
      </c>
      <c r="Q272" s="890"/>
    </row>
    <row r="273" spans="1:9" ht="12.75">
      <c r="A273" s="878" t="s">
        <v>808</v>
      </c>
      <c r="B273" s="879"/>
      <c r="C273" s="879"/>
      <c r="D273" s="879"/>
      <c r="E273" s="879"/>
      <c r="F273" s="879"/>
      <c r="G273" s="38" t="s">
        <v>72</v>
      </c>
      <c r="I273" s="41">
        <v>39083</v>
      </c>
    </row>
    <row r="275" ht="13.5" thickBot="1"/>
    <row r="276" spans="1:17" ht="13.5" thickBot="1">
      <c r="A276" s="182" t="s">
        <v>424</v>
      </c>
      <c r="B276" s="98"/>
      <c r="C276" s="99" t="s">
        <v>97</v>
      </c>
      <c r="D276" s="99"/>
      <c r="E276" s="98"/>
      <c r="F276" s="100"/>
      <c r="G276" s="880" t="s">
        <v>425</v>
      </c>
      <c r="H276" s="881"/>
      <c r="I276" s="881"/>
      <c r="J276" s="881"/>
      <c r="K276" s="881"/>
      <c r="L276" s="881"/>
      <c r="M276" s="881"/>
      <c r="N276" s="881"/>
      <c r="O276" s="882"/>
      <c r="P276" s="880" t="s">
        <v>426</v>
      </c>
      <c r="Q276" s="882"/>
    </row>
    <row r="277" spans="1:17" ht="15">
      <c r="A277" s="183" t="s">
        <v>422</v>
      </c>
      <c r="B277" s="102"/>
      <c r="C277" s="103" t="s">
        <v>540</v>
      </c>
      <c r="D277" s="103"/>
      <c r="E277" s="102"/>
      <c r="F277" s="104"/>
      <c r="G277" s="896" t="s">
        <v>849</v>
      </c>
      <c r="H277" s="884"/>
      <c r="I277" s="884"/>
      <c r="J277" s="884"/>
      <c r="K277" s="884"/>
      <c r="L277" s="884"/>
      <c r="M277" s="884"/>
      <c r="N277" s="884"/>
      <c r="O277" s="885"/>
      <c r="P277" s="50"/>
      <c r="Q277" s="14"/>
    </row>
    <row r="278" spans="1:17" ht="43.5" customHeight="1" thickBot="1">
      <c r="A278" s="179" t="s">
        <v>423</v>
      </c>
      <c r="B278" s="52"/>
      <c r="C278" s="894" t="s">
        <v>710</v>
      </c>
      <c r="D278" s="894"/>
      <c r="E278" s="894"/>
      <c r="F278" s="895"/>
      <c r="G278" s="886"/>
      <c r="H278" s="887"/>
      <c r="I278" s="887"/>
      <c r="J278" s="887"/>
      <c r="K278" s="887"/>
      <c r="L278" s="887"/>
      <c r="M278" s="887"/>
      <c r="N278" s="887"/>
      <c r="O278" s="888"/>
      <c r="P278" s="55"/>
      <c r="Q278" s="56" t="s">
        <v>404</v>
      </c>
    </row>
    <row r="279" spans="1:2" ht="13.5" thickBot="1">
      <c r="A279" s="176" t="s">
        <v>73</v>
      </c>
      <c r="B279" s="57"/>
    </row>
    <row r="280" spans="1:17" ht="12.75">
      <c r="A280" s="869" t="s">
        <v>431</v>
      </c>
      <c r="B280" s="870"/>
      <c r="C280" s="870"/>
      <c r="D280" s="870"/>
      <c r="E280" s="870"/>
      <c r="F280" s="871"/>
      <c r="G280" s="872" t="s">
        <v>427</v>
      </c>
      <c r="H280" s="873"/>
      <c r="I280" s="873"/>
      <c r="J280" s="873"/>
      <c r="K280" s="873"/>
      <c r="L280" s="873"/>
      <c r="M280" s="873"/>
      <c r="N280" s="873"/>
      <c r="O280" s="874"/>
      <c r="P280" s="875" t="s">
        <v>428</v>
      </c>
      <c r="Q280" s="874" t="s">
        <v>429</v>
      </c>
    </row>
    <row r="281" spans="1:17" ht="13.5" thickBot="1">
      <c r="A281" s="61"/>
      <c r="B281" s="62"/>
      <c r="C281" s="63"/>
      <c r="D281" s="63"/>
      <c r="E281" s="62"/>
      <c r="F281" s="64"/>
      <c r="G281" s="61"/>
      <c r="H281" s="62"/>
      <c r="I281" s="62"/>
      <c r="J281" s="62"/>
      <c r="K281" s="62"/>
      <c r="L281" s="62"/>
      <c r="M281" s="62"/>
      <c r="N281" s="756"/>
      <c r="O281" s="757"/>
      <c r="P281" s="876"/>
      <c r="Q281" s="877"/>
    </row>
    <row r="282" spans="1:17" ht="52.5" thickBot="1">
      <c r="A282" s="35" t="s">
        <v>430</v>
      </c>
      <c r="B282" s="90" t="s">
        <v>432</v>
      </c>
      <c r="C282" s="91" t="s">
        <v>433</v>
      </c>
      <c r="D282" s="66" t="s">
        <v>434</v>
      </c>
      <c r="E282" s="37" t="s">
        <v>435</v>
      </c>
      <c r="F282" s="36" t="s">
        <v>446</v>
      </c>
      <c r="G282" s="67" t="s">
        <v>436</v>
      </c>
      <c r="H282" s="68" t="s">
        <v>437</v>
      </c>
      <c r="I282" s="68" t="s">
        <v>438</v>
      </c>
      <c r="J282" s="68" t="s">
        <v>439</v>
      </c>
      <c r="K282" s="68" t="s">
        <v>440</v>
      </c>
      <c r="L282" s="68" t="s">
        <v>441</v>
      </c>
      <c r="M282" s="68" t="s">
        <v>442</v>
      </c>
      <c r="N282" s="758" t="s">
        <v>443</v>
      </c>
      <c r="O282" s="759" t="s">
        <v>444</v>
      </c>
      <c r="P282" s="876"/>
      <c r="Q282" s="877"/>
    </row>
    <row r="283" spans="1:17" ht="25.5">
      <c r="A283" s="105">
        <v>1</v>
      </c>
      <c r="B283" s="118" t="s">
        <v>503</v>
      </c>
      <c r="C283" s="370">
        <f>10748+80</f>
        <v>10828</v>
      </c>
      <c r="D283" s="370">
        <f>10748+80</f>
        <v>10828</v>
      </c>
      <c r="E283" s="93">
        <f>D283/C283</f>
        <v>1</v>
      </c>
      <c r="F283" s="93">
        <f>730/450</f>
        <v>1.6222222222222222</v>
      </c>
      <c r="G283" s="72"/>
      <c r="H283" s="72"/>
      <c r="I283" s="72"/>
      <c r="J283" s="72"/>
      <c r="K283" s="72"/>
      <c r="L283" s="72"/>
      <c r="M283" s="72"/>
      <c r="N283" s="778">
        <f>SUM(G283:M283)</f>
        <v>0</v>
      </c>
      <c r="O283" s="778"/>
      <c r="P283" s="69"/>
      <c r="Q283" s="69"/>
    </row>
    <row r="284" spans="1:17" ht="25.5">
      <c r="A284" s="180">
        <v>2</v>
      </c>
      <c r="B284" s="118" t="s">
        <v>504</v>
      </c>
      <c r="C284" s="79">
        <v>275</v>
      </c>
      <c r="D284" s="79">
        <v>274</v>
      </c>
      <c r="E284" s="75">
        <f>D284/C284</f>
        <v>0.9963636363636363</v>
      </c>
      <c r="F284" s="75">
        <f>730/450</f>
        <v>1.6222222222222222</v>
      </c>
      <c r="G284" s="77"/>
      <c r="H284" s="77"/>
      <c r="I284" s="77"/>
      <c r="J284" s="77"/>
      <c r="K284" s="77"/>
      <c r="L284" s="77"/>
      <c r="M284" s="77"/>
      <c r="N284" s="253">
        <f>SUM(G284:M284)</f>
        <v>0</v>
      </c>
      <c r="O284" s="78"/>
      <c r="P284" s="73"/>
      <c r="Q284" s="73"/>
    </row>
    <row r="285" spans="1:17" ht="25.5">
      <c r="A285" s="180">
        <v>3</v>
      </c>
      <c r="B285" s="118" t="s">
        <v>505</v>
      </c>
      <c r="C285" s="164">
        <v>20</v>
      </c>
      <c r="D285" s="164">
        <v>18</v>
      </c>
      <c r="E285" s="75">
        <f>D285/C285</f>
        <v>0.9</v>
      </c>
      <c r="F285" s="75">
        <f>730/450</f>
        <v>1.6222222222222222</v>
      </c>
      <c r="G285" s="95">
        <v>2213.387</v>
      </c>
      <c r="H285" s="77"/>
      <c r="I285" s="77"/>
      <c r="J285" s="77"/>
      <c r="K285" s="77"/>
      <c r="L285" s="77"/>
      <c r="M285" s="77"/>
      <c r="N285" s="711">
        <f>SUM(G285:M285)</f>
        <v>2213.387</v>
      </c>
      <c r="O285" s="780">
        <v>2213.387</v>
      </c>
      <c r="P285" s="73"/>
      <c r="Q285" s="73"/>
    </row>
    <row r="286" spans="1:17" ht="12.75">
      <c r="A286" s="180">
        <v>4</v>
      </c>
      <c r="B286" s="74"/>
      <c r="C286" s="79"/>
      <c r="D286" s="79"/>
      <c r="E286" s="73"/>
      <c r="F286" s="73"/>
      <c r="G286" s="73"/>
      <c r="H286" s="77"/>
      <c r="I286" s="73"/>
      <c r="J286" s="89"/>
      <c r="K286" s="73"/>
      <c r="L286" s="73"/>
      <c r="M286" s="73"/>
      <c r="N286" s="89"/>
      <c r="O286" s="89"/>
      <c r="P286" s="73"/>
      <c r="Q286" s="73"/>
    </row>
    <row r="287" spans="1:17" ht="12.75">
      <c r="A287" s="180"/>
      <c r="B287" s="74"/>
      <c r="C287" s="79"/>
      <c r="D287" s="79"/>
      <c r="E287" s="73"/>
      <c r="F287" s="73"/>
      <c r="G287" s="73"/>
      <c r="H287" s="73"/>
      <c r="I287" s="73"/>
      <c r="J287" s="73"/>
      <c r="K287" s="73"/>
      <c r="L287" s="73"/>
      <c r="M287" s="73"/>
      <c r="N287" s="89"/>
      <c r="O287" s="89"/>
      <c r="P287" s="73"/>
      <c r="Q287" s="73"/>
    </row>
    <row r="288" spans="1:17" ht="12.75">
      <c r="A288" s="180"/>
      <c r="B288" s="74"/>
      <c r="C288" s="79"/>
      <c r="D288" s="79"/>
      <c r="E288" s="73"/>
      <c r="F288" s="73"/>
      <c r="G288" s="73"/>
      <c r="H288" s="73"/>
      <c r="I288" s="73"/>
      <c r="J288" s="73"/>
      <c r="K288" s="73"/>
      <c r="L288" s="73"/>
      <c r="M288" s="73"/>
      <c r="N288" s="89"/>
      <c r="O288" s="89"/>
      <c r="P288" s="73"/>
      <c r="Q288" s="73"/>
    </row>
    <row r="289" spans="1:17" ht="12.75">
      <c r="A289" s="180"/>
      <c r="B289" s="73"/>
      <c r="C289" s="79"/>
      <c r="D289" s="79"/>
      <c r="E289" s="73"/>
      <c r="F289" s="73"/>
      <c r="G289" s="73"/>
      <c r="H289" s="73"/>
      <c r="I289" s="73"/>
      <c r="J289" s="73"/>
      <c r="K289" s="73"/>
      <c r="L289" s="73"/>
      <c r="M289" s="73"/>
      <c r="N289" s="89"/>
      <c r="O289" s="89"/>
      <c r="P289" s="73"/>
      <c r="Q289" s="73"/>
    </row>
    <row r="290" spans="1:17" ht="12.75">
      <c r="A290" s="180"/>
      <c r="B290" s="73"/>
      <c r="C290" s="79"/>
      <c r="D290" s="79"/>
      <c r="E290" s="73"/>
      <c r="F290" s="73"/>
      <c r="G290" s="73"/>
      <c r="H290" s="73"/>
      <c r="I290" s="73"/>
      <c r="J290" s="73"/>
      <c r="K290" s="73"/>
      <c r="L290" s="73"/>
      <c r="M290" s="73"/>
      <c r="N290" s="89"/>
      <c r="O290" s="89"/>
      <c r="P290" s="73"/>
      <c r="Q290" s="73"/>
    </row>
    <row r="291" spans="1:17" ht="12.75">
      <c r="A291" s="180"/>
      <c r="B291" s="73"/>
      <c r="C291" s="79"/>
      <c r="D291" s="79"/>
      <c r="E291" s="73"/>
      <c r="F291" s="73"/>
      <c r="G291" s="73"/>
      <c r="H291" s="73"/>
      <c r="I291" s="73"/>
      <c r="J291" s="73"/>
      <c r="K291" s="73"/>
      <c r="L291" s="73"/>
      <c r="M291" s="73"/>
      <c r="N291" s="89"/>
      <c r="O291" s="89"/>
      <c r="P291" s="73"/>
      <c r="Q291" s="73"/>
    </row>
    <row r="292" spans="1:17" ht="12.75">
      <c r="A292" s="180"/>
      <c r="B292" s="73"/>
      <c r="C292" s="79"/>
      <c r="D292" s="79"/>
      <c r="E292" s="73"/>
      <c r="F292" s="73"/>
      <c r="G292" s="73"/>
      <c r="H292" s="73"/>
      <c r="I292" s="73"/>
      <c r="J292" s="73"/>
      <c r="K292" s="73"/>
      <c r="L292" s="73"/>
      <c r="M292" s="73"/>
      <c r="N292" s="89"/>
      <c r="O292" s="89"/>
      <c r="P292" s="73"/>
      <c r="Q292" s="73"/>
    </row>
    <row r="293" spans="1:17" ht="12.75">
      <c r="A293" s="180"/>
      <c r="B293" s="73"/>
      <c r="C293" s="79"/>
      <c r="D293" s="79"/>
      <c r="E293" s="73"/>
      <c r="F293" s="73"/>
      <c r="G293" s="73"/>
      <c r="H293" s="73"/>
      <c r="I293" s="73"/>
      <c r="J293" s="73"/>
      <c r="K293" s="73"/>
      <c r="L293" s="73"/>
      <c r="M293" s="73"/>
      <c r="N293" s="89"/>
      <c r="O293" s="89"/>
      <c r="P293" s="73"/>
      <c r="Q293" s="73"/>
    </row>
    <row r="294" spans="1:17" ht="12.75">
      <c r="A294" s="180"/>
      <c r="B294" s="73"/>
      <c r="C294" s="79"/>
      <c r="D294" s="79"/>
      <c r="E294" s="73"/>
      <c r="F294" s="73"/>
      <c r="G294" s="73"/>
      <c r="H294" s="73"/>
      <c r="I294" s="73"/>
      <c r="J294" s="73"/>
      <c r="K294" s="73"/>
      <c r="L294" s="73"/>
      <c r="M294" s="73"/>
      <c r="N294" s="89"/>
      <c r="O294" s="89"/>
      <c r="P294" s="73"/>
      <c r="Q294" s="73"/>
    </row>
    <row r="295" spans="1:17" ht="12.75">
      <c r="A295" s="180"/>
      <c r="B295" s="73"/>
      <c r="C295" s="79"/>
      <c r="D295" s="79"/>
      <c r="E295" s="73"/>
      <c r="F295" s="73"/>
      <c r="G295" s="73"/>
      <c r="H295" s="73"/>
      <c r="I295" s="73"/>
      <c r="J295" s="73"/>
      <c r="K295" s="73"/>
      <c r="L295" s="73"/>
      <c r="M295" s="73"/>
      <c r="N295" s="89"/>
      <c r="O295" s="89"/>
      <c r="P295" s="73"/>
      <c r="Q295" s="73"/>
    </row>
    <row r="296" spans="1:17" ht="12.75">
      <c r="A296" s="180"/>
      <c r="B296" s="73"/>
      <c r="C296" s="79"/>
      <c r="D296" s="79"/>
      <c r="E296" s="73"/>
      <c r="F296" s="73"/>
      <c r="G296" s="73"/>
      <c r="H296" s="73"/>
      <c r="I296" s="73"/>
      <c r="J296" s="73"/>
      <c r="K296" s="73"/>
      <c r="L296" s="73"/>
      <c r="M296" s="73"/>
      <c r="N296" s="89"/>
      <c r="O296" s="89"/>
      <c r="P296" s="73"/>
      <c r="Q296" s="73"/>
    </row>
    <row r="297" spans="1:17" ht="12.75">
      <c r="A297" s="180"/>
      <c r="B297" s="73"/>
      <c r="C297" s="79"/>
      <c r="D297" s="79"/>
      <c r="E297" s="73"/>
      <c r="F297" s="73"/>
      <c r="G297" s="73"/>
      <c r="H297" s="73"/>
      <c r="I297" s="73"/>
      <c r="J297" s="73"/>
      <c r="K297" s="73"/>
      <c r="L297" s="73"/>
      <c r="M297" s="73"/>
      <c r="N297" s="89"/>
      <c r="O297" s="89"/>
      <c r="P297" s="73"/>
      <c r="Q297" s="73"/>
    </row>
    <row r="298" spans="1:17" ht="13.5" thickBot="1">
      <c r="A298" s="181"/>
      <c r="B298" s="82" t="s">
        <v>445</v>
      </c>
      <c r="C298" s="83"/>
      <c r="D298" s="83"/>
      <c r="E298" s="81"/>
      <c r="F298" s="81"/>
      <c r="G298" s="84">
        <f aca="true" t="shared" si="22" ref="G298:O298">SUM(G283:G297)</f>
        <v>2213.387</v>
      </c>
      <c r="H298" s="84">
        <f t="shared" si="22"/>
        <v>0</v>
      </c>
      <c r="I298" s="84">
        <f t="shared" si="22"/>
        <v>0</v>
      </c>
      <c r="J298" s="84">
        <f t="shared" si="22"/>
        <v>0</v>
      </c>
      <c r="K298" s="84">
        <f t="shared" si="22"/>
        <v>0</v>
      </c>
      <c r="L298" s="84">
        <f t="shared" si="22"/>
        <v>0</v>
      </c>
      <c r="M298" s="84">
        <f t="shared" si="22"/>
        <v>0</v>
      </c>
      <c r="N298" s="84">
        <f>SUM(N283:N297)</f>
        <v>2213.387</v>
      </c>
      <c r="O298" s="84">
        <f t="shared" si="22"/>
        <v>2213.387</v>
      </c>
      <c r="P298" s="81"/>
      <c r="Q298" s="81"/>
    </row>
    <row r="299" spans="1:17" ht="12.75">
      <c r="A299" s="263"/>
      <c r="B299" s="264"/>
      <c r="C299" s="265"/>
      <c r="D299" s="265"/>
      <c r="E299" s="266"/>
      <c r="F299" s="266"/>
      <c r="G299" s="267"/>
      <c r="H299" s="267"/>
      <c r="I299" s="267"/>
      <c r="J299" s="267"/>
      <c r="K299" s="267"/>
      <c r="L299" s="267"/>
      <c r="M299" s="267"/>
      <c r="N299" s="267"/>
      <c r="O299" s="267"/>
      <c r="P299" s="266"/>
      <c r="Q299" s="266"/>
    </row>
    <row r="300" spans="1:17" ht="12.75">
      <c r="A300" s="878" t="s">
        <v>420</v>
      </c>
      <c r="B300" s="878"/>
      <c r="C300" s="878"/>
      <c r="D300" s="878"/>
      <c r="E300" s="878"/>
      <c r="F300" s="878"/>
      <c r="G300" s="878"/>
      <c r="H300" s="878"/>
      <c r="I300" s="878"/>
      <c r="J300" s="878"/>
      <c r="K300" s="878"/>
      <c r="L300" s="878"/>
      <c r="M300" s="878"/>
      <c r="N300" s="878"/>
      <c r="O300" s="878"/>
      <c r="P300" s="878"/>
      <c r="Q300" s="878"/>
    </row>
    <row r="301" spans="1:23" s="39" customFormat="1" ht="16.5" thickBot="1">
      <c r="A301" s="891" t="s">
        <v>609</v>
      </c>
      <c r="B301" s="891"/>
      <c r="C301" s="891"/>
      <c r="D301" s="891"/>
      <c r="E301" s="891"/>
      <c r="F301" s="891"/>
      <c r="G301" s="891"/>
      <c r="H301" s="891"/>
      <c r="I301" s="891"/>
      <c r="J301" s="891"/>
      <c r="K301" s="891"/>
      <c r="L301" s="891"/>
      <c r="M301" s="891"/>
      <c r="N301" s="891"/>
      <c r="O301" s="891"/>
      <c r="P301" s="891"/>
      <c r="Q301" s="891"/>
      <c r="R301" s="184"/>
      <c r="S301" s="184"/>
      <c r="W301" s="184"/>
    </row>
    <row r="302" spans="1:23" s="39" customFormat="1" ht="13.5" thickBot="1">
      <c r="A302" s="175"/>
      <c r="C302" s="40"/>
      <c r="D302" s="40"/>
      <c r="N302" s="755"/>
      <c r="O302" s="755"/>
      <c r="P302" s="892" t="s">
        <v>549</v>
      </c>
      <c r="Q302" s="893"/>
      <c r="R302" s="184"/>
      <c r="S302" s="184"/>
      <c r="W302" s="184"/>
    </row>
    <row r="303" spans="1:17" ht="12.75">
      <c r="A303" s="878" t="s">
        <v>76</v>
      </c>
      <c r="B303" s="878"/>
      <c r="C303" s="878"/>
      <c r="D303" s="878"/>
      <c r="E303" s="878"/>
      <c r="F303" s="878"/>
      <c r="P303" s="889" t="s">
        <v>74</v>
      </c>
      <c r="Q303" s="889"/>
    </row>
    <row r="304" spans="1:17" ht="12.75">
      <c r="A304" s="878" t="s">
        <v>260</v>
      </c>
      <c r="B304" s="879"/>
      <c r="C304" s="879"/>
      <c r="D304" s="879"/>
      <c r="E304" s="879"/>
      <c r="F304" s="879"/>
      <c r="P304" s="890" t="s">
        <v>75</v>
      </c>
      <c r="Q304" s="890"/>
    </row>
    <row r="305" spans="1:9" ht="12.75">
      <c r="A305" s="878" t="s">
        <v>808</v>
      </c>
      <c r="B305" s="879"/>
      <c r="C305" s="879"/>
      <c r="D305" s="879"/>
      <c r="E305" s="879"/>
      <c r="F305" s="879"/>
      <c r="G305" s="38" t="s">
        <v>72</v>
      </c>
      <c r="I305" s="41">
        <v>39083</v>
      </c>
    </row>
    <row r="307" ht="13.5" thickBot="1"/>
    <row r="308" spans="1:17" ht="13.5" thickBot="1">
      <c r="A308" s="182" t="s">
        <v>424</v>
      </c>
      <c r="B308" s="98"/>
      <c r="C308" s="99" t="s">
        <v>97</v>
      </c>
      <c r="D308" s="99"/>
      <c r="E308" s="98"/>
      <c r="F308" s="100"/>
      <c r="G308" s="880" t="s">
        <v>425</v>
      </c>
      <c r="H308" s="881"/>
      <c r="I308" s="881"/>
      <c r="J308" s="881"/>
      <c r="K308" s="881"/>
      <c r="L308" s="881"/>
      <c r="M308" s="881"/>
      <c r="N308" s="881"/>
      <c r="O308" s="882"/>
      <c r="P308" s="880" t="s">
        <v>426</v>
      </c>
      <c r="Q308" s="882"/>
    </row>
    <row r="309" spans="1:17" ht="15">
      <c r="A309" s="183" t="s">
        <v>422</v>
      </c>
      <c r="B309" s="102"/>
      <c r="C309" s="103" t="s">
        <v>540</v>
      </c>
      <c r="D309" s="103"/>
      <c r="E309" s="102"/>
      <c r="F309" s="104"/>
      <c r="G309" s="896" t="s">
        <v>850</v>
      </c>
      <c r="H309" s="884"/>
      <c r="I309" s="884"/>
      <c r="J309" s="884"/>
      <c r="K309" s="884"/>
      <c r="L309" s="884"/>
      <c r="M309" s="884"/>
      <c r="N309" s="884"/>
      <c r="O309" s="885"/>
      <c r="P309" s="50"/>
      <c r="Q309" s="14"/>
    </row>
    <row r="310" spans="1:17" ht="44.25" customHeight="1" thickBot="1">
      <c r="A310" s="179" t="s">
        <v>423</v>
      </c>
      <c r="B310" s="52"/>
      <c r="C310" s="894" t="s">
        <v>711</v>
      </c>
      <c r="D310" s="894"/>
      <c r="E310" s="894"/>
      <c r="F310" s="895"/>
      <c r="G310" s="886"/>
      <c r="H310" s="887"/>
      <c r="I310" s="887"/>
      <c r="J310" s="887"/>
      <c r="K310" s="887"/>
      <c r="L310" s="887"/>
      <c r="M310" s="887"/>
      <c r="N310" s="887"/>
      <c r="O310" s="888"/>
      <c r="P310" s="55"/>
      <c r="Q310" s="56" t="s">
        <v>405</v>
      </c>
    </row>
    <row r="311" spans="1:2" ht="13.5" thickBot="1">
      <c r="A311" s="176" t="s">
        <v>73</v>
      </c>
      <c r="B311" s="57"/>
    </row>
    <row r="312" spans="1:17" ht="12.75">
      <c r="A312" s="869" t="s">
        <v>431</v>
      </c>
      <c r="B312" s="870"/>
      <c r="C312" s="870"/>
      <c r="D312" s="870"/>
      <c r="E312" s="870"/>
      <c r="F312" s="871"/>
      <c r="G312" s="872" t="s">
        <v>427</v>
      </c>
      <c r="H312" s="873"/>
      <c r="I312" s="873"/>
      <c r="J312" s="873"/>
      <c r="K312" s="873"/>
      <c r="L312" s="873"/>
      <c r="M312" s="873"/>
      <c r="N312" s="873"/>
      <c r="O312" s="874"/>
      <c r="P312" s="875" t="s">
        <v>428</v>
      </c>
      <c r="Q312" s="874" t="s">
        <v>429</v>
      </c>
    </row>
    <row r="313" spans="1:17" ht="13.5" thickBot="1">
      <c r="A313" s="61"/>
      <c r="B313" s="62"/>
      <c r="C313" s="63"/>
      <c r="D313" s="63"/>
      <c r="E313" s="62"/>
      <c r="F313" s="64"/>
      <c r="G313" s="61"/>
      <c r="H313" s="62"/>
      <c r="I313" s="62"/>
      <c r="J313" s="62"/>
      <c r="K313" s="62"/>
      <c r="L313" s="62"/>
      <c r="M313" s="62"/>
      <c r="N313" s="756"/>
      <c r="O313" s="757"/>
      <c r="P313" s="876"/>
      <c r="Q313" s="877"/>
    </row>
    <row r="314" spans="1:17" ht="52.5" thickBot="1">
      <c r="A314" s="35" t="s">
        <v>430</v>
      </c>
      <c r="B314" s="90" t="s">
        <v>432</v>
      </c>
      <c r="C314" s="91" t="s">
        <v>433</v>
      </c>
      <c r="D314" s="66" t="s">
        <v>434</v>
      </c>
      <c r="E314" s="37" t="s">
        <v>435</v>
      </c>
      <c r="F314" s="36" t="s">
        <v>446</v>
      </c>
      <c r="G314" s="67" t="s">
        <v>436</v>
      </c>
      <c r="H314" s="68" t="s">
        <v>437</v>
      </c>
      <c r="I314" s="68" t="s">
        <v>438</v>
      </c>
      <c r="J314" s="68" t="s">
        <v>439</v>
      </c>
      <c r="K314" s="68" t="s">
        <v>440</v>
      </c>
      <c r="L314" s="68" t="s">
        <v>441</v>
      </c>
      <c r="M314" s="68" t="s">
        <v>442</v>
      </c>
      <c r="N314" s="758" t="s">
        <v>443</v>
      </c>
      <c r="O314" s="759" t="s">
        <v>444</v>
      </c>
      <c r="P314" s="876"/>
      <c r="Q314" s="877"/>
    </row>
    <row r="315" spans="1:17" ht="25.5">
      <c r="A315" s="105">
        <v>1</v>
      </c>
      <c r="B315" s="118" t="s">
        <v>506</v>
      </c>
      <c r="C315" s="370">
        <v>3250</v>
      </c>
      <c r="D315" s="370">
        <v>3250</v>
      </c>
      <c r="E315" s="93">
        <f>D315/C315</f>
        <v>1</v>
      </c>
      <c r="F315" s="93">
        <f>120/100</f>
        <v>1.2</v>
      </c>
      <c r="G315" s="72"/>
      <c r="H315" s="72"/>
      <c r="I315" s="72"/>
      <c r="J315" s="72"/>
      <c r="K315" s="72"/>
      <c r="L315" s="72"/>
      <c r="M315" s="72"/>
      <c r="N315" s="778">
        <f>SUM(G315:M315)</f>
        <v>0</v>
      </c>
      <c r="O315" s="778"/>
      <c r="P315" s="69"/>
      <c r="Q315" s="69"/>
    </row>
    <row r="316" spans="1:17" ht="25.5">
      <c r="A316" s="180">
        <v>2</v>
      </c>
      <c r="B316" s="118" t="s">
        <v>507</v>
      </c>
      <c r="C316" s="79">
        <v>900</v>
      </c>
      <c r="D316" s="79">
        <v>969</v>
      </c>
      <c r="E316" s="75">
        <f>D316/C316</f>
        <v>1.0766666666666667</v>
      </c>
      <c r="F316" s="75">
        <f>120/100</f>
        <v>1.2</v>
      </c>
      <c r="G316" s="77">
        <v>29150</v>
      </c>
      <c r="H316" s="77"/>
      <c r="I316" s="77"/>
      <c r="J316" s="77"/>
      <c r="K316" s="77"/>
      <c r="L316" s="77"/>
      <c r="M316" s="77"/>
      <c r="N316" s="711">
        <f>SUM(G316:M316)</f>
        <v>29150</v>
      </c>
      <c r="O316" s="788">
        <v>29150</v>
      </c>
      <c r="P316" s="73"/>
      <c r="Q316" s="73"/>
    </row>
    <row r="317" spans="1:17" ht="38.25">
      <c r="A317" s="180">
        <v>3</v>
      </c>
      <c r="B317" s="118" t="s">
        <v>508</v>
      </c>
      <c r="C317" s="164">
        <v>0</v>
      </c>
      <c r="D317" s="164">
        <v>0</v>
      </c>
      <c r="E317" s="75">
        <v>0</v>
      </c>
      <c r="F317" s="75">
        <f>120/100</f>
        <v>1.2</v>
      </c>
      <c r="G317" s="95"/>
      <c r="H317" s="77"/>
      <c r="I317" s="77"/>
      <c r="J317" s="77"/>
      <c r="K317" s="77"/>
      <c r="L317" s="77"/>
      <c r="M317" s="77"/>
      <c r="N317" s="253">
        <f>SUM(G317:M317)</f>
        <v>0</v>
      </c>
      <c r="O317" s="78"/>
      <c r="P317" s="73"/>
      <c r="Q317" s="73"/>
    </row>
    <row r="318" spans="1:17" ht="12.75">
      <c r="A318" s="180"/>
      <c r="B318" s="118"/>
      <c r="C318" s="79"/>
      <c r="D318" s="79"/>
      <c r="E318" s="73"/>
      <c r="F318" s="73"/>
      <c r="G318" s="73"/>
      <c r="H318" s="77"/>
      <c r="I318" s="73"/>
      <c r="J318" s="89"/>
      <c r="K318" s="73"/>
      <c r="L318" s="73"/>
      <c r="M318" s="73"/>
      <c r="N318" s="89"/>
      <c r="O318" s="89"/>
      <c r="P318" s="73"/>
      <c r="Q318" s="73"/>
    </row>
    <row r="319" spans="1:17" ht="12.75">
      <c r="A319" s="180"/>
      <c r="B319" s="118"/>
      <c r="C319" s="79"/>
      <c r="D319" s="79"/>
      <c r="E319" s="73"/>
      <c r="F319" s="73"/>
      <c r="G319" s="73"/>
      <c r="H319" s="73"/>
      <c r="I319" s="73"/>
      <c r="J319" s="73"/>
      <c r="K319" s="73"/>
      <c r="L319" s="73"/>
      <c r="M319" s="73"/>
      <c r="N319" s="89"/>
      <c r="O319" s="89"/>
      <c r="P319" s="73"/>
      <c r="Q319" s="73"/>
    </row>
    <row r="320" spans="1:17" ht="12.75">
      <c r="A320" s="180"/>
      <c r="B320" s="74"/>
      <c r="C320" s="79"/>
      <c r="D320" s="79"/>
      <c r="E320" s="73"/>
      <c r="F320" s="73"/>
      <c r="G320" s="73"/>
      <c r="H320" s="73"/>
      <c r="I320" s="73"/>
      <c r="J320" s="73"/>
      <c r="K320" s="73"/>
      <c r="L320" s="73"/>
      <c r="M320" s="73"/>
      <c r="N320" s="89"/>
      <c r="O320" s="89"/>
      <c r="P320" s="73"/>
      <c r="Q320" s="73"/>
    </row>
    <row r="321" spans="1:17" ht="12.75">
      <c r="A321" s="180"/>
      <c r="B321" s="73"/>
      <c r="C321" s="79"/>
      <c r="D321" s="79"/>
      <c r="E321" s="73"/>
      <c r="F321" s="73"/>
      <c r="G321" s="73"/>
      <c r="H321" s="73"/>
      <c r="I321" s="73"/>
      <c r="J321" s="73"/>
      <c r="K321" s="73"/>
      <c r="L321" s="73"/>
      <c r="M321" s="73"/>
      <c r="N321" s="89"/>
      <c r="O321" s="89"/>
      <c r="P321" s="73"/>
      <c r="Q321" s="73"/>
    </row>
    <row r="322" spans="1:19" ht="12.75">
      <c r="A322" s="180"/>
      <c r="B322" s="73"/>
      <c r="C322" s="79"/>
      <c r="D322" s="79"/>
      <c r="E322" s="73"/>
      <c r="F322" s="73"/>
      <c r="G322" s="73"/>
      <c r="H322" s="73"/>
      <c r="I322" s="73"/>
      <c r="J322" s="73"/>
      <c r="K322" s="73"/>
      <c r="L322" s="73"/>
      <c r="M322" s="73"/>
      <c r="N322" s="89"/>
      <c r="O322" s="89"/>
      <c r="P322" s="73"/>
      <c r="Q322" s="73"/>
      <c r="R322" s="153">
        <f>+N234+N266</f>
        <v>4712084.4180000005</v>
      </c>
      <c r="S322" s="153">
        <f>+R322-'Resumen presupuesto ejecutado'!D49/1000</f>
        <v>-53336.612999999896</v>
      </c>
    </row>
    <row r="323" spans="1:17" ht="12.75">
      <c r="A323" s="180"/>
      <c r="B323" s="73"/>
      <c r="C323" s="79"/>
      <c r="D323" s="79"/>
      <c r="E323" s="73"/>
      <c r="F323" s="73"/>
      <c r="G323" s="73"/>
      <c r="H323" s="73"/>
      <c r="I323" s="73"/>
      <c r="J323" s="73"/>
      <c r="K323" s="73"/>
      <c r="L323" s="73"/>
      <c r="M323" s="73"/>
      <c r="N323" s="89"/>
      <c r="O323" s="89"/>
      <c r="P323" s="73"/>
      <c r="Q323" s="73"/>
    </row>
    <row r="324" spans="1:17" ht="12.75">
      <c r="A324" s="180"/>
      <c r="B324" s="73"/>
      <c r="C324" s="79"/>
      <c r="D324" s="79"/>
      <c r="E324" s="73"/>
      <c r="F324" s="73"/>
      <c r="G324" s="73"/>
      <c r="H324" s="73"/>
      <c r="I324" s="73"/>
      <c r="J324" s="73"/>
      <c r="K324" s="73"/>
      <c r="L324" s="73"/>
      <c r="M324" s="73"/>
      <c r="N324" s="89"/>
      <c r="O324" s="89"/>
      <c r="P324" s="73"/>
      <c r="Q324" s="73"/>
    </row>
    <row r="325" spans="1:17" ht="12.75">
      <c r="A325" s="180"/>
      <c r="B325" s="73"/>
      <c r="C325" s="79"/>
      <c r="D325" s="79"/>
      <c r="E325" s="73"/>
      <c r="F325" s="73"/>
      <c r="G325" s="73"/>
      <c r="H325" s="73"/>
      <c r="I325" s="73"/>
      <c r="J325" s="73"/>
      <c r="K325" s="73"/>
      <c r="L325" s="73"/>
      <c r="M325" s="73"/>
      <c r="N325" s="89"/>
      <c r="O325" s="89"/>
      <c r="P325" s="73"/>
      <c r="Q325" s="73"/>
    </row>
    <row r="326" spans="1:17" ht="12.75">
      <c r="A326" s="180"/>
      <c r="B326" s="73"/>
      <c r="C326" s="79"/>
      <c r="D326" s="79"/>
      <c r="E326" s="73"/>
      <c r="F326" s="73"/>
      <c r="G326" s="73"/>
      <c r="H326" s="73"/>
      <c r="I326" s="73"/>
      <c r="J326" s="73"/>
      <c r="K326" s="73"/>
      <c r="L326" s="73"/>
      <c r="M326" s="73"/>
      <c r="N326" s="89"/>
      <c r="O326" s="89"/>
      <c r="P326" s="73"/>
      <c r="Q326" s="73"/>
    </row>
    <row r="327" spans="1:17" ht="12.75">
      <c r="A327" s="180"/>
      <c r="B327" s="73"/>
      <c r="C327" s="79"/>
      <c r="D327" s="79"/>
      <c r="E327" s="73"/>
      <c r="F327" s="73"/>
      <c r="G327" s="73"/>
      <c r="H327" s="73"/>
      <c r="I327" s="73"/>
      <c r="J327" s="73"/>
      <c r="K327" s="73"/>
      <c r="L327" s="73"/>
      <c r="M327" s="73"/>
      <c r="N327" s="89"/>
      <c r="O327" s="89"/>
      <c r="P327" s="73"/>
      <c r="Q327" s="73"/>
    </row>
    <row r="328" spans="1:17" ht="12.75">
      <c r="A328" s="180"/>
      <c r="B328" s="73"/>
      <c r="C328" s="79"/>
      <c r="D328" s="79"/>
      <c r="E328" s="73"/>
      <c r="F328" s="73"/>
      <c r="G328" s="73"/>
      <c r="H328" s="73"/>
      <c r="I328" s="73"/>
      <c r="J328" s="73"/>
      <c r="K328" s="73"/>
      <c r="L328" s="73"/>
      <c r="M328" s="73"/>
      <c r="N328" s="89"/>
      <c r="O328" s="89"/>
      <c r="P328" s="73"/>
      <c r="Q328" s="73"/>
    </row>
    <row r="329" spans="1:17" ht="12.75">
      <c r="A329" s="180"/>
      <c r="B329" s="73"/>
      <c r="C329" s="79"/>
      <c r="D329" s="79"/>
      <c r="E329" s="73"/>
      <c r="F329" s="73"/>
      <c r="G329" s="73"/>
      <c r="H329" s="73"/>
      <c r="I329" s="73"/>
      <c r="J329" s="73"/>
      <c r="K329" s="73"/>
      <c r="L329" s="73"/>
      <c r="M329" s="73"/>
      <c r="N329" s="89"/>
      <c r="O329" s="89"/>
      <c r="P329" s="73"/>
      <c r="Q329" s="73"/>
    </row>
    <row r="330" spans="1:17" ht="13.5" thickBot="1">
      <c r="A330" s="181"/>
      <c r="B330" s="82" t="s">
        <v>445</v>
      </c>
      <c r="C330" s="83"/>
      <c r="D330" s="83"/>
      <c r="E330" s="81"/>
      <c r="F330" s="81"/>
      <c r="G330" s="84">
        <f aca="true" t="shared" si="23" ref="G330:O330">SUM(G315:G329)</f>
        <v>29150</v>
      </c>
      <c r="H330" s="84">
        <f t="shared" si="23"/>
        <v>0</v>
      </c>
      <c r="I330" s="84">
        <f t="shared" si="23"/>
        <v>0</v>
      </c>
      <c r="J330" s="84">
        <f t="shared" si="23"/>
        <v>0</v>
      </c>
      <c r="K330" s="84">
        <f t="shared" si="23"/>
        <v>0</v>
      </c>
      <c r="L330" s="84">
        <f t="shared" si="23"/>
        <v>0</v>
      </c>
      <c r="M330" s="84">
        <f t="shared" si="23"/>
        <v>0</v>
      </c>
      <c r="N330" s="84">
        <f>SUM(N315:N329)</f>
        <v>29150</v>
      </c>
      <c r="O330" s="84">
        <f t="shared" si="23"/>
        <v>29150</v>
      </c>
      <c r="P330" s="81"/>
      <c r="Q330" s="81"/>
    </row>
    <row r="331" spans="1:23" s="266" customFormat="1" ht="12.75">
      <c r="A331" s="263"/>
      <c r="B331" s="264"/>
      <c r="C331" s="265"/>
      <c r="D331" s="265"/>
      <c r="G331" s="267"/>
      <c r="H331" s="267"/>
      <c r="I331" s="267"/>
      <c r="J331" s="267"/>
      <c r="K331" s="267"/>
      <c r="L331" s="267"/>
      <c r="M331" s="267"/>
      <c r="N331" s="267"/>
      <c r="O331" s="272"/>
      <c r="P331" s="273"/>
      <c r="R331" s="339"/>
      <c r="S331" s="339"/>
      <c r="W331" s="339"/>
    </row>
    <row r="332" spans="1:17" ht="12.75">
      <c r="A332" s="878" t="s">
        <v>420</v>
      </c>
      <c r="B332" s="878"/>
      <c r="C332" s="878"/>
      <c r="D332" s="878"/>
      <c r="E332" s="878"/>
      <c r="F332" s="878"/>
      <c r="G332" s="878"/>
      <c r="H332" s="878"/>
      <c r="I332" s="878"/>
      <c r="J332" s="878"/>
      <c r="K332" s="878"/>
      <c r="L332" s="878"/>
      <c r="M332" s="878"/>
      <c r="N332" s="878"/>
      <c r="O332" s="878"/>
      <c r="P332" s="878"/>
      <c r="Q332" s="878"/>
    </row>
    <row r="333" spans="1:23" s="39" customFormat="1" ht="16.5" thickBot="1">
      <c r="A333" s="891" t="s">
        <v>609</v>
      </c>
      <c r="B333" s="891"/>
      <c r="C333" s="891"/>
      <c r="D333" s="891"/>
      <c r="E333" s="891"/>
      <c r="F333" s="891"/>
      <c r="G333" s="891"/>
      <c r="H333" s="891"/>
      <c r="I333" s="891"/>
      <c r="J333" s="891"/>
      <c r="K333" s="891"/>
      <c r="L333" s="891"/>
      <c r="M333" s="891"/>
      <c r="N333" s="891"/>
      <c r="O333" s="891"/>
      <c r="P333" s="891"/>
      <c r="Q333" s="891"/>
      <c r="R333" s="184"/>
      <c r="S333" s="184"/>
      <c r="W333" s="184"/>
    </row>
    <row r="334" spans="1:23" s="39" customFormat="1" ht="13.5" thickBot="1">
      <c r="A334" s="175"/>
      <c r="C334" s="40"/>
      <c r="D334" s="40"/>
      <c r="N334" s="755"/>
      <c r="O334" s="755"/>
      <c r="P334" s="892" t="s">
        <v>551</v>
      </c>
      <c r="Q334" s="893"/>
      <c r="R334" s="184"/>
      <c r="S334" s="184"/>
      <c r="W334" s="184"/>
    </row>
    <row r="335" spans="1:17" ht="12.75">
      <c r="A335" s="878" t="s">
        <v>76</v>
      </c>
      <c r="B335" s="878"/>
      <c r="C335" s="878"/>
      <c r="D335" s="878"/>
      <c r="E335" s="878"/>
      <c r="F335" s="878"/>
      <c r="P335" s="889" t="s">
        <v>74</v>
      </c>
      <c r="Q335" s="889"/>
    </row>
    <row r="336" spans="1:17" ht="12.75">
      <c r="A336" s="878" t="s">
        <v>260</v>
      </c>
      <c r="B336" s="879"/>
      <c r="C336" s="879"/>
      <c r="D336" s="879"/>
      <c r="E336" s="879"/>
      <c r="F336" s="879"/>
      <c r="P336" s="890" t="s">
        <v>75</v>
      </c>
      <c r="Q336" s="890"/>
    </row>
    <row r="337" spans="1:9" ht="12.75">
      <c r="A337" s="878" t="s">
        <v>808</v>
      </c>
      <c r="B337" s="879"/>
      <c r="C337" s="879"/>
      <c r="D337" s="879"/>
      <c r="E337" s="879"/>
      <c r="F337" s="879"/>
      <c r="G337" s="38" t="s">
        <v>72</v>
      </c>
      <c r="I337" s="41">
        <v>39083</v>
      </c>
    </row>
    <row r="339" ht="13.5" thickBot="1"/>
    <row r="340" spans="1:17" ht="13.5" thickBot="1">
      <c r="A340" s="182" t="s">
        <v>424</v>
      </c>
      <c r="B340" s="98"/>
      <c r="C340" s="99" t="s">
        <v>97</v>
      </c>
      <c r="D340" s="99"/>
      <c r="E340" s="98"/>
      <c r="F340" s="100"/>
      <c r="G340" s="880" t="s">
        <v>425</v>
      </c>
      <c r="H340" s="881"/>
      <c r="I340" s="881"/>
      <c r="J340" s="881"/>
      <c r="K340" s="881"/>
      <c r="L340" s="881"/>
      <c r="M340" s="881"/>
      <c r="N340" s="881"/>
      <c r="O340" s="882"/>
      <c r="P340" s="880" t="s">
        <v>426</v>
      </c>
      <c r="Q340" s="882"/>
    </row>
    <row r="341" spans="1:17" ht="15">
      <c r="A341" s="183" t="s">
        <v>422</v>
      </c>
      <c r="B341" s="102"/>
      <c r="C341" s="103" t="s">
        <v>540</v>
      </c>
      <c r="D341" s="103"/>
      <c r="E341" s="102"/>
      <c r="F341" s="104"/>
      <c r="G341" s="896" t="s">
        <v>851</v>
      </c>
      <c r="H341" s="884"/>
      <c r="I341" s="884"/>
      <c r="J341" s="884"/>
      <c r="K341" s="884"/>
      <c r="L341" s="884"/>
      <c r="M341" s="884"/>
      <c r="N341" s="884"/>
      <c r="O341" s="885"/>
      <c r="P341" s="50"/>
      <c r="Q341" s="14"/>
    </row>
    <row r="342" spans="1:17" ht="29.25" customHeight="1" thickBot="1">
      <c r="A342" s="179" t="s">
        <v>423</v>
      </c>
      <c r="B342" s="52"/>
      <c r="C342" s="894" t="s">
        <v>793</v>
      </c>
      <c r="D342" s="894"/>
      <c r="E342" s="894"/>
      <c r="F342" s="895"/>
      <c r="G342" s="886"/>
      <c r="H342" s="887"/>
      <c r="I342" s="887"/>
      <c r="J342" s="887"/>
      <c r="K342" s="887"/>
      <c r="L342" s="887"/>
      <c r="M342" s="887"/>
      <c r="N342" s="887"/>
      <c r="O342" s="888"/>
      <c r="P342" s="55"/>
      <c r="Q342" s="56" t="s">
        <v>407</v>
      </c>
    </row>
    <row r="343" spans="1:2" ht="13.5" thickBot="1">
      <c r="A343" s="176" t="s">
        <v>73</v>
      </c>
      <c r="B343" s="57"/>
    </row>
    <row r="344" spans="1:17" ht="12.75">
      <c r="A344" s="869" t="s">
        <v>431</v>
      </c>
      <c r="B344" s="870"/>
      <c r="C344" s="870"/>
      <c r="D344" s="870"/>
      <c r="E344" s="870"/>
      <c r="F344" s="871"/>
      <c r="G344" s="872" t="s">
        <v>427</v>
      </c>
      <c r="H344" s="873"/>
      <c r="I344" s="873"/>
      <c r="J344" s="873"/>
      <c r="K344" s="873"/>
      <c r="L344" s="873"/>
      <c r="M344" s="873"/>
      <c r="N344" s="873"/>
      <c r="O344" s="874"/>
      <c r="P344" s="875" t="s">
        <v>428</v>
      </c>
      <c r="Q344" s="874" t="s">
        <v>429</v>
      </c>
    </row>
    <row r="345" spans="1:17" ht="13.5" thickBot="1">
      <c r="A345" s="61"/>
      <c r="B345" s="62"/>
      <c r="C345" s="63"/>
      <c r="D345" s="63"/>
      <c r="E345" s="62"/>
      <c r="F345" s="64"/>
      <c r="G345" s="61"/>
      <c r="H345" s="62"/>
      <c r="I345" s="62"/>
      <c r="J345" s="62"/>
      <c r="K345" s="62"/>
      <c r="L345" s="62"/>
      <c r="M345" s="62"/>
      <c r="N345" s="756"/>
      <c r="O345" s="757"/>
      <c r="P345" s="876"/>
      <c r="Q345" s="877"/>
    </row>
    <row r="346" spans="1:17" ht="52.5" thickBot="1">
      <c r="A346" s="35" t="s">
        <v>430</v>
      </c>
      <c r="B346" s="90" t="s">
        <v>432</v>
      </c>
      <c r="C346" s="91" t="s">
        <v>433</v>
      </c>
      <c r="D346" s="66" t="s">
        <v>434</v>
      </c>
      <c r="E346" s="37" t="s">
        <v>435</v>
      </c>
      <c r="F346" s="36" t="s">
        <v>446</v>
      </c>
      <c r="G346" s="67" t="s">
        <v>436</v>
      </c>
      <c r="H346" s="68" t="s">
        <v>437</v>
      </c>
      <c r="I346" s="68" t="s">
        <v>438</v>
      </c>
      <c r="J346" s="68" t="s">
        <v>439</v>
      </c>
      <c r="K346" s="68" t="s">
        <v>440</v>
      </c>
      <c r="L346" s="68" t="s">
        <v>441</v>
      </c>
      <c r="M346" s="68" t="s">
        <v>442</v>
      </c>
      <c r="N346" s="758" t="s">
        <v>443</v>
      </c>
      <c r="O346" s="759" t="s">
        <v>444</v>
      </c>
      <c r="P346" s="876"/>
      <c r="Q346" s="877"/>
    </row>
    <row r="347" spans="1:17" ht="25.5">
      <c r="A347" s="105">
        <v>1</v>
      </c>
      <c r="B347" s="118" t="s">
        <v>406</v>
      </c>
      <c r="C347" s="370">
        <v>200</v>
      </c>
      <c r="D347" s="370">
        <v>210</v>
      </c>
      <c r="E347" s="93">
        <f>D347/C347</f>
        <v>1.05</v>
      </c>
      <c r="F347" s="93">
        <f>3150/2500</f>
        <v>1.26</v>
      </c>
      <c r="G347" s="72"/>
      <c r="H347" s="72"/>
      <c r="I347" s="72"/>
      <c r="J347" s="72"/>
      <c r="K347" s="72"/>
      <c r="L347" s="72"/>
      <c r="M347" s="72"/>
      <c r="N347" s="778">
        <f>SUM(G347:M347)</f>
        <v>0</v>
      </c>
      <c r="O347" s="778"/>
      <c r="P347" s="69"/>
      <c r="Q347" s="69"/>
    </row>
    <row r="348" spans="1:17" ht="25.5">
      <c r="A348" s="180">
        <v>2</v>
      </c>
      <c r="B348" s="118" t="s">
        <v>792</v>
      </c>
      <c r="C348" s="79">
        <v>0</v>
      </c>
      <c r="D348" s="79">
        <v>0</v>
      </c>
      <c r="E348" s="75">
        <v>0</v>
      </c>
      <c r="F348" s="75">
        <f>3150/2500</f>
        <v>1.26</v>
      </c>
      <c r="G348" s="77"/>
      <c r="H348" s="77"/>
      <c r="I348" s="77"/>
      <c r="J348" s="77"/>
      <c r="K348" s="77"/>
      <c r="L348" s="77"/>
      <c r="M348" s="77"/>
      <c r="N348" s="253">
        <f>SUM(G348:M348)</f>
        <v>0</v>
      </c>
      <c r="O348" s="78"/>
      <c r="P348" s="73"/>
      <c r="Q348" s="73"/>
    </row>
    <row r="349" spans="1:17" ht="63.75">
      <c r="A349" s="180">
        <v>3</v>
      </c>
      <c r="B349" s="118" t="s">
        <v>511</v>
      </c>
      <c r="C349" s="164">
        <v>3478</v>
      </c>
      <c r="D349" s="164">
        <v>4189</v>
      </c>
      <c r="E349" s="75">
        <f>D349/C349</f>
        <v>1.2044278320874064</v>
      </c>
      <c r="F349" s="75">
        <f>3150/2500</f>
        <v>1.26</v>
      </c>
      <c r="G349" s="151">
        <v>13200</v>
      </c>
      <c r="H349" s="77"/>
      <c r="I349" s="77"/>
      <c r="J349" s="77"/>
      <c r="K349" s="77"/>
      <c r="L349" s="77"/>
      <c r="M349" s="77"/>
      <c r="N349" s="253">
        <f>SUM(G349:M349)</f>
        <v>13200</v>
      </c>
      <c r="O349" s="765">
        <v>13200</v>
      </c>
      <c r="P349" s="73"/>
      <c r="Q349" s="73"/>
    </row>
    <row r="350" spans="1:17" ht="25.5">
      <c r="A350" s="180">
        <v>4</v>
      </c>
      <c r="B350" s="118" t="s">
        <v>509</v>
      </c>
      <c r="C350" s="164">
        <v>5900</v>
      </c>
      <c r="D350" s="164">
        <v>5874</v>
      </c>
      <c r="E350" s="75">
        <f>D350/C350</f>
        <v>0.995593220338983</v>
      </c>
      <c r="F350" s="75">
        <f>3150/2500</f>
        <v>1.26</v>
      </c>
      <c r="G350" s="73"/>
      <c r="H350" s="77"/>
      <c r="I350" s="73"/>
      <c r="J350" s="89"/>
      <c r="K350" s="73"/>
      <c r="L350" s="73"/>
      <c r="M350" s="73"/>
      <c r="N350" s="253">
        <f>SUM(G350:M350)</f>
        <v>0</v>
      </c>
      <c r="O350" s="89"/>
      <c r="P350" s="73"/>
      <c r="Q350" s="73"/>
    </row>
    <row r="351" spans="1:17" ht="25.5">
      <c r="A351" s="180">
        <v>5</v>
      </c>
      <c r="B351" s="118" t="s">
        <v>510</v>
      </c>
      <c r="C351" s="164">
        <v>1100</v>
      </c>
      <c r="D351" s="164">
        <v>1100</v>
      </c>
      <c r="E351" s="75">
        <f>D351/C351</f>
        <v>1</v>
      </c>
      <c r="F351" s="75">
        <f>3150/2500</f>
        <v>1.26</v>
      </c>
      <c r="G351" s="73"/>
      <c r="H351" s="73"/>
      <c r="I351" s="73"/>
      <c r="J351" s="73"/>
      <c r="K351" s="73"/>
      <c r="L351" s="73"/>
      <c r="M351" s="73"/>
      <c r="N351" s="253">
        <f>SUM(G351:M351)</f>
        <v>0</v>
      </c>
      <c r="O351" s="89"/>
      <c r="P351" s="73"/>
      <c r="Q351" s="73"/>
    </row>
    <row r="352" spans="1:17" ht="12.75">
      <c r="A352" s="180"/>
      <c r="B352" s="73"/>
      <c r="C352" s="79"/>
      <c r="D352" s="79"/>
      <c r="E352" s="73"/>
      <c r="F352" s="73"/>
      <c r="G352" s="73"/>
      <c r="H352" s="73"/>
      <c r="I352" s="73"/>
      <c r="J352" s="73"/>
      <c r="K352" s="73"/>
      <c r="L352" s="73"/>
      <c r="M352" s="73"/>
      <c r="N352" s="89"/>
      <c r="O352" s="89"/>
      <c r="P352" s="73"/>
      <c r="Q352" s="73"/>
    </row>
    <row r="353" spans="1:17" ht="12.75">
      <c r="A353" s="180"/>
      <c r="B353" s="73"/>
      <c r="C353" s="79"/>
      <c r="D353" s="79"/>
      <c r="E353" s="73"/>
      <c r="F353" s="73"/>
      <c r="G353" s="73"/>
      <c r="H353" s="73"/>
      <c r="I353" s="73"/>
      <c r="J353" s="73"/>
      <c r="K353" s="73"/>
      <c r="L353" s="73"/>
      <c r="M353" s="73"/>
      <c r="N353" s="89"/>
      <c r="O353" s="89"/>
      <c r="P353" s="73"/>
      <c r="Q353" s="73"/>
    </row>
    <row r="354" spans="1:17" ht="12.75">
      <c r="A354" s="180"/>
      <c r="B354" s="73"/>
      <c r="C354" s="79"/>
      <c r="D354" s="79"/>
      <c r="E354" s="73"/>
      <c r="F354" s="73"/>
      <c r="G354" s="73"/>
      <c r="H354" s="73"/>
      <c r="I354" s="73"/>
      <c r="J354" s="73"/>
      <c r="K354" s="73"/>
      <c r="L354" s="73"/>
      <c r="M354" s="73"/>
      <c r="N354" s="89"/>
      <c r="O354" s="89"/>
      <c r="P354" s="73"/>
      <c r="Q354" s="73"/>
    </row>
    <row r="355" spans="1:17" ht="12.75">
      <c r="A355" s="180"/>
      <c r="B355" s="73"/>
      <c r="C355" s="79"/>
      <c r="D355" s="79"/>
      <c r="E355" s="73"/>
      <c r="F355" s="73"/>
      <c r="G355" s="73"/>
      <c r="H355" s="73"/>
      <c r="I355" s="73"/>
      <c r="J355" s="73"/>
      <c r="K355" s="73"/>
      <c r="L355" s="73"/>
      <c r="M355" s="73"/>
      <c r="N355" s="89"/>
      <c r="O355" s="89"/>
      <c r="P355" s="73"/>
      <c r="Q355" s="73"/>
    </row>
    <row r="356" spans="1:17" ht="12.75">
      <c r="A356" s="180"/>
      <c r="B356" s="73"/>
      <c r="C356" s="79"/>
      <c r="D356" s="79"/>
      <c r="E356" s="73"/>
      <c r="F356" s="73"/>
      <c r="G356" s="73"/>
      <c r="H356" s="73"/>
      <c r="I356" s="73"/>
      <c r="J356" s="73"/>
      <c r="K356" s="73"/>
      <c r="L356" s="73"/>
      <c r="M356" s="73"/>
      <c r="N356" s="89"/>
      <c r="O356" s="89"/>
      <c r="P356" s="73"/>
      <c r="Q356" s="73"/>
    </row>
    <row r="357" spans="1:17" ht="12.75">
      <c r="A357" s="180"/>
      <c r="B357" s="73"/>
      <c r="C357" s="79"/>
      <c r="D357" s="79"/>
      <c r="E357" s="73"/>
      <c r="F357" s="73"/>
      <c r="G357" s="73"/>
      <c r="H357" s="73"/>
      <c r="I357" s="73"/>
      <c r="J357" s="73"/>
      <c r="K357" s="73"/>
      <c r="L357" s="73"/>
      <c r="M357" s="73"/>
      <c r="N357" s="89"/>
      <c r="O357" s="89"/>
      <c r="P357" s="73"/>
      <c r="Q357" s="73"/>
    </row>
    <row r="358" spans="1:17" ht="12.75">
      <c r="A358" s="180"/>
      <c r="B358" s="73"/>
      <c r="C358" s="79"/>
      <c r="D358" s="79"/>
      <c r="E358" s="73"/>
      <c r="F358" s="73"/>
      <c r="G358" s="73"/>
      <c r="H358" s="73"/>
      <c r="I358" s="73"/>
      <c r="J358" s="73"/>
      <c r="K358" s="73"/>
      <c r="L358" s="73"/>
      <c r="M358" s="73"/>
      <c r="N358" s="89"/>
      <c r="O358" s="89"/>
      <c r="P358" s="73"/>
      <c r="Q358" s="73"/>
    </row>
    <row r="359" spans="1:17" ht="12.75">
      <c r="A359" s="180"/>
      <c r="B359" s="73"/>
      <c r="C359" s="79"/>
      <c r="D359" s="79"/>
      <c r="E359" s="73"/>
      <c r="F359" s="73"/>
      <c r="G359" s="73"/>
      <c r="H359" s="73"/>
      <c r="I359" s="73"/>
      <c r="J359" s="73"/>
      <c r="K359" s="73"/>
      <c r="L359" s="73"/>
      <c r="M359" s="73"/>
      <c r="N359" s="89"/>
      <c r="O359" s="89"/>
      <c r="P359" s="73"/>
      <c r="Q359" s="73"/>
    </row>
    <row r="360" spans="1:17" ht="12.75">
      <c r="A360" s="180"/>
      <c r="B360" s="73"/>
      <c r="C360" s="79"/>
      <c r="D360" s="79"/>
      <c r="E360" s="73"/>
      <c r="F360" s="73"/>
      <c r="G360" s="73"/>
      <c r="H360" s="73"/>
      <c r="I360" s="73"/>
      <c r="J360" s="73"/>
      <c r="K360" s="73"/>
      <c r="L360" s="73"/>
      <c r="M360" s="73"/>
      <c r="N360" s="89"/>
      <c r="O360" s="89"/>
      <c r="P360" s="73"/>
      <c r="Q360" s="73"/>
    </row>
    <row r="361" spans="1:17" ht="13.5" thickBot="1">
      <c r="A361" s="181"/>
      <c r="B361" s="82" t="s">
        <v>445</v>
      </c>
      <c r="C361" s="83"/>
      <c r="D361" s="83"/>
      <c r="E361" s="81"/>
      <c r="F361" s="81"/>
      <c r="G361" s="84">
        <f aca="true" t="shared" si="24" ref="G361:O361">SUM(G347:G360)</f>
        <v>13200</v>
      </c>
      <c r="H361" s="84">
        <f t="shared" si="24"/>
        <v>0</v>
      </c>
      <c r="I361" s="84">
        <f t="shared" si="24"/>
        <v>0</v>
      </c>
      <c r="J361" s="84">
        <f t="shared" si="24"/>
        <v>0</v>
      </c>
      <c r="K361" s="84">
        <f t="shared" si="24"/>
        <v>0</v>
      </c>
      <c r="L361" s="84">
        <f t="shared" si="24"/>
        <v>0</v>
      </c>
      <c r="M361" s="84">
        <f t="shared" si="24"/>
        <v>0</v>
      </c>
      <c r="N361" s="84">
        <f t="shared" si="24"/>
        <v>13200</v>
      </c>
      <c r="O361" s="84">
        <f t="shared" si="24"/>
        <v>13200</v>
      </c>
      <c r="P361" s="81"/>
      <c r="Q361" s="81"/>
    </row>
    <row r="362" spans="1:17" ht="12.75">
      <c r="A362" s="263"/>
      <c r="B362" s="264"/>
      <c r="C362" s="265"/>
      <c r="D362" s="265"/>
      <c r="E362" s="266"/>
      <c r="F362" s="266"/>
      <c r="G362" s="267"/>
      <c r="H362" s="267"/>
      <c r="I362" s="267"/>
      <c r="J362" s="267"/>
      <c r="K362" s="267"/>
      <c r="L362" s="267"/>
      <c r="M362" s="267"/>
      <c r="N362" s="267"/>
      <c r="O362" s="267"/>
      <c r="P362" s="266"/>
      <c r="Q362" s="266"/>
    </row>
    <row r="363" spans="1:17" ht="12.75">
      <c r="A363" s="878" t="s">
        <v>420</v>
      </c>
      <c r="B363" s="878"/>
      <c r="C363" s="878"/>
      <c r="D363" s="878"/>
      <c r="E363" s="878"/>
      <c r="F363" s="878"/>
      <c r="G363" s="878"/>
      <c r="H363" s="878"/>
      <c r="I363" s="878"/>
      <c r="J363" s="878"/>
      <c r="K363" s="878"/>
      <c r="L363" s="878"/>
      <c r="M363" s="878"/>
      <c r="N363" s="878"/>
      <c r="O363" s="878"/>
      <c r="P363" s="878"/>
      <c r="Q363" s="878"/>
    </row>
    <row r="364" spans="1:23" s="39" customFormat="1" ht="16.5" thickBot="1">
      <c r="A364" s="891" t="s">
        <v>609</v>
      </c>
      <c r="B364" s="891"/>
      <c r="C364" s="891"/>
      <c r="D364" s="891"/>
      <c r="E364" s="891"/>
      <c r="F364" s="891"/>
      <c r="G364" s="891"/>
      <c r="H364" s="891"/>
      <c r="I364" s="891"/>
      <c r="J364" s="891"/>
      <c r="K364" s="891"/>
      <c r="L364" s="891"/>
      <c r="M364" s="891"/>
      <c r="N364" s="891"/>
      <c r="O364" s="891"/>
      <c r="P364" s="891"/>
      <c r="Q364" s="891"/>
      <c r="R364" s="184"/>
      <c r="S364" s="184"/>
      <c r="W364" s="184"/>
    </row>
    <row r="365" spans="1:23" s="39" customFormat="1" ht="13.5" thickBot="1">
      <c r="A365" s="175"/>
      <c r="C365" s="40"/>
      <c r="D365" s="40"/>
      <c r="N365" s="755"/>
      <c r="O365" s="755"/>
      <c r="P365" s="892" t="s">
        <v>553</v>
      </c>
      <c r="Q365" s="893"/>
      <c r="R365" s="184"/>
      <c r="S365" s="184"/>
      <c r="W365" s="184"/>
    </row>
    <row r="366" spans="1:17" ht="12.75">
      <c r="A366" s="878" t="s">
        <v>76</v>
      </c>
      <c r="B366" s="878"/>
      <c r="C366" s="878"/>
      <c r="D366" s="878"/>
      <c r="E366" s="878"/>
      <c r="F366" s="878"/>
      <c r="P366" s="889" t="s">
        <v>74</v>
      </c>
      <c r="Q366" s="889"/>
    </row>
    <row r="367" spans="1:17" ht="12.75">
      <c r="A367" s="878" t="s">
        <v>260</v>
      </c>
      <c r="B367" s="879"/>
      <c r="C367" s="879"/>
      <c r="D367" s="879"/>
      <c r="E367" s="879"/>
      <c r="F367" s="879"/>
      <c r="P367" s="890" t="s">
        <v>75</v>
      </c>
      <c r="Q367" s="890"/>
    </row>
    <row r="368" spans="1:9" ht="12.75">
      <c r="A368" s="878" t="s">
        <v>808</v>
      </c>
      <c r="B368" s="879"/>
      <c r="C368" s="879"/>
      <c r="D368" s="879"/>
      <c r="E368" s="879"/>
      <c r="F368" s="879"/>
      <c r="G368" s="38" t="s">
        <v>72</v>
      </c>
      <c r="I368" s="41">
        <v>39083</v>
      </c>
    </row>
    <row r="370" ht="13.5" thickBot="1"/>
    <row r="371" spans="1:17" ht="13.5" thickBot="1">
      <c r="A371" s="182" t="s">
        <v>424</v>
      </c>
      <c r="B371" s="98"/>
      <c r="C371" s="99" t="s">
        <v>97</v>
      </c>
      <c r="D371" s="99"/>
      <c r="E371" s="98"/>
      <c r="F371" s="100"/>
      <c r="G371" s="880" t="s">
        <v>425</v>
      </c>
      <c r="H371" s="881"/>
      <c r="I371" s="881"/>
      <c r="J371" s="881"/>
      <c r="K371" s="881"/>
      <c r="L371" s="881"/>
      <c r="M371" s="881"/>
      <c r="N371" s="881"/>
      <c r="O371" s="882"/>
      <c r="P371" s="880" t="s">
        <v>426</v>
      </c>
      <c r="Q371" s="882"/>
    </row>
    <row r="372" spans="1:17" ht="15">
      <c r="A372" s="183" t="s">
        <v>422</v>
      </c>
      <c r="B372" s="102"/>
      <c r="C372" s="103" t="s">
        <v>540</v>
      </c>
      <c r="D372" s="103"/>
      <c r="E372" s="102"/>
      <c r="F372" s="104"/>
      <c r="G372" s="896" t="s">
        <v>455</v>
      </c>
      <c r="H372" s="884"/>
      <c r="I372" s="884"/>
      <c r="J372" s="884"/>
      <c r="K372" s="884"/>
      <c r="L372" s="884"/>
      <c r="M372" s="884"/>
      <c r="N372" s="884"/>
      <c r="O372" s="885"/>
      <c r="P372" s="50"/>
      <c r="Q372" s="14"/>
    </row>
    <row r="373" spans="1:17" ht="58.5" customHeight="1" thickBot="1">
      <c r="A373" s="179" t="s">
        <v>423</v>
      </c>
      <c r="B373" s="52"/>
      <c r="C373" s="894" t="s">
        <v>794</v>
      </c>
      <c r="D373" s="894"/>
      <c r="E373" s="894"/>
      <c r="F373" s="895"/>
      <c r="G373" s="886"/>
      <c r="H373" s="887"/>
      <c r="I373" s="887"/>
      <c r="J373" s="887"/>
      <c r="K373" s="887"/>
      <c r="L373" s="887"/>
      <c r="M373" s="887"/>
      <c r="N373" s="887"/>
      <c r="O373" s="888"/>
      <c r="P373" s="55"/>
      <c r="Q373" s="56" t="s">
        <v>408</v>
      </c>
    </row>
    <row r="374" spans="1:2" ht="13.5" thickBot="1">
      <c r="A374" s="176" t="s">
        <v>73</v>
      </c>
      <c r="B374" s="57"/>
    </row>
    <row r="375" spans="1:17" ht="12.75">
      <c r="A375" s="869" t="s">
        <v>431</v>
      </c>
      <c r="B375" s="870"/>
      <c r="C375" s="870"/>
      <c r="D375" s="870"/>
      <c r="E375" s="870"/>
      <c r="F375" s="871"/>
      <c r="G375" s="872" t="s">
        <v>427</v>
      </c>
      <c r="H375" s="873"/>
      <c r="I375" s="873"/>
      <c r="J375" s="873"/>
      <c r="K375" s="873"/>
      <c r="L375" s="873"/>
      <c r="M375" s="873"/>
      <c r="N375" s="873"/>
      <c r="O375" s="874"/>
      <c r="P375" s="875" t="s">
        <v>428</v>
      </c>
      <c r="Q375" s="874" t="s">
        <v>429</v>
      </c>
    </row>
    <row r="376" spans="1:17" ht="13.5" thickBot="1">
      <c r="A376" s="61"/>
      <c r="B376" s="62"/>
      <c r="C376" s="63"/>
      <c r="D376" s="63"/>
      <c r="E376" s="62"/>
      <c r="F376" s="64"/>
      <c r="G376" s="61"/>
      <c r="H376" s="62"/>
      <c r="I376" s="62"/>
      <c r="J376" s="62"/>
      <c r="K376" s="62"/>
      <c r="L376" s="62"/>
      <c r="M376" s="62"/>
      <c r="N376" s="756"/>
      <c r="O376" s="757"/>
      <c r="P376" s="876"/>
      <c r="Q376" s="877"/>
    </row>
    <row r="377" spans="1:17" ht="52.5" thickBot="1">
      <c r="A377" s="35" t="s">
        <v>430</v>
      </c>
      <c r="B377" s="90" t="s">
        <v>432</v>
      </c>
      <c r="C377" s="91" t="s">
        <v>433</v>
      </c>
      <c r="D377" s="66" t="s">
        <v>434</v>
      </c>
      <c r="E377" s="37" t="s">
        <v>435</v>
      </c>
      <c r="F377" s="36" t="s">
        <v>446</v>
      </c>
      <c r="G377" s="67" t="s">
        <v>436</v>
      </c>
      <c r="H377" s="68" t="s">
        <v>437</v>
      </c>
      <c r="I377" s="68" t="s">
        <v>438</v>
      </c>
      <c r="J377" s="68" t="s">
        <v>439</v>
      </c>
      <c r="K377" s="68" t="s">
        <v>440</v>
      </c>
      <c r="L377" s="68" t="s">
        <v>441</v>
      </c>
      <c r="M377" s="68" t="s">
        <v>442</v>
      </c>
      <c r="N377" s="758" t="s">
        <v>443</v>
      </c>
      <c r="O377" s="759" t="s">
        <v>444</v>
      </c>
      <c r="P377" s="876"/>
      <c r="Q377" s="877"/>
    </row>
    <row r="378" spans="1:17" ht="25.5">
      <c r="A378" s="105">
        <v>1</v>
      </c>
      <c r="B378" s="118" t="s">
        <v>512</v>
      </c>
      <c r="C378" s="370">
        <f>6000+90</f>
        <v>6090</v>
      </c>
      <c r="D378" s="370">
        <f>6000+100</f>
        <v>6100</v>
      </c>
      <c r="E378" s="93">
        <f aca="true" t="shared" si="25" ref="E378:E383">D378/C378</f>
        <v>1.0016420361247949</v>
      </c>
      <c r="F378" s="93">
        <f aca="true" t="shared" si="26" ref="F378:F383">11322/8000</f>
        <v>1.41525</v>
      </c>
      <c r="G378" s="72"/>
      <c r="H378" s="72"/>
      <c r="I378" s="72"/>
      <c r="J378" s="72"/>
      <c r="K378" s="72"/>
      <c r="L378" s="72"/>
      <c r="M378" s="72"/>
      <c r="N378" s="778">
        <f>SUM(G378:M378)</f>
        <v>0</v>
      </c>
      <c r="O378" s="778"/>
      <c r="P378" s="69"/>
      <c r="Q378" s="69"/>
    </row>
    <row r="379" spans="1:17" ht="25.5">
      <c r="A379" s="180">
        <v>2</v>
      </c>
      <c r="B379" s="118" t="s">
        <v>513</v>
      </c>
      <c r="C379" s="164">
        <v>1220</v>
      </c>
      <c r="D379" s="164">
        <v>3145</v>
      </c>
      <c r="E379" s="75">
        <f t="shared" si="25"/>
        <v>2.5778688524590163</v>
      </c>
      <c r="F379" s="75">
        <f t="shared" si="26"/>
        <v>1.41525</v>
      </c>
      <c r="G379" s="77">
        <v>2133.065</v>
      </c>
      <c r="H379" s="77"/>
      <c r="I379" s="77"/>
      <c r="J379" s="77"/>
      <c r="K379" s="77"/>
      <c r="L379" s="77"/>
      <c r="M379" s="77"/>
      <c r="N379" s="711">
        <f>SUM(G379:M379)</f>
        <v>2133.065</v>
      </c>
      <c r="O379" s="780">
        <v>2133.065</v>
      </c>
      <c r="P379" s="73"/>
      <c r="Q379" s="73"/>
    </row>
    <row r="380" spans="1:17" ht="25.5">
      <c r="A380" s="180">
        <v>3</v>
      </c>
      <c r="B380" s="118" t="s">
        <v>514</v>
      </c>
      <c r="C380" s="164">
        <v>914</v>
      </c>
      <c r="D380" s="164">
        <v>2077</v>
      </c>
      <c r="E380" s="75">
        <f t="shared" si="25"/>
        <v>2.272428884026258</v>
      </c>
      <c r="F380" s="75">
        <f t="shared" si="26"/>
        <v>1.41525</v>
      </c>
      <c r="G380" s="95">
        <v>2213.387</v>
      </c>
      <c r="H380" s="77"/>
      <c r="I380" s="77"/>
      <c r="J380" s="77"/>
      <c r="K380" s="77"/>
      <c r="L380" s="77"/>
      <c r="M380" s="77"/>
      <c r="N380" s="711">
        <f>SUM(G380:M380)</f>
        <v>2213.387</v>
      </c>
      <c r="O380" s="780">
        <v>2213.387</v>
      </c>
      <c r="P380" s="73"/>
      <c r="Q380" s="73"/>
    </row>
    <row r="381" spans="1:17" ht="25.5">
      <c r="A381" s="180">
        <v>4</v>
      </c>
      <c r="B381" s="118" t="s">
        <v>515</v>
      </c>
      <c r="C381" s="164">
        <v>1220</v>
      </c>
      <c r="D381" s="164">
        <v>3145</v>
      </c>
      <c r="E381" s="75">
        <f t="shared" si="25"/>
        <v>2.5778688524590163</v>
      </c>
      <c r="F381" s="75">
        <f t="shared" si="26"/>
        <v>1.41525</v>
      </c>
      <c r="G381" s="95">
        <v>2213.387</v>
      </c>
      <c r="H381" s="77"/>
      <c r="I381" s="73"/>
      <c r="J381" s="89"/>
      <c r="K381" s="73"/>
      <c r="L381" s="73"/>
      <c r="M381" s="73"/>
      <c r="N381" s="711">
        <f>SUM(G381:M381)</f>
        <v>2213.387</v>
      </c>
      <c r="O381" s="761">
        <v>2213.387</v>
      </c>
      <c r="P381" s="73"/>
      <c r="Q381" s="73"/>
    </row>
    <row r="382" spans="1:17" ht="25.5">
      <c r="A382" s="180">
        <v>5</v>
      </c>
      <c r="B382" s="118" t="s">
        <v>516</v>
      </c>
      <c r="C382" s="164">
        <v>694</v>
      </c>
      <c r="D382" s="164">
        <v>1393</v>
      </c>
      <c r="E382" s="75">
        <f t="shared" si="25"/>
        <v>2.0072046109510087</v>
      </c>
      <c r="F382" s="75">
        <f t="shared" si="26"/>
        <v>1.41525</v>
      </c>
      <c r="G382" s="95">
        <v>2213.387</v>
      </c>
      <c r="H382" s="73"/>
      <c r="I382" s="73"/>
      <c r="J382" s="73"/>
      <c r="K382" s="73"/>
      <c r="L382" s="73"/>
      <c r="M382" s="73"/>
      <c r="N382" s="711">
        <f>SUM(G382:M382)</f>
        <v>2213.387</v>
      </c>
      <c r="O382" s="761">
        <v>2213.387</v>
      </c>
      <c r="P382" s="73"/>
      <c r="Q382" s="73"/>
    </row>
    <row r="383" spans="1:17" ht="38.25">
      <c r="A383" s="180">
        <v>6</v>
      </c>
      <c r="B383" s="74" t="s">
        <v>517</v>
      </c>
      <c r="C383" s="79">
        <v>320</v>
      </c>
      <c r="D383" s="79">
        <v>377</v>
      </c>
      <c r="E383" s="75">
        <f t="shared" si="25"/>
        <v>1.178125</v>
      </c>
      <c r="F383" s="75">
        <f t="shared" si="26"/>
        <v>1.41525</v>
      </c>
      <c r="G383" s="73"/>
      <c r="H383" s="73"/>
      <c r="I383" s="73"/>
      <c r="J383" s="73"/>
      <c r="K383" s="73"/>
      <c r="L383" s="73"/>
      <c r="M383" s="73"/>
      <c r="N383" s="89"/>
      <c r="O383" s="89"/>
      <c r="P383" s="73"/>
      <c r="Q383" s="73"/>
    </row>
    <row r="384" spans="1:17" ht="12.75">
      <c r="A384" s="180"/>
      <c r="B384" s="73"/>
      <c r="C384" s="79"/>
      <c r="D384" s="79"/>
      <c r="E384" s="73"/>
      <c r="F384" s="73"/>
      <c r="G384" s="73"/>
      <c r="H384" s="73"/>
      <c r="I384" s="73"/>
      <c r="J384" s="73"/>
      <c r="K384" s="73"/>
      <c r="L384" s="73"/>
      <c r="M384" s="73"/>
      <c r="N384" s="89"/>
      <c r="O384" s="89"/>
      <c r="P384" s="73"/>
      <c r="Q384" s="73"/>
    </row>
    <row r="385" spans="1:17" ht="12.75">
      <c r="A385" s="180"/>
      <c r="B385" s="73"/>
      <c r="C385" s="79"/>
      <c r="D385" s="79"/>
      <c r="E385" s="73"/>
      <c r="F385" s="73"/>
      <c r="G385" s="73"/>
      <c r="H385" s="73"/>
      <c r="I385" s="73"/>
      <c r="J385" s="73"/>
      <c r="K385" s="73"/>
      <c r="L385" s="73"/>
      <c r="M385" s="73"/>
      <c r="N385" s="89"/>
      <c r="O385" s="89"/>
      <c r="P385" s="73"/>
      <c r="Q385" s="73"/>
    </row>
    <row r="386" spans="1:17" ht="12.75">
      <c r="A386" s="180"/>
      <c r="B386" s="73"/>
      <c r="C386" s="79"/>
      <c r="D386" s="79"/>
      <c r="E386" s="73"/>
      <c r="F386" s="73"/>
      <c r="G386" s="73"/>
      <c r="H386" s="73"/>
      <c r="I386" s="73"/>
      <c r="J386" s="73"/>
      <c r="K386" s="73"/>
      <c r="L386" s="73"/>
      <c r="M386" s="73"/>
      <c r="N386" s="89"/>
      <c r="O386" s="89"/>
      <c r="P386" s="73"/>
      <c r="Q386" s="73"/>
    </row>
    <row r="387" spans="1:17" ht="12.75">
      <c r="A387" s="180"/>
      <c r="B387" s="73"/>
      <c r="C387" s="79"/>
      <c r="D387" s="79"/>
      <c r="E387" s="73"/>
      <c r="F387" s="73"/>
      <c r="G387" s="73"/>
      <c r="H387" s="73"/>
      <c r="I387" s="73"/>
      <c r="J387" s="73"/>
      <c r="K387" s="73"/>
      <c r="L387" s="73"/>
      <c r="M387" s="73"/>
      <c r="N387" s="89"/>
      <c r="O387" s="89"/>
      <c r="P387" s="73"/>
      <c r="Q387" s="73"/>
    </row>
    <row r="388" spans="1:17" ht="12.75">
      <c r="A388" s="180"/>
      <c r="B388" s="73"/>
      <c r="C388" s="79"/>
      <c r="D388" s="79"/>
      <c r="E388" s="73"/>
      <c r="F388" s="73"/>
      <c r="G388" s="73"/>
      <c r="H388" s="73"/>
      <c r="I388" s="73"/>
      <c r="J388" s="73"/>
      <c r="K388" s="73"/>
      <c r="L388" s="73"/>
      <c r="M388" s="73"/>
      <c r="N388" s="89"/>
      <c r="O388" s="89"/>
      <c r="P388" s="73"/>
      <c r="Q388" s="73"/>
    </row>
    <row r="389" spans="1:17" ht="12.75">
      <c r="A389" s="180"/>
      <c r="B389" s="73"/>
      <c r="C389" s="79"/>
      <c r="D389" s="79"/>
      <c r="E389" s="73"/>
      <c r="F389" s="73"/>
      <c r="G389" s="73"/>
      <c r="H389" s="73"/>
      <c r="I389" s="73"/>
      <c r="J389" s="73"/>
      <c r="K389" s="73"/>
      <c r="L389" s="73"/>
      <c r="M389" s="73"/>
      <c r="N389" s="89"/>
      <c r="O389" s="89"/>
      <c r="P389" s="73"/>
      <c r="Q389" s="73"/>
    </row>
    <row r="390" spans="1:17" ht="12.75">
      <c r="A390" s="180"/>
      <c r="B390" s="73"/>
      <c r="C390" s="79"/>
      <c r="D390" s="79"/>
      <c r="E390" s="73"/>
      <c r="F390" s="73"/>
      <c r="G390" s="73"/>
      <c r="H390" s="73"/>
      <c r="I390" s="73"/>
      <c r="J390" s="73"/>
      <c r="K390" s="73"/>
      <c r="L390" s="73"/>
      <c r="M390" s="73"/>
      <c r="N390" s="89"/>
      <c r="O390" s="89"/>
      <c r="P390" s="73"/>
      <c r="Q390" s="73"/>
    </row>
    <row r="391" spans="1:17" ht="12.75">
      <c r="A391" s="180"/>
      <c r="B391" s="73"/>
      <c r="C391" s="79"/>
      <c r="D391" s="79"/>
      <c r="E391" s="73"/>
      <c r="F391" s="73"/>
      <c r="G391" s="73"/>
      <c r="H391" s="73"/>
      <c r="I391" s="73"/>
      <c r="J391" s="73"/>
      <c r="K391" s="73"/>
      <c r="L391" s="73"/>
      <c r="M391" s="73"/>
      <c r="N391" s="89"/>
      <c r="O391" s="89"/>
      <c r="P391" s="73"/>
      <c r="Q391" s="73"/>
    </row>
    <row r="392" spans="1:17" ht="12.75">
      <c r="A392" s="180"/>
      <c r="B392" s="73"/>
      <c r="C392" s="79"/>
      <c r="D392" s="79"/>
      <c r="E392" s="73"/>
      <c r="F392" s="73"/>
      <c r="G392" s="73"/>
      <c r="H392" s="73"/>
      <c r="I392" s="73"/>
      <c r="J392" s="73"/>
      <c r="K392" s="73"/>
      <c r="L392" s="73"/>
      <c r="M392" s="73"/>
      <c r="N392" s="89"/>
      <c r="O392" s="89"/>
      <c r="P392" s="73"/>
      <c r="Q392" s="73"/>
    </row>
    <row r="393" spans="1:20" ht="13.5" thickBot="1">
      <c r="A393" s="181"/>
      <c r="B393" s="82" t="s">
        <v>445</v>
      </c>
      <c r="C393" s="83"/>
      <c r="D393" s="83"/>
      <c r="E393" s="81"/>
      <c r="F393" s="81"/>
      <c r="G393" s="84">
        <f aca="true" t="shared" si="27" ref="G393:O393">SUM(G378:G392)</f>
        <v>8773.226</v>
      </c>
      <c r="H393" s="84">
        <f t="shared" si="27"/>
        <v>0</v>
      </c>
      <c r="I393" s="84">
        <f t="shared" si="27"/>
        <v>0</v>
      </c>
      <c r="J393" s="84">
        <f t="shared" si="27"/>
        <v>0</v>
      </c>
      <c r="K393" s="84">
        <f t="shared" si="27"/>
        <v>0</v>
      </c>
      <c r="L393" s="84">
        <f t="shared" si="27"/>
        <v>0</v>
      </c>
      <c r="M393" s="84">
        <f t="shared" si="27"/>
        <v>0</v>
      </c>
      <c r="N393" s="84">
        <f>SUM(N378:N392)</f>
        <v>8773.226</v>
      </c>
      <c r="O393" s="84">
        <f t="shared" si="27"/>
        <v>8773.226</v>
      </c>
      <c r="P393" s="81"/>
      <c r="Q393" s="81"/>
      <c r="R393" s="718">
        <f>+N234+N266+N298+N330+N361+N393</f>
        <v>4765421.031</v>
      </c>
      <c r="S393" s="153">
        <f>+O234+O266+O298+O330+O361+O393</f>
        <v>3983890.8585</v>
      </c>
      <c r="T393" s="87">
        <f>+R393-S393</f>
        <v>781530.1725000003</v>
      </c>
    </row>
    <row r="394" spans="1:19" ht="12.75">
      <c r="A394" s="878" t="s">
        <v>420</v>
      </c>
      <c r="B394" s="878"/>
      <c r="C394" s="878"/>
      <c r="D394" s="878"/>
      <c r="E394" s="878"/>
      <c r="F394" s="878"/>
      <c r="G394" s="878"/>
      <c r="H394" s="878"/>
      <c r="I394" s="878"/>
      <c r="J394" s="878"/>
      <c r="K394" s="878"/>
      <c r="L394" s="878"/>
      <c r="M394" s="878"/>
      <c r="N394" s="878"/>
      <c r="O394" s="878"/>
      <c r="P394" s="878"/>
      <c r="Q394" s="878"/>
      <c r="R394" s="153">
        <f>'Resumen presupuesto ejecutado'!D49/1000</f>
        <v>4765421.031</v>
      </c>
      <c r="S394" s="153">
        <f>'Resumen presupuesto ejecutado'!E49/1000</f>
        <v>3983890.86</v>
      </c>
    </row>
    <row r="395" spans="1:23" s="39" customFormat="1" ht="16.5" thickBot="1">
      <c r="A395" s="891" t="s">
        <v>609</v>
      </c>
      <c r="B395" s="891"/>
      <c r="C395" s="891"/>
      <c r="D395" s="891"/>
      <c r="E395" s="891"/>
      <c r="F395" s="891"/>
      <c r="G395" s="891"/>
      <c r="H395" s="891"/>
      <c r="I395" s="891"/>
      <c r="J395" s="891"/>
      <c r="K395" s="891"/>
      <c r="L395" s="891"/>
      <c r="M395" s="891"/>
      <c r="N395" s="891"/>
      <c r="O395" s="891"/>
      <c r="P395" s="891"/>
      <c r="Q395" s="891"/>
      <c r="R395" s="721">
        <f>R393-R394</f>
        <v>0</v>
      </c>
      <c r="S395" s="721">
        <f>+S393-S394</f>
        <v>-0.0014999997802078724</v>
      </c>
      <c r="W395" s="184"/>
    </row>
    <row r="396" spans="1:23" s="39" customFormat="1" ht="13.5" thickBot="1">
      <c r="A396" s="175"/>
      <c r="C396" s="40"/>
      <c r="D396" s="40"/>
      <c r="N396" s="755"/>
      <c r="O396" s="755"/>
      <c r="P396" s="892" t="s">
        <v>554</v>
      </c>
      <c r="Q396" s="893"/>
      <c r="R396" s="184"/>
      <c r="S396" s="184"/>
      <c r="W396" s="184"/>
    </row>
    <row r="397" spans="1:17" ht="12.75">
      <c r="A397" s="878" t="s">
        <v>76</v>
      </c>
      <c r="B397" s="878"/>
      <c r="C397" s="878"/>
      <c r="D397" s="878"/>
      <c r="E397" s="878"/>
      <c r="F397" s="878"/>
      <c r="P397" s="889" t="s">
        <v>74</v>
      </c>
      <c r="Q397" s="889"/>
    </row>
    <row r="398" spans="1:17" ht="12.75">
      <c r="A398" s="878" t="s">
        <v>77</v>
      </c>
      <c r="B398" s="879"/>
      <c r="C398" s="879"/>
      <c r="D398" s="879"/>
      <c r="E398" s="879"/>
      <c r="F398" s="879"/>
      <c r="P398" s="890" t="s">
        <v>75</v>
      </c>
      <c r="Q398" s="890"/>
    </row>
    <row r="399" spans="1:9" ht="12.75">
      <c r="A399" s="878" t="s">
        <v>808</v>
      </c>
      <c r="B399" s="879"/>
      <c r="C399" s="879"/>
      <c r="D399" s="879"/>
      <c r="E399" s="879"/>
      <c r="F399" s="879"/>
      <c r="G399" s="38" t="s">
        <v>72</v>
      </c>
      <c r="I399" s="41">
        <v>39083</v>
      </c>
    </row>
    <row r="401" spans="1:17" ht="13.5" thickBot="1">
      <c r="A401" s="268"/>
      <c r="B401" s="264"/>
      <c r="C401" s="265"/>
      <c r="D401" s="265"/>
      <c r="E401" s="266"/>
      <c r="F401" s="269"/>
      <c r="G401" s="270"/>
      <c r="H401" s="267"/>
      <c r="I401" s="267"/>
      <c r="J401" s="267"/>
      <c r="K401" s="267"/>
      <c r="L401" s="267"/>
      <c r="M401" s="267"/>
      <c r="N401" s="267"/>
      <c r="O401" s="267"/>
      <c r="P401" s="271"/>
      <c r="Q401" s="269"/>
    </row>
    <row r="402" spans="1:17" ht="13.5" thickBot="1">
      <c r="A402" s="177" t="s">
        <v>424</v>
      </c>
      <c r="B402" s="43"/>
      <c r="C402" s="44" t="s">
        <v>97</v>
      </c>
      <c r="D402" s="44"/>
      <c r="E402" s="43"/>
      <c r="F402" s="45"/>
      <c r="G402" s="880" t="s">
        <v>425</v>
      </c>
      <c r="H402" s="881"/>
      <c r="I402" s="881"/>
      <c r="J402" s="881"/>
      <c r="K402" s="881"/>
      <c r="L402" s="881"/>
      <c r="M402" s="881"/>
      <c r="N402" s="881"/>
      <c r="O402" s="882"/>
      <c r="P402" s="880" t="s">
        <v>426</v>
      </c>
      <c r="Q402" s="882"/>
    </row>
    <row r="403" spans="1:17" ht="15">
      <c r="A403" s="178" t="s">
        <v>422</v>
      </c>
      <c r="B403" s="47"/>
      <c r="C403" s="48" t="s">
        <v>546</v>
      </c>
      <c r="D403" s="48"/>
      <c r="E403" s="47"/>
      <c r="F403" s="49"/>
      <c r="G403" s="883" t="s">
        <v>456</v>
      </c>
      <c r="H403" s="884"/>
      <c r="I403" s="884"/>
      <c r="J403" s="884"/>
      <c r="K403" s="884"/>
      <c r="L403" s="884"/>
      <c r="M403" s="884"/>
      <c r="N403" s="884"/>
      <c r="O403" s="885"/>
      <c r="P403" s="50"/>
      <c r="Q403" s="14" t="s">
        <v>409</v>
      </c>
    </row>
    <row r="404" spans="1:17" ht="24" customHeight="1" thickBot="1">
      <c r="A404" s="179" t="s">
        <v>423</v>
      </c>
      <c r="B404" s="52"/>
      <c r="C404" s="53" t="s">
        <v>545</v>
      </c>
      <c r="D404" s="53"/>
      <c r="E404" s="52"/>
      <c r="F404" s="54"/>
      <c r="G404" s="886"/>
      <c r="H404" s="887"/>
      <c r="I404" s="887"/>
      <c r="J404" s="887"/>
      <c r="K404" s="887"/>
      <c r="L404" s="887"/>
      <c r="M404" s="887"/>
      <c r="N404" s="887"/>
      <c r="O404" s="888"/>
      <c r="P404" s="55"/>
      <c r="Q404" s="56"/>
    </row>
    <row r="405" spans="1:2" ht="13.5" thickBot="1">
      <c r="A405" s="176" t="s">
        <v>73</v>
      </c>
      <c r="B405" s="57"/>
    </row>
    <row r="406" spans="1:17" ht="12.75">
      <c r="A406" s="869" t="s">
        <v>431</v>
      </c>
      <c r="B406" s="870"/>
      <c r="C406" s="870"/>
      <c r="D406" s="870"/>
      <c r="E406" s="870"/>
      <c r="F406" s="871"/>
      <c r="G406" s="872" t="s">
        <v>427</v>
      </c>
      <c r="H406" s="873"/>
      <c r="I406" s="873"/>
      <c r="J406" s="873"/>
      <c r="K406" s="873"/>
      <c r="L406" s="873"/>
      <c r="M406" s="873"/>
      <c r="N406" s="873"/>
      <c r="O406" s="874"/>
      <c r="P406" s="875" t="s">
        <v>428</v>
      </c>
      <c r="Q406" s="874" t="s">
        <v>429</v>
      </c>
    </row>
    <row r="407" spans="1:17" ht="13.5" thickBot="1">
      <c r="A407" s="61"/>
      <c r="B407" s="62"/>
      <c r="C407" s="63"/>
      <c r="D407" s="63"/>
      <c r="E407" s="62"/>
      <c r="F407" s="64"/>
      <c r="G407" s="61"/>
      <c r="H407" s="62"/>
      <c r="I407" s="62"/>
      <c r="J407" s="62"/>
      <c r="K407" s="62"/>
      <c r="L407" s="62"/>
      <c r="M407" s="62"/>
      <c r="N407" s="756"/>
      <c r="O407" s="757"/>
      <c r="P407" s="876"/>
      <c r="Q407" s="877"/>
    </row>
    <row r="408" spans="1:17" ht="52.5" thickBot="1">
      <c r="A408" s="35" t="s">
        <v>430</v>
      </c>
      <c r="B408" s="65" t="s">
        <v>432</v>
      </c>
      <c r="C408" s="66" t="s">
        <v>433</v>
      </c>
      <c r="D408" s="66" t="s">
        <v>434</v>
      </c>
      <c r="E408" s="37" t="s">
        <v>435</v>
      </c>
      <c r="F408" s="36" t="s">
        <v>446</v>
      </c>
      <c r="G408" s="67" t="s">
        <v>436</v>
      </c>
      <c r="H408" s="68" t="s">
        <v>437</v>
      </c>
      <c r="I408" s="68" t="s">
        <v>438</v>
      </c>
      <c r="J408" s="68" t="s">
        <v>439</v>
      </c>
      <c r="K408" s="68" t="s">
        <v>440</v>
      </c>
      <c r="L408" s="68" t="s">
        <v>441</v>
      </c>
      <c r="M408" s="68" t="s">
        <v>442</v>
      </c>
      <c r="N408" s="773" t="s">
        <v>443</v>
      </c>
      <c r="O408" s="774" t="s">
        <v>444</v>
      </c>
      <c r="P408" s="876"/>
      <c r="Q408" s="877"/>
    </row>
    <row r="409" spans="1:17" ht="38.25">
      <c r="A409" s="105">
        <v>1</v>
      </c>
      <c r="B409" s="70" t="s">
        <v>796</v>
      </c>
      <c r="C409" s="367">
        <v>180</v>
      </c>
      <c r="D409" s="367">
        <v>185</v>
      </c>
      <c r="E409" s="93">
        <f>D409/C409</f>
        <v>1.0277777777777777</v>
      </c>
      <c r="F409" s="71">
        <f>895/408</f>
        <v>2.1936274509803924</v>
      </c>
      <c r="G409" s="72">
        <v>15000</v>
      </c>
      <c r="H409" s="72"/>
      <c r="I409" s="72"/>
      <c r="J409" s="72"/>
      <c r="K409" s="72"/>
      <c r="L409" s="72"/>
      <c r="M409" s="72"/>
      <c r="N409" s="760">
        <f>+G409+H409</f>
        <v>15000</v>
      </c>
      <c r="O409" s="786">
        <f>(40000-25000-3960)</f>
        <v>11040</v>
      </c>
      <c r="P409" s="347" t="s">
        <v>368</v>
      </c>
      <c r="Q409" s="69"/>
    </row>
    <row r="410" spans="1:17" ht="51">
      <c r="A410" s="115">
        <v>2</v>
      </c>
      <c r="B410" s="106" t="s">
        <v>797</v>
      </c>
      <c r="C410" s="371">
        <v>35</v>
      </c>
      <c r="D410" s="371">
        <v>60</v>
      </c>
      <c r="E410" s="328">
        <f>D410/C410</f>
        <v>1.7142857142857142</v>
      </c>
      <c r="F410" s="75">
        <f>895/408</f>
        <v>2.1936274509803924</v>
      </c>
      <c r="G410" s="114">
        <v>25000</v>
      </c>
      <c r="H410" s="114"/>
      <c r="I410" s="114"/>
      <c r="J410" s="114"/>
      <c r="K410" s="114"/>
      <c r="L410" s="114"/>
      <c r="M410" s="114"/>
      <c r="N410" s="786">
        <f>+G410+H410</f>
        <v>25000</v>
      </c>
      <c r="O410" s="786">
        <f>25000</f>
        <v>25000</v>
      </c>
      <c r="P410" s="348" t="s">
        <v>368</v>
      </c>
      <c r="Q410" s="116"/>
    </row>
    <row r="411" spans="1:17" ht="38.25">
      <c r="A411" s="180">
        <v>3</v>
      </c>
      <c r="B411" s="109" t="s">
        <v>262</v>
      </c>
      <c r="C411" s="79">
        <v>50</v>
      </c>
      <c r="D411" s="79">
        <v>50</v>
      </c>
      <c r="E411" s="328">
        <f>D411/C411</f>
        <v>1</v>
      </c>
      <c r="F411" s="75">
        <f>895/408</f>
        <v>2.1936274509803924</v>
      </c>
      <c r="G411" s="114">
        <v>3000</v>
      </c>
      <c r="H411" s="114"/>
      <c r="I411" s="114"/>
      <c r="J411" s="114"/>
      <c r="K411" s="114"/>
      <c r="L411" s="114"/>
      <c r="M411" s="114"/>
      <c r="N411" s="786">
        <f>+G411+H411</f>
        <v>3000</v>
      </c>
      <c r="O411" s="786">
        <f>3012-26</f>
        <v>2986</v>
      </c>
      <c r="P411" s="348" t="s">
        <v>368</v>
      </c>
      <c r="Q411" s="73"/>
    </row>
    <row r="412" spans="1:17" ht="25.5">
      <c r="A412" s="180">
        <v>4</v>
      </c>
      <c r="B412" s="118" t="s">
        <v>53</v>
      </c>
      <c r="C412" s="79">
        <v>300</v>
      </c>
      <c r="D412" s="79">
        <v>300</v>
      </c>
      <c r="E412" s="328">
        <f>D412/C412</f>
        <v>1</v>
      </c>
      <c r="F412" s="75">
        <f>895/408</f>
        <v>2.1936274509803924</v>
      </c>
      <c r="G412" s="73"/>
      <c r="H412" s="73"/>
      <c r="I412" s="73"/>
      <c r="J412" s="73"/>
      <c r="K412" s="73"/>
      <c r="L412" s="73"/>
      <c r="M412" s="73"/>
      <c r="N412" s="785">
        <f>+G412+H412</f>
        <v>0</v>
      </c>
      <c r="O412" s="89"/>
      <c r="P412" s="348" t="s">
        <v>368</v>
      </c>
      <c r="Q412" s="73"/>
    </row>
    <row r="413" spans="1:17" ht="25.5">
      <c r="A413" s="180">
        <v>5</v>
      </c>
      <c r="B413" s="118" t="s">
        <v>281</v>
      </c>
      <c r="C413" s="79">
        <v>300</v>
      </c>
      <c r="D413" s="79">
        <v>300</v>
      </c>
      <c r="E413" s="328">
        <f>D413/C413</f>
        <v>1</v>
      </c>
      <c r="F413" s="75">
        <f>895/408</f>
        <v>2.1936274509803924</v>
      </c>
      <c r="G413" s="73"/>
      <c r="H413" s="73"/>
      <c r="I413" s="73"/>
      <c r="J413" s="73"/>
      <c r="K413" s="73"/>
      <c r="L413" s="73"/>
      <c r="M413" s="73"/>
      <c r="N413" s="785">
        <f>+G413+H413</f>
        <v>0</v>
      </c>
      <c r="O413" s="89"/>
      <c r="P413" s="348" t="s">
        <v>368</v>
      </c>
      <c r="Q413" s="73"/>
    </row>
    <row r="414" spans="1:17" ht="12.75">
      <c r="A414" s="180"/>
      <c r="B414" s="74"/>
      <c r="C414" s="79"/>
      <c r="D414" s="79"/>
      <c r="E414" s="73"/>
      <c r="F414" s="73"/>
      <c r="G414" s="73"/>
      <c r="H414" s="73"/>
      <c r="I414" s="73"/>
      <c r="J414" s="73"/>
      <c r="K414" s="73"/>
      <c r="L414" s="73"/>
      <c r="M414" s="73"/>
      <c r="N414" s="89"/>
      <c r="O414" s="89"/>
      <c r="P414" s="73"/>
      <c r="Q414" s="73"/>
    </row>
    <row r="415" spans="1:17" ht="12.75">
      <c r="A415" s="180"/>
      <c r="B415" s="74"/>
      <c r="C415" s="79"/>
      <c r="D415" s="79"/>
      <c r="E415" s="73"/>
      <c r="F415" s="73"/>
      <c r="G415" s="73"/>
      <c r="H415" s="73"/>
      <c r="I415" s="73"/>
      <c r="J415" s="73"/>
      <c r="K415" s="73"/>
      <c r="L415" s="73"/>
      <c r="M415" s="73"/>
      <c r="N415" s="89"/>
      <c r="O415" s="89"/>
      <c r="P415" s="73"/>
      <c r="Q415" s="73"/>
    </row>
    <row r="416" spans="1:17" ht="12.75">
      <c r="A416" s="180"/>
      <c r="B416" s="74"/>
      <c r="C416" s="79"/>
      <c r="D416" s="79"/>
      <c r="E416" s="73"/>
      <c r="F416" s="73"/>
      <c r="G416" s="73"/>
      <c r="H416" s="73"/>
      <c r="I416" s="73"/>
      <c r="J416" s="73"/>
      <c r="K416" s="73"/>
      <c r="L416" s="73"/>
      <c r="M416" s="73"/>
      <c r="N416" s="89"/>
      <c r="O416" s="89"/>
      <c r="P416" s="73"/>
      <c r="Q416" s="73"/>
    </row>
    <row r="417" spans="1:17" ht="12.75">
      <c r="A417" s="180"/>
      <c r="B417" s="73"/>
      <c r="C417" s="79"/>
      <c r="D417" s="79"/>
      <c r="E417" s="73"/>
      <c r="F417" s="73"/>
      <c r="G417" s="73"/>
      <c r="H417" s="73"/>
      <c r="I417" s="73"/>
      <c r="J417" s="73"/>
      <c r="K417" s="73"/>
      <c r="L417" s="73"/>
      <c r="M417" s="73"/>
      <c r="N417" s="89"/>
      <c r="O417" s="89"/>
      <c r="P417" s="73"/>
      <c r="Q417" s="73"/>
    </row>
    <row r="418" spans="1:17" ht="12.75">
      <c r="A418" s="180"/>
      <c r="B418" s="73"/>
      <c r="C418" s="79"/>
      <c r="D418" s="79"/>
      <c r="E418" s="73"/>
      <c r="F418" s="73"/>
      <c r="G418" s="73"/>
      <c r="H418" s="73"/>
      <c r="I418" s="73"/>
      <c r="J418" s="73"/>
      <c r="K418" s="73"/>
      <c r="L418" s="73"/>
      <c r="M418" s="73"/>
      <c r="N418" s="89"/>
      <c r="O418" s="89"/>
      <c r="P418" s="73"/>
      <c r="Q418" s="73"/>
    </row>
    <row r="419" spans="1:17" ht="12.75">
      <c r="A419" s="180"/>
      <c r="B419" s="73"/>
      <c r="C419" s="79"/>
      <c r="D419" s="79"/>
      <c r="E419" s="73"/>
      <c r="F419" s="73"/>
      <c r="G419" s="73"/>
      <c r="H419" s="73"/>
      <c r="I419" s="73"/>
      <c r="J419" s="73"/>
      <c r="K419" s="73"/>
      <c r="L419" s="73"/>
      <c r="M419" s="73"/>
      <c r="N419" s="89"/>
      <c r="O419" s="89"/>
      <c r="P419" s="73"/>
      <c r="Q419" s="73"/>
    </row>
    <row r="420" spans="1:17" ht="12.75">
      <c r="A420" s="180"/>
      <c r="B420" s="73"/>
      <c r="C420" s="79"/>
      <c r="D420" s="79"/>
      <c r="E420" s="73"/>
      <c r="F420" s="73"/>
      <c r="G420" s="73"/>
      <c r="H420" s="73"/>
      <c r="I420" s="73"/>
      <c r="J420" s="73"/>
      <c r="K420" s="73"/>
      <c r="L420" s="73"/>
      <c r="M420" s="73"/>
      <c r="N420" s="89"/>
      <c r="O420" s="89"/>
      <c r="P420" s="73"/>
      <c r="Q420" s="73"/>
    </row>
    <row r="421" spans="1:17" ht="12.75">
      <c r="A421" s="180"/>
      <c r="B421" s="73"/>
      <c r="C421" s="79"/>
      <c r="D421" s="79"/>
      <c r="E421" s="73"/>
      <c r="F421" s="73"/>
      <c r="G421" s="73"/>
      <c r="H421" s="73"/>
      <c r="I421" s="73"/>
      <c r="J421" s="73"/>
      <c r="K421" s="73"/>
      <c r="L421" s="73"/>
      <c r="M421" s="73"/>
      <c r="N421" s="89"/>
      <c r="O421" s="89"/>
      <c r="P421" s="73"/>
      <c r="Q421" s="73"/>
    </row>
    <row r="422" spans="1:17" ht="12.75">
      <c r="A422" s="180"/>
      <c r="B422" s="73"/>
      <c r="C422" s="79"/>
      <c r="D422" s="79"/>
      <c r="E422" s="73"/>
      <c r="F422" s="73"/>
      <c r="G422" s="73"/>
      <c r="H422" s="73"/>
      <c r="I422" s="73"/>
      <c r="J422" s="73"/>
      <c r="K422" s="73"/>
      <c r="L422" s="73"/>
      <c r="M422" s="73"/>
      <c r="N422" s="89"/>
      <c r="O422" s="89"/>
      <c r="P422" s="73"/>
      <c r="Q422" s="73"/>
    </row>
    <row r="423" spans="1:17" ht="12.75">
      <c r="A423" s="180"/>
      <c r="B423" s="73"/>
      <c r="C423" s="79"/>
      <c r="D423" s="79"/>
      <c r="E423" s="73"/>
      <c r="F423" s="73"/>
      <c r="G423" s="73"/>
      <c r="H423" s="73"/>
      <c r="I423" s="73"/>
      <c r="J423" s="73"/>
      <c r="K423" s="73"/>
      <c r="L423" s="73"/>
      <c r="M423" s="73"/>
      <c r="N423" s="89"/>
      <c r="O423" s="89"/>
      <c r="P423" s="73"/>
      <c r="Q423" s="73"/>
    </row>
    <row r="424" spans="1:17" ht="12.75">
      <c r="A424" s="180"/>
      <c r="B424" s="73"/>
      <c r="C424" s="79"/>
      <c r="D424" s="79"/>
      <c r="E424" s="73"/>
      <c r="F424" s="73"/>
      <c r="G424" s="73"/>
      <c r="H424" s="73"/>
      <c r="I424" s="73"/>
      <c r="J424" s="73"/>
      <c r="K424" s="73"/>
      <c r="L424" s="73"/>
      <c r="M424" s="73"/>
      <c r="N424" s="89"/>
      <c r="O424" s="89"/>
      <c r="P424" s="73"/>
      <c r="Q424" s="73"/>
    </row>
    <row r="425" spans="1:19" ht="12.75">
      <c r="A425" s="180"/>
      <c r="B425" s="73"/>
      <c r="C425" s="79"/>
      <c r="D425" s="79"/>
      <c r="E425" s="73"/>
      <c r="F425" s="73"/>
      <c r="G425" s="73"/>
      <c r="H425" s="73"/>
      <c r="I425" s="73"/>
      <c r="J425" s="73"/>
      <c r="K425" s="73"/>
      <c r="L425" s="73"/>
      <c r="M425" s="73"/>
      <c r="N425" s="89"/>
      <c r="O425" s="89"/>
      <c r="P425" s="73"/>
      <c r="Q425" s="73"/>
      <c r="R425" s="153">
        <f>('Resumen presupuesto ejecutado'!D53+'Resumen presupuesto ejecutado'!D57)/1000</f>
        <v>43000</v>
      </c>
      <c r="S425" s="153">
        <f>('Resumen presupuesto ejecutado'!E53+'Resumen presupuesto ejecutado'!E57)/1000</f>
        <v>39026</v>
      </c>
    </row>
    <row r="426" spans="1:19" ht="13.5" thickBot="1">
      <c r="A426" s="181"/>
      <c r="B426" s="82" t="s">
        <v>445</v>
      </c>
      <c r="C426" s="83"/>
      <c r="D426" s="83"/>
      <c r="E426" s="81"/>
      <c r="F426" s="81"/>
      <c r="G426" s="84">
        <f aca="true" t="shared" si="28" ref="G426:M426">SUM(G409:G425)</f>
        <v>43000</v>
      </c>
      <c r="H426" s="84">
        <f t="shared" si="28"/>
        <v>0</v>
      </c>
      <c r="I426" s="84">
        <f t="shared" si="28"/>
        <v>0</v>
      </c>
      <c r="J426" s="84">
        <f t="shared" si="28"/>
        <v>0</v>
      </c>
      <c r="K426" s="84">
        <f t="shared" si="28"/>
        <v>0</v>
      </c>
      <c r="L426" s="84">
        <f t="shared" si="28"/>
        <v>0</v>
      </c>
      <c r="M426" s="84">
        <f t="shared" si="28"/>
        <v>0</v>
      </c>
      <c r="N426" s="762">
        <f>SUM(N409:N425)</f>
        <v>43000</v>
      </c>
      <c r="O426" s="762">
        <f>SUM(O409:O425)</f>
        <v>39026</v>
      </c>
      <c r="P426" s="81"/>
      <c r="Q426" s="81"/>
      <c r="R426" s="153">
        <f>R425-N426</f>
        <v>0</v>
      </c>
      <c r="S426" s="153">
        <f>S425-O426</f>
        <v>0</v>
      </c>
    </row>
    <row r="428" spans="1:17" ht="12.75">
      <c r="A428" s="878" t="s">
        <v>420</v>
      </c>
      <c r="B428" s="878"/>
      <c r="C428" s="878"/>
      <c r="D428" s="878"/>
      <c r="E428" s="878"/>
      <c r="F428" s="878"/>
      <c r="G428" s="878"/>
      <c r="H428" s="878"/>
      <c r="I428" s="878"/>
      <c r="J428" s="878"/>
      <c r="K428" s="878"/>
      <c r="L428" s="878"/>
      <c r="M428" s="878"/>
      <c r="N428" s="878"/>
      <c r="O428" s="878"/>
      <c r="P428" s="878"/>
      <c r="Q428" s="878"/>
    </row>
    <row r="429" spans="1:23" s="39" customFormat="1" ht="16.5" thickBot="1">
      <c r="A429" s="891" t="s">
        <v>609</v>
      </c>
      <c r="B429" s="891"/>
      <c r="C429" s="891"/>
      <c r="D429" s="891"/>
      <c r="E429" s="891"/>
      <c r="F429" s="891"/>
      <c r="G429" s="891"/>
      <c r="H429" s="891"/>
      <c r="I429" s="891"/>
      <c r="J429" s="891"/>
      <c r="K429" s="891"/>
      <c r="L429" s="891"/>
      <c r="M429" s="891"/>
      <c r="N429" s="891"/>
      <c r="O429" s="891"/>
      <c r="P429" s="891"/>
      <c r="Q429" s="891"/>
      <c r="R429" s="184"/>
      <c r="S429" s="184"/>
      <c r="W429" s="184"/>
    </row>
    <row r="430" spans="1:23" s="39" customFormat="1" ht="13.5" thickBot="1">
      <c r="A430" s="175"/>
      <c r="C430" s="40"/>
      <c r="D430" s="40"/>
      <c r="N430" s="755"/>
      <c r="O430" s="755"/>
      <c r="P430" s="892" t="s">
        <v>558</v>
      </c>
      <c r="Q430" s="893"/>
      <c r="R430" s="184"/>
      <c r="S430" s="184"/>
      <c r="W430" s="184"/>
    </row>
    <row r="431" spans="1:17" ht="12.75">
      <c r="A431" s="878" t="s">
        <v>76</v>
      </c>
      <c r="B431" s="878"/>
      <c r="C431" s="878"/>
      <c r="D431" s="878"/>
      <c r="E431" s="878"/>
      <c r="F431" s="878"/>
      <c r="P431" s="889" t="s">
        <v>74</v>
      </c>
      <c r="Q431" s="889"/>
    </row>
    <row r="432" spans="1:17" ht="12.75">
      <c r="A432" s="878" t="s">
        <v>77</v>
      </c>
      <c r="B432" s="879"/>
      <c r="C432" s="879"/>
      <c r="D432" s="879"/>
      <c r="E432" s="879"/>
      <c r="F432" s="879"/>
      <c r="P432" s="890" t="s">
        <v>75</v>
      </c>
      <c r="Q432" s="890"/>
    </row>
    <row r="433" spans="1:9" ht="12.75">
      <c r="A433" s="878" t="s">
        <v>808</v>
      </c>
      <c r="B433" s="879"/>
      <c r="C433" s="879"/>
      <c r="D433" s="879"/>
      <c r="E433" s="879"/>
      <c r="F433" s="879"/>
      <c r="G433" s="38" t="s">
        <v>72</v>
      </c>
      <c r="I433" s="41">
        <v>39083</v>
      </c>
    </row>
    <row r="435" ht="13.5" thickBot="1"/>
    <row r="436" spans="1:17" ht="13.5" thickBot="1">
      <c r="A436" s="177" t="s">
        <v>424</v>
      </c>
      <c r="B436" s="43"/>
      <c r="C436" s="44" t="s">
        <v>97</v>
      </c>
      <c r="D436" s="44"/>
      <c r="E436" s="43"/>
      <c r="F436" s="45"/>
      <c r="G436" s="880" t="s">
        <v>425</v>
      </c>
      <c r="H436" s="881"/>
      <c r="I436" s="881"/>
      <c r="J436" s="881"/>
      <c r="K436" s="881"/>
      <c r="L436" s="881"/>
      <c r="M436" s="881"/>
      <c r="N436" s="881"/>
      <c r="O436" s="882"/>
      <c r="P436" s="880" t="s">
        <v>426</v>
      </c>
      <c r="Q436" s="882"/>
    </row>
    <row r="437" spans="1:17" ht="15">
      <c r="A437" s="178" t="s">
        <v>422</v>
      </c>
      <c r="B437" s="47"/>
      <c r="C437" s="48" t="s">
        <v>546</v>
      </c>
      <c r="D437" s="48"/>
      <c r="E437" s="47"/>
      <c r="F437" s="49"/>
      <c r="G437" s="883" t="s">
        <v>457</v>
      </c>
      <c r="H437" s="884"/>
      <c r="I437" s="884"/>
      <c r="J437" s="884"/>
      <c r="K437" s="884"/>
      <c r="L437" s="884"/>
      <c r="M437" s="884"/>
      <c r="N437" s="884"/>
      <c r="O437" s="885"/>
      <c r="P437" s="50"/>
      <c r="Q437" s="14" t="s">
        <v>548</v>
      </c>
    </row>
    <row r="438" spans="1:17" ht="13.5" thickBot="1">
      <c r="A438" s="179" t="s">
        <v>423</v>
      </c>
      <c r="B438" s="52"/>
      <c r="C438" s="53" t="s">
        <v>547</v>
      </c>
      <c r="D438" s="53"/>
      <c r="E438" s="52"/>
      <c r="F438" s="54"/>
      <c r="G438" s="886"/>
      <c r="H438" s="887"/>
      <c r="I438" s="887"/>
      <c r="J438" s="887"/>
      <c r="K438" s="887"/>
      <c r="L438" s="887"/>
      <c r="M438" s="887"/>
      <c r="N438" s="887"/>
      <c r="O438" s="888"/>
      <c r="P438" s="55"/>
      <c r="Q438" s="56"/>
    </row>
    <row r="439" spans="1:2" ht="13.5" thickBot="1">
      <c r="A439" s="176" t="s">
        <v>73</v>
      </c>
      <c r="B439" s="57"/>
    </row>
    <row r="440" spans="1:17" ht="12.75">
      <c r="A440" s="869" t="s">
        <v>431</v>
      </c>
      <c r="B440" s="870"/>
      <c r="C440" s="870"/>
      <c r="D440" s="870"/>
      <c r="E440" s="870"/>
      <c r="F440" s="871"/>
      <c r="G440" s="872" t="s">
        <v>427</v>
      </c>
      <c r="H440" s="873"/>
      <c r="I440" s="873"/>
      <c r="J440" s="873"/>
      <c r="K440" s="873"/>
      <c r="L440" s="873"/>
      <c r="M440" s="873"/>
      <c r="N440" s="873"/>
      <c r="O440" s="874"/>
      <c r="P440" s="875" t="s">
        <v>428</v>
      </c>
      <c r="Q440" s="874" t="s">
        <v>429</v>
      </c>
    </row>
    <row r="441" spans="1:17" ht="13.5" thickBot="1">
      <c r="A441" s="61"/>
      <c r="B441" s="62"/>
      <c r="C441" s="63"/>
      <c r="D441" s="63"/>
      <c r="E441" s="62"/>
      <c r="F441" s="64"/>
      <c r="G441" s="61"/>
      <c r="H441" s="62"/>
      <c r="I441" s="62"/>
      <c r="J441" s="62"/>
      <c r="K441" s="62"/>
      <c r="L441" s="62"/>
      <c r="M441" s="62"/>
      <c r="N441" s="756"/>
      <c r="O441" s="757"/>
      <c r="P441" s="876"/>
      <c r="Q441" s="877"/>
    </row>
    <row r="442" spans="1:17" ht="52.5" thickBot="1">
      <c r="A442" s="35" t="s">
        <v>430</v>
      </c>
      <c r="B442" s="90" t="s">
        <v>432</v>
      </c>
      <c r="C442" s="311" t="s">
        <v>433</v>
      </c>
      <c r="D442" s="243" t="s">
        <v>434</v>
      </c>
      <c r="E442" s="144" t="s">
        <v>435</v>
      </c>
      <c r="F442" s="144" t="s">
        <v>446</v>
      </c>
      <c r="G442" s="67" t="s">
        <v>436</v>
      </c>
      <c r="H442" s="68" t="s">
        <v>437</v>
      </c>
      <c r="I442" s="68" t="s">
        <v>438</v>
      </c>
      <c r="J442" s="68" t="s">
        <v>439</v>
      </c>
      <c r="K442" s="68" t="s">
        <v>440</v>
      </c>
      <c r="L442" s="68" t="s">
        <v>441</v>
      </c>
      <c r="M442" s="68" t="s">
        <v>442</v>
      </c>
      <c r="N442" s="758" t="s">
        <v>443</v>
      </c>
      <c r="O442" s="759" t="s">
        <v>444</v>
      </c>
      <c r="P442" s="876"/>
      <c r="Q442" s="877"/>
    </row>
    <row r="443" spans="1:23" ht="38.25">
      <c r="A443" s="105">
        <v>1</v>
      </c>
      <c r="B443" s="118" t="s">
        <v>263</v>
      </c>
      <c r="C443" s="371">
        <v>45</v>
      </c>
      <c r="D443" s="371">
        <v>46</v>
      </c>
      <c r="E443" s="149">
        <f>D443/C443</f>
        <v>1.0222222222222221</v>
      </c>
      <c r="F443" s="149">
        <f>633/289</f>
        <v>2.190311418685121</v>
      </c>
      <c r="G443" s="107">
        <f>(10000+30152+25000)-20000</f>
        <v>45152</v>
      </c>
      <c r="H443" s="107">
        <f>6000+20000-6000</f>
        <v>20000</v>
      </c>
      <c r="I443" s="107"/>
      <c r="J443" s="107">
        <v>12000</v>
      </c>
      <c r="K443" s="107"/>
      <c r="L443" s="107"/>
      <c r="M443" s="107"/>
      <c r="N443" s="777">
        <f>H443+I443+J443+M443+G443</f>
        <v>77152</v>
      </c>
      <c r="O443" s="777">
        <f>45539.5+44997.5+12000-6000-20000</f>
        <v>76537</v>
      </c>
      <c r="P443" s="69"/>
      <c r="Q443" s="69"/>
      <c r="W443" s="153">
        <v>166922411</v>
      </c>
    </row>
    <row r="444" spans="1:23" ht="25.5">
      <c r="A444" s="180">
        <v>2</v>
      </c>
      <c r="B444" s="118" t="s">
        <v>844</v>
      </c>
      <c r="C444" s="79">
        <v>200</v>
      </c>
      <c r="D444" s="79">
        <v>520</v>
      </c>
      <c r="E444" s="75">
        <f>D444/C444</f>
        <v>2.6</v>
      </c>
      <c r="F444" s="75">
        <f>633/289</f>
        <v>2.190311418685121</v>
      </c>
      <c r="G444" s="95"/>
      <c r="H444" s="95"/>
      <c r="I444" s="95"/>
      <c r="J444" s="95"/>
      <c r="K444" s="95"/>
      <c r="L444" s="95"/>
      <c r="M444" s="95"/>
      <c r="N444" s="771">
        <f>H444+I444+J444+M444+G444</f>
        <v>0</v>
      </c>
      <c r="O444" s="767" t="s">
        <v>843</v>
      </c>
      <c r="P444" s="73"/>
      <c r="Q444" s="73"/>
      <c r="S444" s="153">
        <v>367200</v>
      </c>
      <c r="W444" s="153">
        <f>W443*0.4</f>
        <v>66768964.400000006</v>
      </c>
    </row>
    <row r="445" spans="1:19" ht="25.5">
      <c r="A445" s="180">
        <v>3</v>
      </c>
      <c r="B445" s="118" t="s">
        <v>277</v>
      </c>
      <c r="C445" s="79">
        <v>322</v>
      </c>
      <c r="D445" s="79">
        <v>322</v>
      </c>
      <c r="E445" s="75">
        <f>D445/C445</f>
        <v>1</v>
      </c>
      <c r="F445" s="75">
        <f>633/289</f>
        <v>2.190311418685121</v>
      </c>
      <c r="G445" s="73"/>
      <c r="H445" s="95">
        <v>6000</v>
      </c>
      <c r="I445" s="95"/>
      <c r="J445" s="95"/>
      <c r="K445" s="95"/>
      <c r="L445" s="95"/>
      <c r="M445" s="95"/>
      <c r="N445" s="776">
        <f>H445+I445+J445+M445+G445</f>
        <v>6000</v>
      </c>
      <c r="O445" s="765">
        <v>6000</v>
      </c>
      <c r="P445" s="73"/>
      <c r="Q445" s="73"/>
      <c r="S445" s="153">
        <v>557600</v>
      </c>
    </row>
    <row r="446" spans="1:23" ht="25.5">
      <c r="A446" s="180">
        <v>4</v>
      </c>
      <c r="B446" s="118" t="s">
        <v>410</v>
      </c>
      <c r="C446" s="79">
        <v>650</v>
      </c>
      <c r="D446" s="79">
        <f>G446/30</f>
        <v>666.6666666666666</v>
      </c>
      <c r="E446" s="75">
        <f>D446/C446</f>
        <v>1.0256410256410255</v>
      </c>
      <c r="F446" s="75">
        <f>633/289</f>
        <v>2.190311418685121</v>
      </c>
      <c r="G446" s="151">
        <v>20000</v>
      </c>
      <c r="H446" s="73"/>
      <c r="I446" s="73"/>
      <c r="J446" s="73"/>
      <c r="K446" s="73"/>
      <c r="L446" s="73"/>
      <c r="M446" s="73"/>
      <c r="N446" s="776">
        <f>H446+I446+J446+M446+G446</f>
        <v>20000</v>
      </c>
      <c r="O446" s="761">
        <v>20000</v>
      </c>
      <c r="P446" s="73"/>
      <c r="Q446" s="73"/>
      <c r="S446" s="153">
        <v>217600</v>
      </c>
      <c r="W446" s="153">
        <v>240000000</v>
      </c>
    </row>
    <row r="447" spans="1:23" ht="25.5">
      <c r="A447" s="180">
        <v>5</v>
      </c>
      <c r="B447" s="74" t="s">
        <v>347</v>
      </c>
      <c r="C447" s="79"/>
      <c r="D447" s="79"/>
      <c r="E447" s="73"/>
      <c r="F447" s="73"/>
      <c r="G447" s="73"/>
      <c r="H447" s="151">
        <v>2000</v>
      </c>
      <c r="I447" s="73"/>
      <c r="J447" s="110"/>
      <c r="K447" s="73"/>
      <c r="L447" s="73"/>
      <c r="M447" s="73"/>
      <c r="N447" s="776">
        <f>H447+I447+J447+M447+G447</f>
        <v>2000</v>
      </c>
      <c r="O447" s="761">
        <v>1053.2</v>
      </c>
      <c r="P447" s="73"/>
      <c r="Q447" s="73"/>
      <c r="S447" s="153">
        <f>+S444+S445+S446</f>
        <v>1142400</v>
      </c>
      <c r="W447" s="153">
        <f>W446*0.4</f>
        <v>96000000</v>
      </c>
    </row>
    <row r="448" spans="1:23" ht="12.75">
      <c r="A448" s="180"/>
      <c r="B448" s="74"/>
      <c r="C448" s="79"/>
      <c r="D448" s="79"/>
      <c r="E448" s="73"/>
      <c r="F448" s="73"/>
      <c r="G448" s="73"/>
      <c r="H448" s="73"/>
      <c r="I448" s="73"/>
      <c r="J448" s="73"/>
      <c r="K448" s="73"/>
      <c r="L448" s="73"/>
      <c r="M448" s="73"/>
      <c r="N448" s="89"/>
      <c r="O448" s="89"/>
      <c r="P448" s="73"/>
      <c r="Q448" s="73"/>
      <c r="W448" s="153">
        <f>W447-W444</f>
        <v>29231035.599999994</v>
      </c>
    </row>
    <row r="449" spans="1:17" ht="12.75">
      <c r="A449" s="180"/>
      <c r="B449" s="74"/>
      <c r="C449" s="79"/>
      <c r="D449" s="79"/>
      <c r="E449" s="73"/>
      <c r="F449" s="73"/>
      <c r="G449" s="73"/>
      <c r="H449" s="73"/>
      <c r="I449" s="73"/>
      <c r="J449" s="73"/>
      <c r="K449" s="73"/>
      <c r="L449" s="73"/>
      <c r="M449" s="73"/>
      <c r="N449" s="89"/>
      <c r="O449" s="89"/>
      <c r="P449" s="73"/>
      <c r="Q449" s="73"/>
    </row>
    <row r="450" spans="1:17" ht="12.75">
      <c r="A450" s="180"/>
      <c r="B450" s="73"/>
      <c r="C450" s="79"/>
      <c r="D450" s="79"/>
      <c r="E450" s="73"/>
      <c r="F450" s="73"/>
      <c r="G450" s="73"/>
      <c r="H450" s="73"/>
      <c r="I450" s="73"/>
      <c r="J450" s="73"/>
      <c r="K450" s="73"/>
      <c r="L450" s="73"/>
      <c r="M450" s="73"/>
      <c r="N450" s="89"/>
      <c r="O450" s="89"/>
      <c r="P450" s="73"/>
      <c r="Q450" s="73"/>
    </row>
    <row r="451" spans="1:17" ht="12.75">
      <c r="A451" s="180"/>
      <c r="B451" s="73"/>
      <c r="C451" s="79"/>
      <c r="D451" s="79"/>
      <c r="E451" s="73"/>
      <c r="F451" s="73"/>
      <c r="G451" s="73"/>
      <c r="H451" s="73"/>
      <c r="I451" s="73"/>
      <c r="J451" s="73"/>
      <c r="K451" s="73"/>
      <c r="L451" s="73"/>
      <c r="M451" s="73"/>
      <c r="N451" s="89"/>
      <c r="O451" s="89"/>
      <c r="P451" s="73"/>
      <c r="Q451" s="73"/>
    </row>
    <row r="452" spans="1:17" ht="12.75">
      <c r="A452" s="180"/>
      <c r="B452" s="73"/>
      <c r="C452" s="79"/>
      <c r="D452" s="79"/>
      <c r="E452" s="73"/>
      <c r="F452" s="73"/>
      <c r="G452" s="73"/>
      <c r="H452" s="73"/>
      <c r="I452" s="73"/>
      <c r="J452" s="73"/>
      <c r="K452" s="73"/>
      <c r="L452" s="73"/>
      <c r="M452" s="73"/>
      <c r="N452" s="89"/>
      <c r="O452" s="89"/>
      <c r="P452" s="73"/>
      <c r="Q452" s="73"/>
    </row>
    <row r="453" spans="1:17" ht="12.75">
      <c r="A453" s="180"/>
      <c r="B453" s="73"/>
      <c r="C453" s="79"/>
      <c r="D453" s="79"/>
      <c r="E453" s="73"/>
      <c r="F453" s="73"/>
      <c r="G453" s="73"/>
      <c r="H453" s="73"/>
      <c r="I453" s="73"/>
      <c r="J453" s="73"/>
      <c r="K453" s="73"/>
      <c r="L453" s="73"/>
      <c r="M453" s="73"/>
      <c r="N453" s="89"/>
      <c r="O453" s="89"/>
      <c r="P453" s="73"/>
      <c r="Q453" s="73"/>
    </row>
    <row r="454" spans="1:17" ht="12.75">
      <c r="A454" s="180"/>
      <c r="B454" s="73"/>
      <c r="C454" s="79"/>
      <c r="D454" s="79"/>
      <c r="E454" s="73"/>
      <c r="F454" s="73"/>
      <c r="G454" s="73"/>
      <c r="H454" s="73"/>
      <c r="I454" s="73"/>
      <c r="J454" s="73"/>
      <c r="K454" s="73"/>
      <c r="L454" s="73"/>
      <c r="M454" s="73"/>
      <c r="N454" s="89"/>
      <c r="O454" s="89"/>
      <c r="P454" s="73"/>
      <c r="Q454" s="73"/>
    </row>
    <row r="455" spans="1:17" ht="12.75">
      <c r="A455" s="180"/>
      <c r="B455" s="73"/>
      <c r="C455" s="79"/>
      <c r="D455" s="79"/>
      <c r="E455" s="73"/>
      <c r="F455" s="73"/>
      <c r="G455" s="73"/>
      <c r="H455" s="73"/>
      <c r="I455" s="73"/>
      <c r="J455" s="73"/>
      <c r="K455" s="73"/>
      <c r="L455" s="73"/>
      <c r="M455" s="73"/>
      <c r="N455" s="89"/>
      <c r="O455" s="89"/>
      <c r="P455" s="73"/>
      <c r="Q455" s="73"/>
    </row>
    <row r="456" spans="1:17" ht="12.75">
      <c r="A456" s="180"/>
      <c r="B456" s="73"/>
      <c r="C456" s="79"/>
      <c r="D456" s="79"/>
      <c r="E456" s="73"/>
      <c r="F456" s="73"/>
      <c r="G456" s="73"/>
      <c r="H456" s="73"/>
      <c r="I456" s="73"/>
      <c r="J456" s="73"/>
      <c r="K456" s="73"/>
      <c r="L456" s="73"/>
      <c r="M456" s="73"/>
      <c r="N456" s="89"/>
      <c r="O456" s="89"/>
      <c r="P456" s="73"/>
      <c r="Q456" s="73"/>
    </row>
    <row r="457" spans="1:17" ht="12.75">
      <c r="A457" s="180"/>
      <c r="B457" s="73"/>
      <c r="C457" s="79"/>
      <c r="D457" s="79"/>
      <c r="E457" s="73"/>
      <c r="F457" s="73"/>
      <c r="G457" s="73"/>
      <c r="H457" s="73"/>
      <c r="I457" s="73"/>
      <c r="J457" s="73"/>
      <c r="K457" s="73"/>
      <c r="L457" s="73"/>
      <c r="M457" s="73"/>
      <c r="N457" s="89"/>
      <c r="O457" s="89"/>
      <c r="P457" s="73"/>
      <c r="Q457" s="73"/>
    </row>
    <row r="458" spans="1:19" ht="12.75">
      <c r="A458" s="180"/>
      <c r="B458" s="73"/>
      <c r="C458" s="79"/>
      <c r="D458" s="79"/>
      <c r="E458" s="73"/>
      <c r="F458" s="73"/>
      <c r="G458" s="73"/>
      <c r="H458" s="73"/>
      <c r="I458" s="73"/>
      <c r="J458" s="73"/>
      <c r="K458" s="73"/>
      <c r="L458" s="73"/>
      <c r="M458" s="73"/>
      <c r="N458" s="89"/>
      <c r="O458" s="89"/>
      <c r="P458" s="73"/>
      <c r="Q458" s="73"/>
      <c r="R458" s="153">
        <f>('Resumen presupuesto ejecutado'!D54+'Resumen presupuesto ejecutado'!D55)/1000</f>
        <v>91152</v>
      </c>
      <c r="S458" s="153">
        <f>('Resumen presupuesto ejecutado'!E54+'Resumen presupuesto ejecutado'!E55)/1000</f>
        <v>90537</v>
      </c>
    </row>
    <row r="459" spans="1:19" ht="13.5" thickBot="1">
      <c r="A459" s="181"/>
      <c r="B459" s="82" t="s">
        <v>445</v>
      </c>
      <c r="C459" s="83"/>
      <c r="D459" s="83"/>
      <c r="E459" s="81"/>
      <c r="F459" s="81"/>
      <c r="G459" s="120">
        <f aca="true" t="shared" si="29" ref="G459:M459">SUM(G443:G458)</f>
        <v>65152</v>
      </c>
      <c r="H459" s="120">
        <f t="shared" si="29"/>
        <v>28000</v>
      </c>
      <c r="I459" s="120">
        <f t="shared" si="29"/>
        <v>0</v>
      </c>
      <c r="J459" s="120">
        <f t="shared" si="29"/>
        <v>12000</v>
      </c>
      <c r="K459" s="120">
        <f t="shared" si="29"/>
        <v>0</v>
      </c>
      <c r="L459" s="120">
        <f t="shared" si="29"/>
        <v>0</v>
      </c>
      <c r="M459" s="120">
        <f t="shared" si="29"/>
        <v>0</v>
      </c>
      <c r="N459" s="762">
        <f>SUM(N443:N458)</f>
        <v>105152</v>
      </c>
      <c r="O459" s="762">
        <f>SUM(O443:O458)</f>
        <v>103590.2</v>
      </c>
      <c r="P459" s="81"/>
      <c r="Q459" s="81"/>
      <c r="R459" s="153">
        <f>N459-R458</f>
        <v>14000</v>
      </c>
      <c r="S459" s="153">
        <f>O459-S458</f>
        <v>13053.199999999997</v>
      </c>
    </row>
    <row r="460" spans="18:19" ht="12.75">
      <c r="R460" s="153">
        <f>+'Resumen presupuesto ejecutado'!D54+'Resumen presupuesto ejecutado'!D55+'Resumen presupuesto ejecutado'!D64</f>
        <v>103152000</v>
      </c>
      <c r="S460" s="153">
        <f>+'Resumen presupuesto ejecutado'!E54+'Resumen presupuesto ejecutado'!E55+'Resumen presupuesto ejecutado'!E64</f>
        <v>102537000</v>
      </c>
    </row>
    <row r="461" spans="1:17" ht="12.75">
      <c r="A461" s="878" t="s">
        <v>420</v>
      </c>
      <c r="B461" s="878"/>
      <c r="C461" s="878"/>
      <c r="D461" s="878"/>
      <c r="E461" s="878"/>
      <c r="F461" s="878"/>
      <c r="G461" s="878"/>
      <c r="H461" s="878"/>
      <c r="I461" s="878"/>
      <c r="J461" s="878"/>
      <c r="K461" s="878"/>
      <c r="L461" s="878"/>
      <c r="M461" s="878"/>
      <c r="N461" s="878"/>
      <c r="O461" s="878"/>
      <c r="P461" s="878"/>
      <c r="Q461" s="878"/>
    </row>
    <row r="462" spans="1:23" s="39" customFormat="1" ht="16.5" thickBot="1">
      <c r="A462" s="891" t="s">
        <v>609</v>
      </c>
      <c r="B462" s="891"/>
      <c r="C462" s="891"/>
      <c r="D462" s="891"/>
      <c r="E462" s="891"/>
      <c r="F462" s="891"/>
      <c r="G462" s="891"/>
      <c r="H462" s="891"/>
      <c r="I462" s="891"/>
      <c r="J462" s="891"/>
      <c r="K462" s="891"/>
      <c r="L462" s="891"/>
      <c r="M462" s="891"/>
      <c r="N462" s="891"/>
      <c r="O462" s="891"/>
      <c r="P462" s="891"/>
      <c r="Q462" s="891"/>
      <c r="R462" s="184"/>
      <c r="S462" s="184"/>
      <c r="W462" s="184"/>
    </row>
    <row r="463" spans="1:23" s="39" customFormat="1" ht="13.5" thickBot="1">
      <c r="A463" s="175"/>
      <c r="C463" s="40"/>
      <c r="D463" s="40"/>
      <c r="N463" s="755"/>
      <c r="O463" s="755"/>
      <c r="P463" s="892" t="s">
        <v>563</v>
      </c>
      <c r="Q463" s="893"/>
      <c r="R463" s="184"/>
      <c r="S463" s="184"/>
      <c r="W463" s="184"/>
    </row>
    <row r="464" spans="1:17" ht="12.75">
      <c r="A464" s="878" t="s">
        <v>76</v>
      </c>
      <c r="B464" s="878"/>
      <c r="C464" s="878"/>
      <c r="D464" s="878"/>
      <c r="E464" s="878"/>
      <c r="F464" s="878"/>
      <c r="P464" s="889" t="s">
        <v>74</v>
      </c>
      <c r="Q464" s="889"/>
    </row>
    <row r="465" spans="1:17" ht="12.75">
      <c r="A465" s="878" t="s">
        <v>77</v>
      </c>
      <c r="B465" s="879"/>
      <c r="C465" s="879"/>
      <c r="D465" s="879"/>
      <c r="E465" s="879"/>
      <c r="F465" s="879"/>
      <c r="P465" s="890" t="s">
        <v>75</v>
      </c>
      <c r="Q465" s="890"/>
    </row>
    <row r="466" spans="1:9" ht="12.75">
      <c r="A466" s="878" t="s">
        <v>808</v>
      </c>
      <c r="B466" s="879"/>
      <c r="C466" s="879"/>
      <c r="D466" s="879"/>
      <c r="E466" s="879"/>
      <c r="F466" s="879"/>
      <c r="G466" s="38" t="s">
        <v>72</v>
      </c>
      <c r="I466" s="41">
        <v>39083</v>
      </c>
    </row>
    <row r="468" ht="13.5" thickBot="1"/>
    <row r="469" spans="1:17" ht="13.5" thickBot="1">
      <c r="A469" s="177" t="s">
        <v>424</v>
      </c>
      <c r="B469" s="43"/>
      <c r="C469" s="44" t="s">
        <v>97</v>
      </c>
      <c r="D469" s="44"/>
      <c r="E469" s="43"/>
      <c r="F469" s="45"/>
      <c r="G469" s="880" t="s">
        <v>425</v>
      </c>
      <c r="H469" s="881"/>
      <c r="I469" s="881"/>
      <c r="J469" s="881"/>
      <c r="K469" s="881"/>
      <c r="L469" s="881"/>
      <c r="M469" s="881"/>
      <c r="N469" s="881"/>
      <c r="O469" s="882"/>
      <c r="P469" s="880" t="s">
        <v>426</v>
      </c>
      <c r="Q469" s="882"/>
    </row>
    <row r="470" spans="1:17" ht="15">
      <c r="A470" s="178" t="s">
        <v>422</v>
      </c>
      <c r="B470" s="47"/>
      <c r="C470" s="48" t="s">
        <v>546</v>
      </c>
      <c r="D470" s="48"/>
      <c r="E470" s="47"/>
      <c r="F470" s="49"/>
      <c r="G470" s="883" t="s">
        <v>0</v>
      </c>
      <c r="H470" s="884"/>
      <c r="I470" s="884"/>
      <c r="J470" s="884"/>
      <c r="K470" s="884"/>
      <c r="L470" s="884"/>
      <c r="M470" s="884"/>
      <c r="N470" s="884"/>
      <c r="O470" s="885"/>
      <c r="P470" s="50"/>
      <c r="Q470" s="14" t="s">
        <v>411</v>
      </c>
    </row>
    <row r="471" spans="1:17" ht="26.25" customHeight="1" thickBot="1">
      <c r="A471" s="179" t="s">
        <v>423</v>
      </c>
      <c r="B471" s="52"/>
      <c r="C471" s="53" t="s">
        <v>550</v>
      </c>
      <c r="D471" s="53"/>
      <c r="E471" s="52"/>
      <c r="F471" s="54"/>
      <c r="G471" s="886"/>
      <c r="H471" s="887"/>
      <c r="I471" s="887"/>
      <c r="J471" s="887"/>
      <c r="K471" s="887"/>
      <c r="L471" s="887"/>
      <c r="M471" s="887"/>
      <c r="N471" s="887"/>
      <c r="O471" s="888"/>
      <c r="P471" s="55"/>
      <c r="Q471" s="56"/>
    </row>
    <row r="472" spans="1:2" ht="13.5" thickBot="1">
      <c r="A472" s="176" t="s">
        <v>73</v>
      </c>
      <c r="B472" s="57"/>
    </row>
    <row r="473" spans="1:17" ht="12.75">
      <c r="A473" s="869" t="s">
        <v>431</v>
      </c>
      <c r="B473" s="870"/>
      <c r="C473" s="870"/>
      <c r="D473" s="870"/>
      <c r="E473" s="870"/>
      <c r="F473" s="871"/>
      <c r="G473" s="872" t="s">
        <v>427</v>
      </c>
      <c r="H473" s="873"/>
      <c r="I473" s="873"/>
      <c r="J473" s="873"/>
      <c r="K473" s="873"/>
      <c r="L473" s="873"/>
      <c r="M473" s="873"/>
      <c r="N473" s="873"/>
      <c r="O473" s="874"/>
      <c r="P473" s="875" t="s">
        <v>428</v>
      </c>
      <c r="Q473" s="874" t="s">
        <v>429</v>
      </c>
    </row>
    <row r="474" spans="1:17" ht="13.5" thickBot="1">
      <c r="A474" s="61"/>
      <c r="B474" s="62"/>
      <c r="C474" s="63"/>
      <c r="D474" s="63"/>
      <c r="E474" s="62"/>
      <c r="F474" s="64"/>
      <c r="G474" s="61"/>
      <c r="H474" s="62"/>
      <c r="I474" s="62"/>
      <c r="J474" s="62"/>
      <c r="K474" s="62"/>
      <c r="L474" s="62"/>
      <c r="M474" s="62"/>
      <c r="N474" s="756"/>
      <c r="O474" s="757"/>
      <c r="P474" s="876"/>
      <c r="Q474" s="877"/>
    </row>
    <row r="475" spans="1:17" ht="52.5" thickBot="1">
      <c r="A475" s="141" t="s">
        <v>430</v>
      </c>
      <c r="B475" s="90" t="s">
        <v>432</v>
      </c>
      <c r="C475" s="244" t="s">
        <v>739</v>
      </c>
      <c r="D475" s="243" t="s">
        <v>740</v>
      </c>
      <c r="E475" s="144" t="s">
        <v>741</v>
      </c>
      <c r="F475" s="145" t="s">
        <v>446</v>
      </c>
      <c r="G475" s="146" t="s">
        <v>436</v>
      </c>
      <c r="H475" s="147" t="s">
        <v>437</v>
      </c>
      <c r="I475" s="147" t="s">
        <v>438</v>
      </c>
      <c r="J475" s="147" t="s">
        <v>439</v>
      </c>
      <c r="K475" s="147" t="s">
        <v>440</v>
      </c>
      <c r="L475" s="147" t="s">
        <v>441</v>
      </c>
      <c r="M475" s="147" t="s">
        <v>442</v>
      </c>
      <c r="N475" s="763" t="s">
        <v>443</v>
      </c>
      <c r="O475" s="764" t="s">
        <v>444</v>
      </c>
      <c r="P475" s="900"/>
      <c r="Q475" s="901"/>
    </row>
    <row r="476" spans="1:17" ht="69" customHeight="1">
      <c r="A476" s="115">
        <v>1</v>
      </c>
      <c r="B476" s="117" t="s">
        <v>282</v>
      </c>
      <c r="C476" s="79">
        <v>500</v>
      </c>
      <c r="D476" s="79">
        <f>(29*14)+60+160</f>
        <v>626</v>
      </c>
      <c r="E476" s="749">
        <f>D476/C476</f>
        <v>1.252</v>
      </c>
      <c r="F476" s="149">
        <f>-180/-211</f>
        <v>0.8530805687203792</v>
      </c>
      <c r="G476" s="119">
        <v>24000</v>
      </c>
      <c r="H476" s="119">
        <v>2000</v>
      </c>
      <c r="I476" s="76"/>
      <c r="J476" s="76"/>
      <c r="K476" s="76"/>
      <c r="L476" s="76"/>
      <c r="M476" s="76"/>
      <c r="N476" s="711">
        <f>SUM(G476:M476)</f>
        <v>26000</v>
      </c>
      <c r="O476" s="711">
        <f>20380+2000</f>
        <v>22380</v>
      </c>
      <c r="P476" s="116"/>
      <c r="Q476" s="116"/>
    </row>
    <row r="477" spans="1:17" ht="25.5">
      <c r="A477" s="180">
        <v>2</v>
      </c>
      <c r="B477" s="123" t="s">
        <v>279</v>
      </c>
      <c r="C477" s="79">
        <v>305</v>
      </c>
      <c r="D477" s="79">
        <f>218+82</f>
        <v>300</v>
      </c>
      <c r="E477" s="75">
        <f>D477/C477</f>
        <v>0.9836065573770492</v>
      </c>
      <c r="F477" s="88">
        <f>-180/-211</f>
        <v>0.8530805687203792</v>
      </c>
      <c r="G477" s="73"/>
      <c r="H477" s="73"/>
      <c r="I477" s="73"/>
      <c r="J477" s="73"/>
      <c r="K477" s="73"/>
      <c r="L477" s="73"/>
      <c r="M477" s="73"/>
      <c r="N477" s="89"/>
      <c r="O477" s="89"/>
      <c r="P477" s="73"/>
      <c r="Q477" s="73"/>
    </row>
    <row r="478" spans="1:17" ht="12.75">
      <c r="A478" s="180"/>
      <c r="B478" s="74"/>
      <c r="C478" s="79"/>
      <c r="D478" s="79"/>
      <c r="E478" s="73"/>
      <c r="F478" s="73"/>
      <c r="G478" s="73"/>
      <c r="H478" s="73"/>
      <c r="I478" s="73"/>
      <c r="J478" s="89"/>
      <c r="K478" s="73"/>
      <c r="L478" s="73"/>
      <c r="M478" s="73"/>
      <c r="N478" s="89"/>
      <c r="O478" s="89"/>
      <c r="P478" s="73"/>
      <c r="Q478" s="73"/>
    </row>
    <row r="479" spans="1:17" ht="12.75">
      <c r="A479" s="180"/>
      <c r="B479" s="74"/>
      <c r="C479" s="79"/>
      <c r="D479" s="79"/>
      <c r="E479" s="73"/>
      <c r="F479" s="73"/>
      <c r="G479" s="73"/>
      <c r="H479" s="73"/>
      <c r="I479" s="73"/>
      <c r="J479" s="73"/>
      <c r="K479" s="73"/>
      <c r="L479" s="73"/>
      <c r="M479" s="73"/>
      <c r="N479" s="89"/>
      <c r="O479" s="89"/>
      <c r="P479" s="73"/>
      <c r="Q479" s="73"/>
    </row>
    <row r="480" spans="1:17" ht="12.75">
      <c r="A480" s="180"/>
      <c r="B480" s="73"/>
      <c r="C480" s="79"/>
      <c r="D480" s="79"/>
      <c r="E480" s="73"/>
      <c r="F480" s="73"/>
      <c r="G480" s="73"/>
      <c r="H480" s="73"/>
      <c r="I480" s="73"/>
      <c r="J480" s="73"/>
      <c r="K480" s="73"/>
      <c r="L480" s="73"/>
      <c r="M480" s="73"/>
      <c r="N480" s="89"/>
      <c r="O480" s="89"/>
      <c r="P480" s="73"/>
      <c r="Q480" s="73"/>
    </row>
    <row r="481" spans="1:17" ht="12.75">
      <c r="A481" s="180"/>
      <c r="B481" s="73"/>
      <c r="C481" s="79"/>
      <c r="D481" s="79"/>
      <c r="E481" s="73"/>
      <c r="F481" s="73"/>
      <c r="G481" s="73"/>
      <c r="H481" s="73"/>
      <c r="I481" s="73"/>
      <c r="J481" s="73"/>
      <c r="K481" s="73"/>
      <c r="L481" s="73"/>
      <c r="M481" s="73"/>
      <c r="N481" s="89"/>
      <c r="O481" s="89"/>
      <c r="P481" s="73"/>
      <c r="Q481" s="73"/>
    </row>
    <row r="482" spans="1:17" ht="12.75">
      <c r="A482" s="180"/>
      <c r="B482" s="73"/>
      <c r="C482" s="79"/>
      <c r="D482" s="79"/>
      <c r="E482" s="73"/>
      <c r="F482" s="73"/>
      <c r="G482" s="73"/>
      <c r="H482" s="73"/>
      <c r="I482" s="73"/>
      <c r="J482" s="73"/>
      <c r="K482" s="73"/>
      <c r="L482" s="73"/>
      <c r="M482" s="73"/>
      <c r="N482" s="89"/>
      <c r="O482" s="89"/>
      <c r="P482" s="73"/>
      <c r="Q482" s="73"/>
    </row>
    <row r="483" spans="1:17" ht="12.75">
      <c r="A483" s="180"/>
      <c r="B483" s="73"/>
      <c r="C483" s="79"/>
      <c r="D483" s="79"/>
      <c r="E483" s="73"/>
      <c r="F483" s="73"/>
      <c r="G483" s="73"/>
      <c r="H483" s="73"/>
      <c r="I483" s="73"/>
      <c r="J483" s="73"/>
      <c r="K483" s="73"/>
      <c r="L483" s="73"/>
      <c r="M483" s="73"/>
      <c r="N483" s="89"/>
      <c r="O483" s="89"/>
      <c r="P483" s="73"/>
      <c r="Q483" s="73"/>
    </row>
    <row r="484" spans="1:17" ht="12.75">
      <c r="A484" s="180"/>
      <c r="B484" s="73"/>
      <c r="C484" s="79"/>
      <c r="D484" s="79"/>
      <c r="E484" s="73"/>
      <c r="F484" s="73"/>
      <c r="G484" s="73"/>
      <c r="H484" s="73"/>
      <c r="I484" s="73"/>
      <c r="J484" s="73"/>
      <c r="K484" s="73"/>
      <c r="L484" s="73"/>
      <c r="M484" s="73"/>
      <c r="N484" s="89"/>
      <c r="O484" s="89"/>
      <c r="P484" s="73"/>
      <c r="Q484" s="73"/>
    </row>
    <row r="485" spans="1:17" ht="12.75">
      <c r="A485" s="180"/>
      <c r="B485" s="73"/>
      <c r="C485" s="79"/>
      <c r="D485" s="79"/>
      <c r="E485" s="73"/>
      <c r="F485" s="73"/>
      <c r="G485" s="73"/>
      <c r="H485" s="73"/>
      <c r="I485" s="73"/>
      <c r="J485" s="73"/>
      <c r="K485" s="73"/>
      <c r="L485" s="73"/>
      <c r="M485" s="73"/>
      <c r="N485" s="89"/>
      <c r="O485" s="89"/>
      <c r="P485" s="73"/>
      <c r="Q485" s="73"/>
    </row>
    <row r="486" spans="1:17" ht="12.75">
      <c r="A486" s="180"/>
      <c r="B486" s="73"/>
      <c r="C486" s="79"/>
      <c r="D486" s="79"/>
      <c r="E486" s="73"/>
      <c r="F486" s="73"/>
      <c r="G486" s="73"/>
      <c r="H486" s="73"/>
      <c r="I486" s="73"/>
      <c r="J486" s="73"/>
      <c r="K486" s="73"/>
      <c r="L486" s="73"/>
      <c r="M486" s="73"/>
      <c r="N486" s="89"/>
      <c r="O486" s="89"/>
      <c r="P486" s="73"/>
      <c r="Q486" s="73"/>
    </row>
    <row r="487" spans="1:17" ht="12.75">
      <c r="A487" s="180"/>
      <c r="B487" s="73"/>
      <c r="C487" s="79"/>
      <c r="D487" s="79"/>
      <c r="E487" s="73"/>
      <c r="F487" s="73"/>
      <c r="G487" s="73"/>
      <c r="H487" s="73"/>
      <c r="I487" s="73"/>
      <c r="J487" s="73"/>
      <c r="K487" s="73"/>
      <c r="L487" s="73"/>
      <c r="M487" s="73"/>
      <c r="N487" s="89"/>
      <c r="O487" s="89"/>
      <c r="P487" s="73"/>
      <c r="Q487" s="73"/>
    </row>
    <row r="488" spans="1:19" ht="12.75">
      <c r="A488" s="180"/>
      <c r="B488" s="73"/>
      <c r="C488" s="79"/>
      <c r="D488" s="79"/>
      <c r="E488" s="73"/>
      <c r="F488" s="73"/>
      <c r="G488" s="73"/>
      <c r="H488" s="73"/>
      <c r="I488" s="73"/>
      <c r="J488" s="73"/>
      <c r="K488" s="73"/>
      <c r="L488" s="73"/>
      <c r="M488" s="73"/>
      <c r="N488" s="89"/>
      <c r="O488" s="89"/>
      <c r="P488" s="73"/>
      <c r="Q488" s="73"/>
      <c r="R488" s="153">
        <f>('Resumen presupuesto ejecutado'!D59)/1000</f>
        <v>24000</v>
      </c>
      <c r="S488" s="153">
        <f>('Resumen presupuesto ejecutado'!E59)/1000</f>
        <v>20380</v>
      </c>
    </row>
    <row r="489" spans="1:19" ht="13.5" thickBot="1">
      <c r="A489" s="181"/>
      <c r="B489" s="82" t="s">
        <v>445</v>
      </c>
      <c r="C489" s="83"/>
      <c r="D489" s="83"/>
      <c r="E489" s="81"/>
      <c r="F489" s="81"/>
      <c r="G489" s="84">
        <f aca="true" t="shared" si="30" ref="G489:O489">SUM(G476:G488)</f>
        <v>24000</v>
      </c>
      <c r="H489" s="84">
        <f t="shared" si="30"/>
        <v>2000</v>
      </c>
      <c r="I489" s="84">
        <f t="shared" si="30"/>
        <v>0</v>
      </c>
      <c r="J489" s="84">
        <f t="shared" si="30"/>
        <v>0</v>
      </c>
      <c r="K489" s="84">
        <f t="shared" si="30"/>
        <v>0</v>
      </c>
      <c r="L489" s="84">
        <f t="shared" si="30"/>
        <v>0</v>
      </c>
      <c r="M489" s="84">
        <f t="shared" si="30"/>
        <v>0</v>
      </c>
      <c r="N489" s="762">
        <f>SUM(N476:N488)</f>
        <v>26000</v>
      </c>
      <c r="O489" s="762">
        <f t="shared" si="30"/>
        <v>22380</v>
      </c>
      <c r="P489" s="81"/>
      <c r="Q489" s="81"/>
      <c r="R489" s="153">
        <f>R488-N489</f>
        <v>-2000</v>
      </c>
      <c r="S489" s="153">
        <f>S488-O489</f>
        <v>-2000</v>
      </c>
    </row>
    <row r="491" spans="1:17" ht="12.75">
      <c r="A491" s="878" t="s">
        <v>420</v>
      </c>
      <c r="B491" s="878"/>
      <c r="C491" s="878"/>
      <c r="D491" s="878"/>
      <c r="E491" s="878"/>
      <c r="F491" s="878"/>
      <c r="G491" s="878"/>
      <c r="H491" s="878"/>
      <c r="I491" s="878"/>
      <c r="J491" s="878"/>
      <c r="K491" s="878"/>
      <c r="L491" s="878"/>
      <c r="M491" s="878"/>
      <c r="N491" s="878"/>
      <c r="O491" s="878"/>
      <c r="P491" s="878"/>
      <c r="Q491" s="878"/>
    </row>
    <row r="492" spans="1:23" s="39" customFormat="1" ht="16.5" thickBot="1">
      <c r="A492" s="891" t="s">
        <v>609</v>
      </c>
      <c r="B492" s="891"/>
      <c r="C492" s="891"/>
      <c r="D492" s="891"/>
      <c r="E492" s="891"/>
      <c r="F492" s="891"/>
      <c r="G492" s="891"/>
      <c r="H492" s="891"/>
      <c r="I492" s="891"/>
      <c r="J492" s="891"/>
      <c r="K492" s="891"/>
      <c r="L492" s="891"/>
      <c r="M492" s="891"/>
      <c r="N492" s="891"/>
      <c r="O492" s="891"/>
      <c r="P492" s="891"/>
      <c r="Q492" s="891"/>
      <c r="R492" s="184"/>
      <c r="S492" s="184"/>
      <c r="W492" s="184"/>
    </row>
    <row r="493" spans="1:23" s="39" customFormat="1" ht="13.5" thickBot="1">
      <c r="A493" s="175"/>
      <c r="C493" s="40"/>
      <c r="D493" s="40"/>
      <c r="N493" s="755"/>
      <c r="O493" s="755"/>
      <c r="P493" s="892" t="s">
        <v>564</v>
      </c>
      <c r="Q493" s="893"/>
      <c r="R493" s="184"/>
      <c r="S493" s="184"/>
      <c r="W493" s="184"/>
    </row>
    <row r="494" spans="1:17" ht="12.75">
      <c r="A494" s="878" t="s">
        <v>76</v>
      </c>
      <c r="B494" s="878"/>
      <c r="C494" s="878"/>
      <c r="D494" s="878"/>
      <c r="E494" s="878"/>
      <c r="F494" s="878"/>
      <c r="P494" s="889" t="s">
        <v>74</v>
      </c>
      <c r="Q494" s="889"/>
    </row>
    <row r="495" spans="1:17" ht="12.75">
      <c r="A495" s="878" t="s">
        <v>77</v>
      </c>
      <c r="B495" s="879"/>
      <c r="C495" s="879"/>
      <c r="D495" s="879"/>
      <c r="E495" s="879"/>
      <c r="F495" s="879"/>
      <c r="P495" s="890" t="s">
        <v>75</v>
      </c>
      <c r="Q495" s="890"/>
    </row>
    <row r="496" spans="1:9" ht="12.75">
      <c r="A496" s="878" t="s">
        <v>808</v>
      </c>
      <c r="B496" s="879"/>
      <c r="C496" s="879"/>
      <c r="D496" s="879"/>
      <c r="E496" s="879"/>
      <c r="F496" s="879"/>
      <c r="G496" s="38" t="s">
        <v>72</v>
      </c>
      <c r="I496" s="41">
        <v>39083</v>
      </c>
    </row>
    <row r="498" ht="13.5" thickBot="1"/>
    <row r="499" spans="1:17" ht="13.5" thickBot="1">
      <c r="A499" s="177" t="s">
        <v>424</v>
      </c>
      <c r="B499" s="43"/>
      <c r="C499" s="44" t="s">
        <v>97</v>
      </c>
      <c r="D499" s="44"/>
      <c r="E499" s="43"/>
      <c r="F499" s="45"/>
      <c r="G499" s="880" t="s">
        <v>425</v>
      </c>
      <c r="H499" s="881"/>
      <c r="I499" s="881"/>
      <c r="J499" s="881"/>
      <c r="K499" s="881"/>
      <c r="L499" s="881"/>
      <c r="M499" s="881"/>
      <c r="N499" s="881"/>
      <c r="O499" s="882"/>
      <c r="P499" s="880" t="s">
        <v>426</v>
      </c>
      <c r="Q499" s="882"/>
    </row>
    <row r="500" spans="1:17" ht="28.5" customHeight="1">
      <c r="A500" s="178" t="s">
        <v>422</v>
      </c>
      <c r="B500" s="47"/>
      <c r="C500" s="48" t="s">
        <v>546</v>
      </c>
      <c r="D500" s="48"/>
      <c r="E500" s="47"/>
      <c r="F500" s="49"/>
      <c r="G500" s="883" t="s">
        <v>1</v>
      </c>
      <c r="H500" s="884"/>
      <c r="I500" s="884"/>
      <c r="J500" s="884"/>
      <c r="K500" s="884"/>
      <c r="L500" s="884"/>
      <c r="M500" s="884"/>
      <c r="N500" s="884"/>
      <c r="O500" s="885"/>
      <c r="P500" s="50"/>
      <c r="Q500" s="14" t="s">
        <v>412</v>
      </c>
    </row>
    <row r="501" spans="1:17" ht="28.5" customHeight="1" thickBot="1">
      <c r="A501" s="179" t="s">
        <v>423</v>
      </c>
      <c r="B501" s="52"/>
      <c r="C501" s="53" t="s">
        <v>552</v>
      </c>
      <c r="D501" s="53"/>
      <c r="E501" s="52"/>
      <c r="F501" s="54"/>
      <c r="G501" s="886"/>
      <c r="H501" s="887"/>
      <c r="I501" s="887"/>
      <c r="J501" s="887"/>
      <c r="K501" s="887"/>
      <c r="L501" s="887"/>
      <c r="M501" s="887"/>
      <c r="N501" s="887"/>
      <c r="O501" s="888"/>
      <c r="P501" s="55"/>
      <c r="Q501" s="56"/>
    </row>
    <row r="502" spans="1:2" ht="13.5" thickBot="1">
      <c r="A502" s="176" t="s">
        <v>73</v>
      </c>
      <c r="B502" s="57"/>
    </row>
    <row r="503" spans="1:20" ht="12.75">
      <c r="A503" s="869" t="s">
        <v>431</v>
      </c>
      <c r="B503" s="870"/>
      <c r="C503" s="870"/>
      <c r="D503" s="870"/>
      <c r="E503" s="870"/>
      <c r="F503" s="871"/>
      <c r="G503" s="872" t="s">
        <v>427</v>
      </c>
      <c r="H503" s="873"/>
      <c r="I503" s="873"/>
      <c r="J503" s="873"/>
      <c r="K503" s="873"/>
      <c r="L503" s="873"/>
      <c r="M503" s="873"/>
      <c r="N503" s="873"/>
      <c r="O503" s="874"/>
      <c r="P503" s="875" t="s">
        <v>428</v>
      </c>
      <c r="Q503" s="874" t="s">
        <v>429</v>
      </c>
      <c r="T503" s="153">
        <f>1850*2250</f>
        <v>4162500</v>
      </c>
    </row>
    <row r="504" spans="1:17" ht="13.5" thickBot="1">
      <c r="A504" s="61"/>
      <c r="B504" s="62"/>
      <c r="C504" s="63"/>
      <c r="D504" s="63"/>
      <c r="E504" s="62"/>
      <c r="F504" s="64"/>
      <c r="G504" s="61"/>
      <c r="H504" s="62"/>
      <c r="I504" s="62"/>
      <c r="J504" s="62"/>
      <c r="K504" s="62"/>
      <c r="L504" s="62"/>
      <c r="M504" s="62"/>
      <c r="N504" s="756"/>
      <c r="O504" s="757"/>
      <c r="P504" s="876"/>
      <c r="Q504" s="877"/>
    </row>
    <row r="505" spans="1:17" ht="52.5" thickBot="1">
      <c r="A505" s="35" t="s">
        <v>430</v>
      </c>
      <c r="B505" s="90" t="s">
        <v>432</v>
      </c>
      <c r="C505" s="91" t="s">
        <v>433</v>
      </c>
      <c r="D505" s="66" t="s">
        <v>434</v>
      </c>
      <c r="E505" s="37" t="s">
        <v>435</v>
      </c>
      <c r="F505" s="36" t="s">
        <v>446</v>
      </c>
      <c r="G505" s="67" t="s">
        <v>436</v>
      </c>
      <c r="H505" s="68" t="s">
        <v>437</v>
      </c>
      <c r="I505" s="68" t="s">
        <v>438</v>
      </c>
      <c r="J505" s="68" t="s">
        <v>439</v>
      </c>
      <c r="K505" s="68" t="s">
        <v>440</v>
      </c>
      <c r="L505" s="68" t="s">
        <v>441</v>
      </c>
      <c r="M505" s="68" t="s">
        <v>442</v>
      </c>
      <c r="N505" s="758" t="s">
        <v>443</v>
      </c>
      <c r="O505" s="759" t="s">
        <v>444</v>
      </c>
      <c r="P505" s="876"/>
      <c r="Q505" s="877"/>
    </row>
    <row r="506" spans="1:17" ht="38.25">
      <c r="A506" s="105">
        <v>1</v>
      </c>
      <c r="B506" s="117" t="s">
        <v>283</v>
      </c>
      <c r="C506" s="367">
        <v>60</v>
      </c>
      <c r="D506" s="367">
        <v>60</v>
      </c>
      <c r="E506" s="93">
        <f>D506/C506</f>
        <v>1</v>
      </c>
      <c r="F506" s="93">
        <f>23780/23780</f>
        <v>1</v>
      </c>
      <c r="G506" s="72">
        <v>5000</v>
      </c>
      <c r="H506" s="72"/>
      <c r="I506" s="72"/>
      <c r="J506" s="72"/>
      <c r="K506" s="72"/>
      <c r="L506" s="72"/>
      <c r="M506" s="72"/>
      <c r="N506" s="760">
        <f>SUM(G506:M506)</f>
        <v>5000</v>
      </c>
      <c r="O506" s="760">
        <v>5000</v>
      </c>
      <c r="P506" s="69"/>
      <c r="Q506" s="69"/>
    </row>
    <row r="507" spans="1:17" ht="51">
      <c r="A507" s="180">
        <v>2</v>
      </c>
      <c r="B507" s="118" t="s">
        <v>280</v>
      </c>
      <c r="C507" s="164">
        <v>2500</v>
      </c>
      <c r="D507" s="164">
        <f>1200+322+228+82+520+100+100</f>
        <v>2552</v>
      </c>
      <c r="E507" s="75">
        <f>D507/C507</f>
        <v>1.0208</v>
      </c>
      <c r="F507" s="75">
        <f>23780/23780</f>
        <v>1</v>
      </c>
      <c r="G507" s="77">
        <v>6000</v>
      </c>
      <c r="H507" s="77"/>
      <c r="I507" s="77"/>
      <c r="J507" s="77"/>
      <c r="K507" s="77"/>
      <c r="L507" s="77"/>
      <c r="M507" s="77"/>
      <c r="N507" s="780">
        <f>SUM(G507:M507)</f>
        <v>6000</v>
      </c>
      <c r="O507" s="780">
        <v>6000</v>
      </c>
      <c r="P507" s="73"/>
      <c r="Q507" s="73"/>
    </row>
    <row r="508" spans="1:17" ht="48.75" customHeight="1">
      <c r="A508" s="180">
        <v>4</v>
      </c>
      <c r="B508" s="74" t="s">
        <v>298</v>
      </c>
      <c r="C508" s="164">
        <v>2500</v>
      </c>
      <c r="D508" s="164">
        <v>3500</v>
      </c>
      <c r="E508" s="75">
        <f>D508/C508</f>
        <v>1.4</v>
      </c>
      <c r="F508" s="75">
        <f>23780/23780</f>
        <v>1</v>
      </c>
      <c r="G508" s="95">
        <v>1500</v>
      </c>
      <c r="H508" s="77"/>
      <c r="I508" s="77"/>
      <c r="J508" s="77"/>
      <c r="K508" s="77"/>
      <c r="L508" s="77"/>
      <c r="M508" s="77"/>
      <c r="N508" s="780">
        <f>SUM(G508:M508)</f>
        <v>1500</v>
      </c>
      <c r="O508" s="780">
        <v>1450</v>
      </c>
      <c r="P508" s="73"/>
      <c r="Q508" s="73"/>
    </row>
    <row r="509" spans="1:17" ht="25.5">
      <c r="A509" s="180">
        <v>5</v>
      </c>
      <c r="B509" s="74" t="s">
        <v>784</v>
      </c>
      <c r="C509" s="79">
        <v>150</v>
      </c>
      <c r="D509" s="79">
        <v>150</v>
      </c>
      <c r="E509" s="75">
        <f>D509/C509</f>
        <v>1</v>
      </c>
      <c r="F509" s="75">
        <f>23780/23780</f>
        <v>1</v>
      </c>
      <c r="G509" s="73"/>
      <c r="H509" s="95"/>
      <c r="I509" s="73"/>
      <c r="J509" s="73"/>
      <c r="K509" s="73"/>
      <c r="L509" s="73"/>
      <c r="M509" s="73"/>
      <c r="N509" s="78">
        <f>SUM(G509:M509)</f>
        <v>0</v>
      </c>
      <c r="O509" s="78"/>
      <c r="P509" s="73"/>
      <c r="Q509" s="73"/>
    </row>
    <row r="510" spans="1:17" ht="25.5">
      <c r="A510" s="180">
        <v>6</v>
      </c>
      <c r="B510" s="74" t="s">
        <v>521</v>
      </c>
      <c r="C510" s="79">
        <v>130</v>
      </c>
      <c r="D510" s="79">
        <f>G510/50</f>
        <v>126</v>
      </c>
      <c r="E510" s="75">
        <f>D510/C510</f>
        <v>0.9692307692307692</v>
      </c>
      <c r="F510" s="75">
        <f>23780/23780</f>
        <v>1</v>
      </c>
      <c r="G510" s="77">
        <v>6300</v>
      </c>
      <c r="H510" s="73"/>
      <c r="I510" s="73"/>
      <c r="J510" s="73"/>
      <c r="K510" s="73"/>
      <c r="L510" s="73"/>
      <c r="M510" s="73"/>
      <c r="N510" s="780">
        <f>SUM(G510:M510)</f>
        <v>6300</v>
      </c>
      <c r="O510" s="780">
        <v>6021.68</v>
      </c>
      <c r="P510" s="702"/>
      <c r="Q510" s="73"/>
    </row>
    <row r="511" spans="1:17" ht="12.75">
      <c r="A511" s="180"/>
      <c r="B511" s="73"/>
      <c r="C511" s="79"/>
      <c r="D511" s="79"/>
      <c r="E511" s="73"/>
      <c r="F511" s="73"/>
      <c r="G511" s="73"/>
      <c r="H511" s="73"/>
      <c r="I511" s="73"/>
      <c r="J511" s="73"/>
      <c r="K511" s="73"/>
      <c r="L511" s="73"/>
      <c r="M511" s="73"/>
      <c r="N511" s="89"/>
      <c r="O511" s="89"/>
      <c r="P511" s="73"/>
      <c r="Q511" s="73"/>
    </row>
    <row r="512" spans="1:17" ht="12.75">
      <c r="A512" s="180"/>
      <c r="B512" s="73"/>
      <c r="C512" s="79"/>
      <c r="D512" s="79"/>
      <c r="E512" s="73"/>
      <c r="F512" s="73"/>
      <c r="G512" s="73"/>
      <c r="H512" s="73"/>
      <c r="I512" s="73"/>
      <c r="J512" s="73"/>
      <c r="K512" s="73"/>
      <c r="L512" s="73"/>
      <c r="M512" s="73"/>
      <c r="N512" s="89"/>
      <c r="O512" s="89"/>
      <c r="P512" s="73"/>
      <c r="Q512" s="73"/>
    </row>
    <row r="513" spans="1:17" ht="12.75">
      <c r="A513" s="180"/>
      <c r="B513" s="73"/>
      <c r="C513" s="79"/>
      <c r="D513" s="79"/>
      <c r="E513" s="73"/>
      <c r="F513" s="73"/>
      <c r="G513" s="73"/>
      <c r="H513" s="73"/>
      <c r="I513" s="73"/>
      <c r="J513" s="73"/>
      <c r="K513" s="73"/>
      <c r="L513" s="73"/>
      <c r="M513" s="73"/>
      <c r="N513" s="89"/>
      <c r="O513" s="89"/>
      <c r="P513" s="73"/>
      <c r="Q513" s="73"/>
    </row>
    <row r="514" spans="1:17" ht="12.75">
      <c r="A514" s="180"/>
      <c r="B514" s="73"/>
      <c r="C514" s="79"/>
      <c r="D514" s="79"/>
      <c r="E514" s="73"/>
      <c r="F514" s="73"/>
      <c r="G514" s="73"/>
      <c r="H514" s="73"/>
      <c r="I514" s="73"/>
      <c r="J514" s="73"/>
      <c r="K514" s="73"/>
      <c r="L514" s="73"/>
      <c r="M514" s="73"/>
      <c r="N514" s="89"/>
      <c r="O514" s="89"/>
      <c r="P514" s="73"/>
      <c r="Q514" s="73"/>
    </row>
    <row r="515" spans="1:17" ht="12.75">
      <c r="A515" s="180"/>
      <c r="B515" s="73"/>
      <c r="C515" s="79"/>
      <c r="D515" s="79"/>
      <c r="E515" s="73"/>
      <c r="F515" s="73"/>
      <c r="G515" s="73"/>
      <c r="H515" s="73"/>
      <c r="I515" s="73"/>
      <c r="J515" s="73"/>
      <c r="K515" s="73"/>
      <c r="L515" s="73"/>
      <c r="M515" s="73"/>
      <c r="N515" s="89"/>
      <c r="O515" s="89"/>
      <c r="P515" s="73"/>
      <c r="Q515" s="73"/>
    </row>
    <row r="516" spans="1:17" ht="12.75">
      <c r="A516" s="180"/>
      <c r="B516" s="73"/>
      <c r="C516" s="79"/>
      <c r="D516" s="79"/>
      <c r="E516" s="73"/>
      <c r="F516" s="73"/>
      <c r="G516" s="73"/>
      <c r="H516" s="73"/>
      <c r="I516" s="73"/>
      <c r="J516" s="73"/>
      <c r="K516" s="73"/>
      <c r="L516" s="73"/>
      <c r="M516" s="73"/>
      <c r="N516" s="89"/>
      <c r="O516" s="89"/>
      <c r="P516" s="73"/>
      <c r="Q516" s="73"/>
    </row>
    <row r="517" spans="1:19" ht="13.5" thickBot="1">
      <c r="A517" s="181"/>
      <c r="B517" s="82" t="s">
        <v>445</v>
      </c>
      <c r="C517" s="83"/>
      <c r="D517" s="83"/>
      <c r="E517" s="81"/>
      <c r="F517" s="81"/>
      <c r="G517" s="84">
        <f aca="true" t="shared" si="31" ref="G517:M517">SUM(G506:G516)</f>
        <v>18800</v>
      </c>
      <c r="H517" s="84">
        <f t="shared" si="31"/>
        <v>0</v>
      </c>
      <c r="I517" s="84">
        <f t="shared" si="31"/>
        <v>0</v>
      </c>
      <c r="J517" s="84">
        <f t="shared" si="31"/>
        <v>0</v>
      </c>
      <c r="K517" s="84">
        <f t="shared" si="31"/>
        <v>0</v>
      </c>
      <c r="L517" s="84">
        <f t="shared" si="31"/>
        <v>0</v>
      </c>
      <c r="M517" s="84">
        <f t="shared" si="31"/>
        <v>0</v>
      </c>
      <c r="N517" s="84">
        <f>SUM(N506:N516)</f>
        <v>18800</v>
      </c>
      <c r="O517" s="84">
        <f>SUM(O506:O516)</f>
        <v>18471.68</v>
      </c>
      <c r="P517" s="81"/>
      <c r="Q517" s="81"/>
      <c r="R517" s="153">
        <f>('Resumen presupuesto ejecutado'!D56+'Resumen presupuesto ejecutado'!D58+'Resumen presupuesto ejecutado'!D60+'Resumen presupuesto ejecutado'!D47+'Resumen presupuesto ejecutado'!D48)/1000</f>
        <v>38528</v>
      </c>
      <c r="S517" s="153">
        <f>('Resumen presupuesto ejecutado'!E56+'Resumen presupuesto ejecutado'!E58+'Resumen presupuesto ejecutado'!E60+'Resumen presupuesto ejecutado'!E47+'Resumen presupuesto ejecutado'!E48)/1000</f>
        <v>38011.78</v>
      </c>
    </row>
    <row r="518" spans="1:19" ht="12.75">
      <c r="A518" s="263"/>
      <c r="B518" s="264"/>
      <c r="C518" s="265"/>
      <c r="D518" s="265"/>
      <c r="E518" s="266"/>
      <c r="F518" s="266"/>
      <c r="G518" s="267"/>
      <c r="H518" s="267"/>
      <c r="I518" s="267"/>
      <c r="J518" s="267"/>
      <c r="K518" s="267"/>
      <c r="L518" s="267"/>
      <c r="M518" s="267"/>
      <c r="N518" s="267"/>
      <c r="O518" s="267"/>
      <c r="P518" s="266"/>
      <c r="Q518" s="266"/>
      <c r="R518" s="153">
        <f>R517-N517</f>
        <v>19728</v>
      </c>
      <c r="S518" s="153">
        <f>S517-O517</f>
        <v>19540.1</v>
      </c>
    </row>
    <row r="519" spans="1:17" ht="12.75">
      <c r="A519" s="878" t="s">
        <v>420</v>
      </c>
      <c r="B519" s="878"/>
      <c r="C519" s="878"/>
      <c r="D519" s="878"/>
      <c r="E519" s="878"/>
      <c r="F519" s="878"/>
      <c r="G519" s="878"/>
      <c r="H519" s="878"/>
      <c r="I519" s="878"/>
      <c r="J519" s="878"/>
      <c r="K519" s="878"/>
      <c r="L519" s="878"/>
      <c r="M519" s="878"/>
      <c r="N519" s="878"/>
      <c r="O519" s="878"/>
      <c r="P519" s="878"/>
      <c r="Q519" s="878"/>
    </row>
    <row r="520" spans="1:23" s="39" customFormat="1" ht="16.5" thickBot="1">
      <c r="A520" s="891" t="s">
        <v>609</v>
      </c>
      <c r="B520" s="891"/>
      <c r="C520" s="891"/>
      <c r="D520" s="891"/>
      <c r="E520" s="891"/>
      <c r="F520" s="891"/>
      <c r="G520" s="891"/>
      <c r="H520" s="891"/>
      <c r="I520" s="891"/>
      <c r="J520" s="891"/>
      <c r="K520" s="891"/>
      <c r="L520" s="891"/>
      <c r="M520" s="891"/>
      <c r="N520" s="891"/>
      <c r="O520" s="891"/>
      <c r="P520" s="891"/>
      <c r="Q520" s="891"/>
      <c r="R520" s="184"/>
      <c r="S520" s="184"/>
      <c r="W520" s="184"/>
    </row>
    <row r="521" spans="1:23" s="39" customFormat="1" ht="13.5" thickBot="1">
      <c r="A521" s="175"/>
      <c r="C521" s="40"/>
      <c r="D521" s="40"/>
      <c r="N521" s="755"/>
      <c r="O521" s="755"/>
      <c r="P521" s="892" t="s">
        <v>565</v>
      </c>
      <c r="Q521" s="893"/>
      <c r="R521" s="184"/>
      <c r="S521" s="184"/>
      <c r="W521" s="184"/>
    </row>
    <row r="522" spans="1:17" ht="12.75">
      <c r="A522" s="878" t="s">
        <v>76</v>
      </c>
      <c r="B522" s="878"/>
      <c r="C522" s="878"/>
      <c r="D522" s="878"/>
      <c r="E522" s="878"/>
      <c r="F522" s="878"/>
      <c r="P522" s="889" t="s">
        <v>74</v>
      </c>
      <c r="Q522" s="889"/>
    </row>
    <row r="523" spans="1:17" ht="12.75">
      <c r="A523" s="878" t="s">
        <v>77</v>
      </c>
      <c r="B523" s="879"/>
      <c r="C523" s="879"/>
      <c r="D523" s="879"/>
      <c r="E523" s="879"/>
      <c r="F523" s="879"/>
      <c r="P523" s="890" t="s">
        <v>75</v>
      </c>
      <c r="Q523" s="890"/>
    </row>
    <row r="524" spans="1:9" ht="12.75">
      <c r="A524" s="878" t="s">
        <v>808</v>
      </c>
      <c r="B524" s="879"/>
      <c r="C524" s="879"/>
      <c r="D524" s="879"/>
      <c r="E524" s="879"/>
      <c r="F524" s="879"/>
      <c r="G524" s="38" t="s">
        <v>72</v>
      </c>
      <c r="I524" s="41">
        <v>39083</v>
      </c>
    </row>
    <row r="526" ht="13.5" thickBot="1"/>
    <row r="527" spans="1:17" ht="13.5" thickBot="1">
      <c r="A527" s="177" t="s">
        <v>424</v>
      </c>
      <c r="B527" s="43"/>
      <c r="C527" s="44" t="s">
        <v>97</v>
      </c>
      <c r="D527" s="44"/>
      <c r="E527" s="43"/>
      <c r="F527" s="45"/>
      <c r="G527" s="880" t="s">
        <v>425</v>
      </c>
      <c r="H527" s="881"/>
      <c r="I527" s="881"/>
      <c r="J527" s="881"/>
      <c r="K527" s="881"/>
      <c r="L527" s="881"/>
      <c r="M527" s="881"/>
      <c r="N527" s="881"/>
      <c r="O527" s="882"/>
      <c r="P527" s="880" t="s">
        <v>426</v>
      </c>
      <c r="Q527" s="882"/>
    </row>
    <row r="528" spans="1:17" ht="15">
      <c r="A528" s="178" t="s">
        <v>422</v>
      </c>
      <c r="B528" s="47"/>
      <c r="C528" s="48" t="s">
        <v>546</v>
      </c>
      <c r="D528" s="48"/>
      <c r="E528" s="47"/>
      <c r="F528" s="49"/>
      <c r="G528" s="883" t="s">
        <v>2</v>
      </c>
      <c r="H528" s="884"/>
      <c r="I528" s="884"/>
      <c r="J528" s="884"/>
      <c r="K528" s="884"/>
      <c r="L528" s="884"/>
      <c r="M528" s="884"/>
      <c r="N528" s="884"/>
      <c r="O528" s="885"/>
      <c r="P528" s="50"/>
      <c r="Q528" s="14"/>
    </row>
    <row r="529" spans="1:17" ht="25.5" customHeight="1" thickBot="1">
      <c r="A529" s="179" t="s">
        <v>423</v>
      </c>
      <c r="B529" s="52"/>
      <c r="C529" s="894" t="s">
        <v>777</v>
      </c>
      <c r="D529" s="894"/>
      <c r="E529" s="894"/>
      <c r="F529" s="895"/>
      <c r="G529" s="886"/>
      <c r="H529" s="887"/>
      <c r="I529" s="887"/>
      <c r="J529" s="887"/>
      <c r="K529" s="887"/>
      <c r="L529" s="887"/>
      <c r="M529" s="887"/>
      <c r="N529" s="887"/>
      <c r="O529" s="888"/>
      <c r="P529" s="55"/>
      <c r="Q529" s="56" t="s">
        <v>825</v>
      </c>
    </row>
    <row r="530" spans="1:2" ht="13.5" thickBot="1">
      <c r="A530" s="176" t="s">
        <v>73</v>
      </c>
      <c r="B530" s="57"/>
    </row>
    <row r="531" spans="1:17" ht="12.75">
      <c r="A531" s="869" t="s">
        <v>431</v>
      </c>
      <c r="B531" s="870"/>
      <c r="C531" s="870"/>
      <c r="D531" s="870"/>
      <c r="E531" s="870"/>
      <c r="F531" s="871"/>
      <c r="G531" s="872" t="s">
        <v>427</v>
      </c>
      <c r="H531" s="873"/>
      <c r="I531" s="873"/>
      <c r="J531" s="873"/>
      <c r="K531" s="873"/>
      <c r="L531" s="873"/>
      <c r="M531" s="873"/>
      <c r="N531" s="873"/>
      <c r="O531" s="874"/>
      <c r="P531" s="875" t="s">
        <v>428</v>
      </c>
      <c r="Q531" s="874" t="s">
        <v>429</v>
      </c>
    </row>
    <row r="532" spans="1:17" ht="13.5" thickBot="1">
      <c r="A532" s="61"/>
      <c r="B532" s="62"/>
      <c r="C532" s="63"/>
      <c r="D532" s="63"/>
      <c r="E532" s="62"/>
      <c r="F532" s="64"/>
      <c r="G532" s="61"/>
      <c r="H532" s="62"/>
      <c r="I532" s="62"/>
      <c r="J532" s="62"/>
      <c r="K532" s="62"/>
      <c r="L532" s="62"/>
      <c r="M532" s="62"/>
      <c r="N532" s="756"/>
      <c r="O532" s="757"/>
      <c r="P532" s="876"/>
      <c r="Q532" s="877"/>
    </row>
    <row r="533" spans="1:17" ht="52.5" thickBot="1">
      <c r="A533" s="35" t="s">
        <v>430</v>
      </c>
      <c r="B533" s="90" t="s">
        <v>432</v>
      </c>
      <c r="C533" s="91" t="s">
        <v>433</v>
      </c>
      <c r="D533" s="66" t="s">
        <v>434</v>
      </c>
      <c r="E533" s="37" t="s">
        <v>435</v>
      </c>
      <c r="F533" s="36" t="s">
        <v>446</v>
      </c>
      <c r="G533" s="67" t="s">
        <v>436</v>
      </c>
      <c r="H533" s="68" t="s">
        <v>437</v>
      </c>
      <c r="I533" s="68" t="s">
        <v>438</v>
      </c>
      <c r="J533" s="68" t="s">
        <v>439</v>
      </c>
      <c r="K533" s="68" t="s">
        <v>440</v>
      </c>
      <c r="L533" s="68" t="s">
        <v>441</v>
      </c>
      <c r="M533" s="68" t="s">
        <v>442</v>
      </c>
      <c r="N533" s="758" t="s">
        <v>443</v>
      </c>
      <c r="O533" s="759" t="s">
        <v>444</v>
      </c>
      <c r="P533" s="876"/>
      <c r="Q533" s="877"/>
    </row>
    <row r="534" spans="1:17" ht="25.5">
      <c r="A534" s="105">
        <v>1</v>
      </c>
      <c r="B534" s="117" t="s">
        <v>348</v>
      </c>
      <c r="C534" s="367">
        <v>0</v>
      </c>
      <c r="D534" s="367">
        <v>0</v>
      </c>
      <c r="E534" s="751">
        <v>0</v>
      </c>
      <c r="F534" s="751">
        <v>1</v>
      </c>
      <c r="G534" s="72"/>
      <c r="H534" s="72"/>
      <c r="I534" s="72"/>
      <c r="J534" s="72"/>
      <c r="K534" s="72"/>
      <c r="L534" s="72"/>
      <c r="M534" s="72"/>
      <c r="N534" s="778">
        <f>SUM(G534:M534)</f>
        <v>0</v>
      </c>
      <c r="O534" s="778"/>
      <c r="P534" s="69"/>
      <c r="Q534" s="69"/>
    </row>
    <row r="535" spans="1:17" ht="12.75">
      <c r="A535" s="180">
        <v>2</v>
      </c>
      <c r="B535" s="118" t="s">
        <v>830</v>
      </c>
      <c r="C535" s="79">
        <v>28</v>
      </c>
      <c r="D535" s="79">
        <v>22</v>
      </c>
      <c r="E535" s="75">
        <f>D535/C535</f>
        <v>0.7857142857142857</v>
      </c>
      <c r="F535" s="75">
        <v>1</v>
      </c>
      <c r="G535" s="77"/>
      <c r="H535" s="77"/>
      <c r="I535" s="77"/>
      <c r="J535" s="77"/>
      <c r="K535" s="77"/>
      <c r="L535" s="77"/>
      <c r="M535" s="77"/>
      <c r="N535" s="78">
        <f>+G535</f>
        <v>0</v>
      </c>
      <c r="O535" s="78"/>
      <c r="P535" s="73"/>
      <c r="Q535" s="73"/>
    </row>
    <row r="536" spans="1:17" ht="25.5">
      <c r="A536" s="180">
        <v>3</v>
      </c>
      <c r="B536" s="118" t="s">
        <v>831</v>
      </c>
      <c r="C536" s="79">
        <v>30</v>
      </c>
      <c r="D536" s="79">
        <v>30</v>
      </c>
      <c r="E536" s="75">
        <f>D536/C536</f>
        <v>1</v>
      </c>
      <c r="F536" s="75">
        <v>1</v>
      </c>
      <c r="G536" s="77"/>
      <c r="H536" s="77"/>
      <c r="I536" s="77"/>
      <c r="J536" s="77"/>
      <c r="K536" s="77"/>
      <c r="L536" s="77"/>
      <c r="M536" s="77"/>
      <c r="N536" s="78">
        <f>+G536</f>
        <v>0</v>
      </c>
      <c r="O536" s="78"/>
      <c r="P536" s="73"/>
      <c r="Q536" s="73"/>
    </row>
    <row r="537" spans="1:17" ht="25.5">
      <c r="A537" s="180">
        <v>4</v>
      </c>
      <c r="B537" s="74" t="s">
        <v>349</v>
      </c>
      <c r="C537" s="79">
        <v>0</v>
      </c>
      <c r="D537" s="164">
        <v>0</v>
      </c>
      <c r="E537" s="748">
        <v>0</v>
      </c>
      <c r="F537" s="75">
        <v>1</v>
      </c>
      <c r="G537" s="95"/>
      <c r="H537" s="77"/>
      <c r="I537" s="77"/>
      <c r="J537" s="77"/>
      <c r="K537" s="77"/>
      <c r="L537" s="77"/>
      <c r="M537" s="77"/>
      <c r="N537" s="78">
        <f>+G537</f>
        <v>0</v>
      </c>
      <c r="O537" s="78"/>
      <c r="P537" s="73"/>
      <c r="Q537" s="73"/>
    </row>
    <row r="538" spans="1:17" ht="63.75">
      <c r="A538" s="180">
        <v>5</v>
      </c>
      <c r="B538" s="74" t="s">
        <v>522</v>
      </c>
      <c r="C538" s="79">
        <v>300</v>
      </c>
      <c r="D538" s="164">
        <v>300</v>
      </c>
      <c r="E538" s="75">
        <f>D538/C538</f>
        <v>1</v>
      </c>
      <c r="F538" s="75">
        <v>1</v>
      </c>
      <c r="G538" s="73"/>
      <c r="H538" s="95"/>
      <c r="I538" s="73"/>
      <c r="J538" s="73"/>
      <c r="K538" s="73"/>
      <c r="L538" s="73"/>
      <c r="M538" s="73"/>
      <c r="N538" s="78">
        <f>+G538+H538</f>
        <v>0</v>
      </c>
      <c r="O538" s="89"/>
      <c r="P538" s="73"/>
      <c r="Q538" s="73"/>
    </row>
    <row r="539" spans="1:17" ht="25.5">
      <c r="A539" s="180"/>
      <c r="B539" s="74" t="s">
        <v>523</v>
      </c>
      <c r="C539" s="79">
        <v>1</v>
      </c>
      <c r="D539" s="164">
        <v>1</v>
      </c>
      <c r="E539" s="75">
        <v>0</v>
      </c>
      <c r="F539" s="75">
        <v>1</v>
      </c>
      <c r="G539" s="73"/>
      <c r="H539" s="73"/>
      <c r="I539" s="73"/>
      <c r="J539" s="73"/>
      <c r="K539" s="73"/>
      <c r="L539" s="73"/>
      <c r="M539" s="73"/>
      <c r="N539" s="89"/>
      <c r="O539" s="89"/>
      <c r="P539" s="73"/>
      <c r="Q539" s="73"/>
    </row>
    <row r="540" spans="1:17" ht="12.75">
      <c r="A540" s="180"/>
      <c r="B540" s="73"/>
      <c r="C540" s="79"/>
      <c r="D540" s="79"/>
      <c r="E540" s="73"/>
      <c r="F540" s="73"/>
      <c r="G540" s="73"/>
      <c r="H540" s="73"/>
      <c r="I540" s="73"/>
      <c r="J540" s="73"/>
      <c r="K540" s="73"/>
      <c r="L540" s="73"/>
      <c r="M540" s="73"/>
      <c r="N540" s="89"/>
      <c r="O540" s="89"/>
      <c r="P540" s="73"/>
      <c r="Q540" s="73"/>
    </row>
    <row r="541" spans="1:17" ht="12.75">
      <c r="A541" s="180"/>
      <c r="B541" s="73"/>
      <c r="C541" s="79"/>
      <c r="D541" s="79"/>
      <c r="E541" s="73"/>
      <c r="F541" s="73"/>
      <c r="G541" s="73"/>
      <c r="H541" s="73"/>
      <c r="I541" s="73"/>
      <c r="J541" s="73"/>
      <c r="K541" s="73"/>
      <c r="L541" s="73"/>
      <c r="M541" s="73"/>
      <c r="N541" s="89"/>
      <c r="O541" s="89"/>
      <c r="P541" s="73"/>
      <c r="Q541" s="73"/>
    </row>
    <row r="542" spans="1:17" ht="12.75">
      <c r="A542" s="180"/>
      <c r="B542" s="73"/>
      <c r="C542" s="79"/>
      <c r="D542" s="79"/>
      <c r="E542" s="73"/>
      <c r="F542" s="73"/>
      <c r="G542" s="73"/>
      <c r="H542" s="73"/>
      <c r="I542" s="73"/>
      <c r="J542" s="73"/>
      <c r="K542" s="73"/>
      <c r="L542" s="73"/>
      <c r="M542" s="73"/>
      <c r="N542" s="89"/>
      <c r="O542" s="89"/>
      <c r="P542" s="73"/>
      <c r="Q542" s="73"/>
    </row>
    <row r="543" spans="1:17" ht="12.75">
      <c r="A543" s="180"/>
      <c r="B543" s="73"/>
      <c r="C543" s="79"/>
      <c r="D543" s="79"/>
      <c r="E543" s="73"/>
      <c r="F543" s="73"/>
      <c r="G543" s="73"/>
      <c r="H543" s="73"/>
      <c r="I543" s="73"/>
      <c r="J543" s="73"/>
      <c r="K543" s="73"/>
      <c r="L543" s="73"/>
      <c r="M543" s="73"/>
      <c r="N543" s="89"/>
      <c r="O543" s="89"/>
      <c r="P543" s="73"/>
      <c r="Q543" s="73"/>
    </row>
    <row r="544" spans="1:17" ht="12.75">
      <c r="A544" s="180"/>
      <c r="B544" s="73"/>
      <c r="C544" s="79"/>
      <c r="D544" s="79"/>
      <c r="E544" s="73"/>
      <c r="F544" s="73"/>
      <c r="G544" s="73"/>
      <c r="H544" s="73"/>
      <c r="I544" s="73"/>
      <c r="J544" s="73"/>
      <c r="K544" s="73"/>
      <c r="L544" s="73"/>
      <c r="M544" s="73"/>
      <c r="N544" s="89"/>
      <c r="O544" s="89"/>
      <c r="P544" s="73"/>
      <c r="Q544" s="73"/>
    </row>
    <row r="545" spans="1:17" ht="12.75">
      <c r="A545" s="180"/>
      <c r="B545" s="73"/>
      <c r="C545" s="79"/>
      <c r="D545" s="79"/>
      <c r="E545" s="73"/>
      <c r="F545" s="73"/>
      <c r="G545" s="73"/>
      <c r="H545" s="73"/>
      <c r="I545" s="73"/>
      <c r="J545" s="73"/>
      <c r="K545" s="73"/>
      <c r="L545" s="73"/>
      <c r="M545" s="73"/>
      <c r="N545" s="89"/>
      <c r="O545" s="89"/>
      <c r="P545" s="73"/>
      <c r="Q545" s="73"/>
    </row>
    <row r="546" spans="1:17" ht="13.5" thickBot="1">
      <c r="A546" s="181"/>
      <c r="B546" s="82" t="s">
        <v>445</v>
      </c>
      <c r="C546" s="83"/>
      <c r="D546" s="83"/>
      <c r="E546" s="81"/>
      <c r="F546" s="81"/>
      <c r="G546" s="84">
        <f aca="true" t="shared" si="32" ref="G546:O546">SUM(G534:G545)</f>
        <v>0</v>
      </c>
      <c r="H546" s="84">
        <f t="shared" si="32"/>
        <v>0</v>
      </c>
      <c r="I546" s="84">
        <f t="shared" si="32"/>
        <v>0</v>
      </c>
      <c r="J546" s="84">
        <f t="shared" si="32"/>
        <v>0</v>
      </c>
      <c r="K546" s="84">
        <f t="shared" si="32"/>
        <v>0</v>
      </c>
      <c r="L546" s="84">
        <f t="shared" si="32"/>
        <v>0</v>
      </c>
      <c r="M546" s="84">
        <f t="shared" si="32"/>
        <v>0</v>
      </c>
      <c r="N546" s="84">
        <f t="shared" si="32"/>
        <v>0</v>
      </c>
      <c r="O546" s="84">
        <f t="shared" si="32"/>
        <v>0</v>
      </c>
      <c r="P546" s="81"/>
      <c r="Q546" s="81"/>
    </row>
    <row r="547" spans="1:17" ht="12.75">
      <c r="A547" s="263"/>
      <c r="B547" s="264"/>
      <c r="C547" s="265"/>
      <c r="D547" s="265"/>
      <c r="E547" s="266"/>
      <c r="F547" s="266"/>
      <c r="G547" s="267"/>
      <c r="H547" s="267"/>
      <c r="I547" s="267"/>
      <c r="J547" s="267"/>
      <c r="K547" s="267"/>
      <c r="L547" s="267"/>
      <c r="M547" s="267"/>
      <c r="N547" s="267"/>
      <c r="O547" s="267"/>
      <c r="P547" s="266"/>
      <c r="Q547" s="266"/>
    </row>
    <row r="548" spans="1:17" ht="12.75">
      <c r="A548" s="878" t="s">
        <v>420</v>
      </c>
      <c r="B548" s="878"/>
      <c r="C548" s="878"/>
      <c r="D548" s="878"/>
      <c r="E548" s="878"/>
      <c r="F548" s="878"/>
      <c r="G548" s="878"/>
      <c r="H548" s="878"/>
      <c r="I548" s="878"/>
      <c r="J548" s="878"/>
      <c r="K548" s="878"/>
      <c r="L548" s="878"/>
      <c r="M548" s="878"/>
      <c r="N548" s="878"/>
      <c r="O548" s="878"/>
      <c r="P548" s="878"/>
      <c r="Q548" s="878"/>
    </row>
    <row r="549" spans="1:23" s="39" customFormat="1" ht="16.5" thickBot="1">
      <c r="A549" s="891" t="s">
        <v>609</v>
      </c>
      <c r="B549" s="891"/>
      <c r="C549" s="891"/>
      <c r="D549" s="891"/>
      <c r="E549" s="891"/>
      <c r="F549" s="891"/>
      <c r="G549" s="891"/>
      <c r="H549" s="891"/>
      <c r="I549" s="891"/>
      <c r="J549" s="891"/>
      <c r="K549" s="891"/>
      <c r="L549" s="891"/>
      <c r="M549" s="891"/>
      <c r="N549" s="891"/>
      <c r="O549" s="891"/>
      <c r="P549" s="891"/>
      <c r="Q549" s="891"/>
      <c r="R549" s="184"/>
      <c r="S549" s="184"/>
      <c r="W549" s="184"/>
    </row>
    <row r="550" spans="1:23" s="39" customFormat="1" ht="13.5" thickBot="1">
      <c r="A550" s="175"/>
      <c r="C550" s="40"/>
      <c r="D550" s="40"/>
      <c r="N550" s="755"/>
      <c r="O550" s="755"/>
      <c r="P550" s="892" t="s">
        <v>566</v>
      </c>
      <c r="Q550" s="893"/>
      <c r="R550" s="184"/>
      <c r="S550" s="184">
        <f>960*2</f>
        <v>1920</v>
      </c>
      <c r="W550" s="184"/>
    </row>
    <row r="551" spans="1:17" ht="12.75">
      <c r="A551" s="878" t="s">
        <v>76</v>
      </c>
      <c r="B551" s="878"/>
      <c r="C551" s="878"/>
      <c r="D551" s="878"/>
      <c r="E551" s="878"/>
      <c r="F551" s="878"/>
      <c r="P551" s="889" t="s">
        <v>74</v>
      </c>
      <c r="Q551" s="889"/>
    </row>
    <row r="552" spans="1:17" ht="12.75">
      <c r="A552" s="878" t="s">
        <v>77</v>
      </c>
      <c r="B552" s="879"/>
      <c r="C552" s="879"/>
      <c r="D552" s="879"/>
      <c r="E552" s="879"/>
      <c r="F552" s="879"/>
      <c r="P552" s="890" t="s">
        <v>75</v>
      </c>
      <c r="Q552" s="890"/>
    </row>
    <row r="553" spans="1:9" ht="12.75">
      <c r="A553" s="878" t="s">
        <v>808</v>
      </c>
      <c r="B553" s="879"/>
      <c r="C553" s="879"/>
      <c r="D553" s="879"/>
      <c r="E553" s="879"/>
      <c r="F553" s="879"/>
      <c r="G553" s="38" t="s">
        <v>72</v>
      </c>
      <c r="I553" s="41">
        <v>39083</v>
      </c>
    </row>
    <row r="555" ht="13.5" thickBot="1"/>
    <row r="556" spans="1:17" ht="13.5" thickBot="1">
      <c r="A556" s="177" t="s">
        <v>424</v>
      </c>
      <c r="B556" s="43"/>
      <c r="C556" s="44" t="s">
        <v>97</v>
      </c>
      <c r="D556" s="44"/>
      <c r="E556" s="43"/>
      <c r="F556" s="45"/>
      <c r="G556" s="880" t="s">
        <v>425</v>
      </c>
      <c r="H556" s="881"/>
      <c r="I556" s="881"/>
      <c r="J556" s="881"/>
      <c r="K556" s="881"/>
      <c r="L556" s="881"/>
      <c r="M556" s="881"/>
      <c r="N556" s="881"/>
      <c r="O556" s="882"/>
      <c r="P556" s="880" t="s">
        <v>426</v>
      </c>
      <c r="Q556" s="882"/>
    </row>
    <row r="557" spans="1:17" ht="15">
      <c r="A557" s="178" t="s">
        <v>422</v>
      </c>
      <c r="B557" s="47"/>
      <c r="C557" s="48" t="s">
        <v>546</v>
      </c>
      <c r="D557" s="48"/>
      <c r="E557" s="47"/>
      <c r="F557" s="49"/>
      <c r="G557" s="883" t="s">
        <v>413</v>
      </c>
      <c r="H557" s="884"/>
      <c r="I557" s="884"/>
      <c r="J557" s="884"/>
      <c r="K557" s="884"/>
      <c r="L557" s="884"/>
      <c r="M557" s="884"/>
      <c r="N557" s="884"/>
      <c r="O557" s="885"/>
      <c r="P557" s="50"/>
      <c r="Q557" s="14"/>
    </row>
    <row r="558" spans="1:17" ht="25.5" customHeight="1" thickBot="1">
      <c r="A558" s="179" t="s">
        <v>423</v>
      </c>
      <c r="B558" s="52"/>
      <c r="C558" s="894" t="s">
        <v>350</v>
      </c>
      <c r="D558" s="894"/>
      <c r="E558" s="894"/>
      <c r="F558" s="895"/>
      <c r="G558" s="886"/>
      <c r="H558" s="887"/>
      <c r="I558" s="887"/>
      <c r="J558" s="887"/>
      <c r="K558" s="887"/>
      <c r="L558" s="887"/>
      <c r="M558" s="887"/>
      <c r="N558" s="887"/>
      <c r="O558" s="888"/>
      <c r="P558" s="55"/>
      <c r="Q558" s="363" t="s">
        <v>826</v>
      </c>
    </row>
    <row r="559" spans="1:2" ht="13.5" thickBot="1">
      <c r="A559" s="176" t="s">
        <v>73</v>
      </c>
      <c r="B559" s="57"/>
    </row>
    <row r="560" spans="1:17" ht="12.75">
      <c r="A560" s="869" t="s">
        <v>431</v>
      </c>
      <c r="B560" s="870"/>
      <c r="C560" s="870"/>
      <c r="D560" s="870"/>
      <c r="E560" s="870"/>
      <c r="F560" s="871"/>
      <c r="G560" s="872" t="s">
        <v>427</v>
      </c>
      <c r="H560" s="873"/>
      <c r="I560" s="873"/>
      <c r="J560" s="873"/>
      <c r="K560" s="873"/>
      <c r="L560" s="873"/>
      <c r="M560" s="873"/>
      <c r="N560" s="873"/>
      <c r="O560" s="874"/>
      <c r="P560" s="875" t="s">
        <v>428</v>
      </c>
      <c r="Q560" s="874" t="s">
        <v>429</v>
      </c>
    </row>
    <row r="561" spans="1:17" ht="13.5" thickBot="1">
      <c r="A561" s="61"/>
      <c r="B561" s="62"/>
      <c r="C561" s="63"/>
      <c r="D561" s="63"/>
      <c r="E561" s="62"/>
      <c r="F561" s="64"/>
      <c r="G561" s="61"/>
      <c r="H561" s="62"/>
      <c r="I561" s="62"/>
      <c r="J561" s="62"/>
      <c r="K561" s="62"/>
      <c r="L561" s="62"/>
      <c r="M561" s="62"/>
      <c r="N561" s="756"/>
      <c r="O561" s="757"/>
      <c r="P561" s="876"/>
      <c r="Q561" s="877"/>
    </row>
    <row r="562" spans="1:17" ht="52.5" thickBot="1">
      <c r="A562" s="35" t="s">
        <v>430</v>
      </c>
      <c r="B562" s="90" t="s">
        <v>432</v>
      </c>
      <c r="C562" s="91" t="s">
        <v>433</v>
      </c>
      <c r="D562" s="66" t="s">
        <v>434</v>
      </c>
      <c r="E562" s="37" t="s">
        <v>435</v>
      </c>
      <c r="F562" s="36" t="s">
        <v>446</v>
      </c>
      <c r="G562" s="67" t="s">
        <v>436</v>
      </c>
      <c r="H562" s="68" t="s">
        <v>437</v>
      </c>
      <c r="I562" s="68" t="s">
        <v>438</v>
      </c>
      <c r="J562" s="68" t="s">
        <v>439</v>
      </c>
      <c r="K562" s="68" t="s">
        <v>440</v>
      </c>
      <c r="L562" s="68" t="s">
        <v>441</v>
      </c>
      <c r="M562" s="68" t="s">
        <v>442</v>
      </c>
      <c r="N562" s="758" t="s">
        <v>443</v>
      </c>
      <c r="O562" s="759" t="s">
        <v>444</v>
      </c>
      <c r="P562" s="876"/>
      <c r="Q562" s="877"/>
    </row>
    <row r="563" spans="1:17" ht="25.5">
      <c r="A563" s="105">
        <v>1</v>
      </c>
      <c r="B563" s="117" t="s">
        <v>827</v>
      </c>
      <c r="C563" s="367">
        <v>380</v>
      </c>
      <c r="D563" s="367">
        <v>380</v>
      </c>
      <c r="E563" s="93">
        <f>D563/C563</f>
        <v>1</v>
      </c>
      <c r="F563" s="93">
        <v>1</v>
      </c>
      <c r="G563" s="72"/>
      <c r="H563" s="72"/>
      <c r="I563" s="72"/>
      <c r="J563" s="72"/>
      <c r="K563" s="72"/>
      <c r="L563" s="72"/>
      <c r="M563" s="72"/>
      <c r="N563" s="778">
        <f>SUM(G563:M563)</f>
        <v>0</v>
      </c>
      <c r="O563" s="778"/>
      <c r="P563" s="69"/>
      <c r="Q563" s="69"/>
    </row>
    <row r="564" spans="1:17" ht="38.25">
      <c r="A564" s="180">
        <v>2</v>
      </c>
      <c r="B564" s="118" t="s">
        <v>828</v>
      </c>
      <c r="C564" s="79">
        <v>0</v>
      </c>
      <c r="D564" s="79">
        <v>0</v>
      </c>
      <c r="E564" s="75">
        <v>0</v>
      </c>
      <c r="F564" s="75">
        <v>1</v>
      </c>
      <c r="G564" s="77"/>
      <c r="H564" s="77"/>
      <c r="I564" s="77"/>
      <c r="J564" s="77"/>
      <c r="K564" s="77"/>
      <c r="L564" s="77"/>
      <c r="M564" s="77"/>
      <c r="N564" s="78">
        <f>+G564</f>
        <v>0</v>
      </c>
      <c r="O564" s="78"/>
      <c r="P564" s="73"/>
      <c r="Q564" s="73"/>
    </row>
    <row r="565" spans="1:17" ht="25.5">
      <c r="A565" s="180">
        <v>3</v>
      </c>
      <c r="B565" s="118" t="s">
        <v>829</v>
      </c>
      <c r="C565" s="79">
        <v>20</v>
      </c>
      <c r="D565" s="79">
        <v>20</v>
      </c>
      <c r="E565" s="75">
        <f>D565/C565</f>
        <v>1</v>
      </c>
      <c r="F565" s="75">
        <v>1</v>
      </c>
      <c r="G565" s="77"/>
      <c r="H565" s="77"/>
      <c r="I565" s="77"/>
      <c r="J565" s="77"/>
      <c r="K565" s="77"/>
      <c r="L565" s="77"/>
      <c r="M565" s="77"/>
      <c r="N565" s="78">
        <f>+G565</f>
        <v>0</v>
      </c>
      <c r="O565" s="78"/>
      <c r="P565" s="73"/>
      <c r="Q565" s="73"/>
    </row>
    <row r="566" spans="1:17" ht="12.75">
      <c r="A566" s="180"/>
      <c r="B566" s="74"/>
      <c r="C566" s="79"/>
      <c r="D566" s="164"/>
      <c r="E566" s="75"/>
      <c r="F566" s="75"/>
      <c r="G566" s="95"/>
      <c r="H566" s="77"/>
      <c r="I566" s="77"/>
      <c r="J566" s="77"/>
      <c r="K566" s="77"/>
      <c r="L566" s="77"/>
      <c r="M566" s="77"/>
      <c r="N566" s="78">
        <f>+G566</f>
        <v>0</v>
      </c>
      <c r="O566" s="78"/>
      <c r="P566" s="73"/>
      <c r="Q566" s="73"/>
    </row>
    <row r="567" spans="1:17" ht="12.75">
      <c r="A567" s="180"/>
      <c r="B567" s="74"/>
      <c r="C567" s="79"/>
      <c r="D567" s="79"/>
      <c r="E567" s="73"/>
      <c r="F567" s="73"/>
      <c r="G567" s="73"/>
      <c r="H567" s="95"/>
      <c r="I567" s="73"/>
      <c r="J567" s="73"/>
      <c r="K567" s="73"/>
      <c r="L567" s="73"/>
      <c r="M567" s="73"/>
      <c r="N567" s="78">
        <f>+G567+H567</f>
        <v>0</v>
      </c>
      <c r="O567" s="89"/>
      <c r="P567" s="73"/>
      <c r="Q567" s="73"/>
    </row>
    <row r="568" spans="1:17" ht="12.75">
      <c r="A568" s="180"/>
      <c r="B568" s="73"/>
      <c r="C568" s="79"/>
      <c r="D568" s="79"/>
      <c r="E568" s="73"/>
      <c r="F568" s="73"/>
      <c r="G568" s="73"/>
      <c r="H568" s="73"/>
      <c r="I568" s="73"/>
      <c r="J568" s="73"/>
      <c r="K568" s="73"/>
      <c r="L568" s="73"/>
      <c r="M568" s="73"/>
      <c r="N568" s="89"/>
      <c r="O568" s="89"/>
      <c r="P568" s="73"/>
      <c r="Q568" s="73"/>
    </row>
    <row r="569" spans="1:17" ht="12.75">
      <c r="A569" s="180"/>
      <c r="B569" s="73"/>
      <c r="C569" s="79"/>
      <c r="D569" s="79"/>
      <c r="E569" s="73"/>
      <c r="F569" s="73"/>
      <c r="G569" s="73"/>
      <c r="H569" s="73"/>
      <c r="I569" s="73"/>
      <c r="J569" s="73"/>
      <c r="K569" s="73"/>
      <c r="L569" s="73"/>
      <c r="M569" s="73"/>
      <c r="N569" s="89"/>
      <c r="O569" s="89"/>
      <c r="P569" s="73"/>
      <c r="Q569" s="73"/>
    </row>
    <row r="570" spans="1:17" ht="12.75">
      <c r="A570" s="180"/>
      <c r="B570" s="73"/>
      <c r="C570" s="79"/>
      <c r="D570" s="79"/>
      <c r="E570" s="73"/>
      <c r="F570" s="73"/>
      <c r="G570" s="73"/>
      <c r="H570" s="73"/>
      <c r="I570" s="73"/>
      <c r="J570" s="73"/>
      <c r="K570" s="73"/>
      <c r="L570" s="73"/>
      <c r="M570" s="73"/>
      <c r="N570" s="89"/>
      <c r="O570" s="89"/>
      <c r="P570" s="73"/>
      <c r="Q570" s="73"/>
    </row>
    <row r="571" spans="1:17" ht="12.75">
      <c r="A571" s="180"/>
      <c r="B571" s="73"/>
      <c r="C571" s="79"/>
      <c r="D571" s="79"/>
      <c r="E571" s="73"/>
      <c r="F571" s="73"/>
      <c r="G571" s="73"/>
      <c r="H571" s="73"/>
      <c r="I571" s="73"/>
      <c r="J571" s="73"/>
      <c r="K571" s="73"/>
      <c r="L571" s="73"/>
      <c r="M571" s="73"/>
      <c r="N571" s="89"/>
      <c r="O571" s="89"/>
      <c r="P571" s="73"/>
      <c r="Q571" s="73"/>
    </row>
    <row r="572" spans="1:17" ht="12.75">
      <c r="A572" s="180"/>
      <c r="B572" s="73"/>
      <c r="C572" s="79"/>
      <c r="D572" s="79"/>
      <c r="E572" s="73"/>
      <c r="F572" s="73"/>
      <c r="G572" s="73"/>
      <c r="H572" s="73"/>
      <c r="I572" s="73"/>
      <c r="J572" s="73"/>
      <c r="K572" s="73"/>
      <c r="L572" s="73"/>
      <c r="M572" s="73"/>
      <c r="N572" s="89"/>
      <c r="O572" s="89"/>
      <c r="P572" s="73"/>
      <c r="Q572" s="73"/>
    </row>
    <row r="573" spans="1:17" ht="12.75">
      <c r="A573" s="180"/>
      <c r="B573" s="73"/>
      <c r="C573" s="79"/>
      <c r="D573" s="79"/>
      <c r="E573" s="73"/>
      <c r="F573" s="73"/>
      <c r="G573" s="73"/>
      <c r="H573" s="73"/>
      <c r="I573" s="73"/>
      <c r="J573" s="73"/>
      <c r="K573" s="73"/>
      <c r="L573" s="73"/>
      <c r="M573" s="73"/>
      <c r="N573" s="89"/>
      <c r="O573" s="89"/>
      <c r="P573" s="73"/>
      <c r="Q573" s="73"/>
    </row>
    <row r="574" spans="1:17" ht="12.75">
      <c r="A574" s="180"/>
      <c r="B574" s="73"/>
      <c r="C574" s="79"/>
      <c r="D574" s="79"/>
      <c r="E574" s="73"/>
      <c r="F574" s="73"/>
      <c r="G574" s="73"/>
      <c r="H574" s="73"/>
      <c r="I574" s="73"/>
      <c r="J574" s="73"/>
      <c r="K574" s="73"/>
      <c r="L574" s="73"/>
      <c r="M574" s="73"/>
      <c r="N574" s="89"/>
      <c r="O574" s="89"/>
      <c r="P574" s="73"/>
      <c r="Q574" s="73"/>
    </row>
    <row r="575" spans="1:17" ht="13.5" thickBot="1">
      <c r="A575" s="181"/>
      <c r="B575" s="82" t="s">
        <v>445</v>
      </c>
      <c r="C575" s="83"/>
      <c r="D575" s="83"/>
      <c r="E575" s="81"/>
      <c r="F575" s="81"/>
      <c r="G575" s="84">
        <f aca="true" t="shared" si="33" ref="G575:O575">SUM(G563:G574)</f>
        <v>0</v>
      </c>
      <c r="H575" s="84">
        <f t="shared" si="33"/>
        <v>0</v>
      </c>
      <c r="I575" s="84">
        <f t="shared" si="33"/>
        <v>0</v>
      </c>
      <c r="J575" s="84">
        <f t="shared" si="33"/>
        <v>0</v>
      </c>
      <c r="K575" s="84">
        <f t="shared" si="33"/>
        <v>0</v>
      </c>
      <c r="L575" s="84">
        <f t="shared" si="33"/>
        <v>0</v>
      </c>
      <c r="M575" s="84">
        <f t="shared" si="33"/>
        <v>0</v>
      </c>
      <c r="N575" s="84">
        <f t="shared" si="33"/>
        <v>0</v>
      </c>
      <c r="O575" s="84">
        <f t="shared" si="33"/>
        <v>0</v>
      </c>
      <c r="P575" s="81"/>
      <c r="Q575" s="81"/>
    </row>
    <row r="576" spans="1:17" ht="12.75">
      <c r="A576" s="263"/>
      <c r="B576" s="264"/>
      <c r="C576" s="265"/>
      <c r="D576" s="265"/>
      <c r="E576" s="266"/>
      <c r="F576" s="266"/>
      <c r="G576" s="267"/>
      <c r="H576" s="267"/>
      <c r="I576" s="267"/>
      <c r="J576" s="267"/>
      <c r="K576" s="267"/>
      <c r="L576" s="267"/>
      <c r="M576" s="267"/>
      <c r="N576" s="267"/>
      <c r="O576" s="267"/>
      <c r="P576" s="266"/>
      <c r="Q576" s="266"/>
    </row>
    <row r="577" spans="1:17" ht="12.75">
      <c r="A577" s="878" t="s">
        <v>420</v>
      </c>
      <c r="B577" s="878"/>
      <c r="C577" s="878"/>
      <c r="D577" s="878"/>
      <c r="E577" s="878"/>
      <c r="F577" s="878"/>
      <c r="G577" s="878"/>
      <c r="H577" s="878"/>
      <c r="I577" s="878"/>
      <c r="J577" s="878"/>
      <c r="K577" s="878"/>
      <c r="L577" s="878"/>
      <c r="M577" s="878"/>
      <c r="N577" s="878"/>
      <c r="O577" s="878"/>
      <c r="P577" s="878"/>
      <c r="Q577" s="878"/>
    </row>
    <row r="578" spans="1:23" s="39" customFormat="1" ht="16.5" thickBot="1">
      <c r="A578" s="891" t="s">
        <v>609</v>
      </c>
      <c r="B578" s="891"/>
      <c r="C578" s="891"/>
      <c r="D578" s="891"/>
      <c r="E578" s="891"/>
      <c r="F578" s="891"/>
      <c r="G578" s="891"/>
      <c r="H578" s="891"/>
      <c r="I578" s="891"/>
      <c r="J578" s="891"/>
      <c r="K578" s="891"/>
      <c r="L578" s="891"/>
      <c r="M578" s="891"/>
      <c r="N578" s="891"/>
      <c r="O578" s="891"/>
      <c r="P578" s="891"/>
      <c r="Q578" s="891"/>
      <c r="R578" s="184"/>
      <c r="S578" s="184"/>
      <c r="W578" s="184"/>
    </row>
    <row r="579" spans="1:23" s="39" customFormat="1" ht="13.5" thickBot="1">
      <c r="A579" s="175"/>
      <c r="C579" s="40"/>
      <c r="D579" s="40"/>
      <c r="N579" s="755"/>
      <c r="O579" s="755"/>
      <c r="P579" s="892" t="s">
        <v>215</v>
      </c>
      <c r="Q579" s="893"/>
      <c r="R579" s="184"/>
      <c r="S579" s="184"/>
      <c r="W579" s="184"/>
    </row>
    <row r="580" spans="1:17" ht="12.75">
      <c r="A580" s="878" t="s">
        <v>76</v>
      </c>
      <c r="B580" s="878"/>
      <c r="C580" s="878"/>
      <c r="D580" s="878"/>
      <c r="E580" s="878"/>
      <c r="F580" s="878"/>
      <c r="P580" s="889" t="s">
        <v>74</v>
      </c>
      <c r="Q580" s="889"/>
    </row>
    <row r="581" spans="1:17" ht="12.75">
      <c r="A581" s="878" t="s">
        <v>77</v>
      </c>
      <c r="B581" s="879"/>
      <c r="C581" s="879"/>
      <c r="D581" s="879"/>
      <c r="E581" s="879"/>
      <c r="F581" s="879"/>
      <c r="P581" s="890" t="s">
        <v>75</v>
      </c>
      <c r="Q581" s="890"/>
    </row>
    <row r="582" spans="1:9" ht="12.75">
      <c r="A582" s="878" t="s">
        <v>808</v>
      </c>
      <c r="B582" s="879"/>
      <c r="C582" s="879"/>
      <c r="D582" s="879"/>
      <c r="E582" s="879"/>
      <c r="F582" s="879"/>
      <c r="G582" s="38" t="s">
        <v>72</v>
      </c>
      <c r="I582" s="41">
        <v>39083</v>
      </c>
    </row>
    <row r="584" ht="13.5" thickBot="1"/>
    <row r="585" spans="1:17" ht="13.5" thickBot="1">
      <c r="A585" s="177" t="s">
        <v>424</v>
      </c>
      <c r="B585" s="43"/>
      <c r="C585" s="44" t="s">
        <v>97</v>
      </c>
      <c r="D585" s="44"/>
      <c r="E585" s="43"/>
      <c r="F585" s="45"/>
      <c r="G585" s="880" t="s">
        <v>425</v>
      </c>
      <c r="H585" s="881"/>
      <c r="I585" s="881"/>
      <c r="J585" s="881"/>
      <c r="K585" s="881"/>
      <c r="L585" s="881"/>
      <c r="M585" s="881"/>
      <c r="N585" s="881"/>
      <c r="O585" s="882"/>
      <c r="P585" s="880" t="s">
        <v>426</v>
      </c>
      <c r="Q585" s="882"/>
    </row>
    <row r="586" spans="1:17" ht="25.5" customHeight="1">
      <c r="A586" s="178" t="s">
        <v>422</v>
      </c>
      <c r="B586" s="47"/>
      <c r="C586" s="48" t="s">
        <v>546</v>
      </c>
      <c r="D586" s="48"/>
      <c r="E586" s="47"/>
      <c r="F586" s="49"/>
      <c r="G586" s="883" t="s">
        <v>414</v>
      </c>
      <c r="H586" s="884"/>
      <c r="I586" s="884"/>
      <c r="J586" s="884"/>
      <c r="K586" s="884"/>
      <c r="L586" s="884"/>
      <c r="M586" s="884"/>
      <c r="N586" s="884"/>
      <c r="O586" s="885"/>
      <c r="P586" s="50"/>
      <c r="Q586" s="14"/>
    </row>
    <row r="587" spans="1:17" ht="24" customHeight="1" thickBot="1">
      <c r="A587" s="179" t="s">
        <v>423</v>
      </c>
      <c r="B587" s="52"/>
      <c r="C587" s="53" t="s">
        <v>351</v>
      </c>
      <c r="D587" s="53"/>
      <c r="E587" s="52"/>
      <c r="F587" s="54"/>
      <c r="G587" s="886"/>
      <c r="H587" s="887"/>
      <c r="I587" s="887"/>
      <c r="J587" s="887"/>
      <c r="K587" s="887"/>
      <c r="L587" s="887"/>
      <c r="M587" s="887"/>
      <c r="N587" s="887"/>
      <c r="O587" s="888"/>
      <c r="P587" s="55"/>
      <c r="Q587" s="364" t="s">
        <v>832</v>
      </c>
    </row>
    <row r="588" spans="1:2" ht="13.5" thickBot="1">
      <c r="A588" s="176" t="s">
        <v>73</v>
      </c>
      <c r="B588" s="57"/>
    </row>
    <row r="589" spans="1:17" ht="12.75">
      <c r="A589" s="869" t="s">
        <v>431</v>
      </c>
      <c r="B589" s="870"/>
      <c r="C589" s="870"/>
      <c r="D589" s="870"/>
      <c r="E589" s="870"/>
      <c r="F589" s="871"/>
      <c r="G589" s="872" t="s">
        <v>427</v>
      </c>
      <c r="H589" s="873"/>
      <c r="I589" s="873"/>
      <c r="J589" s="873"/>
      <c r="K589" s="873"/>
      <c r="L589" s="873"/>
      <c r="M589" s="873"/>
      <c r="N589" s="873"/>
      <c r="O589" s="874"/>
      <c r="P589" s="875" t="s">
        <v>428</v>
      </c>
      <c r="Q589" s="874" t="s">
        <v>429</v>
      </c>
    </row>
    <row r="590" spans="1:17" ht="13.5" thickBot="1">
      <c r="A590" s="61"/>
      <c r="B590" s="62"/>
      <c r="C590" s="63"/>
      <c r="D590" s="63"/>
      <c r="E590" s="62"/>
      <c r="F590" s="64"/>
      <c r="G590" s="61"/>
      <c r="H590" s="62"/>
      <c r="I590" s="62"/>
      <c r="J590" s="62"/>
      <c r="K590" s="62"/>
      <c r="L590" s="62"/>
      <c r="M590" s="62"/>
      <c r="N590" s="756"/>
      <c r="O590" s="757"/>
      <c r="P590" s="876"/>
      <c r="Q590" s="877"/>
    </row>
    <row r="591" spans="1:17" ht="52.5" thickBot="1">
      <c r="A591" s="35" t="s">
        <v>430</v>
      </c>
      <c r="B591" s="90" t="s">
        <v>432</v>
      </c>
      <c r="C591" s="91" t="s">
        <v>433</v>
      </c>
      <c r="D591" s="66" t="s">
        <v>434</v>
      </c>
      <c r="E591" s="37" t="s">
        <v>435</v>
      </c>
      <c r="F591" s="36" t="s">
        <v>446</v>
      </c>
      <c r="G591" s="67" t="s">
        <v>436</v>
      </c>
      <c r="H591" s="68" t="s">
        <v>437</v>
      </c>
      <c r="I591" s="68" t="s">
        <v>438</v>
      </c>
      <c r="J591" s="68" t="s">
        <v>439</v>
      </c>
      <c r="K591" s="68" t="s">
        <v>440</v>
      </c>
      <c r="L591" s="68" t="s">
        <v>441</v>
      </c>
      <c r="M591" s="68" t="s">
        <v>442</v>
      </c>
      <c r="N591" s="758" t="s">
        <v>443</v>
      </c>
      <c r="O591" s="759" t="s">
        <v>444</v>
      </c>
      <c r="P591" s="876"/>
      <c r="Q591" s="877"/>
    </row>
    <row r="592" spans="1:17" ht="25.5">
      <c r="A592" s="105">
        <v>1</v>
      </c>
      <c r="B592" s="117" t="s">
        <v>524</v>
      </c>
      <c r="C592" s="367">
        <v>200</v>
      </c>
      <c r="D592" s="367">
        <v>250</v>
      </c>
      <c r="E592" s="93">
        <f>D592/C592</f>
        <v>1.25</v>
      </c>
      <c r="F592" s="93">
        <f>60/10</f>
        <v>6</v>
      </c>
      <c r="G592" s="72"/>
      <c r="H592" s="72"/>
      <c r="I592" s="72"/>
      <c r="J592" s="72"/>
      <c r="K592" s="72"/>
      <c r="L592" s="72"/>
      <c r="M592" s="72"/>
      <c r="N592" s="778">
        <f>SUM(G592:M592)</f>
        <v>0</v>
      </c>
      <c r="O592" s="778"/>
      <c r="P592" s="69"/>
      <c r="Q592" s="69"/>
    </row>
    <row r="593" spans="1:17" ht="12.75">
      <c r="A593" s="180">
        <v>2</v>
      </c>
      <c r="B593" s="118"/>
      <c r="C593" s="79"/>
      <c r="D593" s="79"/>
      <c r="E593" s="75"/>
      <c r="F593" s="75"/>
      <c r="G593" s="77"/>
      <c r="H593" s="77"/>
      <c r="I593" s="77"/>
      <c r="J593" s="77"/>
      <c r="K593" s="77"/>
      <c r="L593" s="77"/>
      <c r="M593" s="77"/>
      <c r="N593" s="78">
        <f>+G593</f>
        <v>0</v>
      </c>
      <c r="O593" s="78"/>
      <c r="P593" s="73"/>
      <c r="Q593" s="73"/>
    </row>
    <row r="594" spans="1:17" ht="12.75">
      <c r="A594" s="180">
        <v>3</v>
      </c>
      <c r="B594" s="118"/>
      <c r="C594" s="79"/>
      <c r="D594" s="79"/>
      <c r="E594" s="75"/>
      <c r="F594" s="75"/>
      <c r="G594" s="77"/>
      <c r="H594" s="77"/>
      <c r="I594" s="77"/>
      <c r="J594" s="77"/>
      <c r="K594" s="77"/>
      <c r="L594" s="77"/>
      <c r="M594" s="77"/>
      <c r="N594" s="78">
        <f>+G594</f>
        <v>0</v>
      </c>
      <c r="O594" s="78"/>
      <c r="P594" s="73"/>
      <c r="Q594" s="73"/>
    </row>
    <row r="595" spans="1:17" ht="12.75">
      <c r="A595" s="180">
        <v>4</v>
      </c>
      <c r="B595" s="74"/>
      <c r="C595" s="79"/>
      <c r="D595" s="164"/>
      <c r="E595" s="75"/>
      <c r="F595" s="75"/>
      <c r="G595" s="95"/>
      <c r="H595" s="77"/>
      <c r="I595" s="77"/>
      <c r="J595" s="77"/>
      <c r="K595" s="77"/>
      <c r="L595" s="77"/>
      <c r="M595" s="77"/>
      <c r="N595" s="78">
        <f>+G595</f>
        <v>0</v>
      </c>
      <c r="O595" s="78"/>
      <c r="P595" s="73"/>
      <c r="Q595" s="73"/>
    </row>
    <row r="596" spans="1:17" ht="12.75">
      <c r="A596" s="180">
        <v>5</v>
      </c>
      <c r="B596" s="74"/>
      <c r="C596" s="79"/>
      <c r="D596" s="79"/>
      <c r="E596" s="73"/>
      <c r="F596" s="73"/>
      <c r="G596" s="73"/>
      <c r="H596" s="95"/>
      <c r="I596" s="73"/>
      <c r="J596" s="73"/>
      <c r="K596" s="73"/>
      <c r="L596" s="73"/>
      <c r="M596" s="73"/>
      <c r="N596" s="78">
        <f>+G596+H596</f>
        <v>0</v>
      </c>
      <c r="O596" s="89"/>
      <c r="P596" s="73"/>
      <c r="Q596" s="73"/>
    </row>
    <row r="597" spans="1:17" ht="12.75">
      <c r="A597" s="180"/>
      <c r="B597" s="73"/>
      <c r="C597" s="79"/>
      <c r="D597" s="79"/>
      <c r="E597" s="73"/>
      <c r="F597" s="73"/>
      <c r="G597" s="73"/>
      <c r="H597" s="73"/>
      <c r="I597" s="73"/>
      <c r="J597" s="73"/>
      <c r="K597" s="73"/>
      <c r="L597" s="73"/>
      <c r="M597" s="73"/>
      <c r="N597" s="89"/>
      <c r="O597" s="89"/>
      <c r="P597" s="73"/>
      <c r="Q597" s="73"/>
    </row>
    <row r="598" spans="1:17" ht="12.75">
      <c r="A598" s="180"/>
      <c r="B598" s="73"/>
      <c r="C598" s="79"/>
      <c r="D598" s="79"/>
      <c r="E598" s="73"/>
      <c r="F598" s="73"/>
      <c r="G598" s="73"/>
      <c r="H598" s="73"/>
      <c r="I598" s="73"/>
      <c r="J598" s="73"/>
      <c r="K598" s="73"/>
      <c r="L598" s="73"/>
      <c r="M598" s="73"/>
      <c r="N598" s="89"/>
      <c r="O598" s="89"/>
      <c r="P598" s="73"/>
      <c r="Q598" s="73"/>
    </row>
    <row r="599" spans="1:17" ht="12.75">
      <c r="A599" s="180"/>
      <c r="B599" s="73"/>
      <c r="C599" s="79"/>
      <c r="D599" s="79"/>
      <c r="E599" s="73"/>
      <c r="F599" s="73"/>
      <c r="G599" s="73"/>
      <c r="H599" s="73"/>
      <c r="I599" s="73"/>
      <c r="J599" s="73"/>
      <c r="K599" s="73"/>
      <c r="L599" s="73"/>
      <c r="M599" s="73"/>
      <c r="N599" s="89"/>
      <c r="O599" s="89"/>
      <c r="P599" s="73"/>
      <c r="Q599" s="73"/>
    </row>
    <row r="600" spans="1:17" ht="12.75">
      <c r="A600" s="180"/>
      <c r="B600" s="73"/>
      <c r="C600" s="79"/>
      <c r="D600" s="79"/>
      <c r="E600" s="73"/>
      <c r="F600" s="73"/>
      <c r="G600" s="73"/>
      <c r="H600" s="73"/>
      <c r="I600" s="73"/>
      <c r="J600" s="73"/>
      <c r="K600" s="73"/>
      <c r="L600" s="73"/>
      <c r="M600" s="73"/>
      <c r="N600" s="89"/>
      <c r="O600" s="89"/>
      <c r="P600" s="73"/>
      <c r="Q600" s="73"/>
    </row>
    <row r="601" spans="1:17" ht="12.75">
      <c r="A601" s="180"/>
      <c r="B601" s="73"/>
      <c r="C601" s="79"/>
      <c r="D601" s="79"/>
      <c r="E601" s="73"/>
      <c r="F601" s="73"/>
      <c r="G601" s="73"/>
      <c r="H601" s="73"/>
      <c r="I601" s="73"/>
      <c r="J601" s="73"/>
      <c r="K601" s="73"/>
      <c r="L601" s="73"/>
      <c r="M601" s="73"/>
      <c r="N601" s="89"/>
      <c r="O601" s="89"/>
      <c r="P601" s="73"/>
      <c r="Q601" s="73"/>
    </row>
    <row r="602" spans="1:17" ht="12.75">
      <c r="A602" s="180"/>
      <c r="B602" s="73"/>
      <c r="C602" s="79"/>
      <c r="D602" s="79"/>
      <c r="E602" s="73"/>
      <c r="F602" s="73"/>
      <c r="G602" s="73"/>
      <c r="H602" s="73"/>
      <c r="I602" s="73"/>
      <c r="J602" s="73"/>
      <c r="K602" s="73"/>
      <c r="L602" s="73"/>
      <c r="M602" s="73"/>
      <c r="N602" s="89"/>
      <c r="O602" s="89"/>
      <c r="P602" s="73"/>
      <c r="Q602" s="73"/>
    </row>
    <row r="603" spans="1:17" ht="12.75">
      <c r="A603" s="180"/>
      <c r="B603" s="73"/>
      <c r="C603" s="79"/>
      <c r="D603" s="79"/>
      <c r="E603" s="73"/>
      <c r="F603" s="73"/>
      <c r="G603" s="73"/>
      <c r="H603" s="73"/>
      <c r="I603" s="73"/>
      <c r="J603" s="73"/>
      <c r="K603" s="73"/>
      <c r="L603" s="73"/>
      <c r="M603" s="73"/>
      <c r="N603" s="89"/>
      <c r="O603" s="89"/>
      <c r="P603" s="73"/>
      <c r="Q603" s="73"/>
    </row>
    <row r="604" spans="1:20" ht="13.5" thickBot="1">
      <c r="A604" s="181"/>
      <c r="B604" s="82" t="s">
        <v>445</v>
      </c>
      <c r="C604" s="83"/>
      <c r="D604" s="83"/>
      <c r="E604" s="81"/>
      <c r="F604" s="81"/>
      <c r="G604" s="84">
        <f aca="true" t="shared" si="34" ref="G604:O604">SUM(G592:G603)</f>
        <v>0</v>
      </c>
      <c r="H604" s="84">
        <f t="shared" si="34"/>
        <v>0</v>
      </c>
      <c r="I604" s="84">
        <f t="shared" si="34"/>
        <v>0</v>
      </c>
      <c r="J604" s="84">
        <f t="shared" si="34"/>
        <v>0</v>
      </c>
      <c r="K604" s="84">
        <f t="shared" si="34"/>
        <v>0</v>
      </c>
      <c r="L604" s="84">
        <f t="shared" si="34"/>
        <v>0</v>
      </c>
      <c r="M604" s="84">
        <f t="shared" si="34"/>
        <v>0</v>
      </c>
      <c r="N604" s="84">
        <f t="shared" si="34"/>
        <v>0</v>
      </c>
      <c r="O604" s="84">
        <f t="shared" si="34"/>
        <v>0</v>
      </c>
      <c r="P604" s="81"/>
      <c r="Q604" s="81"/>
      <c r="R604" s="153">
        <f>+N426+N459+N489+N517+N546+N575+N604</f>
        <v>192952</v>
      </c>
      <c r="S604" s="153">
        <f>+O426+O459+O489+O517+O546+O575+O604</f>
        <v>183467.88</v>
      </c>
      <c r="T604" s="80">
        <f>+R604-S604</f>
        <v>9484.119999999995</v>
      </c>
    </row>
    <row r="605" spans="1:19" ht="12.75">
      <c r="A605" s="263"/>
      <c r="B605" s="264"/>
      <c r="C605" s="265"/>
      <c r="D605" s="265"/>
      <c r="E605" s="266"/>
      <c r="F605" s="266"/>
      <c r="G605" s="267"/>
      <c r="H605" s="267"/>
      <c r="I605" s="267"/>
      <c r="J605" s="267"/>
      <c r="K605" s="267"/>
      <c r="L605" s="267"/>
      <c r="M605" s="267"/>
      <c r="N605" s="267"/>
      <c r="O605" s="267"/>
      <c r="P605" s="266"/>
      <c r="Q605" s="266"/>
      <c r="R605" s="153">
        <f>'Resumen presupuesto ejecutado'!D65/1000</f>
        <v>190952</v>
      </c>
      <c r="S605" s="153" t="e">
        <f>+'Resumen presupuesto ejecutado'!#REF!/1000</f>
        <v>#REF!</v>
      </c>
    </row>
    <row r="606" spans="18:19" ht="12.75">
      <c r="R606" s="153">
        <f>R604-R605</f>
        <v>2000</v>
      </c>
      <c r="S606" s="153" t="e">
        <f>+S604-S605</f>
        <v>#REF!</v>
      </c>
    </row>
    <row r="607" spans="1:17" ht="12.75">
      <c r="A607" s="878" t="s">
        <v>420</v>
      </c>
      <c r="B607" s="878"/>
      <c r="C607" s="878"/>
      <c r="D607" s="878"/>
      <c r="E607" s="878"/>
      <c r="F607" s="878"/>
      <c r="G607" s="878"/>
      <c r="H607" s="878"/>
      <c r="I607" s="878"/>
      <c r="J607" s="878"/>
      <c r="K607" s="878"/>
      <c r="L607" s="878"/>
      <c r="M607" s="878"/>
      <c r="N607" s="878"/>
      <c r="O607" s="878"/>
      <c r="P607" s="878"/>
      <c r="Q607" s="878"/>
    </row>
    <row r="608" spans="1:23" s="39" customFormat="1" ht="16.5" thickBot="1">
      <c r="A608" s="891" t="s">
        <v>609</v>
      </c>
      <c r="B608" s="891"/>
      <c r="C608" s="891"/>
      <c r="D608" s="891"/>
      <c r="E608" s="891"/>
      <c r="F608" s="891"/>
      <c r="G608" s="891"/>
      <c r="H608" s="891"/>
      <c r="I608" s="891"/>
      <c r="J608" s="891"/>
      <c r="K608" s="891"/>
      <c r="L608" s="891"/>
      <c r="M608" s="891"/>
      <c r="N608" s="891"/>
      <c r="O608" s="891"/>
      <c r="P608" s="891"/>
      <c r="Q608" s="891"/>
      <c r="R608" s="184"/>
      <c r="S608" s="184"/>
      <c r="W608" s="184"/>
    </row>
    <row r="609" spans="1:23" s="39" customFormat="1" ht="13.5" thickBot="1">
      <c r="A609" s="175"/>
      <c r="C609" s="40"/>
      <c r="D609" s="40"/>
      <c r="N609" s="755"/>
      <c r="O609" s="755"/>
      <c r="P609" s="892" t="s">
        <v>217</v>
      </c>
      <c r="Q609" s="893"/>
      <c r="R609" s="184"/>
      <c r="S609" s="184"/>
      <c r="W609" s="184"/>
    </row>
    <row r="610" spans="1:17" ht="12.75">
      <c r="A610" s="878" t="s">
        <v>76</v>
      </c>
      <c r="B610" s="878"/>
      <c r="C610" s="878"/>
      <c r="D610" s="878"/>
      <c r="E610" s="878"/>
      <c r="F610" s="878"/>
      <c r="P610" s="889" t="s">
        <v>74</v>
      </c>
      <c r="Q610" s="889"/>
    </row>
    <row r="611" spans="1:17" ht="12.75">
      <c r="A611" s="878" t="s">
        <v>77</v>
      </c>
      <c r="B611" s="879"/>
      <c r="C611" s="879"/>
      <c r="D611" s="879"/>
      <c r="E611" s="879"/>
      <c r="F611" s="879"/>
      <c r="P611" s="890" t="s">
        <v>75</v>
      </c>
      <c r="Q611" s="890"/>
    </row>
    <row r="612" spans="1:9" ht="12.75">
      <c r="A612" s="878" t="s">
        <v>808</v>
      </c>
      <c r="B612" s="879"/>
      <c r="C612" s="879"/>
      <c r="D612" s="879"/>
      <c r="E612" s="879"/>
      <c r="F612" s="879"/>
      <c r="G612" s="38" t="s">
        <v>72</v>
      </c>
      <c r="I612" s="41">
        <v>39083</v>
      </c>
    </row>
    <row r="614" ht="13.5" thickBot="1"/>
    <row r="615" spans="1:17" ht="13.5" thickBot="1">
      <c r="A615" s="182" t="s">
        <v>424</v>
      </c>
      <c r="B615" s="98"/>
      <c r="C615" s="99" t="s">
        <v>97</v>
      </c>
      <c r="D615" s="99"/>
      <c r="E615" s="98"/>
      <c r="F615" s="100"/>
      <c r="G615" s="880" t="s">
        <v>425</v>
      </c>
      <c r="H615" s="881"/>
      <c r="I615" s="881"/>
      <c r="J615" s="881"/>
      <c r="K615" s="881"/>
      <c r="L615" s="881"/>
      <c r="M615" s="881"/>
      <c r="N615" s="881"/>
      <c r="O615" s="882"/>
      <c r="P615" s="880" t="s">
        <v>426</v>
      </c>
      <c r="Q615" s="882"/>
    </row>
    <row r="616" spans="1:17" ht="15">
      <c r="A616" s="183" t="s">
        <v>422</v>
      </c>
      <c r="B616" s="102"/>
      <c r="C616" s="103" t="s">
        <v>750</v>
      </c>
      <c r="D616" s="103"/>
      <c r="E616" s="102"/>
      <c r="F616" s="104"/>
      <c r="G616" s="883" t="s">
        <v>842</v>
      </c>
      <c r="H616" s="884"/>
      <c r="I616" s="884"/>
      <c r="J616" s="884"/>
      <c r="K616" s="884"/>
      <c r="L616" s="884"/>
      <c r="M616" s="884"/>
      <c r="N616" s="884"/>
      <c r="O616" s="885"/>
      <c r="P616" s="50"/>
      <c r="Q616" s="14" t="s">
        <v>833</v>
      </c>
    </row>
    <row r="617" spans="1:17" ht="30.75" customHeight="1" thickBot="1">
      <c r="A617" s="179" t="s">
        <v>423</v>
      </c>
      <c r="B617" s="52"/>
      <c r="C617" s="53" t="s">
        <v>555</v>
      </c>
      <c r="D617" s="53"/>
      <c r="E617" s="52"/>
      <c r="F617" s="54"/>
      <c r="G617" s="886"/>
      <c r="H617" s="887"/>
      <c r="I617" s="887"/>
      <c r="J617" s="887"/>
      <c r="K617" s="887"/>
      <c r="L617" s="887"/>
      <c r="M617" s="887"/>
      <c r="N617" s="887"/>
      <c r="O617" s="888"/>
      <c r="P617" s="55"/>
      <c r="Q617" s="56"/>
    </row>
    <row r="618" spans="1:2" ht="13.5" thickBot="1">
      <c r="A618" s="176" t="s">
        <v>73</v>
      </c>
      <c r="B618" s="57"/>
    </row>
    <row r="619" spans="1:17" ht="12.75">
      <c r="A619" s="869" t="s">
        <v>431</v>
      </c>
      <c r="B619" s="870"/>
      <c r="C619" s="870"/>
      <c r="D619" s="870"/>
      <c r="E619" s="870"/>
      <c r="F619" s="871"/>
      <c r="G619" s="872" t="s">
        <v>427</v>
      </c>
      <c r="H619" s="873"/>
      <c r="I619" s="873"/>
      <c r="J619" s="873"/>
      <c r="K619" s="873"/>
      <c r="L619" s="873"/>
      <c r="M619" s="873"/>
      <c r="N619" s="873"/>
      <c r="O619" s="874"/>
      <c r="P619" s="875" t="s">
        <v>428</v>
      </c>
      <c r="Q619" s="874" t="s">
        <v>429</v>
      </c>
    </row>
    <row r="620" spans="1:17" ht="13.5" thickBot="1">
      <c r="A620" s="61"/>
      <c r="B620" s="62"/>
      <c r="C620" s="63"/>
      <c r="D620" s="63"/>
      <c r="E620" s="62"/>
      <c r="F620" s="64"/>
      <c r="G620" s="61"/>
      <c r="H620" s="62"/>
      <c r="I620" s="62"/>
      <c r="J620" s="62"/>
      <c r="K620" s="62"/>
      <c r="L620" s="62"/>
      <c r="M620" s="62"/>
      <c r="N620" s="756"/>
      <c r="O620" s="757"/>
      <c r="P620" s="876"/>
      <c r="Q620" s="877"/>
    </row>
    <row r="621" spans="1:17" ht="52.5" thickBot="1">
      <c r="A621" s="35" t="s">
        <v>430</v>
      </c>
      <c r="B621" s="90" t="s">
        <v>432</v>
      </c>
      <c r="C621" s="91" t="s">
        <v>433</v>
      </c>
      <c r="D621" s="66" t="s">
        <v>434</v>
      </c>
      <c r="E621" s="37" t="s">
        <v>435</v>
      </c>
      <c r="F621" s="36" t="s">
        <v>446</v>
      </c>
      <c r="G621" s="67" t="s">
        <v>436</v>
      </c>
      <c r="H621" s="68" t="s">
        <v>437</v>
      </c>
      <c r="I621" s="68" t="s">
        <v>438</v>
      </c>
      <c r="J621" s="68" t="s">
        <v>439</v>
      </c>
      <c r="K621" s="68" t="s">
        <v>440</v>
      </c>
      <c r="L621" s="68" t="s">
        <v>441</v>
      </c>
      <c r="M621" s="68" t="s">
        <v>442</v>
      </c>
      <c r="N621" s="758" t="s">
        <v>443</v>
      </c>
      <c r="O621" s="759" t="s">
        <v>444</v>
      </c>
      <c r="P621" s="876"/>
      <c r="Q621" s="877"/>
    </row>
    <row r="622" spans="1:17" ht="53.25" customHeight="1">
      <c r="A622" s="105">
        <v>1</v>
      </c>
      <c r="B622" s="117" t="s">
        <v>798</v>
      </c>
      <c r="C622" s="367">
        <v>18</v>
      </c>
      <c r="D622" s="367">
        <v>18</v>
      </c>
      <c r="E622" s="71">
        <f aca="true" t="shared" si="35" ref="E622:E628">D622/C622</f>
        <v>1</v>
      </c>
      <c r="F622" s="71">
        <f aca="true" t="shared" si="36" ref="F622:F628">150/100</f>
        <v>1.5</v>
      </c>
      <c r="G622" s="108">
        <f>+(65910.252)*0.6</f>
        <v>39546.15119999999</v>
      </c>
      <c r="H622" s="108">
        <f>(20000+27574.276)*0.6</f>
        <v>28544.565599999998</v>
      </c>
      <c r="I622" s="108"/>
      <c r="J622" s="108"/>
      <c r="K622" s="108"/>
      <c r="L622" s="108"/>
      <c r="M622" s="108"/>
      <c r="N622" s="775">
        <f aca="true" t="shared" si="37" ref="N622:N628">SUM(G622:M622)</f>
        <v>68090.7168</v>
      </c>
      <c r="O622" s="775">
        <f>113484.528*0.6</f>
        <v>68090.7168</v>
      </c>
      <c r="P622" s="155" t="s">
        <v>528</v>
      </c>
      <c r="Q622" s="69"/>
    </row>
    <row r="623" spans="1:17" ht="38.25">
      <c r="A623" s="180">
        <v>2</v>
      </c>
      <c r="B623" s="118" t="s">
        <v>236</v>
      </c>
      <c r="C623" s="79">
        <v>6</v>
      </c>
      <c r="D623" s="79">
        <v>6</v>
      </c>
      <c r="E623" s="75">
        <f t="shared" si="35"/>
        <v>1</v>
      </c>
      <c r="F623" s="75">
        <f t="shared" si="36"/>
        <v>1.5</v>
      </c>
      <c r="G623" s="89">
        <f>+(65910.252)*0.1</f>
        <v>6591.0252</v>
      </c>
      <c r="H623" s="89">
        <f>(20000+27574.276)*0.1</f>
        <v>4757.4276</v>
      </c>
      <c r="I623" s="121"/>
      <c r="J623" s="121"/>
      <c r="K623" s="89"/>
      <c r="L623" s="89"/>
      <c r="M623" s="121"/>
      <c r="N623" s="766">
        <f t="shared" si="37"/>
        <v>11348.4528</v>
      </c>
      <c r="O623" s="766">
        <f>113484.528*0.1</f>
        <v>11348.452800000001</v>
      </c>
      <c r="P623" s="111" t="s">
        <v>528</v>
      </c>
      <c r="Q623" s="73"/>
    </row>
    <row r="624" spans="1:17" ht="51">
      <c r="A624" s="180">
        <v>3</v>
      </c>
      <c r="B624" s="118" t="s">
        <v>801</v>
      </c>
      <c r="C624" s="79">
        <v>700</v>
      </c>
      <c r="D624" s="79">
        <v>653</v>
      </c>
      <c r="E624" s="75">
        <f t="shared" si="35"/>
        <v>0.9328571428571428</v>
      </c>
      <c r="F624" s="75">
        <f t="shared" si="36"/>
        <v>1.5</v>
      </c>
      <c r="G624" s="89">
        <f>+(65910.252)*0.3</f>
        <v>19773.075599999996</v>
      </c>
      <c r="H624" s="89">
        <f>(20000+27574.276)*0.3</f>
        <v>14272.282799999999</v>
      </c>
      <c r="I624" s="121"/>
      <c r="J624" s="121"/>
      <c r="K624" s="89"/>
      <c r="L624" s="89"/>
      <c r="M624" s="121"/>
      <c r="N624" s="766">
        <f t="shared" si="37"/>
        <v>34045.3584</v>
      </c>
      <c r="O624" s="766">
        <f>113484.528*0.3</f>
        <v>34045.3584</v>
      </c>
      <c r="P624" s="111" t="s">
        <v>528</v>
      </c>
      <c r="Q624" s="73"/>
    </row>
    <row r="625" spans="1:17" ht="39" customHeight="1">
      <c r="A625" s="180">
        <v>4</v>
      </c>
      <c r="B625" s="74" t="s">
        <v>299</v>
      </c>
      <c r="C625" s="164">
        <v>11793</v>
      </c>
      <c r="D625" s="164">
        <v>15320</v>
      </c>
      <c r="E625" s="75">
        <f t="shared" si="35"/>
        <v>1.299075722886458</v>
      </c>
      <c r="F625" s="75">
        <f t="shared" si="36"/>
        <v>1.5</v>
      </c>
      <c r="G625" s="95">
        <v>1595.1</v>
      </c>
      <c r="H625" s="89"/>
      <c r="I625" s="121"/>
      <c r="J625" s="121"/>
      <c r="K625" s="89"/>
      <c r="L625" s="89"/>
      <c r="M625" s="121"/>
      <c r="N625" s="766">
        <f t="shared" si="37"/>
        <v>1595.1</v>
      </c>
      <c r="O625" s="761">
        <v>1595.1</v>
      </c>
      <c r="P625" s="697" t="s">
        <v>529</v>
      </c>
      <c r="Q625" s="73"/>
    </row>
    <row r="626" spans="1:17" ht="38.25">
      <c r="A626" s="180">
        <v>5</v>
      </c>
      <c r="B626" s="74" t="s">
        <v>237</v>
      </c>
      <c r="C626" s="79">
        <f>72*0.7</f>
        <v>50.4</v>
      </c>
      <c r="D626" s="79">
        <v>40</v>
      </c>
      <c r="E626" s="75">
        <f t="shared" si="35"/>
        <v>0.7936507936507937</v>
      </c>
      <c r="F626" s="75">
        <f t="shared" si="36"/>
        <v>1.5</v>
      </c>
      <c r="G626" s="73"/>
      <c r="H626" s="89">
        <v>1000</v>
      </c>
      <c r="I626" s="77"/>
      <c r="J626" s="77"/>
      <c r="K626" s="77"/>
      <c r="L626" s="77"/>
      <c r="M626" s="77"/>
      <c r="N626" s="766">
        <f t="shared" si="37"/>
        <v>1000</v>
      </c>
      <c r="O626" s="761">
        <v>0</v>
      </c>
      <c r="P626" s="697" t="s">
        <v>529</v>
      </c>
      <c r="Q626" s="73"/>
    </row>
    <row r="627" spans="1:17" ht="38.25">
      <c r="A627" s="180">
        <v>6</v>
      </c>
      <c r="B627" s="74" t="s">
        <v>802</v>
      </c>
      <c r="C627" s="79">
        <v>130</v>
      </c>
      <c r="D627" s="79">
        <v>125</v>
      </c>
      <c r="E627" s="75">
        <f t="shared" si="35"/>
        <v>0.9615384615384616</v>
      </c>
      <c r="F627" s="75">
        <f t="shared" si="36"/>
        <v>1.5</v>
      </c>
      <c r="G627" s="73"/>
      <c r="H627" s="73"/>
      <c r="I627" s="77"/>
      <c r="J627" s="77"/>
      <c r="K627" s="77"/>
      <c r="L627" s="77"/>
      <c r="M627" s="77"/>
      <c r="N627" s="121">
        <f t="shared" si="37"/>
        <v>0</v>
      </c>
      <c r="O627" s="89"/>
      <c r="P627" s="111" t="s">
        <v>528</v>
      </c>
      <c r="Q627" s="73"/>
    </row>
    <row r="628" spans="1:17" ht="38.25">
      <c r="A628" s="180">
        <v>7</v>
      </c>
      <c r="B628" s="74" t="s">
        <v>527</v>
      </c>
      <c r="C628" s="79">
        <v>40</v>
      </c>
      <c r="D628" s="79">
        <v>40</v>
      </c>
      <c r="E628" s="75">
        <f t="shared" si="35"/>
        <v>1</v>
      </c>
      <c r="F628" s="75">
        <f t="shared" si="36"/>
        <v>1.5</v>
      </c>
      <c r="G628" s="73"/>
      <c r="H628" s="151">
        <v>4000</v>
      </c>
      <c r="I628" s="77"/>
      <c r="J628" s="77"/>
      <c r="K628" s="77"/>
      <c r="L628" s="77"/>
      <c r="M628" s="77"/>
      <c r="N628" s="766">
        <f t="shared" si="37"/>
        <v>4000</v>
      </c>
      <c r="O628" s="766">
        <v>4000</v>
      </c>
      <c r="P628" s="111" t="s">
        <v>528</v>
      </c>
      <c r="Q628" s="73"/>
    </row>
    <row r="629" spans="1:20" ht="13.5" thickBot="1">
      <c r="A629" s="181"/>
      <c r="B629" s="82" t="s">
        <v>445</v>
      </c>
      <c r="C629" s="83"/>
      <c r="D629" s="83"/>
      <c r="E629" s="81"/>
      <c r="F629" s="81"/>
      <c r="G629" s="84">
        <f aca="true" t="shared" si="38" ref="G629:O629">SUM(G622:G628)</f>
        <v>67505.352</v>
      </c>
      <c r="H629" s="84">
        <f t="shared" si="38"/>
        <v>52574.276</v>
      </c>
      <c r="I629" s="84">
        <f t="shared" si="38"/>
        <v>0</v>
      </c>
      <c r="J629" s="84">
        <f t="shared" si="38"/>
        <v>0</v>
      </c>
      <c r="K629" s="84">
        <f t="shared" si="38"/>
        <v>0</v>
      </c>
      <c r="L629" s="84">
        <f t="shared" si="38"/>
        <v>0</v>
      </c>
      <c r="M629" s="84">
        <f t="shared" si="38"/>
        <v>0</v>
      </c>
      <c r="N629" s="762">
        <f t="shared" si="38"/>
        <v>120079.628</v>
      </c>
      <c r="O629" s="762">
        <f t="shared" si="38"/>
        <v>119079.628</v>
      </c>
      <c r="P629" s="81"/>
      <c r="Q629" s="81"/>
      <c r="R629" s="153">
        <f>'Resumen presupuesto ejecutado'!D73/1000</f>
        <v>120079.628</v>
      </c>
      <c r="S629" s="153">
        <f>'Resumen presupuesto ejecutado'!E73/1000</f>
        <v>119079.628</v>
      </c>
      <c r="T629" s="87">
        <f>+R629-S629</f>
        <v>1000</v>
      </c>
    </row>
    <row r="630" spans="18:19" ht="12.75">
      <c r="R630" s="153">
        <f>N629-R629</f>
        <v>0</v>
      </c>
      <c r="S630" s="153">
        <f>O629-S629</f>
        <v>0</v>
      </c>
    </row>
    <row r="631" spans="1:17" ht="12.75">
      <c r="A631" s="878" t="s">
        <v>420</v>
      </c>
      <c r="B631" s="878"/>
      <c r="C631" s="878"/>
      <c r="D631" s="878"/>
      <c r="E631" s="878"/>
      <c r="F631" s="878"/>
      <c r="G631" s="878"/>
      <c r="H631" s="878"/>
      <c r="I631" s="878"/>
      <c r="J631" s="878"/>
      <c r="K631" s="878"/>
      <c r="L631" s="878"/>
      <c r="M631" s="878"/>
      <c r="N631" s="878"/>
      <c r="O631" s="878"/>
      <c r="P631" s="878"/>
      <c r="Q631" s="878"/>
    </row>
    <row r="632" spans="1:23" s="39" customFormat="1" ht="16.5" thickBot="1">
      <c r="A632" s="891" t="s">
        <v>609</v>
      </c>
      <c r="B632" s="891"/>
      <c r="C632" s="891"/>
      <c r="D632" s="891"/>
      <c r="E632" s="891"/>
      <c r="F632" s="891"/>
      <c r="G632" s="891"/>
      <c r="H632" s="891"/>
      <c r="I632" s="891"/>
      <c r="J632" s="891"/>
      <c r="K632" s="891"/>
      <c r="L632" s="891"/>
      <c r="M632" s="891"/>
      <c r="N632" s="891"/>
      <c r="O632" s="891"/>
      <c r="P632" s="891"/>
      <c r="Q632" s="891"/>
      <c r="R632" s="184"/>
      <c r="S632" s="184"/>
      <c r="W632" s="184"/>
    </row>
    <row r="633" spans="1:23" s="39" customFormat="1" ht="13.5" thickBot="1">
      <c r="A633" s="175"/>
      <c r="C633" s="40"/>
      <c r="D633" s="40"/>
      <c r="N633" s="755"/>
      <c r="O633" s="755"/>
      <c r="P633" s="892" t="s">
        <v>218</v>
      </c>
      <c r="Q633" s="893"/>
      <c r="R633" s="184"/>
      <c r="S633" s="184"/>
      <c r="W633" s="184"/>
    </row>
    <row r="634" spans="1:17" ht="12.75">
      <c r="A634" s="878" t="s">
        <v>76</v>
      </c>
      <c r="B634" s="878"/>
      <c r="C634" s="878"/>
      <c r="D634" s="878"/>
      <c r="E634" s="878"/>
      <c r="F634" s="878"/>
      <c r="P634" s="889" t="s">
        <v>74</v>
      </c>
      <c r="Q634" s="889"/>
    </row>
    <row r="635" spans="1:17" ht="12.75">
      <c r="A635" s="878" t="s">
        <v>77</v>
      </c>
      <c r="B635" s="879"/>
      <c r="C635" s="879"/>
      <c r="D635" s="879"/>
      <c r="E635" s="879"/>
      <c r="F635" s="879"/>
      <c r="P635" s="890" t="s">
        <v>75</v>
      </c>
      <c r="Q635" s="890"/>
    </row>
    <row r="636" spans="1:9" ht="12.75">
      <c r="A636" s="878" t="s">
        <v>808</v>
      </c>
      <c r="B636" s="879"/>
      <c r="C636" s="879"/>
      <c r="D636" s="879"/>
      <c r="E636" s="879"/>
      <c r="F636" s="879"/>
      <c r="G636" s="38" t="s">
        <v>72</v>
      </c>
      <c r="I636" s="41">
        <v>39083</v>
      </c>
    </row>
    <row r="638" ht="13.5" thickBot="1"/>
    <row r="639" spans="1:17" ht="13.5" thickBot="1">
      <c r="A639" s="177" t="s">
        <v>424</v>
      </c>
      <c r="B639" s="43"/>
      <c r="C639" s="44" t="s">
        <v>97</v>
      </c>
      <c r="D639" s="44"/>
      <c r="E639" s="43"/>
      <c r="F639" s="45"/>
      <c r="G639" s="880" t="s">
        <v>425</v>
      </c>
      <c r="H639" s="881"/>
      <c r="I639" s="881"/>
      <c r="J639" s="881"/>
      <c r="K639" s="881"/>
      <c r="L639" s="881"/>
      <c r="M639" s="881"/>
      <c r="N639" s="881"/>
      <c r="O639" s="882"/>
      <c r="P639" s="880" t="s">
        <v>426</v>
      </c>
      <c r="Q639" s="882"/>
    </row>
    <row r="640" spans="1:17" ht="15">
      <c r="A640" s="178" t="s">
        <v>422</v>
      </c>
      <c r="B640" s="47"/>
      <c r="C640" s="48" t="s">
        <v>751</v>
      </c>
      <c r="D640" s="48"/>
      <c r="E640" s="47"/>
      <c r="F640" s="49"/>
      <c r="G640" s="883" t="s">
        <v>449</v>
      </c>
      <c r="H640" s="884"/>
      <c r="I640" s="884"/>
      <c r="J640" s="884"/>
      <c r="K640" s="884"/>
      <c r="L640" s="884"/>
      <c r="M640" s="884"/>
      <c r="N640" s="884"/>
      <c r="O640" s="885"/>
      <c r="P640" s="50"/>
      <c r="Q640" s="14"/>
    </row>
    <row r="641" spans="1:17" ht="37.5" customHeight="1" thickBot="1">
      <c r="A641" s="179" t="s">
        <v>423</v>
      </c>
      <c r="B641" s="53"/>
      <c r="C641" s="894" t="s">
        <v>556</v>
      </c>
      <c r="D641" s="894"/>
      <c r="E641" s="894"/>
      <c r="F641" s="895"/>
      <c r="G641" s="886"/>
      <c r="H641" s="887"/>
      <c r="I641" s="887"/>
      <c r="J641" s="887"/>
      <c r="K641" s="887"/>
      <c r="L641" s="887"/>
      <c r="M641" s="887"/>
      <c r="N641" s="887"/>
      <c r="O641" s="888"/>
      <c r="P641" s="55"/>
      <c r="Q641" s="56" t="s">
        <v>834</v>
      </c>
    </row>
    <row r="642" spans="1:2" ht="13.5" thickBot="1">
      <c r="A642" s="176" t="s">
        <v>73</v>
      </c>
      <c r="B642" s="57"/>
    </row>
    <row r="643" spans="1:17" ht="12.75">
      <c r="A643" s="869" t="s">
        <v>431</v>
      </c>
      <c r="B643" s="870"/>
      <c r="C643" s="870"/>
      <c r="D643" s="870"/>
      <c r="E643" s="870"/>
      <c r="F643" s="871"/>
      <c r="G643" s="872" t="s">
        <v>427</v>
      </c>
      <c r="H643" s="873"/>
      <c r="I643" s="873"/>
      <c r="J643" s="873"/>
      <c r="K643" s="873"/>
      <c r="L643" s="873"/>
      <c r="M643" s="873"/>
      <c r="N643" s="873"/>
      <c r="O643" s="874"/>
      <c r="P643" s="875" t="s">
        <v>428</v>
      </c>
      <c r="Q643" s="874" t="s">
        <v>429</v>
      </c>
    </row>
    <row r="644" spans="1:17" ht="13.5" thickBot="1">
      <c r="A644" s="61"/>
      <c r="B644" s="62"/>
      <c r="C644" s="63"/>
      <c r="D644" s="63"/>
      <c r="E644" s="62"/>
      <c r="F644" s="64"/>
      <c r="G644" s="61"/>
      <c r="H644" s="62"/>
      <c r="I644" s="62"/>
      <c r="J644" s="62"/>
      <c r="K644" s="62"/>
      <c r="L644" s="62"/>
      <c r="M644" s="62"/>
      <c r="N644" s="756"/>
      <c r="O644" s="757"/>
      <c r="P644" s="876"/>
      <c r="Q644" s="877"/>
    </row>
    <row r="645" spans="1:17" ht="52.5" thickBot="1">
      <c r="A645" s="35" t="s">
        <v>430</v>
      </c>
      <c r="B645" s="90" t="s">
        <v>432</v>
      </c>
      <c r="C645" s="91" t="s">
        <v>433</v>
      </c>
      <c r="D645" s="66" t="s">
        <v>434</v>
      </c>
      <c r="E645" s="37" t="s">
        <v>435</v>
      </c>
      <c r="F645" s="36" t="s">
        <v>446</v>
      </c>
      <c r="G645" s="67" t="s">
        <v>436</v>
      </c>
      <c r="H645" s="68" t="s">
        <v>437</v>
      </c>
      <c r="I645" s="68" t="s">
        <v>438</v>
      </c>
      <c r="J645" s="68" t="s">
        <v>439</v>
      </c>
      <c r="K645" s="68" t="s">
        <v>440</v>
      </c>
      <c r="L645" s="68" t="s">
        <v>441</v>
      </c>
      <c r="M645" s="68" t="s">
        <v>442</v>
      </c>
      <c r="N645" s="773" t="s">
        <v>443</v>
      </c>
      <c r="O645" s="774" t="s">
        <v>444</v>
      </c>
      <c r="P645" s="876"/>
      <c r="Q645" s="877"/>
    </row>
    <row r="646" spans="1:17" ht="38.25">
      <c r="A646" s="105">
        <v>1</v>
      </c>
      <c r="B646" s="122" t="s">
        <v>785</v>
      </c>
      <c r="C646" s="367">
        <v>16</v>
      </c>
      <c r="D646" s="367">
        <v>18</v>
      </c>
      <c r="E646" s="71">
        <f aca="true" t="shared" si="39" ref="E646:E658">D646/C646</f>
        <v>1.125</v>
      </c>
      <c r="F646" s="71">
        <f>3900/2163</f>
        <v>1.8030513176144245</v>
      </c>
      <c r="G646" s="72">
        <f>7750+9586.25</f>
        <v>17336.25</v>
      </c>
      <c r="H646" s="72">
        <v>13450</v>
      </c>
      <c r="I646" s="72"/>
      <c r="J646" s="72"/>
      <c r="K646" s="72"/>
      <c r="L646" s="72"/>
      <c r="M646" s="72"/>
      <c r="N646" s="760">
        <f aca="true" t="shared" si="40" ref="N646:N659">SUM(G646:M646)</f>
        <v>30786.25</v>
      </c>
      <c r="O646" s="760">
        <v>30782.753</v>
      </c>
      <c r="P646" s="69"/>
      <c r="Q646" s="69"/>
    </row>
    <row r="647" spans="1:17" ht="42" customHeight="1">
      <c r="A647" s="180">
        <v>2</v>
      </c>
      <c r="B647" s="123" t="s">
        <v>803</v>
      </c>
      <c r="C647" s="79">
        <v>600</v>
      </c>
      <c r="D647" s="79">
        <v>750</v>
      </c>
      <c r="E647" s="75">
        <f t="shared" si="39"/>
        <v>1.25</v>
      </c>
      <c r="F647" s="75">
        <f>3900/2163</f>
        <v>1.8030513176144245</v>
      </c>
      <c r="G647" s="77"/>
      <c r="H647" s="77"/>
      <c r="I647" s="77"/>
      <c r="J647" s="77"/>
      <c r="K647" s="77"/>
      <c r="L647" s="77"/>
      <c r="M647" s="77"/>
      <c r="N647" s="253">
        <f t="shared" si="40"/>
        <v>0</v>
      </c>
      <c r="O647" s="78"/>
      <c r="P647" s="73"/>
      <c r="Q647" s="73"/>
    </row>
    <row r="648" spans="1:17" ht="38.25">
      <c r="A648" s="180">
        <v>3</v>
      </c>
      <c r="B648" s="123" t="s">
        <v>804</v>
      </c>
      <c r="C648" s="164">
        <v>4200</v>
      </c>
      <c r="D648" s="164">
        <v>3800</v>
      </c>
      <c r="E648" s="75">
        <f t="shared" si="39"/>
        <v>0.9047619047619048</v>
      </c>
      <c r="F648" s="75">
        <f>3900/2163</f>
        <v>1.8030513176144245</v>
      </c>
      <c r="G648" s="77">
        <v>5500</v>
      </c>
      <c r="H648" s="77">
        <v>6713.547</v>
      </c>
      <c r="I648" s="77"/>
      <c r="J648" s="77"/>
      <c r="K648" s="77"/>
      <c r="L648" s="77"/>
      <c r="M648" s="77"/>
      <c r="N648" s="711">
        <f t="shared" si="40"/>
        <v>12213.546999999999</v>
      </c>
      <c r="O648" s="780">
        <v>12213.547</v>
      </c>
      <c r="P648" s="73"/>
      <c r="Q648" s="73"/>
    </row>
    <row r="649" spans="1:17" ht="25.5">
      <c r="A649" s="180">
        <v>4</v>
      </c>
      <c r="B649" s="123" t="s">
        <v>300</v>
      </c>
      <c r="C649" s="164">
        <v>13000</v>
      </c>
      <c r="D649" s="164">
        <v>13000</v>
      </c>
      <c r="E649" s="75">
        <f t="shared" si="39"/>
        <v>1</v>
      </c>
      <c r="F649" s="75">
        <f aca="true" t="shared" si="41" ref="F649:F657">3900/2163</f>
        <v>1.8030513176144245</v>
      </c>
      <c r="G649" s="77">
        <v>15300</v>
      </c>
      <c r="H649" s="77"/>
      <c r="I649" s="77"/>
      <c r="J649" s="77"/>
      <c r="K649" s="77"/>
      <c r="L649" s="77"/>
      <c r="M649" s="77"/>
      <c r="N649" s="711">
        <f t="shared" si="40"/>
        <v>15300</v>
      </c>
      <c r="O649" s="780">
        <v>15300</v>
      </c>
      <c r="P649" s="73"/>
      <c r="Q649" s="73"/>
    </row>
    <row r="650" spans="1:17" ht="25.5">
      <c r="A650" s="180">
        <v>5</v>
      </c>
      <c r="B650" s="123" t="s">
        <v>301</v>
      </c>
      <c r="C650" s="164">
        <v>7500</v>
      </c>
      <c r="D650" s="164">
        <v>8000</v>
      </c>
      <c r="E650" s="75">
        <f t="shared" si="39"/>
        <v>1.0666666666666667</v>
      </c>
      <c r="F650" s="75">
        <f t="shared" si="41"/>
        <v>1.8030513176144245</v>
      </c>
      <c r="G650" s="77">
        <v>6300</v>
      </c>
      <c r="H650" s="77">
        <v>1300</v>
      </c>
      <c r="I650" s="77"/>
      <c r="J650" s="77"/>
      <c r="K650" s="77"/>
      <c r="L650" s="77"/>
      <c r="M650" s="77"/>
      <c r="N650" s="711">
        <f t="shared" si="40"/>
        <v>7600</v>
      </c>
      <c r="O650" s="780">
        <v>7600</v>
      </c>
      <c r="P650" s="73"/>
      <c r="Q650" s="73"/>
    </row>
    <row r="651" spans="1:17" ht="38.25">
      <c r="A651" s="180">
        <v>6</v>
      </c>
      <c r="B651" s="123" t="s">
        <v>340</v>
      </c>
      <c r="C651" s="79">
        <v>220</v>
      </c>
      <c r="D651" s="79">
        <v>250</v>
      </c>
      <c r="E651" s="75">
        <f t="shared" si="39"/>
        <v>1.1363636363636365</v>
      </c>
      <c r="F651" s="75">
        <f t="shared" si="41"/>
        <v>1.8030513176144245</v>
      </c>
      <c r="G651" s="73"/>
      <c r="H651" s="73"/>
      <c r="I651" s="73"/>
      <c r="J651" s="95">
        <v>7500</v>
      </c>
      <c r="K651" s="73"/>
      <c r="L651" s="73"/>
      <c r="M651" s="73"/>
      <c r="N651" s="711">
        <f t="shared" si="40"/>
        <v>7500</v>
      </c>
      <c r="O651" s="780">
        <v>7500</v>
      </c>
      <c r="P651" s="73"/>
      <c r="Q651" s="73"/>
    </row>
    <row r="652" spans="1:18" ht="41.25" customHeight="1">
      <c r="A652" s="180">
        <v>7</v>
      </c>
      <c r="B652" s="123" t="s">
        <v>805</v>
      </c>
      <c r="C652" s="164">
        <v>23000</v>
      </c>
      <c r="D652" s="164">
        <v>22000</v>
      </c>
      <c r="E652" s="75">
        <f t="shared" si="39"/>
        <v>0.9565217391304348</v>
      </c>
      <c r="F652" s="75">
        <f t="shared" si="41"/>
        <v>1.8030513176144245</v>
      </c>
      <c r="G652" s="95">
        <f>5000+8057.69+4113.75</f>
        <v>17171.44</v>
      </c>
      <c r="H652" s="95">
        <f>8000+7214.942</f>
        <v>15214.942</v>
      </c>
      <c r="I652" s="110"/>
      <c r="J652" s="95"/>
      <c r="K652" s="73"/>
      <c r="L652" s="73"/>
      <c r="M652" s="73"/>
      <c r="N652" s="711">
        <f t="shared" si="40"/>
        <v>32386.381999999998</v>
      </c>
      <c r="O652" s="765">
        <v>32386.382</v>
      </c>
      <c r="P652" s="73"/>
      <c r="Q652" s="729" t="s">
        <v>778</v>
      </c>
      <c r="R652" s="729"/>
    </row>
    <row r="653" spans="1:17" ht="55.5" customHeight="1">
      <c r="A653" s="303">
        <v>8</v>
      </c>
      <c r="B653" s="304" t="s">
        <v>339</v>
      </c>
      <c r="C653" s="827">
        <v>1</v>
      </c>
      <c r="D653" s="827">
        <v>1</v>
      </c>
      <c r="E653" s="305">
        <f t="shared" si="39"/>
        <v>1</v>
      </c>
      <c r="F653" s="75">
        <f t="shared" si="41"/>
        <v>1.8030513176144245</v>
      </c>
      <c r="G653" s="306"/>
      <c r="H653" s="306"/>
      <c r="I653" s="307"/>
      <c r="J653" s="306"/>
      <c r="K653" s="308"/>
      <c r="L653" s="308"/>
      <c r="M653" s="308"/>
      <c r="N653" s="253">
        <f t="shared" si="40"/>
        <v>0</v>
      </c>
      <c r="O653" s="789"/>
      <c r="P653" s="308"/>
      <c r="Q653" s="358" t="s">
        <v>743</v>
      </c>
    </row>
    <row r="654" spans="1:17" ht="57" customHeight="1">
      <c r="A654" s="303">
        <v>9</v>
      </c>
      <c r="B654" s="304" t="s">
        <v>187</v>
      </c>
      <c r="C654" s="827">
        <v>4</v>
      </c>
      <c r="D654" s="827">
        <v>4</v>
      </c>
      <c r="E654" s="305">
        <f t="shared" si="39"/>
        <v>1</v>
      </c>
      <c r="F654" s="75">
        <f t="shared" si="41"/>
        <v>1.8030513176144245</v>
      </c>
      <c r="G654" s="306"/>
      <c r="H654" s="306"/>
      <c r="I654" s="307"/>
      <c r="J654" s="306"/>
      <c r="K654" s="308"/>
      <c r="L654" s="308"/>
      <c r="M654" s="308"/>
      <c r="N654" s="253">
        <f t="shared" si="40"/>
        <v>0</v>
      </c>
      <c r="O654" s="789"/>
      <c r="P654" s="308"/>
      <c r="Q654" s="358"/>
    </row>
    <row r="655" spans="1:17" ht="38.25">
      <c r="A655" s="303">
        <v>10</v>
      </c>
      <c r="B655" s="304" t="s">
        <v>185</v>
      </c>
      <c r="C655" s="827">
        <v>1100</v>
      </c>
      <c r="D655" s="827">
        <v>1300</v>
      </c>
      <c r="E655" s="305">
        <f t="shared" si="39"/>
        <v>1.1818181818181819</v>
      </c>
      <c r="F655" s="75">
        <f t="shared" si="41"/>
        <v>1.8030513176144245</v>
      </c>
      <c r="G655" s="306">
        <v>2000</v>
      </c>
      <c r="H655" s="306"/>
      <c r="I655" s="307"/>
      <c r="J655" s="306"/>
      <c r="K655" s="308"/>
      <c r="L655" s="308"/>
      <c r="M655" s="308"/>
      <c r="N655" s="711">
        <f t="shared" si="40"/>
        <v>2000</v>
      </c>
      <c r="O655" s="790">
        <v>2000</v>
      </c>
      <c r="P655" s="308"/>
      <c r="Q655" s="358"/>
    </row>
    <row r="656" spans="1:17" ht="38.25">
      <c r="A656" s="303">
        <v>11</v>
      </c>
      <c r="B656" s="304" t="s">
        <v>186</v>
      </c>
      <c r="C656" s="827">
        <v>250</v>
      </c>
      <c r="D656" s="827">
        <v>250</v>
      </c>
      <c r="E656" s="305">
        <f t="shared" si="39"/>
        <v>1</v>
      </c>
      <c r="F656" s="75">
        <f t="shared" si="41"/>
        <v>1.8030513176144245</v>
      </c>
      <c r="G656" s="306"/>
      <c r="H656" s="306"/>
      <c r="I656" s="307"/>
      <c r="J656" s="306"/>
      <c r="K656" s="308"/>
      <c r="L656" s="308"/>
      <c r="M656" s="308"/>
      <c r="N656" s="253">
        <f t="shared" si="40"/>
        <v>0</v>
      </c>
      <c r="O656" s="789"/>
      <c r="P656" s="308"/>
      <c r="Q656" s="358"/>
    </row>
    <row r="657" spans="1:17" ht="54" customHeight="1">
      <c r="A657" s="303">
        <v>12</v>
      </c>
      <c r="B657" s="304" t="s">
        <v>531</v>
      </c>
      <c r="C657" s="827">
        <v>15000</v>
      </c>
      <c r="D657" s="827">
        <v>14000</v>
      </c>
      <c r="E657" s="305">
        <f t="shared" si="39"/>
        <v>0.9333333333333333</v>
      </c>
      <c r="F657" s="75">
        <f t="shared" si="41"/>
        <v>1.8030513176144245</v>
      </c>
      <c r="G657" s="306"/>
      <c r="H657" s="306"/>
      <c r="I657" s="307">
        <v>3360</v>
      </c>
      <c r="J657" s="306">
        <v>6000</v>
      </c>
      <c r="K657" s="308"/>
      <c r="L657" s="308"/>
      <c r="M657" s="308"/>
      <c r="N657" s="711">
        <f t="shared" si="40"/>
        <v>9360</v>
      </c>
      <c r="O657" s="790">
        <f>6000+3300</f>
        <v>9300</v>
      </c>
      <c r="P657" s="308"/>
      <c r="Q657" s="358"/>
    </row>
    <row r="658" spans="1:17" ht="51">
      <c r="A658" s="303">
        <v>13</v>
      </c>
      <c r="B658" s="304" t="s">
        <v>530</v>
      </c>
      <c r="C658" s="827">
        <v>4</v>
      </c>
      <c r="D658" s="827">
        <v>4</v>
      </c>
      <c r="E658" s="305">
        <f t="shared" si="39"/>
        <v>1</v>
      </c>
      <c r="F658" s="305"/>
      <c r="G658" s="306">
        <v>5000</v>
      </c>
      <c r="H658" s="306"/>
      <c r="I658" s="307"/>
      <c r="J658" s="306"/>
      <c r="K658" s="308"/>
      <c r="L658" s="308"/>
      <c r="M658" s="308"/>
      <c r="N658" s="711">
        <f t="shared" si="40"/>
        <v>5000</v>
      </c>
      <c r="O658" s="790">
        <v>5000</v>
      </c>
      <c r="P658" s="308"/>
      <c r="Q658" s="358" t="s">
        <v>779</v>
      </c>
    </row>
    <row r="659" spans="1:17" ht="28.5" customHeight="1">
      <c r="A659" s="303">
        <v>14</v>
      </c>
      <c r="B659" s="304" t="s">
        <v>532</v>
      </c>
      <c r="C659" s="827"/>
      <c r="D659" s="827"/>
      <c r="E659" s="305"/>
      <c r="F659" s="305"/>
      <c r="G659" s="306"/>
      <c r="H659" s="306"/>
      <c r="I659" s="307"/>
      <c r="J659" s="306">
        <v>12000</v>
      </c>
      <c r="K659" s="308"/>
      <c r="L659" s="308"/>
      <c r="M659" s="308"/>
      <c r="N659" s="711">
        <f t="shared" si="40"/>
        <v>12000</v>
      </c>
      <c r="O659" s="790">
        <v>12000</v>
      </c>
      <c r="P659" s="308"/>
      <c r="Q659" s="358"/>
    </row>
    <row r="660" spans="1:20" ht="13.5" thickBot="1">
      <c r="A660" s="181"/>
      <c r="B660" s="82" t="s">
        <v>445</v>
      </c>
      <c r="C660" s="83"/>
      <c r="D660" s="83"/>
      <c r="E660" s="81"/>
      <c r="F660" s="81"/>
      <c r="G660" s="84">
        <f>SUM(G646:G658)</f>
        <v>68607.69</v>
      </c>
      <c r="H660" s="84">
        <f aca="true" t="shared" si="42" ref="H660:M660">SUM(H646:H658)</f>
        <v>36678.489</v>
      </c>
      <c r="I660" s="84">
        <f t="shared" si="42"/>
        <v>3360</v>
      </c>
      <c r="J660" s="84">
        <f t="shared" si="42"/>
        <v>13500</v>
      </c>
      <c r="K660" s="84">
        <f t="shared" si="42"/>
        <v>0</v>
      </c>
      <c r="L660" s="84">
        <f t="shared" si="42"/>
        <v>0</v>
      </c>
      <c r="M660" s="84">
        <f t="shared" si="42"/>
        <v>0</v>
      </c>
      <c r="N660" s="84">
        <f>SUM(N646:N659)</f>
        <v>134146.179</v>
      </c>
      <c r="O660" s="84">
        <f>SUM(O646:O659)</f>
        <v>134082.682</v>
      </c>
      <c r="P660" s="81"/>
      <c r="Q660" s="81"/>
      <c r="R660" s="153">
        <f>'Resumen presupuesto ejecutado'!D96/1000</f>
        <v>372274.52</v>
      </c>
      <c r="S660" s="153">
        <f>'Resumen presupuesto ejecutado'!E96/1000</f>
        <v>368709.44</v>
      </c>
      <c r="T660" s="87"/>
    </row>
    <row r="661" spans="15:19" ht="12.75">
      <c r="O661" s="362"/>
      <c r="R661" s="153">
        <f>N660-R660</f>
        <v>-238128.34100000001</v>
      </c>
      <c r="S661" s="153">
        <f>O660-S660</f>
        <v>-234626.758</v>
      </c>
    </row>
    <row r="662" spans="1:17" ht="12.75">
      <c r="A662" s="878" t="s">
        <v>420</v>
      </c>
      <c r="B662" s="878"/>
      <c r="C662" s="878"/>
      <c r="D662" s="878"/>
      <c r="E662" s="878"/>
      <c r="F662" s="878"/>
      <c r="G662" s="878"/>
      <c r="H662" s="878"/>
      <c r="I662" s="878"/>
      <c r="J662" s="878"/>
      <c r="K662" s="878"/>
      <c r="L662" s="878"/>
      <c r="M662" s="878"/>
      <c r="N662" s="878"/>
      <c r="O662" s="878"/>
      <c r="P662" s="878"/>
      <c r="Q662" s="878"/>
    </row>
    <row r="663" spans="1:23" s="39" customFormat="1" ht="16.5" thickBot="1">
      <c r="A663" s="891" t="s">
        <v>609</v>
      </c>
      <c r="B663" s="891"/>
      <c r="C663" s="891"/>
      <c r="D663" s="891"/>
      <c r="E663" s="891"/>
      <c r="F663" s="891"/>
      <c r="G663" s="891"/>
      <c r="H663" s="891"/>
      <c r="I663" s="891"/>
      <c r="J663" s="891"/>
      <c r="K663" s="891"/>
      <c r="L663" s="891"/>
      <c r="M663" s="891"/>
      <c r="N663" s="891"/>
      <c r="O663" s="891"/>
      <c r="P663" s="891"/>
      <c r="Q663" s="891"/>
      <c r="R663" s="184"/>
      <c r="S663" s="184"/>
      <c r="W663" s="184"/>
    </row>
    <row r="664" spans="1:23" s="39" customFormat="1" ht="13.5" thickBot="1">
      <c r="A664" s="175"/>
      <c r="C664" s="40"/>
      <c r="D664" s="40"/>
      <c r="N664" s="755"/>
      <c r="O664" s="755"/>
      <c r="P664" s="892" t="s">
        <v>220</v>
      </c>
      <c r="Q664" s="893"/>
      <c r="R664" s="184"/>
      <c r="S664" s="184"/>
      <c r="W664" s="184"/>
    </row>
    <row r="665" spans="1:17" ht="12.75">
      <c r="A665" s="878" t="s">
        <v>76</v>
      </c>
      <c r="B665" s="878"/>
      <c r="C665" s="878"/>
      <c r="D665" s="878"/>
      <c r="E665" s="878"/>
      <c r="F665" s="878"/>
      <c r="P665" s="889" t="s">
        <v>74</v>
      </c>
      <c r="Q665" s="889"/>
    </row>
    <row r="666" spans="1:17" ht="12.75">
      <c r="A666" s="878" t="s">
        <v>77</v>
      </c>
      <c r="B666" s="879"/>
      <c r="C666" s="879"/>
      <c r="D666" s="879"/>
      <c r="E666" s="879"/>
      <c r="F666" s="879"/>
      <c r="P666" s="890" t="s">
        <v>75</v>
      </c>
      <c r="Q666" s="890"/>
    </row>
    <row r="667" spans="1:9" ht="12.75">
      <c r="A667" s="878" t="s">
        <v>808</v>
      </c>
      <c r="B667" s="879"/>
      <c r="C667" s="879"/>
      <c r="D667" s="879"/>
      <c r="E667" s="879"/>
      <c r="F667" s="879"/>
      <c r="G667" s="38" t="s">
        <v>72</v>
      </c>
      <c r="I667" s="41">
        <v>39083</v>
      </c>
    </row>
    <row r="669" ht="13.5" thickBot="1"/>
    <row r="670" spans="1:17" ht="12.75">
      <c r="A670" s="177" t="s">
        <v>424</v>
      </c>
      <c r="B670" s="43"/>
      <c r="C670" s="44" t="s">
        <v>97</v>
      </c>
      <c r="D670" s="44"/>
      <c r="E670" s="43"/>
      <c r="F670" s="45"/>
      <c r="G670" s="880" t="s">
        <v>425</v>
      </c>
      <c r="H670" s="881"/>
      <c r="I670" s="881"/>
      <c r="J670" s="881"/>
      <c r="K670" s="881"/>
      <c r="L670" s="881"/>
      <c r="M670" s="881"/>
      <c r="N670" s="881"/>
      <c r="O670" s="882"/>
      <c r="P670" s="880" t="s">
        <v>426</v>
      </c>
      <c r="Q670" s="882"/>
    </row>
    <row r="671" spans="1:17" ht="15">
      <c r="A671" s="178" t="s">
        <v>422</v>
      </c>
      <c r="B671" s="47"/>
      <c r="C671" s="48" t="s">
        <v>751</v>
      </c>
      <c r="D671" s="48"/>
      <c r="E671" s="47"/>
      <c r="F671" s="49"/>
      <c r="G671" s="897" t="s">
        <v>450</v>
      </c>
      <c r="H671" s="898"/>
      <c r="I671" s="898"/>
      <c r="J671" s="898"/>
      <c r="K671" s="898"/>
      <c r="L671" s="898"/>
      <c r="M671" s="898"/>
      <c r="N671" s="898"/>
      <c r="O671" s="899"/>
      <c r="P671" s="50"/>
      <c r="Q671" s="14" t="s">
        <v>835</v>
      </c>
    </row>
    <row r="672" spans="1:17" ht="15" customHeight="1" thickBot="1">
      <c r="A672" s="179" t="s">
        <v>423</v>
      </c>
      <c r="B672" s="52"/>
      <c r="C672" s="53" t="s">
        <v>557</v>
      </c>
      <c r="D672" s="53"/>
      <c r="E672" s="52"/>
      <c r="F672" s="54"/>
      <c r="G672" s="897"/>
      <c r="H672" s="898"/>
      <c r="I672" s="898"/>
      <c r="J672" s="898"/>
      <c r="K672" s="898"/>
      <c r="L672" s="898"/>
      <c r="M672" s="898"/>
      <c r="N672" s="898"/>
      <c r="O672" s="899"/>
      <c r="P672" s="55"/>
      <c r="Q672" s="56"/>
    </row>
    <row r="673" spans="1:2" ht="13.5" thickBot="1">
      <c r="A673" s="176" t="s">
        <v>73</v>
      </c>
      <c r="B673" s="57"/>
    </row>
    <row r="674" spans="1:17" ht="12.75">
      <c r="A674" s="869" t="s">
        <v>431</v>
      </c>
      <c r="B674" s="870"/>
      <c r="C674" s="870"/>
      <c r="D674" s="870"/>
      <c r="E674" s="870"/>
      <c r="F674" s="871"/>
      <c r="G674" s="872" t="s">
        <v>427</v>
      </c>
      <c r="H674" s="873"/>
      <c r="I674" s="873"/>
      <c r="J674" s="873"/>
      <c r="K674" s="873"/>
      <c r="L674" s="873"/>
      <c r="M674" s="873"/>
      <c r="N674" s="873"/>
      <c r="O674" s="874"/>
      <c r="P674" s="875" t="s">
        <v>428</v>
      </c>
      <c r="Q674" s="874" t="s">
        <v>429</v>
      </c>
    </row>
    <row r="675" spans="1:17" ht="13.5" thickBot="1">
      <c r="A675" s="61"/>
      <c r="B675" s="62"/>
      <c r="C675" s="63"/>
      <c r="D675" s="63"/>
      <c r="E675" s="62"/>
      <c r="F675" s="64"/>
      <c r="G675" s="61"/>
      <c r="H675" s="62"/>
      <c r="I675" s="62"/>
      <c r="J675" s="62"/>
      <c r="K675" s="62"/>
      <c r="L675" s="62"/>
      <c r="M675" s="62"/>
      <c r="N675" s="756"/>
      <c r="O675" s="757"/>
      <c r="P675" s="876"/>
      <c r="Q675" s="877"/>
    </row>
    <row r="676" spans="1:17" ht="52.5" thickBot="1">
      <c r="A676" s="35" t="s">
        <v>430</v>
      </c>
      <c r="B676" s="90" t="s">
        <v>432</v>
      </c>
      <c r="C676" s="311" t="s">
        <v>433</v>
      </c>
      <c r="D676" s="243" t="s">
        <v>434</v>
      </c>
      <c r="E676" s="312" t="s">
        <v>435</v>
      </c>
      <c r="F676" s="141" t="s">
        <v>446</v>
      </c>
      <c r="G676" s="113" t="s">
        <v>436</v>
      </c>
      <c r="H676" s="167" t="s">
        <v>437</v>
      </c>
      <c r="I676" s="147" t="s">
        <v>438</v>
      </c>
      <c r="J676" s="147" t="s">
        <v>439</v>
      </c>
      <c r="K676" s="147" t="s">
        <v>440</v>
      </c>
      <c r="L676" s="147" t="s">
        <v>441</v>
      </c>
      <c r="M676" s="147" t="s">
        <v>442</v>
      </c>
      <c r="N676" s="763" t="s">
        <v>443</v>
      </c>
      <c r="O676" s="764" t="s">
        <v>444</v>
      </c>
      <c r="P676" s="876"/>
      <c r="Q676" s="877"/>
    </row>
    <row r="677" spans="1:17" ht="38.25">
      <c r="A677" s="180">
        <v>1</v>
      </c>
      <c r="B677" s="109" t="s">
        <v>341</v>
      </c>
      <c r="C677" s="372">
        <v>3500</v>
      </c>
      <c r="D677" s="372">
        <v>5700</v>
      </c>
      <c r="E677" s="328">
        <f>D677/C677</f>
        <v>1.6285714285714286</v>
      </c>
      <c r="F677" s="328">
        <f>3400/1750</f>
        <v>1.9428571428571428</v>
      </c>
      <c r="G677" s="124">
        <f>8000+23204.373</f>
        <v>31204.373</v>
      </c>
      <c r="H677" s="119">
        <f>9358.774</f>
        <v>9358.774</v>
      </c>
      <c r="I677" s="116"/>
      <c r="J677" s="116"/>
      <c r="K677" s="116"/>
      <c r="L677" s="116"/>
      <c r="M677" s="116"/>
      <c r="N677" s="766">
        <f>SUM(G677:M677)</f>
        <v>40563.147</v>
      </c>
      <c r="O677" s="776">
        <v>37608.218</v>
      </c>
      <c r="P677" s="73"/>
      <c r="Q677" s="73"/>
    </row>
    <row r="678" spans="1:17" ht="38.25">
      <c r="A678" s="180">
        <v>2</v>
      </c>
      <c r="B678" s="109" t="s">
        <v>381</v>
      </c>
      <c r="C678" s="79">
        <v>15</v>
      </c>
      <c r="D678" s="79">
        <v>0</v>
      </c>
      <c r="E678" s="328">
        <f>D678/C678</f>
        <v>0</v>
      </c>
      <c r="F678" s="328">
        <f>3400/1750</f>
        <v>1.9428571428571428</v>
      </c>
      <c r="G678" s="125">
        <v>15000</v>
      </c>
      <c r="H678" s="95">
        <v>0</v>
      </c>
      <c r="I678" s="151">
        <v>50000</v>
      </c>
      <c r="J678" s="73"/>
      <c r="K678" s="73"/>
      <c r="L678" s="73"/>
      <c r="M678" s="73"/>
      <c r="N678" s="761">
        <f>SUM(G678:M678)</f>
        <v>65000</v>
      </c>
      <c r="O678" s="765">
        <f>15000+49994.396</f>
        <v>64994.396</v>
      </c>
      <c r="P678" s="73"/>
      <c r="Q678" s="74" t="s">
        <v>188</v>
      </c>
    </row>
    <row r="679" spans="1:17" ht="38.25">
      <c r="A679" s="180">
        <v>3</v>
      </c>
      <c r="B679" s="109" t="s">
        <v>525</v>
      </c>
      <c r="C679" s="79">
        <v>10</v>
      </c>
      <c r="D679" s="79">
        <v>9</v>
      </c>
      <c r="E679" s="328">
        <f>D679/C679</f>
        <v>0.9</v>
      </c>
      <c r="F679" s="328">
        <f>3400/1750</f>
        <v>1.9428571428571428</v>
      </c>
      <c r="G679" s="73"/>
      <c r="H679" s="73"/>
      <c r="I679" s="73"/>
      <c r="J679" s="73"/>
      <c r="K679" s="73"/>
      <c r="L679" s="73"/>
      <c r="M679" s="73"/>
      <c r="N679" s="89">
        <f>SUM(G679:M679)</f>
        <v>0</v>
      </c>
      <c r="O679" s="767">
        <v>0</v>
      </c>
      <c r="P679" s="73"/>
      <c r="Q679" s="73"/>
    </row>
    <row r="680" spans="1:17" ht="38.25">
      <c r="A680" s="180">
        <v>4</v>
      </c>
      <c r="B680" s="109" t="s">
        <v>119</v>
      </c>
      <c r="C680" s="79">
        <v>5</v>
      </c>
      <c r="D680" s="79">
        <v>12</v>
      </c>
      <c r="E680" s="328">
        <f>D680/C680</f>
        <v>2.4</v>
      </c>
      <c r="F680" s="328">
        <f>3400/1750</f>
        <v>1.9428571428571428</v>
      </c>
      <c r="G680" s="73"/>
      <c r="H680" s="73"/>
      <c r="I680" s="73"/>
      <c r="J680" s="73"/>
      <c r="K680" s="73"/>
      <c r="L680" s="73"/>
      <c r="M680" s="73"/>
      <c r="N680" s="89"/>
      <c r="O680" s="89"/>
      <c r="P680" s="73"/>
      <c r="Q680" s="74" t="s">
        <v>744</v>
      </c>
    </row>
    <row r="681" spans="1:17" ht="12.75">
      <c r="A681" s="180"/>
      <c r="B681" s="73"/>
      <c r="C681" s="79"/>
      <c r="D681" s="79"/>
      <c r="E681" s="73"/>
      <c r="F681" s="73"/>
      <c r="G681" s="73"/>
      <c r="H681" s="73"/>
      <c r="I681" s="73"/>
      <c r="J681" s="73"/>
      <c r="K681" s="73"/>
      <c r="L681" s="73"/>
      <c r="M681" s="73"/>
      <c r="N681" s="89"/>
      <c r="O681" s="89"/>
      <c r="P681" s="73"/>
      <c r="Q681" s="73"/>
    </row>
    <row r="682" spans="1:20" ht="13.5" thickBot="1">
      <c r="A682" s="181"/>
      <c r="B682" s="82" t="s">
        <v>445</v>
      </c>
      <c r="C682" s="83"/>
      <c r="D682" s="83"/>
      <c r="E682" s="81"/>
      <c r="F682" s="81"/>
      <c r="G682" s="84">
        <f aca="true" t="shared" si="43" ref="G682:O682">SUM(G677:G681)</f>
        <v>46204.373</v>
      </c>
      <c r="H682" s="84">
        <f t="shared" si="43"/>
        <v>9358.774</v>
      </c>
      <c r="I682" s="84">
        <f t="shared" si="43"/>
        <v>50000</v>
      </c>
      <c r="J682" s="84">
        <f t="shared" si="43"/>
        <v>0</v>
      </c>
      <c r="K682" s="84">
        <f t="shared" si="43"/>
        <v>0</v>
      </c>
      <c r="L682" s="84">
        <f t="shared" si="43"/>
        <v>0</v>
      </c>
      <c r="M682" s="84">
        <f t="shared" si="43"/>
        <v>0</v>
      </c>
      <c r="N682" s="762">
        <f>SUM(N677:N681)</f>
        <v>105563.147</v>
      </c>
      <c r="O682" s="762">
        <f t="shared" si="43"/>
        <v>102602.614</v>
      </c>
      <c r="P682" s="81"/>
      <c r="Q682" s="81"/>
      <c r="R682" s="153">
        <f>'Resumen presupuesto ejecutado'!D101/1000</f>
        <v>105563.147</v>
      </c>
      <c r="S682" s="153">
        <f>'Resumen presupuesto ejecutado'!E101/1000</f>
        <v>102602.614</v>
      </c>
      <c r="T682" s="257">
        <f>+R682-S682</f>
        <v>2960.532999999996</v>
      </c>
    </row>
    <row r="683" spans="14:19" ht="12.75">
      <c r="N683" s="87">
        <f>+N682+N660</f>
        <v>239709.326</v>
      </c>
      <c r="O683" s="87">
        <f>+O682+O660</f>
        <v>236685.296</v>
      </c>
      <c r="R683" s="153">
        <f>R682-N682</f>
        <v>0</v>
      </c>
      <c r="S683" s="153">
        <f>S682-O682</f>
        <v>0</v>
      </c>
    </row>
    <row r="684" ht="12.75">
      <c r="S684" s="153">
        <f>+S682-S683</f>
        <v>102602.614</v>
      </c>
    </row>
    <row r="686" spans="14:15" ht="12.75">
      <c r="N686" s="87">
        <f>+N38+N75+N105+N138+N170+N201+N234+N266+N426+N459+N489+N517+N629+N660+N682-N604+N575+N546+N393+N361+N330+N298</f>
        <v>5957288.694</v>
      </c>
      <c r="O686" s="87">
        <f>+O38+O75+O105+O138+O170+O201+O234+O266+O426+O459+O489+O517+O629+O660+O682-O604+O575+O546+O393+O361+O330+O298</f>
        <v>5139265.5825</v>
      </c>
    </row>
  </sheetData>
  <sheetProtection/>
  <mergeCells count="337">
    <mergeCell ref="Q312:Q314"/>
    <mergeCell ref="C278:F278"/>
    <mergeCell ref="C310:F310"/>
    <mergeCell ref="A394:Q394"/>
    <mergeCell ref="G309:O310"/>
    <mergeCell ref="A312:F312"/>
    <mergeCell ref="G312:O312"/>
    <mergeCell ref="P312:P314"/>
    <mergeCell ref="A304:F304"/>
    <mergeCell ref="P304:Q304"/>
    <mergeCell ref="A305:F305"/>
    <mergeCell ref="G308:O308"/>
    <mergeCell ref="P308:Q308"/>
    <mergeCell ref="A300:Q300"/>
    <mergeCell ref="A301:Q301"/>
    <mergeCell ref="P302:Q302"/>
    <mergeCell ref="A303:F303"/>
    <mergeCell ref="P303:Q303"/>
    <mergeCell ref="A280:F280"/>
    <mergeCell ref="G280:O280"/>
    <mergeCell ref="P280:P282"/>
    <mergeCell ref="Q280:Q282"/>
    <mergeCell ref="A273:F273"/>
    <mergeCell ref="G276:O276"/>
    <mergeCell ref="P276:Q276"/>
    <mergeCell ref="G277:O278"/>
    <mergeCell ref="A271:F271"/>
    <mergeCell ref="P271:Q271"/>
    <mergeCell ref="A272:F272"/>
    <mergeCell ref="P272:Q272"/>
    <mergeCell ref="A2:Q2"/>
    <mergeCell ref="A3:Q3"/>
    <mergeCell ref="P4:Q4"/>
    <mergeCell ref="A5:F5"/>
    <mergeCell ref="P5:Q5"/>
    <mergeCell ref="A6:F6"/>
    <mergeCell ref="P6:Q6"/>
    <mergeCell ref="A7:F7"/>
    <mergeCell ref="G10:O10"/>
    <mergeCell ref="P10:Q10"/>
    <mergeCell ref="G11:O12"/>
    <mergeCell ref="A14:F14"/>
    <mergeCell ref="G14:O14"/>
    <mergeCell ref="P14:P16"/>
    <mergeCell ref="Q14:Q16"/>
    <mergeCell ref="A40:Q40"/>
    <mergeCell ref="A41:Q41"/>
    <mergeCell ref="P42:Q42"/>
    <mergeCell ref="A43:F43"/>
    <mergeCell ref="P43:Q43"/>
    <mergeCell ref="A44:F44"/>
    <mergeCell ref="P44:Q44"/>
    <mergeCell ref="A45:F45"/>
    <mergeCell ref="G48:O48"/>
    <mergeCell ref="P48:Q48"/>
    <mergeCell ref="G49:O50"/>
    <mergeCell ref="A52:F52"/>
    <mergeCell ref="G52:O52"/>
    <mergeCell ref="P52:P54"/>
    <mergeCell ref="Q52:Q54"/>
    <mergeCell ref="A77:Q77"/>
    <mergeCell ref="A78:Q78"/>
    <mergeCell ref="P79:Q79"/>
    <mergeCell ref="A80:F80"/>
    <mergeCell ref="P80:Q80"/>
    <mergeCell ref="A81:F81"/>
    <mergeCell ref="P81:Q81"/>
    <mergeCell ref="A82:F82"/>
    <mergeCell ref="G85:O85"/>
    <mergeCell ref="P85:Q85"/>
    <mergeCell ref="G86:O87"/>
    <mergeCell ref="A89:F89"/>
    <mergeCell ref="G89:O89"/>
    <mergeCell ref="P89:P91"/>
    <mergeCell ref="Q89:Q91"/>
    <mergeCell ref="A107:Q107"/>
    <mergeCell ref="A108:Q108"/>
    <mergeCell ref="P109:Q109"/>
    <mergeCell ref="A110:F110"/>
    <mergeCell ref="P110:Q110"/>
    <mergeCell ref="A111:F111"/>
    <mergeCell ref="P111:Q111"/>
    <mergeCell ref="A112:F112"/>
    <mergeCell ref="G115:O115"/>
    <mergeCell ref="P115:Q115"/>
    <mergeCell ref="G116:O117"/>
    <mergeCell ref="A119:F119"/>
    <mergeCell ref="G119:O119"/>
    <mergeCell ref="P119:P121"/>
    <mergeCell ref="Q119:Q121"/>
    <mergeCell ref="A140:Q140"/>
    <mergeCell ref="A141:Q141"/>
    <mergeCell ref="P142:Q142"/>
    <mergeCell ref="A143:F143"/>
    <mergeCell ref="P143:Q143"/>
    <mergeCell ref="A144:F144"/>
    <mergeCell ref="P144:Q144"/>
    <mergeCell ref="A145:F145"/>
    <mergeCell ref="G148:O148"/>
    <mergeCell ref="P148:Q148"/>
    <mergeCell ref="Q152:Q154"/>
    <mergeCell ref="A172:Q172"/>
    <mergeCell ref="A173:Q173"/>
    <mergeCell ref="G149:O150"/>
    <mergeCell ref="A152:F152"/>
    <mergeCell ref="G152:O152"/>
    <mergeCell ref="P152:P154"/>
    <mergeCell ref="P174:Q174"/>
    <mergeCell ref="A175:F175"/>
    <mergeCell ref="P175:Q175"/>
    <mergeCell ref="A176:F176"/>
    <mergeCell ref="P176:Q176"/>
    <mergeCell ref="A177:F177"/>
    <mergeCell ref="G180:O180"/>
    <mergeCell ref="P180:Q180"/>
    <mergeCell ref="G181:O182"/>
    <mergeCell ref="A203:Q203"/>
    <mergeCell ref="A204:Q204"/>
    <mergeCell ref="P205:Q205"/>
    <mergeCell ref="A184:F184"/>
    <mergeCell ref="G184:O184"/>
    <mergeCell ref="P184:P186"/>
    <mergeCell ref="Q184:Q186"/>
    <mergeCell ref="A206:F206"/>
    <mergeCell ref="P206:Q206"/>
    <mergeCell ref="A207:F207"/>
    <mergeCell ref="P207:Q207"/>
    <mergeCell ref="A208:F208"/>
    <mergeCell ref="G211:O211"/>
    <mergeCell ref="P211:Q211"/>
    <mergeCell ref="G212:O213"/>
    <mergeCell ref="A236:Q236"/>
    <mergeCell ref="A237:Q237"/>
    <mergeCell ref="P238:Q238"/>
    <mergeCell ref="A215:F215"/>
    <mergeCell ref="G215:O215"/>
    <mergeCell ref="P215:P217"/>
    <mergeCell ref="Q215:Q217"/>
    <mergeCell ref="A239:F239"/>
    <mergeCell ref="P239:Q239"/>
    <mergeCell ref="A240:F240"/>
    <mergeCell ref="P240:Q240"/>
    <mergeCell ref="A241:F241"/>
    <mergeCell ref="G244:O244"/>
    <mergeCell ref="P244:Q244"/>
    <mergeCell ref="G245:O246"/>
    <mergeCell ref="A248:F248"/>
    <mergeCell ref="G248:O248"/>
    <mergeCell ref="P248:P250"/>
    <mergeCell ref="Q248:Q250"/>
    <mergeCell ref="A268:Q268"/>
    <mergeCell ref="A269:Q269"/>
    <mergeCell ref="P270:Q270"/>
    <mergeCell ref="A395:Q395"/>
    <mergeCell ref="A332:Q332"/>
    <mergeCell ref="A333:Q333"/>
    <mergeCell ref="P334:Q334"/>
    <mergeCell ref="A335:F335"/>
    <mergeCell ref="P335:Q335"/>
    <mergeCell ref="A336:F336"/>
    <mergeCell ref="P396:Q396"/>
    <mergeCell ref="A397:F397"/>
    <mergeCell ref="P397:Q397"/>
    <mergeCell ref="G402:O402"/>
    <mergeCell ref="P402:Q402"/>
    <mergeCell ref="G403:O404"/>
    <mergeCell ref="A398:F398"/>
    <mergeCell ref="P398:Q398"/>
    <mergeCell ref="A399:F399"/>
    <mergeCell ref="A406:F406"/>
    <mergeCell ref="G406:O406"/>
    <mergeCell ref="P406:P408"/>
    <mergeCell ref="Q406:Q408"/>
    <mergeCell ref="A428:Q428"/>
    <mergeCell ref="A429:Q429"/>
    <mergeCell ref="P430:Q430"/>
    <mergeCell ref="A431:F431"/>
    <mergeCell ref="P431:Q431"/>
    <mergeCell ref="A432:F432"/>
    <mergeCell ref="P432:Q432"/>
    <mergeCell ref="A433:F433"/>
    <mergeCell ref="G436:O436"/>
    <mergeCell ref="P436:Q436"/>
    <mergeCell ref="Q440:Q442"/>
    <mergeCell ref="A461:Q461"/>
    <mergeCell ref="A462:Q462"/>
    <mergeCell ref="G437:O438"/>
    <mergeCell ref="A440:F440"/>
    <mergeCell ref="G440:O440"/>
    <mergeCell ref="P440:P442"/>
    <mergeCell ref="P463:Q463"/>
    <mergeCell ref="A464:F464"/>
    <mergeCell ref="P464:Q464"/>
    <mergeCell ref="A465:F465"/>
    <mergeCell ref="P465:Q465"/>
    <mergeCell ref="A466:F466"/>
    <mergeCell ref="G469:O469"/>
    <mergeCell ref="P469:Q469"/>
    <mergeCell ref="G470:O471"/>
    <mergeCell ref="A491:Q491"/>
    <mergeCell ref="A492:Q492"/>
    <mergeCell ref="P493:Q493"/>
    <mergeCell ref="A473:F473"/>
    <mergeCell ref="G473:O473"/>
    <mergeCell ref="P473:P475"/>
    <mergeCell ref="Q473:Q475"/>
    <mergeCell ref="A494:F494"/>
    <mergeCell ref="P494:Q494"/>
    <mergeCell ref="A495:F495"/>
    <mergeCell ref="P495:Q495"/>
    <mergeCell ref="A496:F496"/>
    <mergeCell ref="G499:O499"/>
    <mergeCell ref="P499:Q499"/>
    <mergeCell ref="G500:O501"/>
    <mergeCell ref="A607:Q607"/>
    <mergeCell ref="A608:Q608"/>
    <mergeCell ref="P609:Q609"/>
    <mergeCell ref="A503:F503"/>
    <mergeCell ref="G503:O503"/>
    <mergeCell ref="P503:P505"/>
    <mergeCell ref="Q503:Q505"/>
    <mergeCell ref="A551:F551"/>
    <mergeCell ref="P551:Q551"/>
    <mergeCell ref="A552:F552"/>
    <mergeCell ref="A610:F610"/>
    <mergeCell ref="P610:Q610"/>
    <mergeCell ref="A611:F611"/>
    <mergeCell ref="P611:Q611"/>
    <mergeCell ref="A612:F612"/>
    <mergeCell ref="G615:O615"/>
    <mergeCell ref="P615:Q615"/>
    <mergeCell ref="G616:O617"/>
    <mergeCell ref="A631:Q631"/>
    <mergeCell ref="A632:Q632"/>
    <mergeCell ref="P633:Q633"/>
    <mergeCell ref="A619:F619"/>
    <mergeCell ref="G619:O619"/>
    <mergeCell ref="P619:P621"/>
    <mergeCell ref="Q619:Q621"/>
    <mergeCell ref="A634:F634"/>
    <mergeCell ref="P634:Q634"/>
    <mergeCell ref="A635:F635"/>
    <mergeCell ref="P635:Q635"/>
    <mergeCell ref="A636:F636"/>
    <mergeCell ref="G639:O639"/>
    <mergeCell ref="P639:Q639"/>
    <mergeCell ref="G640:O641"/>
    <mergeCell ref="C641:F641"/>
    <mergeCell ref="A662:Q662"/>
    <mergeCell ref="A663:Q663"/>
    <mergeCell ref="P664:Q664"/>
    <mergeCell ref="A643:F643"/>
    <mergeCell ref="G643:O643"/>
    <mergeCell ref="P643:P645"/>
    <mergeCell ref="Q643:Q645"/>
    <mergeCell ref="A665:F665"/>
    <mergeCell ref="P665:Q665"/>
    <mergeCell ref="A666:F666"/>
    <mergeCell ref="P666:Q666"/>
    <mergeCell ref="A667:F667"/>
    <mergeCell ref="G670:O670"/>
    <mergeCell ref="P670:Q670"/>
    <mergeCell ref="G671:O672"/>
    <mergeCell ref="A674:F674"/>
    <mergeCell ref="G674:O674"/>
    <mergeCell ref="P674:P676"/>
    <mergeCell ref="Q674:Q676"/>
    <mergeCell ref="P336:Q336"/>
    <mergeCell ref="A337:F337"/>
    <mergeCell ref="G340:O340"/>
    <mergeCell ref="P340:Q340"/>
    <mergeCell ref="G341:O342"/>
    <mergeCell ref="C342:F342"/>
    <mergeCell ref="A344:F344"/>
    <mergeCell ref="G344:O344"/>
    <mergeCell ref="P344:P346"/>
    <mergeCell ref="Q344:Q346"/>
    <mergeCell ref="A363:Q363"/>
    <mergeCell ref="A364:Q364"/>
    <mergeCell ref="P365:Q365"/>
    <mergeCell ref="A366:F366"/>
    <mergeCell ref="P366:Q366"/>
    <mergeCell ref="A367:F367"/>
    <mergeCell ref="P367:Q367"/>
    <mergeCell ref="A368:F368"/>
    <mergeCell ref="G371:O371"/>
    <mergeCell ref="P371:Q371"/>
    <mergeCell ref="G372:O373"/>
    <mergeCell ref="C373:F373"/>
    <mergeCell ref="A375:F375"/>
    <mergeCell ref="G375:O375"/>
    <mergeCell ref="P375:P377"/>
    <mergeCell ref="Q375:Q377"/>
    <mergeCell ref="Q531:Q533"/>
    <mergeCell ref="A548:Q548"/>
    <mergeCell ref="A549:Q549"/>
    <mergeCell ref="P550:Q550"/>
    <mergeCell ref="G528:O529"/>
    <mergeCell ref="A531:F531"/>
    <mergeCell ref="G531:O531"/>
    <mergeCell ref="P531:P533"/>
    <mergeCell ref="C529:F529"/>
    <mergeCell ref="A523:F523"/>
    <mergeCell ref="P523:Q523"/>
    <mergeCell ref="A524:F524"/>
    <mergeCell ref="G527:O527"/>
    <mergeCell ref="P527:Q527"/>
    <mergeCell ref="A519:Q519"/>
    <mergeCell ref="A520:Q520"/>
    <mergeCell ref="P521:Q521"/>
    <mergeCell ref="A522:F522"/>
    <mergeCell ref="P522:Q522"/>
    <mergeCell ref="P552:Q552"/>
    <mergeCell ref="A553:F553"/>
    <mergeCell ref="G556:O556"/>
    <mergeCell ref="P556:Q556"/>
    <mergeCell ref="G557:O558"/>
    <mergeCell ref="A560:F560"/>
    <mergeCell ref="G560:O560"/>
    <mergeCell ref="P560:P562"/>
    <mergeCell ref="C558:F558"/>
    <mergeCell ref="Q560:Q562"/>
    <mergeCell ref="A577:Q577"/>
    <mergeCell ref="A578:Q578"/>
    <mergeCell ref="P579:Q579"/>
    <mergeCell ref="A580:F580"/>
    <mergeCell ref="P580:Q580"/>
    <mergeCell ref="A581:F581"/>
    <mergeCell ref="P581:Q581"/>
    <mergeCell ref="A582:F582"/>
    <mergeCell ref="G585:O585"/>
    <mergeCell ref="P585:Q585"/>
    <mergeCell ref="G586:O587"/>
    <mergeCell ref="A589:F589"/>
    <mergeCell ref="G589:O589"/>
    <mergeCell ref="P589:P591"/>
    <mergeCell ref="Q589:Q591"/>
  </mergeCells>
  <printOptions horizontalCentered="1" verticalCentered="1"/>
  <pageMargins left="1.1811023622047245" right="0.75" top="0.984251968503937" bottom="0.984251968503937" header="0" footer="0"/>
  <pageSetup horizontalDpi="300" verticalDpi="300" orientation="landscape" paperSize="5" scale="55" r:id="rId1"/>
  <rowBreaks count="21" manualBreakCount="21">
    <brk id="38" max="255" man="1"/>
    <brk id="75" max="255" man="1"/>
    <brk id="105" max="255" man="1"/>
    <brk id="138" max="255" man="1"/>
    <brk id="170" max="255" man="1"/>
    <brk id="201" max="255" man="1"/>
    <brk id="234" max="255" man="1"/>
    <brk id="267" max="16" man="1"/>
    <brk id="299" max="16" man="1"/>
    <brk id="331" max="16" man="1"/>
    <brk id="362" max="16" man="1"/>
    <brk id="393" max="16" man="1"/>
    <brk id="426" max="255" man="1"/>
    <brk id="459" max="255" man="1"/>
    <brk id="489" max="255" man="1"/>
    <brk id="517" max="16" man="1"/>
    <brk id="547" max="16" man="1"/>
    <brk id="575" max="16" man="1"/>
    <brk id="605" max="255" man="1"/>
    <brk id="629" max="255" man="1"/>
    <brk id="660" max="255" man="1"/>
  </rowBreaks>
</worksheet>
</file>

<file path=xl/worksheets/sheet5.xml><?xml version="1.0" encoding="utf-8"?>
<worksheet xmlns="http://schemas.openxmlformats.org/spreadsheetml/2006/main" xmlns:r="http://schemas.openxmlformats.org/officeDocument/2006/relationships">
  <sheetPr>
    <tabColor rgb="FFFFFF00"/>
  </sheetPr>
  <dimension ref="A2:X933"/>
  <sheetViews>
    <sheetView view="pageBreakPreview" zoomScale="80" zoomScaleNormal="80" zoomScaleSheetLayoutView="80" workbookViewId="0" topLeftCell="A901">
      <selection activeCell="G906" sqref="G906:O906"/>
    </sheetView>
  </sheetViews>
  <sheetFormatPr defaultColWidth="11.421875" defaultRowHeight="12.75"/>
  <cols>
    <col min="1" max="1" width="4.140625" style="38" customWidth="1"/>
    <col min="2" max="2" width="44.140625" style="38" customWidth="1"/>
    <col min="3" max="3" width="15.57421875" style="38" customWidth="1"/>
    <col min="4" max="5" width="13.421875" style="38" customWidth="1"/>
    <col min="6" max="6" width="20.140625" style="38" customWidth="1"/>
    <col min="7" max="7" width="12.8515625" style="38" customWidth="1"/>
    <col min="8" max="8" width="13.00390625" style="38" bestFit="1" customWidth="1"/>
    <col min="9" max="9" width="14.57421875" style="38" bestFit="1" customWidth="1"/>
    <col min="10" max="10" width="14.28125" style="38" customWidth="1"/>
    <col min="11" max="11" width="9.7109375" style="38" customWidth="1"/>
    <col min="12" max="12" width="7.7109375" style="38" customWidth="1"/>
    <col min="13" max="13" width="15.00390625" style="38" bestFit="1" customWidth="1"/>
    <col min="14" max="14" width="16.7109375" style="87" bestFit="1" customWidth="1"/>
    <col min="15" max="15" width="17.8515625" style="87" bestFit="1" customWidth="1"/>
    <col min="16" max="16" width="20.8515625" style="38" customWidth="1"/>
    <col min="17" max="17" width="29.00390625" style="38" customWidth="1"/>
    <col min="18" max="18" width="16.421875" style="153" bestFit="1" customWidth="1"/>
    <col min="19" max="19" width="16.7109375" style="153" bestFit="1" customWidth="1"/>
    <col min="20" max="20" width="15.7109375" style="153" bestFit="1" customWidth="1"/>
    <col min="21" max="21" width="17.8515625" style="38" bestFit="1" customWidth="1"/>
    <col min="22" max="22" width="12.00390625" style="38" bestFit="1" customWidth="1"/>
    <col min="23" max="23" width="23.8515625" style="38" bestFit="1" customWidth="1"/>
    <col min="24" max="24" width="15.7109375" style="38" bestFit="1" customWidth="1"/>
    <col min="25" max="16384" width="11.421875" style="38" customWidth="1"/>
  </cols>
  <sheetData>
    <row r="1" ht="12.75"/>
    <row r="2" spans="1:17" ht="12.75">
      <c r="A2" s="918" t="s">
        <v>420</v>
      </c>
      <c r="B2" s="918"/>
      <c r="C2" s="918"/>
      <c r="D2" s="918"/>
      <c r="E2" s="918"/>
      <c r="F2" s="918"/>
      <c r="G2" s="918"/>
      <c r="H2" s="918"/>
      <c r="I2" s="918"/>
      <c r="J2" s="918"/>
      <c r="K2" s="918"/>
      <c r="L2" s="918"/>
      <c r="M2" s="918"/>
      <c r="N2" s="918"/>
      <c r="O2" s="918"/>
      <c r="P2" s="918"/>
      <c r="Q2" s="918"/>
    </row>
    <row r="3" spans="1:20" s="39" customFormat="1" ht="16.5" thickBot="1">
      <c r="A3" s="891" t="s">
        <v>609</v>
      </c>
      <c r="B3" s="891"/>
      <c r="C3" s="891"/>
      <c r="D3" s="891"/>
      <c r="E3" s="891"/>
      <c r="F3" s="891"/>
      <c r="G3" s="891"/>
      <c r="H3" s="891"/>
      <c r="I3" s="891"/>
      <c r="J3" s="891"/>
      <c r="K3" s="891"/>
      <c r="L3" s="891"/>
      <c r="M3" s="891"/>
      <c r="N3" s="891"/>
      <c r="O3" s="891"/>
      <c r="P3" s="891"/>
      <c r="Q3" s="891"/>
      <c r="R3" s="184"/>
      <c r="S3" s="184"/>
      <c r="T3" s="184"/>
    </row>
    <row r="4" spans="3:20" s="39" customFormat="1" ht="13.5" thickBot="1">
      <c r="C4" s="437"/>
      <c r="D4" s="437"/>
      <c r="N4" s="755"/>
      <c r="O4" s="755"/>
      <c r="P4" s="892" t="s">
        <v>149</v>
      </c>
      <c r="Q4" s="893"/>
      <c r="R4" s="184"/>
      <c r="S4" s="184"/>
      <c r="T4" s="184"/>
    </row>
    <row r="5" spans="1:17" ht="12.75">
      <c r="A5" s="917" t="s">
        <v>76</v>
      </c>
      <c r="B5" s="917"/>
      <c r="C5" s="917"/>
      <c r="D5" s="917"/>
      <c r="E5" s="917"/>
      <c r="F5" s="917"/>
      <c r="P5" s="889" t="s">
        <v>74</v>
      </c>
      <c r="Q5" s="889"/>
    </row>
    <row r="6" spans="1:17" ht="12.75">
      <c r="A6" s="917" t="s">
        <v>77</v>
      </c>
      <c r="B6" s="890"/>
      <c r="C6" s="890"/>
      <c r="D6" s="890"/>
      <c r="E6" s="890"/>
      <c r="F6" s="890"/>
      <c r="P6" s="890" t="s">
        <v>124</v>
      </c>
      <c r="Q6" s="890"/>
    </row>
    <row r="7" spans="1:16" ht="12.75">
      <c r="A7" s="917" t="s">
        <v>808</v>
      </c>
      <c r="B7" s="890"/>
      <c r="C7" s="890"/>
      <c r="D7" s="890"/>
      <c r="E7" s="890"/>
      <c r="F7" s="890"/>
      <c r="G7" s="38" t="s">
        <v>72</v>
      </c>
      <c r="I7" s="41">
        <v>39083</v>
      </c>
      <c r="P7" s="38" t="s">
        <v>123</v>
      </c>
    </row>
    <row r="8" ht="12.75"/>
    <row r="9" spans="3:4" ht="13.5" thickBot="1">
      <c r="C9" s="437"/>
      <c r="D9" s="437"/>
    </row>
    <row r="10" spans="1:17" ht="13.5" thickBot="1">
      <c r="A10" s="42" t="s">
        <v>424</v>
      </c>
      <c r="B10" s="43"/>
      <c r="C10" s="43" t="s">
        <v>559</v>
      </c>
      <c r="D10" s="43"/>
      <c r="E10" s="43"/>
      <c r="F10" s="45"/>
      <c r="G10" s="880" t="s">
        <v>425</v>
      </c>
      <c r="H10" s="881"/>
      <c r="I10" s="881"/>
      <c r="J10" s="881"/>
      <c r="K10" s="881"/>
      <c r="L10" s="881"/>
      <c r="M10" s="881"/>
      <c r="N10" s="881"/>
      <c r="O10" s="882"/>
      <c r="P10" s="880" t="s">
        <v>426</v>
      </c>
      <c r="Q10" s="882"/>
    </row>
    <row r="11" spans="1:17" ht="22.5" customHeight="1">
      <c r="A11" s="46" t="s">
        <v>422</v>
      </c>
      <c r="B11" s="47"/>
      <c r="C11" s="47" t="s">
        <v>809</v>
      </c>
      <c r="D11" s="47"/>
      <c r="E11" s="47"/>
      <c r="F11" s="49"/>
      <c r="G11" s="932" t="s">
        <v>451</v>
      </c>
      <c r="H11" s="933"/>
      <c r="I11" s="933"/>
      <c r="J11" s="933"/>
      <c r="K11" s="933"/>
      <c r="L11" s="933"/>
      <c r="M11" s="933"/>
      <c r="N11" s="933"/>
      <c r="O11" s="934"/>
      <c r="P11" s="50"/>
      <c r="Q11" s="14" t="s">
        <v>836</v>
      </c>
    </row>
    <row r="12" spans="1:17" ht="22.5" customHeight="1" thickBot="1">
      <c r="A12" s="51" t="s">
        <v>423</v>
      </c>
      <c r="B12" s="52"/>
      <c r="C12" s="52" t="s">
        <v>560</v>
      </c>
      <c r="D12" s="52"/>
      <c r="E12" s="52"/>
      <c r="F12" s="54"/>
      <c r="G12" s="935"/>
      <c r="H12" s="936"/>
      <c r="I12" s="936"/>
      <c r="J12" s="936"/>
      <c r="K12" s="936"/>
      <c r="L12" s="936"/>
      <c r="M12" s="936"/>
      <c r="N12" s="936"/>
      <c r="O12" s="937"/>
      <c r="P12" s="55"/>
      <c r="Q12" s="56"/>
    </row>
    <row r="13" spans="1:2" ht="13.5" thickBot="1">
      <c r="A13" s="38" t="s">
        <v>73</v>
      </c>
      <c r="B13" s="57"/>
    </row>
    <row r="14" spans="1:17" ht="12.75">
      <c r="A14" s="872" t="s">
        <v>431</v>
      </c>
      <c r="B14" s="873"/>
      <c r="C14" s="873"/>
      <c r="D14" s="873"/>
      <c r="E14" s="873"/>
      <c r="F14" s="874"/>
      <c r="G14" s="872" t="s">
        <v>427</v>
      </c>
      <c r="H14" s="873"/>
      <c r="I14" s="873"/>
      <c r="J14" s="873"/>
      <c r="K14" s="873"/>
      <c r="L14" s="873"/>
      <c r="M14" s="873"/>
      <c r="N14" s="873"/>
      <c r="O14" s="874"/>
      <c r="P14" s="875" t="s">
        <v>428</v>
      </c>
      <c r="Q14" s="874" t="s">
        <v>429</v>
      </c>
    </row>
    <row r="15" spans="1:17" ht="13.5" thickBot="1">
      <c r="A15" s="61"/>
      <c r="B15" s="62"/>
      <c r="C15" s="62"/>
      <c r="D15" s="62"/>
      <c r="E15" s="62"/>
      <c r="F15" s="64"/>
      <c r="G15" s="61"/>
      <c r="H15" s="62"/>
      <c r="I15" s="62"/>
      <c r="J15" s="62"/>
      <c r="K15" s="62"/>
      <c r="L15" s="62"/>
      <c r="M15" s="62"/>
      <c r="N15" s="756"/>
      <c r="O15" s="757"/>
      <c r="P15" s="876"/>
      <c r="Q15" s="877"/>
    </row>
    <row r="16" spans="1:17" ht="51.75" thickBot="1">
      <c r="A16" s="35" t="s">
        <v>430</v>
      </c>
      <c r="B16" s="65" t="s">
        <v>432</v>
      </c>
      <c r="C16" s="138" t="s">
        <v>433</v>
      </c>
      <c r="D16" s="138" t="s">
        <v>434</v>
      </c>
      <c r="E16" s="37" t="s">
        <v>435</v>
      </c>
      <c r="F16" s="36" t="s">
        <v>446</v>
      </c>
      <c r="G16" s="67" t="s">
        <v>436</v>
      </c>
      <c r="H16" s="68" t="s">
        <v>437</v>
      </c>
      <c r="I16" s="68" t="s">
        <v>438</v>
      </c>
      <c r="J16" s="68" t="s">
        <v>439</v>
      </c>
      <c r="K16" s="68" t="s">
        <v>440</v>
      </c>
      <c r="L16" s="68" t="s">
        <v>441</v>
      </c>
      <c r="M16" s="68" t="s">
        <v>442</v>
      </c>
      <c r="N16" s="758" t="s">
        <v>443</v>
      </c>
      <c r="O16" s="759" t="s">
        <v>444</v>
      </c>
      <c r="P16" s="900"/>
      <c r="Q16" s="877"/>
    </row>
    <row r="17" spans="1:18" ht="38.25">
      <c r="A17" s="105">
        <v>1</v>
      </c>
      <c r="B17" s="139" t="s">
        <v>382</v>
      </c>
      <c r="C17" s="249">
        <v>1620</v>
      </c>
      <c r="D17" s="249">
        <v>1850</v>
      </c>
      <c r="E17" s="93">
        <f>D17/C17</f>
        <v>1.1419753086419753</v>
      </c>
      <c r="F17" s="71">
        <f>3148/1620</f>
        <v>1.94320987654321</v>
      </c>
      <c r="G17" s="72">
        <v>125273.582</v>
      </c>
      <c r="H17" s="72"/>
      <c r="I17" s="72"/>
      <c r="J17" s="72"/>
      <c r="K17" s="72"/>
      <c r="L17" s="72"/>
      <c r="M17" s="72"/>
      <c r="N17" s="760">
        <f>SUM(G17:M17)</f>
        <v>125273.582</v>
      </c>
      <c r="O17" s="760">
        <v>99996.215</v>
      </c>
      <c r="P17" s="353" t="s">
        <v>611</v>
      </c>
      <c r="Q17" s="69"/>
      <c r="R17" s="153">
        <f>+O17/N17</f>
        <v>0.7982226851308523</v>
      </c>
    </row>
    <row r="18" spans="1:17" ht="38.25">
      <c r="A18" s="73">
        <v>2</v>
      </c>
      <c r="B18" s="118" t="s">
        <v>383</v>
      </c>
      <c r="C18" s="164">
        <v>400</v>
      </c>
      <c r="D18" s="111">
        <v>350</v>
      </c>
      <c r="E18" s="75">
        <f>+D18/C18</f>
        <v>0.875</v>
      </c>
      <c r="F18" s="75">
        <f>3148/1620</f>
        <v>1.94320987654321</v>
      </c>
      <c r="G18" s="140">
        <v>10263.864</v>
      </c>
      <c r="H18" s="140"/>
      <c r="I18" s="140"/>
      <c r="J18" s="140"/>
      <c r="K18" s="140"/>
      <c r="L18" s="140"/>
      <c r="M18" s="140"/>
      <c r="N18" s="761">
        <f>+G18</f>
        <v>10263.864</v>
      </c>
      <c r="O18" s="761">
        <v>10166.328</v>
      </c>
      <c r="P18" s="697" t="s">
        <v>611</v>
      </c>
      <c r="Q18" s="73"/>
    </row>
    <row r="19" spans="1:17" ht="38.25">
      <c r="A19" s="73">
        <v>3</v>
      </c>
      <c r="B19" s="118" t="s">
        <v>384</v>
      </c>
      <c r="C19" s="164">
        <v>30</v>
      </c>
      <c r="D19" s="111">
        <v>25</v>
      </c>
      <c r="E19" s="75">
        <f>+D19/C19</f>
        <v>0.8333333333333334</v>
      </c>
      <c r="F19" s="75">
        <f>3148/1620</f>
        <v>1.94320987654321</v>
      </c>
      <c r="G19" s="73"/>
      <c r="H19" s="73"/>
      <c r="I19" s="73"/>
      <c r="J19" s="73"/>
      <c r="K19" s="73"/>
      <c r="L19" s="73"/>
      <c r="M19" s="73"/>
      <c r="N19" s="89"/>
      <c r="O19" s="89"/>
      <c r="P19" s="352" t="s">
        <v>373</v>
      </c>
      <c r="Q19" s="73"/>
    </row>
    <row r="20" spans="1:17" ht="12.75">
      <c r="A20" s="73"/>
      <c r="B20" s="118"/>
      <c r="C20" s="111"/>
      <c r="D20" s="73"/>
      <c r="E20" s="73"/>
      <c r="F20" s="73"/>
      <c r="G20" s="73"/>
      <c r="H20" s="73"/>
      <c r="I20" s="73"/>
      <c r="J20" s="73"/>
      <c r="K20" s="73"/>
      <c r="L20" s="73"/>
      <c r="M20" s="73"/>
      <c r="N20" s="89"/>
      <c r="O20" s="89"/>
      <c r="P20" s="73"/>
      <c r="Q20" s="73"/>
    </row>
    <row r="21" spans="1:17" ht="12.75">
      <c r="A21" s="73"/>
      <c r="B21" s="74"/>
      <c r="C21" s="111"/>
      <c r="D21" s="73"/>
      <c r="E21" s="73"/>
      <c r="F21" s="73"/>
      <c r="G21" s="73"/>
      <c r="H21" s="73"/>
      <c r="I21" s="73"/>
      <c r="J21" s="73"/>
      <c r="K21" s="73"/>
      <c r="L21" s="73"/>
      <c r="M21" s="73"/>
      <c r="N21" s="89"/>
      <c r="O21" s="89"/>
      <c r="P21" s="73"/>
      <c r="Q21" s="73"/>
    </row>
    <row r="22" spans="1:17" ht="12.75">
      <c r="A22" s="73"/>
      <c r="B22" s="74"/>
      <c r="C22" s="111"/>
      <c r="D22" s="73"/>
      <c r="E22" s="73"/>
      <c r="F22" s="73"/>
      <c r="G22" s="73"/>
      <c r="H22" s="73"/>
      <c r="I22" s="73"/>
      <c r="J22" s="73"/>
      <c r="K22" s="73"/>
      <c r="L22" s="73"/>
      <c r="M22" s="73"/>
      <c r="N22" s="89"/>
      <c r="O22" s="89"/>
      <c r="P22" s="73"/>
      <c r="Q22" s="73"/>
    </row>
    <row r="23" spans="1:17" ht="12.75">
      <c r="A23" s="73"/>
      <c r="B23" s="74"/>
      <c r="C23" s="73"/>
      <c r="D23" s="73"/>
      <c r="E23" s="73"/>
      <c r="F23" s="73"/>
      <c r="G23" s="73"/>
      <c r="H23" s="73"/>
      <c r="I23" s="73"/>
      <c r="J23" s="73"/>
      <c r="K23" s="73"/>
      <c r="L23" s="73"/>
      <c r="M23" s="73"/>
      <c r="N23" s="89"/>
      <c r="O23" s="89"/>
      <c r="P23" s="73"/>
      <c r="Q23" s="73"/>
    </row>
    <row r="24" spans="1:17" ht="12.75">
      <c r="A24" s="73"/>
      <c r="B24" s="73"/>
      <c r="C24" s="73"/>
      <c r="D24" s="73"/>
      <c r="E24" s="73"/>
      <c r="F24" s="73"/>
      <c r="G24" s="73"/>
      <c r="H24" s="73"/>
      <c r="I24" s="73"/>
      <c r="J24" s="73"/>
      <c r="K24" s="73"/>
      <c r="L24" s="73"/>
      <c r="M24" s="73"/>
      <c r="N24" s="89"/>
      <c r="O24" s="89"/>
      <c r="P24" s="73"/>
      <c r="Q24" s="73"/>
    </row>
    <row r="25" spans="1:17" ht="12.75">
      <c r="A25" s="73"/>
      <c r="B25" s="73"/>
      <c r="C25" s="73"/>
      <c r="D25" s="73"/>
      <c r="E25" s="73"/>
      <c r="F25" s="73"/>
      <c r="G25" s="73"/>
      <c r="H25" s="73"/>
      <c r="I25" s="73"/>
      <c r="J25" s="73"/>
      <c r="K25" s="73"/>
      <c r="L25" s="73"/>
      <c r="M25" s="73"/>
      <c r="N25" s="89"/>
      <c r="O25" s="89"/>
      <c r="P25" s="73"/>
      <c r="Q25" s="73"/>
    </row>
    <row r="26" spans="1:17" ht="12.75">
      <c r="A26" s="73"/>
      <c r="B26" s="73"/>
      <c r="C26" s="73"/>
      <c r="D26" s="73"/>
      <c r="E26" s="73"/>
      <c r="F26" s="73"/>
      <c r="G26" s="73"/>
      <c r="H26" s="73"/>
      <c r="I26" s="73"/>
      <c r="J26" s="73"/>
      <c r="K26" s="73"/>
      <c r="L26" s="73"/>
      <c r="M26" s="73"/>
      <c r="N26" s="89"/>
      <c r="O26" s="89"/>
      <c r="P26" s="73"/>
      <c r="Q26" s="73"/>
    </row>
    <row r="27" spans="1:17" ht="12.75">
      <c r="A27" s="73"/>
      <c r="B27" s="73"/>
      <c r="C27" s="73"/>
      <c r="D27" s="73"/>
      <c r="E27" s="73"/>
      <c r="F27" s="73"/>
      <c r="G27" s="73"/>
      <c r="H27" s="73"/>
      <c r="I27" s="73"/>
      <c r="J27" s="73"/>
      <c r="K27" s="73"/>
      <c r="L27" s="73"/>
      <c r="M27" s="73"/>
      <c r="N27" s="89"/>
      <c r="O27" s="89"/>
      <c r="P27" s="73"/>
      <c r="Q27" s="73"/>
    </row>
    <row r="28" spans="1:17" ht="12.75">
      <c r="A28" s="73"/>
      <c r="B28" s="73"/>
      <c r="C28" s="73"/>
      <c r="D28" s="73"/>
      <c r="E28" s="73"/>
      <c r="F28" s="73"/>
      <c r="G28" s="73"/>
      <c r="H28" s="73"/>
      <c r="I28" s="73"/>
      <c r="J28" s="73"/>
      <c r="K28" s="73"/>
      <c r="L28" s="73"/>
      <c r="M28" s="73"/>
      <c r="N28" s="89"/>
      <c r="O28" s="89"/>
      <c r="P28" s="73"/>
      <c r="Q28" s="73"/>
    </row>
    <row r="29" spans="1:17" ht="12.75">
      <c r="A29" s="73"/>
      <c r="B29" s="73"/>
      <c r="C29" s="73"/>
      <c r="D29" s="73"/>
      <c r="E29" s="73"/>
      <c r="F29" s="73"/>
      <c r="G29" s="73"/>
      <c r="H29" s="73"/>
      <c r="I29" s="73"/>
      <c r="J29" s="73"/>
      <c r="K29" s="73"/>
      <c r="L29" s="73"/>
      <c r="M29" s="73"/>
      <c r="N29" s="89"/>
      <c r="O29" s="89"/>
      <c r="P29" s="73"/>
      <c r="Q29" s="73"/>
    </row>
    <row r="30" spans="1:17" ht="12.75">
      <c r="A30" s="73"/>
      <c r="B30" s="73"/>
      <c r="C30" s="73"/>
      <c r="D30" s="73"/>
      <c r="E30" s="73"/>
      <c r="F30" s="73"/>
      <c r="G30" s="73"/>
      <c r="H30" s="73"/>
      <c r="I30" s="73"/>
      <c r="J30" s="73"/>
      <c r="K30" s="73"/>
      <c r="L30" s="73"/>
      <c r="M30" s="73"/>
      <c r="N30" s="89"/>
      <c r="O30" s="89"/>
      <c r="P30" s="73"/>
      <c r="Q30" s="73"/>
    </row>
    <row r="31" spans="1:17" ht="12.75">
      <c r="A31" s="73"/>
      <c r="B31" s="73"/>
      <c r="C31" s="73"/>
      <c r="D31" s="73"/>
      <c r="E31" s="73"/>
      <c r="F31" s="73"/>
      <c r="G31" s="73"/>
      <c r="H31" s="73"/>
      <c r="I31" s="73"/>
      <c r="J31" s="73"/>
      <c r="K31" s="73"/>
      <c r="L31" s="73"/>
      <c r="M31" s="73"/>
      <c r="N31" s="89"/>
      <c r="O31" s="89"/>
      <c r="P31" s="73"/>
      <c r="Q31" s="73"/>
    </row>
    <row r="32" spans="1:17" ht="12.75">
      <c r="A32" s="73"/>
      <c r="B32" s="73"/>
      <c r="C32" s="73"/>
      <c r="D32" s="73"/>
      <c r="E32" s="73"/>
      <c r="F32" s="73"/>
      <c r="G32" s="73"/>
      <c r="H32" s="73"/>
      <c r="I32" s="73"/>
      <c r="J32" s="73"/>
      <c r="K32" s="73"/>
      <c r="L32" s="73"/>
      <c r="M32" s="73"/>
      <c r="N32" s="89"/>
      <c r="O32" s="89"/>
      <c r="P32" s="73"/>
      <c r="Q32" s="73"/>
    </row>
    <row r="33" spans="1:17" ht="13.5" thickBot="1">
      <c r="A33" s="81"/>
      <c r="B33" s="82" t="s">
        <v>445</v>
      </c>
      <c r="C33" s="81"/>
      <c r="D33" s="81"/>
      <c r="E33" s="81"/>
      <c r="F33" s="81"/>
      <c r="G33" s="84">
        <f>SUM(G17:G32)</f>
        <v>135537.446</v>
      </c>
      <c r="H33" s="84">
        <f aca="true" t="shared" si="0" ref="H33:M33">SUM(H17:H32)</f>
        <v>0</v>
      </c>
      <c r="I33" s="84">
        <f t="shared" si="0"/>
        <v>0</v>
      </c>
      <c r="J33" s="84">
        <f t="shared" si="0"/>
        <v>0</v>
      </c>
      <c r="K33" s="84">
        <f t="shared" si="0"/>
        <v>0</v>
      </c>
      <c r="L33" s="84">
        <f t="shared" si="0"/>
        <v>0</v>
      </c>
      <c r="M33" s="84">
        <f t="shared" si="0"/>
        <v>0</v>
      </c>
      <c r="N33" s="762">
        <f>SUM(N17:N32)</f>
        <v>135537.446</v>
      </c>
      <c r="O33" s="762">
        <f>SUM(O17:O32)</f>
        <v>110162.54299999999</v>
      </c>
      <c r="P33" s="81"/>
      <c r="Q33" s="81"/>
    </row>
    <row r="34" ht="12.75"/>
    <row r="35" spans="1:17" ht="12.75">
      <c r="A35" s="918" t="s">
        <v>420</v>
      </c>
      <c r="B35" s="918"/>
      <c r="C35" s="918"/>
      <c r="D35" s="918"/>
      <c r="E35" s="918"/>
      <c r="F35" s="918"/>
      <c r="G35" s="918"/>
      <c r="H35" s="918"/>
      <c r="I35" s="918"/>
      <c r="J35" s="918"/>
      <c r="K35" s="918"/>
      <c r="L35" s="918"/>
      <c r="M35" s="918"/>
      <c r="N35" s="918"/>
      <c r="O35" s="918"/>
      <c r="P35" s="918"/>
      <c r="Q35" s="918"/>
    </row>
    <row r="36" spans="1:20" s="39" customFormat="1" ht="16.5" thickBot="1">
      <c r="A36" s="891" t="s">
        <v>609</v>
      </c>
      <c r="B36" s="891"/>
      <c r="C36" s="891"/>
      <c r="D36" s="891"/>
      <c r="E36" s="891"/>
      <c r="F36" s="891"/>
      <c r="G36" s="891"/>
      <c r="H36" s="891"/>
      <c r="I36" s="891"/>
      <c r="J36" s="891"/>
      <c r="K36" s="891"/>
      <c r="L36" s="891"/>
      <c r="M36" s="891"/>
      <c r="N36" s="891"/>
      <c r="O36" s="891"/>
      <c r="P36" s="891"/>
      <c r="Q36" s="891"/>
      <c r="R36" s="184"/>
      <c r="S36" s="184"/>
      <c r="T36" s="184"/>
    </row>
    <row r="37" spans="3:20" s="39" customFormat="1" ht="13.5" thickBot="1">
      <c r="C37" s="38"/>
      <c r="D37" s="38"/>
      <c r="N37" s="755"/>
      <c r="O37" s="755"/>
      <c r="P37" s="892" t="s">
        <v>151</v>
      </c>
      <c r="Q37" s="893"/>
      <c r="R37" s="184"/>
      <c r="S37" s="184"/>
      <c r="T37" s="184"/>
    </row>
    <row r="38" spans="1:17" ht="12.75">
      <c r="A38" s="917" t="s">
        <v>76</v>
      </c>
      <c r="B38" s="917"/>
      <c r="C38" s="917"/>
      <c r="D38" s="917"/>
      <c r="E38" s="917"/>
      <c r="F38" s="917"/>
      <c r="P38" s="889" t="s">
        <v>74</v>
      </c>
      <c r="Q38" s="889"/>
    </row>
    <row r="39" spans="1:17" ht="12.75">
      <c r="A39" s="917" t="s">
        <v>77</v>
      </c>
      <c r="B39" s="890"/>
      <c r="C39" s="890"/>
      <c r="D39" s="890"/>
      <c r="E39" s="890"/>
      <c r="F39" s="890"/>
      <c r="P39" s="890" t="s">
        <v>124</v>
      </c>
      <c r="Q39" s="890"/>
    </row>
    <row r="40" spans="1:16" ht="12.75">
      <c r="A40" s="917" t="s">
        <v>808</v>
      </c>
      <c r="B40" s="890"/>
      <c r="C40" s="890"/>
      <c r="D40" s="890"/>
      <c r="E40" s="890"/>
      <c r="F40" s="890"/>
      <c r="G40" s="38" t="s">
        <v>72</v>
      </c>
      <c r="I40" s="41">
        <v>39083</v>
      </c>
      <c r="P40" s="38" t="s">
        <v>123</v>
      </c>
    </row>
    <row r="41" ht="12.75"/>
    <row r="42" ht="13.5" thickBot="1"/>
    <row r="43" spans="1:17" ht="13.5" thickBot="1">
      <c r="A43" s="42" t="s">
        <v>424</v>
      </c>
      <c r="B43" s="43"/>
      <c r="C43" s="43" t="s">
        <v>559</v>
      </c>
      <c r="D43" s="43"/>
      <c r="E43" s="43"/>
      <c r="F43" s="45"/>
      <c r="G43" s="880" t="s">
        <v>425</v>
      </c>
      <c r="H43" s="881"/>
      <c r="I43" s="881"/>
      <c r="J43" s="881"/>
      <c r="K43" s="881"/>
      <c r="L43" s="881"/>
      <c r="M43" s="881"/>
      <c r="N43" s="881"/>
      <c r="O43" s="882"/>
      <c r="P43" s="880" t="s">
        <v>426</v>
      </c>
      <c r="Q43" s="882"/>
    </row>
    <row r="44" spans="1:17" ht="15">
      <c r="A44" s="46" t="s">
        <v>422</v>
      </c>
      <c r="B44" s="47"/>
      <c r="C44" s="47" t="s">
        <v>809</v>
      </c>
      <c r="D44" s="47"/>
      <c r="E44" s="47"/>
      <c r="F44" s="49"/>
      <c r="G44" s="883" t="s">
        <v>458</v>
      </c>
      <c r="H44" s="884"/>
      <c r="I44" s="884"/>
      <c r="J44" s="884"/>
      <c r="K44" s="884"/>
      <c r="L44" s="884"/>
      <c r="M44" s="884"/>
      <c r="N44" s="884"/>
      <c r="O44" s="885"/>
      <c r="P44" s="50"/>
      <c r="Q44" s="14" t="s">
        <v>837</v>
      </c>
    </row>
    <row r="45" spans="1:17" ht="25.5" customHeight="1" thickBot="1">
      <c r="A45" s="51" t="s">
        <v>423</v>
      </c>
      <c r="B45" s="52"/>
      <c r="C45" s="930" t="s">
        <v>810</v>
      </c>
      <c r="D45" s="930"/>
      <c r="E45" s="930"/>
      <c r="F45" s="931"/>
      <c r="G45" s="886"/>
      <c r="H45" s="887"/>
      <c r="I45" s="887"/>
      <c r="J45" s="887"/>
      <c r="K45" s="887"/>
      <c r="L45" s="887"/>
      <c r="M45" s="887"/>
      <c r="N45" s="887"/>
      <c r="O45" s="888"/>
      <c r="P45" s="55"/>
      <c r="Q45" s="56"/>
    </row>
    <row r="46" spans="1:2" ht="13.5" thickBot="1">
      <c r="A46" s="38" t="s">
        <v>73</v>
      </c>
      <c r="B46" s="57"/>
    </row>
    <row r="47" spans="1:17" ht="12.75">
      <c r="A47" s="872" t="s">
        <v>431</v>
      </c>
      <c r="B47" s="873"/>
      <c r="C47" s="873"/>
      <c r="D47" s="873"/>
      <c r="E47" s="873"/>
      <c r="F47" s="874"/>
      <c r="G47" s="872" t="s">
        <v>427</v>
      </c>
      <c r="H47" s="873"/>
      <c r="I47" s="873"/>
      <c r="J47" s="873"/>
      <c r="K47" s="873"/>
      <c r="L47" s="873"/>
      <c r="M47" s="873"/>
      <c r="N47" s="873"/>
      <c r="O47" s="874"/>
      <c r="P47" s="875" t="s">
        <v>428</v>
      </c>
      <c r="Q47" s="875" t="s">
        <v>429</v>
      </c>
    </row>
    <row r="48" spans="1:17" ht="13.5" thickBot="1">
      <c r="A48" s="61"/>
      <c r="B48" s="62"/>
      <c r="C48" s="62"/>
      <c r="D48" s="62"/>
      <c r="E48" s="62"/>
      <c r="F48" s="64"/>
      <c r="G48" s="61"/>
      <c r="H48" s="62"/>
      <c r="I48" s="62"/>
      <c r="J48" s="62"/>
      <c r="K48" s="62"/>
      <c r="L48" s="62"/>
      <c r="M48" s="62"/>
      <c r="N48" s="756"/>
      <c r="O48" s="757"/>
      <c r="P48" s="876"/>
      <c r="Q48" s="876"/>
    </row>
    <row r="49" spans="1:17" ht="51.75" thickBot="1">
      <c r="A49" s="141" t="s">
        <v>430</v>
      </c>
      <c r="B49" s="142" t="s">
        <v>432</v>
      </c>
      <c r="C49" s="143" t="s">
        <v>433</v>
      </c>
      <c r="D49" s="143" t="s">
        <v>434</v>
      </c>
      <c r="E49" s="144" t="s">
        <v>435</v>
      </c>
      <c r="F49" s="145" t="s">
        <v>446</v>
      </c>
      <c r="G49" s="146" t="s">
        <v>436</v>
      </c>
      <c r="H49" s="147" t="s">
        <v>437</v>
      </c>
      <c r="I49" s="147" t="s">
        <v>438</v>
      </c>
      <c r="J49" s="147" t="s">
        <v>439</v>
      </c>
      <c r="K49" s="147" t="s">
        <v>440</v>
      </c>
      <c r="L49" s="147" t="s">
        <v>441</v>
      </c>
      <c r="M49" s="147" t="s">
        <v>442</v>
      </c>
      <c r="N49" s="763" t="s">
        <v>443</v>
      </c>
      <c r="O49" s="764" t="s">
        <v>444</v>
      </c>
      <c r="P49" s="900"/>
      <c r="Q49" s="900"/>
    </row>
    <row r="50" spans="1:17" ht="51">
      <c r="A50" s="116">
        <v>1</v>
      </c>
      <c r="B50" s="117" t="s">
        <v>632</v>
      </c>
      <c r="C50" s="249">
        <f>1620*0.3+1000</f>
        <v>1486</v>
      </c>
      <c r="D50" s="249">
        <v>1450</v>
      </c>
      <c r="E50" s="149">
        <f>+D50/C50</f>
        <v>0.9757738896366084</v>
      </c>
      <c r="F50" s="149">
        <f>108/50</f>
        <v>2.16</v>
      </c>
      <c r="G50" s="150">
        <v>88772.899</v>
      </c>
      <c r="H50" s="116"/>
      <c r="I50" s="150"/>
      <c r="J50" s="150"/>
      <c r="K50" s="116"/>
      <c r="L50" s="116"/>
      <c r="M50" s="116"/>
      <c r="N50" s="765">
        <f>G50+I50+J50</f>
        <v>88772.899</v>
      </c>
      <c r="O50" s="766">
        <v>63865.161</v>
      </c>
      <c r="P50" s="353" t="s">
        <v>611</v>
      </c>
      <c r="Q50" s="116"/>
    </row>
    <row r="51" spans="1:17" ht="12.75">
      <c r="A51" s="73"/>
      <c r="B51" s="117"/>
      <c r="C51" s="111"/>
      <c r="D51" s="111"/>
      <c r="E51" s="75"/>
      <c r="F51" s="73"/>
      <c r="G51" s="151"/>
      <c r="H51" s="151"/>
      <c r="I51" s="151"/>
      <c r="J51" s="151"/>
      <c r="K51" s="151"/>
      <c r="L51" s="151"/>
      <c r="M51" s="151"/>
      <c r="N51" s="767"/>
      <c r="O51" s="89"/>
      <c r="P51" s="73"/>
      <c r="Q51" s="73"/>
    </row>
    <row r="52" spans="1:17" ht="12.75">
      <c r="A52" s="73"/>
      <c r="B52" s="118"/>
      <c r="C52" s="111"/>
      <c r="D52" s="73"/>
      <c r="E52" s="73"/>
      <c r="F52" s="73"/>
      <c r="G52" s="73"/>
      <c r="H52" s="73"/>
      <c r="I52" s="73"/>
      <c r="J52" s="73"/>
      <c r="K52" s="73"/>
      <c r="L52" s="73"/>
      <c r="M52" s="73"/>
      <c r="N52" s="89"/>
      <c r="O52" s="89"/>
      <c r="P52" s="73"/>
      <c r="Q52" s="73"/>
    </row>
    <row r="53" spans="1:17" ht="12.75">
      <c r="A53" s="73"/>
      <c r="B53" s="74"/>
      <c r="C53" s="111"/>
      <c r="D53" s="73"/>
      <c r="E53" s="73"/>
      <c r="F53" s="73"/>
      <c r="G53" s="73"/>
      <c r="H53" s="73"/>
      <c r="I53" s="73"/>
      <c r="J53" s="73"/>
      <c r="K53" s="73"/>
      <c r="L53" s="73"/>
      <c r="M53" s="73"/>
      <c r="N53" s="89"/>
      <c r="O53" s="89"/>
      <c r="P53" s="73"/>
      <c r="Q53" s="73"/>
    </row>
    <row r="54" spans="1:17" ht="12.75">
      <c r="A54" s="73"/>
      <c r="B54" s="74"/>
      <c r="C54" s="111"/>
      <c r="D54" s="73"/>
      <c r="E54" s="73"/>
      <c r="F54" s="73"/>
      <c r="G54" s="73"/>
      <c r="H54" s="73"/>
      <c r="I54" s="73"/>
      <c r="J54" s="73"/>
      <c r="K54" s="73"/>
      <c r="L54" s="73"/>
      <c r="M54" s="73"/>
      <c r="N54" s="89"/>
      <c r="O54" s="89"/>
      <c r="P54" s="73"/>
      <c r="Q54" s="73"/>
    </row>
    <row r="55" spans="1:17" ht="12.75">
      <c r="A55" s="73"/>
      <c r="B55" s="74"/>
      <c r="C55" s="73"/>
      <c r="D55" s="73"/>
      <c r="E55" s="73"/>
      <c r="F55" s="73"/>
      <c r="G55" s="73"/>
      <c r="H55" s="73"/>
      <c r="I55" s="73"/>
      <c r="J55" s="73"/>
      <c r="K55" s="73"/>
      <c r="L55" s="73"/>
      <c r="M55" s="73"/>
      <c r="N55" s="89"/>
      <c r="O55" s="89"/>
      <c r="P55" s="73"/>
      <c r="Q55" s="73"/>
    </row>
    <row r="56" spans="1:17" ht="12.75">
      <c r="A56" s="73"/>
      <c r="B56" s="73"/>
      <c r="C56" s="73"/>
      <c r="D56" s="73"/>
      <c r="E56" s="73"/>
      <c r="F56" s="73"/>
      <c r="G56" s="73"/>
      <c r="H56" s="73"/>
      <c r="I56" s="73"/>
      <c r="J56" s="73"/>
      <c r="K56" s="73"/>
      <c r="L56" s="73"/>
      <c r="M56" s="73"/>
      <c r="N56" s="89"/>
      <c r="O56" s="89"/>
      <c r="P56" s="73"/>
      <c r="Q56" s="73"/>
    </row>
    <row r="57" spans="1:17" ht="12.75">
      <c r="A57" s="73"/>
      <c r="B57" s="73"/>
      <c r="C57" s="73"/>
      <c r="D57" s="73"/>
      <c r="E57" s="73"/>
      <c r="F57" s="73"/>
      <c r="G57" s="73"/>
      <c r="H57" s="73"/>
      <c r="I57" s="73"/>
      <c r="J57" s="73"/>
      <c r="K57" s="73"/>
      <c r="L57" s="73"/>
      <c r="M57" s="73"/>
      <c r="N57" s="89"/>
      <c r="O57" s="89"/>
      <c r="P57" s="73"/>
      <c r="Q57" s="73"/>
    </row>
    <row r="58" spans="1:17" ht="12.75">
      <c r="A58" s="73"/>
      <c r="B58" s="73"/>
      <c r="C58" s="73"/>
      <c r="D58" s="73"/>
      <c r="E58" s="73"/>
      <c r="F58" s="73"/>
      <c r="G58" s="73"/>
      <c r="H58" s="73"/>
      <c r="I58" s="73"/>
      <c r="J58" s="73"/>
      <c r="K58" s="73"/>
      <c r="L58" s="73"/>
      <c r="M58" s="73"/>
      <c r="N58" s="89"/>
      <c r="O58" s="89"/>
      <c r="P58" s="73"/>
      <c r="Q58" s="73"/>
    </row>
    <row r="59" spans="1:17" ht="12.75">
      <c r="A59" s="73"/>
      <c r="B59" s="73"/>
      <c r="C59" s="73"/>
      <c r="D59" s="73"/>
      <c r="E59" s="73"/>
      <c r="F59" s="73"/>
      <c r="G59" s="73"/>
      <c r="H59" s="73"/>
      <c r="I59" s="73"/>
      <c r="J59" s="73"/>
      <c r="K59" s="73"/>
      <c r="L59" s="73"/>
      <c r="M59" s="73"/>
      <c r="N59" s="89"/>
      <c r="O59" s="89"/>
      <c r="P59" s="73"/>
      <c r="Q59" s="73"/>
    </row>
    <row r="60" spans="1:17" ht="12.75">
      <c r="A60" s="73"/>
      <c r="B60" s="73"/>
      <c r="C60" s="73"/>
      <c r="D60" s="73"/>
      <c r="E60" s="73"/>
      <c r="F60" s="73"/>
      <c r="G60" s="73"/>
      <c r="H60" s="73"/>
      <c r="I60" s="73"/>
      <c r="J60" s="73"/>
      <c r="K60" s="73"/>
      <c r="L60" s="73"/>
      <c r="M60" s="73"/>
      <c r="N60" s="89"/>
      <c r="O60" s="89"/>
      <c r="P60" s="73"/>
      <c r="Q60" s="73"/>
    </row>
    <row r="61" spans="1:17" ht="12.75">
      <c r="A61" s="73"/>
      <c r="B61" s="73"/>
      <c r="C61" s="73"/>
      <c r="D61" s="73"/>
      <c r="E61" s="73"/>
      <c r="F61" s="73"/>
      <c r="G61" s="73"/>
      <c r="H61" s="73"/>
      <c r="I61" s="73"/>
      <c r="J61" s="73"/>
      <c r="K61" s="73"/>
      <c r="L61" s="73"/>
      <c r="M61" s="73"/>
      <c r="N61" s="89"/>
      <c r="O61" s="89"/>
      <c r="P61" s="73"/>
      <c r="Q61" s="73"/>
    </row>
    <row r="62" spans="1:17" ht="12.75">
      <c r="A62" s="73"/>
      <c r="B62" s="73"/>
      <c r="C62" s="73"/>
      <c r="D62" s="73"/>
      <c r="E62" s="73"/>
      <c r="F62" s="73"/>
      <c r="G62" s="73"/>
      <c r="H62" s="73"/>
      <c r="I62" s="73"/>
      <c r="J62" s="73"/>
      <c r="K62" s="73"/>
      <c r="L62" s="73"/>
      <c r="M62" s="73"/>
      <c r="N62" s="89"/>
      <c r="O62" s="89"/>
      <c r="P62" s="73"/>
      <c r="Q62" s="73"/>
    </row>
    <row r="63" spans="1:17" ht="12.75">
      <c r="A63" s="73"/>
      <c r="B63" s="73"/>
      <c r="C63" s="73"/>
      <c r="D63" s="73"/>
      <c r="E63" s="73"/>
      <c r="F63" s="73"/>
      <c r="G63" s="73"/>
      <c r="H63" s="73"/>
      <c r="I63" s="73"/>
      <c r="J63" s="73"/>
      <c r="K63" s="73"/>
      <c r="L63" s="73"/>
      <c r="M63" s="73"/>
      <c r="N63" s="89"/>
      <c r="O63" s="89"/>
      <c r="P63" s="73"/>
      <c r="Q63" s="73"/>
    </row>
    <row r="64" spans="1:17" ht="12.75">
      <c r="A64" s="73"/>
      <c r="B64" s="73"/>
      <c r="C64" s="73"/>
      <c r="D64" s="73"/>
      <c r="E64" s="73"/>
      <c r="F64" s="73"/>
      <c r="G64" s="73"/>
      <c r="H64" s="73"/>
      <c r="I64" s="73"/>
      <c r="J64" s="73"/>
      <c r="K64" s="73"/>
      <c r="L64" s="73"/>
      <c r="M64" s="73"/>
      <c r="N64" s="89"/>
      <c r="O64" s="89"/>
      <c r="P64" s="73"/>
      <c r="Q64" s="73"/>
    </row>
    <row r="65" spans="1:17" ht="13.5" thickBot="1">
      <c r="A65" s="81"/>
      <c r="B65" s="82" t="s">
        <v>445</v>
      </c>
      <c r="C65" s="81"/>
      <c r="D65" s="81"/>
      <c r="E65" s="81"/>
      <c r="F65" s="81"/>
      <c r="G65" s="152">
        <f>SUM(G50:G64)</f>
        <v>88772.899</v>
      </c>
      <c r="H65" s="152">
        <f aca="true" t="shared" si="1" ref="H65:O65">SUM(H50:H64)</f>
        <v>0</v>
      </c>
      <c r="I65" s="152">
        <f t="shared" si="1"/>
        <v>0</v>
      </c>
      <c r="J65" s="152">
        <f t="shared" si="1"/>
        <v>0</v>
      </c>
      <c r="K65" s="152">
        <f t="shared" si="1"/>
        <v>0</v>
      </c>
      <c r="L65" s="152">
        <f t="shared" si="1"/>
        <v>0</v>
      </c>
      <c r="M65" s="152">
        <f t="shared" si="1"/>
        <v>0</v>
      </c>
      <c r="N65" s="762">
        <f>SUM(N50:N64)</f>
        <v>88772.899</v>
      </c>
      <c r="O65" s="762">
        <f t="shared" si="1"/>
        <v>63865.161</v>
      </c>
      <c r="P65" s="81"/>
      <c r="Q65" s="81"/>
    </row>
    <row r="66" spans="18:19" ht="12.75">
      <c r="R66" s="239">
        <f>+N33+N65</f>
        <v>224310.345</v>
      </c>
      <c r="S66" s="239">
        <f>+O33+O65</f>
        <v>174027.704</v>
      </c>
    </row>
    <row r="67" spans="1:17" ht="12.75">
      <c r="A67" s="918" t="s">
        <v>420</v>
      </c>
      <c r="B67" s="918"/>
      <c r="C67" s="918"/>
      <c r="D67" s="918"/>
      <c r="E67" s="918"/>
      <c r="F67" s="918"/>
      <c r="G67" s="918"/>
      <c r="H67" s="918"/>
      <c r="I67" s="918"/>
      <c r="J67" s="918"/>
      <c r="K67" s="918"/>
      <c r="L67" s="918"/>
      <c r="M67" s="918"/>
      <c r="N67" s="918"/>
      <c r="O67" s="918"/>
      <c r="P67" s="918"/>
      <c r="Q67" s="918"/>
    </row>
    <row r="68" spans="1:20" s="39" customFormat="1" ht="16.5" thickBot="1">
      <c r="A68" s="891" t="s">
        <v>609</v>
      </c>
      <c r="B68" s="891"/>
      <c r="C68" s="891"/>
      <c r="D68" s="891"/>
      <c r="E68" s="891"/>
      <c r="F68" s="891"/>
      <c r="G68" s="891"/>
      <c r="H68" s="891"/>
      <c r="I68" s="891"/>
      <c r="J68" s="891"/>
      <c r="K68" s="891"/>
      <c r="L68" s="891"/>
      <c r="M68" s="891"/>
      <c r="N68" s="891"/>
      <c r="O68" s="891"/>
      <c r="P68" s="891"/>
      <c r="Q68" s="891"/>
      <c r="R68" s="184"/>
      <c r="S68" s="184"/>
      <c r="T68" s="184"/>
    </row>
    <row r="69" spans="3:20" s="39" customFormat="1" ht="13.5" thickBot="1">
      <c r="C69" s="38"/>
      <c r="D69" s="38"/>
      <c r="N69" s="755"/>
      <c r="O69" s="755"/>
      <c r="P69" s="892" t="s">
        <v>153</v>
      </c>
      <c r="Q69" s="893"/>
      <c r="R69" s="184"/>
      <c r="S69" s="184"/>
      <c r="T69" s="184"/>
    </row>
    <row r="70" spans="1:17" ht="12.75">
      <c r="A70" s="917" t="s">
        <v>76</v>
      </c>
      <c r="B70" s="917"/>
      <c r="C70" s="917"/>
      <c r="D70" s="917"/>
      <c r="E70" s="917"/>
      <c r="F70" s="917"/>
      <c r="P70" s="889" t="s">
        <v>74</v>
      </c>
      <c r="Q70" s="889"/>
    </row>
    <row r="71" spans="1:17" ht="12.75">
      <c r="A71" s="917" t="s">
        <v>77</v>
      </c>
      <c r="B71" s="890"/>
      <c r="C71" s="890"/>
      <c r="D71" s="890"/>
      <c r="E71" s="890"/>
      <c r="F71" s="890"/>
      <c r="P71" s="890" t="s">
        <v>124</v>
      </c>
      <c r="Q71" s="890"/>
    </row>
    <row r="72" spans="1:16" ht="12.75">
      <c r="A72" s="917" t="s">
        <v>808</v>
      </c>
      <c r="B72" s="890"/>
      <c r="C72" s="890"/>
      <c r="D72" s="890"/>
      <c r="E72" s="890"/>
      <c r="F72" s="890"/>
      <c r="G72" s="38" t="s">
        <v>72</v>
      </c>
      <c r="I72" s="41">
        <v>39083</v>
      </c>
      <c r="P72" s="38" t="s">
        <v>123</v>
      </c>
    </row>
    <row r="73" ht="12.75"/>
    <row r="74" ht="13.5" thickBot="1"/>
    <row r="75" spans="1:17" ht="13.5" thickBot="1">
      <c r="A75" s="42" t="s">
        <v>424</v>
      </c>
      <c r="B75" s="43"/>
      <c r="C75" s="43" t="s">
        <v>559</v>
      </c>
      <c r="D75" s="43"/>
      <c r="E75" s="43"/>
      <c r="F75" s="45"/>
      <c r="G75" s="880" t="s">
        <v>425</v>
      </c>
      <c r="H75" s="881"/>
      <c r="I75" s="881"/>
      <c r="J75" s="881"/>
      <c r="K75" s="881"/>
      <c r="L75" s="881"/>
      <c r="M75" s="881"/>
      <c r="N75" s="881"/>
      <c r="O75" s="882"/>
      <c r="P75" s="880" t="s">
        <v>426</v>
      </c>
      <c r="Q75" s="882"/>
    </row>
    <row r="76" spans="1:17" ht="18" customHeight="1">
      <c r="A76" s="46" t="s">
        <v>422</v>
      </c>
      <c r="B76" s="47"/>
      <c r="C76" s="47" t="s">
        <v>809</v>
      </c>
      <c r="D76" s="47"/>
      <c r="E76" s="47"/>
      <c r="F76" s="49"/>
      <c r="G76" s="922" t="s">
        <v>393</v>
      </c>
      <c r="H76" s="923"/>
      <c r="I76" s="923"/>
      <c r="J76" s="923"/>
      <c r="K76" s="923"/>
      <c r="L76" s="923"/>
      <c r="M76" s="923"/>
      <c r="N76" s="923"/>
      <c r="O76" s="924"/>
      <c r="P76" s="50"/>
      <c r="Q76" s="14" t="s">
        <v>726</v>
      </c>
    </row>
    <row r="77" spans="1:17" ht="25.5" customHeight="1" thickBot="1">
      <c r="A77" s="51" t="s">
        <v>423</v>
      </c>
      <c r="B77" s="52"/>
      <c r="C77" s="930" t="s">
        <v>392</v>
      </c>
      <c r="D77" s="930"/>
      <c r="E77" s="930"/>
      <c r="F77" s="931"/>
      <c r="G77" s="925"/>
      <c r="H77" s="926"/>
      <c r="I77" s="926"/>
      <c r="J77" s="926"/>
      <c r="K77" s="926"/>
      <c r="L77" s="926"/>
      <c r="M77" s="926"/>
      <c r="N77" s="926"/>
      <c r="O77" s="927"/>
      <c r="P77" s="55"/>
      <c r="Q77" s="56"/>
    </row>
    <row r="78" spans="1:2" ht="13.5" thickBot="1">
      <c r="A78" s="38" t="s">
        <v>73</v>
      </c>
      <c r="B78" s="57"/>
    </row>
    <row r="79" spans="1:17" ht="12.75">
      <c r="A79" s="872" t="s">
        <v>431</v>
      </c>
      <c r="B79" s="873"/>
      <c r="C79" s="873"/>
      <c r="D79" s="873"/>
      <c r="E79" s="873"/>
      <c r="F79" s="874"/>
      <c r="G79" s="872" t="s">
        <v>427</v>
      </c>
      <c r="H79" s="873"/>
      <c r="I79" s="873"/>
      <c r="J79" s="873"/>
      <c r="K79" s="873"/>
      <c r="L79" s="873"/>
      <c r="M79" s="873"/>
      <c r="N79" s="873"/>
      <c r="O79" s="874"/>
      <c r="P79" s="875" t="s">
        <v>428</v>
      </c>
      <c r="Q79" s="874" t="s">
        <v>429</v>
      </c>
    </row>
    <row r="80" spans="1:17" ht="13.5" thickBot="1">
      <c r="A80" s="61"/>
      <c r="B80" s="62"/>
      <c r="C80" s="62"/>
      <c r="D80" s="62"/>
      <c r="E80" s="62"/>
      <c r="F80" s="64"/>
      <c r="G80" s="61"/>
      <c r="H80" s="62"/>
      <c r="I80" s="62"/>
      <c r="J80" s="62"/>
      <c r="K80" s="62"/>
      <c r="L80" s="62"/>
      <c r="M80" s="62"/>
      <c r="N80" s="756"/>
      <c r="O80" s="757"/>
      <c r="P80" s="876"/>
      <c r="Q80" s="877"/>
    </row>
    <row r="81" spans="1:17" ht="51.75" thickBot="1">
      <c r="A81" s="141" t="s">
        <v>430</v>
      </c>
      <c r="B81" s="142" t="s">
        <v>432</v>
      </c>
      <c r="C81" s="143" t="s">
        <v>433</v>
      </c>
      <c r="D81" s="143" t="s">
        <v>434</v>
      </c>
      <c r="E81" s="144" t="s">
        <v>435</v>
      </c>
      <c r="F81" s="145" t="s">
        <v>446</v>
      </c>
      <c r="G81" s="146" t="s">
        <v>436</v>
      </c>
      <c r="H81" s="147" t="s">
        <v>437</v>
      </c>
      <c r="I81" s="147" t="s">
        <v>438</v>
      </c>
      <c r="J81" s="147" t="s">
        <v>439</v>
      </c>
      <c r="K81" s="147" t="s">
        <v>440</v>
      </c>
      <c r="L81" s="147" t="s">
        <v>441</v>
      </c>
      <c r="M81" s="147" t="s">
        <v>442</v>
      </c>
      <c r="N81" s="763" t="s">
        <v>443</v>
      </c>
      <c r="O81" s="764" t="s">
        <v>444</v>
      </c>
      <c r="P81" s="900"/>
      <c r="Q81" s="901"/>
    </row>
    <row r="82" spans="1:17" ht="38.25">
      <c r="A82" s="116">
        <v>1</v>
      </c>
      <c r="B82" s="117" t="s">
        <v>305</v>
      </c>
      <c r="C82" s="334">
        <f>40*6</f>
        <v>240</v>
      </c>
      <c r="D82" s="334">
        <v>240</v>
      </c>
      <c r="E82" s="149">
        <f>+D82/C82</f>
        <v>1</v>
      </c>
      <c r="F82" s="149">
        <f>83/84</f>
        <v>0.9880952380952381</v>
      </c>
      <c r="G82" s="706">
        <f>193.65+20000</f>
        <v>20193.65</v>
      </c>
      <c r="H82" s="151"/>
      <c r="I82" s="151"/>
      <c r="J82" s="151"/>
      <c r="K82" s="116"/>
      <c r="L82" s="116"/>
      <c r="M82" s="116"/>
      <c r="N82" s="765">
        <f>G82+I82+J82</f>
        <v>20193.65</v>
      </c>
      <c r="O82" s="768">
        <f>193.65+19997.222</f>
        <v>20190.872000000003</v>
      </c>
      <c r="P82" s="353" t="s">
        <v>611</v>
      </c>
      <c r="Q82" s="116"/>
    </row>
    <row r="83" spans="1:17" ht="38.25">
      <c r="A83" s="73">
        <v>2</v>
      </c>
      <c r="B83" s="118" t="s">
        <v>786</v>
      </c>
      <c r="C83" s="164">
        <f>617*0.5</f>
        <v>308.5</v>
      </c>
      <c r="D83" s="111">
        <f>350*0.9</f>
        <v>315</v>
      </c>
      <c r="E83" s="149">
        <f>+D83/C83</f>
        <v>1.0210696920583469</v>
      </c>
      <c r="F83" s="149">
        <f>83/84</f>
        <v>0.9880952380952381</v>
      </c>
      <c r="G83" s="151">
        <f>9578.581+18000</f>
        <v>27578.581</v>
      </c>
      <c r="H83" s="151"/>
      <c r="I83" s="151"/>
      <c r="J83" s="151"/>
      <c r="K83" s="151"/>
      <c r="L83" s="151"/>
      <c r="M83" s="151"/>
      <c r="N83" s="765">
        <f>G83+I83+J83</f>
        <v>27578.581</v>
      </c>
      <c r="O83" s="768">
        <f>9578.581+17999.995</f>
        <v>27578.576</v>
      </c>
      <c r="P83" s="697" t="s">
        <v>611</v>
      </c>
      <c r="Q83" s="73"/>
    </row>
    <row r="84" spans="1:17" ht="38.25">
      <c r="A84" s="73">
        <v>3</v>
      </c>
      <c r="B84" s="118" t="s">
        <v>306</v>
      </c>
      <c r="C84" s="111">
        <v>20</v>
      </c>
      <c r="D84" s="111">
        <v>20</v>
      </c>
      <c r="E84" s="149">
        <f>+D84/C84</f>
        <v>1</v>
      </c>
      <c r="F84" s="149">
        <f>83/84</f>
        <v>0.9880952380952381</v>
      </c>
      <c r="G84" s="151">
        <f>3786.066+1303.934</f>
        <v>5090</v>
      </c>
      <c r="H84" s="151"/>
      <c r="I84" s="151"/>
      <c r="J84" s="151"/>
      <c r="K84" s="73"/>
      <c r="L84" s="73"/>
      <c r="M84" s="73"/>
      <c r="N84" s="765">
        <f>G84+I84+J84</f>
        <v>5090</v>
      </c>
      <c r="O84" s="769">
        <f>3786.066+1303.934</f>
        <v>5090</v>
      </c>
      <c r="P84" s="697" t="s">
        <v>611</v>
      </c>
      <c r="Q84" s="73"/>
    </row>
    <row r="85" spans="1:17" ht="12.75">
      <c r="A85" s="73"/>
      <c r="B85" s="74"/>
      <c r="C85" s="111"/>
      <c r="D85" s="111"/>
      <c r="E85" s="149"/>
      <c r="F85" s="149"/>
      <c r="G85" s="151"/>
      <c r="H85" s="151"/>
      <c r="I85" s="151"/>
      <c r="J85" s="151"/>
      <c r="K85" s="73"/>
      <c r="L85" s="73"/>
      <c r="M85" s="73"/>
      <c r="N85" s="765"/>
      <c r="O85" s="769"/>
      <c r="P85" s="73"/>
      <c r="Q85" s="73"/>
    </row>
    <row r="86" spans="1:17" ht="12.75">
      <c r="A86" s="73"/>
      <c r="B86" s="74"/>
      <c r="C86" s="73"/>
      <c r="D86" s="73"/>
      <c r="E86" s="73"/>
      <c r="F86" s="73"/>
      <c r="G86" s="73"/>
      <c r="H86" s="73"/>
      <c r="I86" s="73"/>
      <c r="J86" s="73"/>
      <c r="K86" s="73"/>
      <c r="L86" s="73"/>
      <c r="M86" s="73"/>
      <c r="N86" s="765"/>
      <c r="O86" s="761"/>
      <c r="P86" s="73"/>
      <c r="Q86" s="73"/>
    </row>
    <row r="87" spans="1:17" ht="12.75">
      <c r="A87" s="73"/>
      <c r="B87" s="73"/>
      <c r="C87" s="73"/>
      <c r="D87" s="73"/>
      <c r="E87" s="73"/>
      <c r="F87" s="73"/>
      <c r="G87" s="73"/>
      <c r="H87" s="73"/>
      <c r="I87" s="73"/>
      <c r="J87" s="73"/>
      <c r="K87" s="73"/>
      <c r="L87" s="73"/>
      <c r="M87" s="73"/>
      <c r="N87" s="765"/>
      <c r="O87" s="761"/>
      <c r="P87" s="73"/>
      <c r="Q87" s="73"/>
    </row>
    <row r="88" spans="1:17" ht="12.75">
      <c r="A88" s="73"/>
      <c r="B88" s="73"/>
      <c r="C88" s="73"/>
      <c r="D88" s="73"/>
      <c r="E88" s="73"/>
      <c r="F88" s="73"/>
      <c r="G88" s="73"/>
      <c r="H88" s="73"/>
      <c r="I88" s="73"/>
      <c r="J88" s="73"/>
      <c r="K88" s="73"/>
      <c r="L88" s="73"/>
      <c r="M88" s="73"/>
      <c r="N88" s="765"/>
      <c r="O88" s="761"/>
      <c r="P88" s="73"/>
      <c r="Q88" s="73"/>
    </row>
    <row r="89" spans="1:17" ht="12.75">
      <c r="A89" s="73"/>
      <c r="B89" s="73"/>
      <c r="C89" s="73"/>
      <c r="D89" s="73"/>
      <c r="E89" s="73"/>
      <c r="F89" s="73"/>
      <c r="G89" s="73"/>
      <c r="H89" s="73"/>
      <c r="I89" s="73"/>
      <c r="J89" s="73"/>
      <c r="K89" s="73"/>
      <c r="L89" s="73"/>
      <c r="M89" s="73"/>
      <c r="N89" s="761"/>
      <c r="O89" s="761"/>
      <c r="P89" s="73"/>
      <c r="Q89" s="73"/>
    </row>
    <row r="90" spans="1:17" ht="12.75">
      <c r="A90" s="73"/>
      <c r="B90" s="73"/>
      <c r="C90" s="73"/>
      <c r="D90" s="73"/>
      <c r="E90" s="73"/>
      <c r="F90" s="73"/>
      <c r="G90" s="73"/>
      <c r="H90" s="73"/>
      <c r="I90" s="73"/>
      <c r="J90" s="73"/>
      <c r="K90" s="73"/>
      <c r="L90" s="73"/>
      <c r="M90" s="73"/>
      <c r="N90" s="761"/>
      <c r="O90" s="761"/>
      <c r="P90" s="73"/>
      <c r="Q90" s="73"/>
    </row>
    <row r="91" spans="1:17" ht="12.75">
      <c r="A91" s="73"/>
      <c r="B91" s="73"/>
      <c r="C91" s="73"/>
      <c r="D91" s="73"/>
      <c r="E91" s="73"/>
      <c r="F91" s="73"/>
      <c r="G91" s="73"/>
      <c r="H91" s="73"/>
      <c r="I91" s="73"/>
      <c r="J91" s="73"/>
      <c r="K91" s="73"/>
      <c r="L91" s="73"/>
      <c r="M91" s="73"/>
      <c r="N91" s="761"/>
      <c r="O91" s="761"/>
      <c r="P91" s="73"/>
      <c r="Q91" s="73"/>
    </row>
    <row r="92" spans="1:17" ht="12.75">
      <c r="A92" s="73"/>
      <c r="B92" s="73"/>
      <c r="C92" s="73"/>
      <c r="D92" s="73"/>
      <c r="E92" s="73"/>
      <c r="F92" s="73"/>
      <c r="G92" s="73"/>
      <c r="H92" s="73"/>
      <c r="I92" s="73"/>
      <c r="J92" s="73"/>
      <c r="K92" s="73"/>
      <c r="L92" s="73"/>
      <c r="M92" s="73"/>
      <c r="N92" s="761"/>
      <c r="O92" s="761"/>
      <c r="P92" s="73"/>
      <c r="Q92" s="73"/>
    </row>
    <row r="93" spans="1:17" ht="12.75">
      <c r="A93" s="73"/>
      <c r="B93" s="73"/>
      <c r="C93" s="73"/>
      <c r="D93" s="73"/>
      <c r="E93" s="73"/>
      <c r="F93" s="73"/>
      <c r="G93" s="73"/>
      <c r="H93" s="73"/>
      <c r="I93" s="73"/>
      <c r="J93" s="73"/>
      <c r="K93" s="73"/>
      <c r="L93" s="73"/>
      <c r="M93" s="73"/>
      <c r="N93" s="761"/>
      <c r="O93" s="761"/>
      <c r="P93" s="73"/>
      <c r="Q93" s="73"/>
    </row>
    <row r="94" spans="1:17" ht="12.75">
      <c r="A94" s="73"/>
      <c r="B94" s="73"/>
      <c r="C94" s="73"/>
      <c r="D94" s="73"/>
      <c r="E94" s="73"/>
      <c r="F94" s="73"/>
      <c r="G94" s="73"/>
      <c r="H94" s="73"/>
      <c r="I94" s="73"/>
      <c r="J94" s="73"/>
      <c r="K94" s="73"/>
      <c r="L94" s="73"/>
      <c r="M94" s="73"/>
      <c r="N94" s="761"/>
      <c r="O94" s="761"/>
      <c r="P94" s="73"/>
      <c r="Q94" s="73"/>
    </row>
    <row r="95" spans="1:19" ht="12.75">
      <c r="A95" s="73"/>
      <c r="B95" s="73"/>
      <c r="C95" s="73"/>
      <c r="D95" s="73"/>
      <c r="E95" s="73"/>
      <c r="F95" s="73"/>
      <c r="G95" s="73"/>
      <c r="H95" s="73"/>
      <c r="I95" s="73"/>
      <c r="J95" s="73"/>
      <c r="K95" s="73"/>
      <c r="L95" s="73"/>
      <c r="M95" s="73"/>
      <c r="N95" s="761"/>
      <c r="O95" s="761"/>
      <c r="P95" s="73"/>
      <c r="Q95" s="73"/>
      <c r="R95" s="153">
        <f>'Resumen presupuesto ejecutado'!D119/1000</f>
        <v>277172.576</v>
      </c>
      <c r="S95" s="153">
        <f>'Resumen presupuesto ejecutado'!E119/1000</f>
        <v>226887.152</v>
      </c>
    </row>
    <row r="96" spans="1:19" ht="13.5" thickBot="1">
      <c r="A96" s="81"/>
      <c r="B96" s="82" t="s">
        <v>445</v>
      </c>
      <c r="C96" s="81"/>
      <c r="D96" s="81"/>
      <c r="E96" s="81"/>
      <c r="F96" s="81"/>
      <c r="G96" s="84">
        <f>SUM(G82:G95)</f>
        <v>52862.231</v>
      </c>
      <c r="H96" s="84">
        <f aca="true" t="shared" si="2" ref="H96:M96">SUM(H82:H95)</f>
        <v>0</v>
      </c>
      <c r="I96" s="84">
        <f t="shared" si="2"/>
        <v>0</v>
      </c>
      <c r="J96" s="84">
        <f t="shared" si="2"/>
        <v>0</v>
      </c>
      <c r="K96" s="84">
        <f t="shared" si="2"/>
        <v>0</v>
      </c>
      <c r="L96" s="84">
        <f t="shared" si="2"/>
        <v>0</v>
      </c>
      <c r="M96" s="84">
        <f t="shared" si="2"/>
        <v>0</v>
      </c>
      <c r="N96" s="762">
        <f>SUM(N82:N95)</f>
        <v>52862.231</v>
      </c>
      <c r="O96" s="762">
        <f>SUM(O82:O95)</f>
        <v>52859.448000000004</v>
      </c>
      <c r="P96" s="81"/>
      <c r="Q96" s="81"/>
      <c r="R96" s="153">
        <f>+N33+N65+N96</f>
        <v>277172.576</v>
      </c>
      <c r="S96" s="153">
        <f>+O33+O65+O96</f>
        <v>226887.152</v>
      </c>
    </row>
    <row r="97" spans="16:19" ht="12.75">
      <c r="P97" s="87"/>
      <c r="R97" s="153">
        <f>R95-R96</f>
        <v>0</v>
      </c>
      <c r="S97" s="153">
        <f>S95-S96</f>
        <v>0</v>
      </c>
    </row>
    <row r="98" spans="1:19" ht="12.75">
      <c r="A98" s="918" t="s">
        <v>420</v>
      </c>
      <c r="B98" s="918"/>
      <c r="C98" s="918"/>
      <c r="D98" s="918"/>
      <c r="E98" s="918"/>
      <c r="F98" s="918"/>
      <c r="G98" s="918"/>
      <c r="H98" s="918"/>
      <c r="I98" s="918"/>
      <c r="J98" s="918"/>
      <c r="K98" s="918"/>
      <c r="L98" s="918"/>
      <c r="M98" s="918"/>
      <c r="N98" s="918"/>
      <c r="O98" s="918"/>
      <c r="P98" s="918"/>
      <c r="Q98" s="918"/>
      <c r="S98" s="153">
        <f>+S96-S97</f>
        <v>226887.152</v>
      </c>
    </row>
    <row r="99" spans="1:20" s="39" customFormat="1" ht="16.5" thickBot="1">
      <c r="A99" s="891" t="s">
        <v>609</v>
      </c>
      <c r="B99" s="891"/>
      <c r="C99" s="891"/>
      <c r="D99" s="891"/>
      <c r="E99" s="891"/>
      <c r="F99" s="891"/>
      <c r="G99" s="891"/>
      <c r="H99" s="891"/>
      <c r="I99" s="891"/>
      <c r="J99" s="891"/>
      <c r="K99" s="891"/>
      <c r="L99" s="891"/>
      <c r="M99" s="891"/>
      <c r="N99" s="891"/>
      <c r="O99" s="891"/>
      <c r="P99" s="891"/>
      <c r="Q99" s="891"/>
      <c r="R99" s="184"/>
      <c r="S99" s="184"/>
      <c r="T99" s="184"/>
    </row>
    <row r="100" spans="3:20" s="39" customFormat="1" ht="13.5" thickBot="1">
      <c r="C100" s="38"/>
      <c r="D100" s="38"/>
      <c r="N100" s="755"/>
      <c r="O100" s="755"/>
      <c r="P100" s="892" t="s">
        <v>155</v>
      </c>
      <c r="Q100" s="893"/>
      <c r="R100" s="184"/>
      <c r="S100" s="184"/>
      <c r="T100" s="184"/>
    </row>
    <row r="101" spans="1:17" ht="12.75">
      <c r="A101" s="917" t="s">
        <v>76</v>
      </c>
      <c r="B101" s="917"/>
      <c r="C101" s="917"/>
      <c r="D101" s="917"/>
      <c r="E101" s="917"/>
      <c r="F101" s="917"/>
      <c r="P101" s="889" t="s">
        <v>74</v>
      </c>
      <c r="Q101" s="889"/>
    </row>
    <row r="102" spans="1:17" ht="12.75">
      <c r="A102" s="917" t="s">
        <v>77</v>
      </c>
      <c r="B102" s="890"/>
      <c r="C102" s="890"/>
      <c r="D102" s="890"/>
      <c r="E102" s="890"/>
      <c r="F102" s="890"/>
      <c r="P102" s="890" t="s">
        <v>124</v>
      </c>
      <c r="Q102" s="890"/>
    </row>
    <row r="103" spans="1:16" ht="12.75">
      <c r="A103" s="917" t="s">
        <v>808</v>
      </c>
      <c r="B103" s="890"/>
      <c r="C103" s="890"/>
      <c r="D103" s="890"/>
      <c r="E103" s="890"/>
      <c r="F103" s="890"/>
      <c r="G103" s="38" t="s">
        <v>72</v>
      </c>
      <c r="I103" s="41">
        <v>39083</v>
      </c>
      <c r="P103" s="38" t="s">
        <v>123</v>
      </c>
    </row>
    <row r="104" ht="12.75"/>
    <row r="105" ht="13.5" thickBot="1"/>
    <row r="106" spans="1:17" ht="13.5" thickBot="1">
      <c r="A106" s="42" t="s">
        <v>424</v>
      </c>
      <c r="B106" s="43"/>
      <c r="C106" s="43" t="s">
        <v>559</v>
      </c>
      <c r="D106" s="43"/>
      <c r="E106" s="43"/>
      <c r="F106" s="45"/>
      <c r="G106" s="880" t="s">
        <v>425</v>
      </c>
      <c r="H106" s="881"/>
      <c r="I106" s="881"/>
      <c r="J106" s="881"/>
      <c r="K106" s="881"/>
      <c r="L106" s="881"/>
      <c r="M106" s="881"/>
      <c r="N106" s="881"/>
      <c r="O106" s="882"/>
      <c r="P106" s="880" t="s">
        <v>426</v>
      </c>
      <c r="Q106" s="882"/>
    </row>
    <row r="107" spans="1:17" ht="24.75" customHeight="1">
      <c r="A107" s="46" t="s">
        <v>422</v>
      </c>
      <c r="B107" s="47"/>
      <c r="C107" s="47" t="s">
        <v>809</v>
      </c>
      <c r="D107" s="47"/>
      <c r="E107" s="47"/>
      <c r="F107" s="49"/>
      <c r="G107" s="883" t="s">
        <v>459</v>
      </c>
      <c r="H107" s="884"/>
      <c r="I107" s="884"/>
      <c r="J107" s="884"/>
      <c r="K107" s="884"/>
      <c r="L107" s="884"/>
      <c r="M107" s="884"/>
      <c r="N107" s="884"/>
      <c r="O107" s="885"/>
      <c r="P107" s="50"/>
      <c r="Q107" s="14" t="s">
        <v>765</v>
      </c>
    </row>
    <row r="108" spans="1:17" ht="13.5" thickBot="1">
      <c r="A108" s="51" t="s">
        <v>423</v>
      </c>
      <c r="B108" s="52"/>
      <c r="C108" s="52" t="s">
        <v>561</v>
      </c>
      <c r="D108" s="52"/>
      <c r="E108" s="52"/>
      <c r="F108" s="54"/>
      <c r="G108" s="886"/>
      <c r="H108" s="887"/>
      <c r="I108" s="887"/>
      <c r="J108" s="887"/>
      <c r="K108" s="887"/>
      <c r="L108" s="887"/>
      <c r="M108" s="887"/>
      <c r="N108" s="887"/>
      <c r="O108" s="888"/>
      <c r="P108" s="55"/>
      <c r="Q108" s="56"/>
    </row>
    <row r="109" spans="1:2" ht="13.5" thickBot="1">
      <c r="A109" s="38" t="s">
        <v>73</v>
      </c>
      <c r="B109" s="57"/>
    </row>
    <row r="110" spans="1:17" ht="12.75">
      <c r="A110" s="872" t="s">
        <v>431</v>
      </c>
      <c r="B110" s="873"/>
      <c r="C110" s="873"/>
      <c r="D110" s="873"/>
      <c r="E110" s="873"/>
      <c r="F110" s="874"/>
      <c r="G110" s="872" t="s">
        <v>427</v>
      </c>
      <c r="H110" s="873"/>
      <c r="I110" s="873"/>
      <c r="J110" s="873"/>
      <c r="K110" s="873"/>
      <c r="L110" s="873"/>
      <c r="M110" s="873"/>
      <c r="N110" s="873"/>
      <c r="O110" s="874"/>
      <c r="P110" s="875" t="s">
        <v>428</v>
      </c>
      <c r="Q110" s="874" t="s">
        <v>429</v>
      </c>
    </row>
    <row r="111" spans="1:17" ht="13.5" thickBot="1">
      <c r="A111" s="61"/>
      <c r="B111" s="62"/>
      <c r="C111" s="62"/>
      <c r="D111" s="62"/>
      <c r="E111" s="62"/>
      <c r="F111" s="64"/>
      <c r="G111" s="61"/>
      <c r="H111" s="62"/>
      <c r="I111" s="62"/>
      <c r="J111" s="62"/>
      <c r="K111" s="62"/>
      <c r="L111" s="62"/>
      <c r="M111" s="62"/>
      <c r="N111" s="756"/>
      <c r="O111" s="757"/>
      <c r="P111" s="876"/>
      <c r="Q111" s="877"/>
    </row>
    <row r="112" spans="1:17" ht="51.75" thickBot="1">
      <c r="A112" s="35" t="s">
        <v>430</v>
      </c>
      <c r="B112" s="90" t="s">
        <v>432</v>
      </c>
      <c r="C112" s="154" t="s">
        <v>433</v>
      </c>
      <c r="D112" s="138" t="s">
        <v>434</v>
      </c>
      <c r="E112" s="37" t="s">
        <v>435</v>
      </c>
      <c r="F112" s="90" t="s">
        <v>446</v>
      </c>
      <c r="G112" s="67" t="s">
        <v>436</v>
      </c>
      <c r="H112" s="68" t="s">
        <v>437</v>
      </c>
      <c r="I112" s="68" t="s">
        <v>438</v>
      </c>
      <c r="J112" s="68" t="s">
        <v>439</v>
      </c>
      <c r="K112" s="68" t="s">
        <v>440</v>
      </c>
      <c r="L112" s="68" t="s">
        <v>441</v>
      </c>
      <c r="M112" s="68" t="s">
        <v>442</v>
      </c>
      <c r="N112" s="758" t="s">
        <v>443</v>
      </c>
      <c r="O112" s="764" t="s">
        <v>444</v>
      </c>
      <c r="P112" s="876"/>
      <c r="Q112" s="877"/>
    </row>
    <row r="113" spans="1:17" ht="54" customHeight="1">
      <c r="A113" s="105">
        <v>1</v>
      </c>
      <c r="B113" s="106" t="s">
        <v>385</v>
      </c>
      <c r="C113" s="249">
        <v>12400</v>
      </c>
      <c r="D113" s="249">
        <v>12400</v>
      </c>
      <c r="E113" s="751">
        <f>D113/C113</f>
        <v>1</v>
      </c>
      <c r="F113" s="749">
        <f>90/60</f>
        <v>1.5</v>
      </c>
      <c r="G113" s="107"/>
      <c r="H113" s="69"/>
      <c r="I113" s="107"/>
      <c r="J113" s="107"/>
      <c r="K113" s="69"/>
      <c r="L113" s="69"/>
      <c r="M113" s="69"/>
      <c r="N113" s="770">
        <f>G113+I113+J113</f>
        <v>0</v>
      </c>
      <c r="O113" s="771"/>
      <c r="P113" s="347" t="s">
        <v>373</v>
      </c>
      <c r="Q113" s="69"/>
    </row>
    <row r="114" spans="1:17" ht="30" customHeight="1">
      <c r="A114" s="73">
        <v>2</v>
      </c>
      <c r="B114" s="118" t="s">
        <v>265</v>
      </c>
      <c r="C114" s="164">
        <v>12400</v>
      </c>
      <c r="D114" s="164">
        <v>12400</v>
      </c>
      <c r="E114" s="754">
        <f>D114/C114</f>
        <v>1</v>
      </c>
      <c r="F114" s="754">
        <f>90/60</f>
        <v>1.5</v>
      </c>
      <c r="G114" s="95">
        <v>0</v>
      </c>
      <c r="H114" s="73"/>
      <c r="I114" s="95"/>
      <c r="J114" s="95"/>
      <c r="K114" s="73"/>
      <c r="L114" s="73"/>
      <c r="M114" s="73"/>
      <c r="N114" s="767">
        <f>G114+I114+J114</f>
        <v>0</v>
      </c>
      <c r="O114" s="767"/>
      <c r="P114" s="353" t="s">
        <v>373</v>
      </c>
      <c r="Q114" s="73"/>
    </row>
    <row r="115" spans="1:17" ht="38.25">
      <c r="A115" s="73">
        <v>3</v>
      </c>
      <c r="B115" s="74" t="s">
        <v>397</v>
      </c>
      <c r="C115" s="111">
        <v>400</v>
      </c>
      <c r="D115" s="111">
        <v>400</v>
      </c>
      <c r="E115" s="754">
        <f>D115/C115</f>
        <v>1</v>
      </c>
      <c r="F115" s="754">
        <f>90/60</f>
        <v>1.5</v>
      </c>
      <c r="G115" s="95">
        <v>9072.845</v>
      </c>
      <c r="H115" s="73"/>
      <c r="I115" s="73"/>
      <c r="J115" s="73"/>
      <c r="K115" s="73"/>
      <c r="L115" s="73"/>
      <c r="M115" s="73"/>
      <c r="N115" s="765">
        <f>G115+I115+J115</f>
        <v>9072.845</v>
      </c>
      <c r="O115" s="765">
        <v>9072.845</v>
      </c>
      <c r="P115" s="697" t="s">
        <v>611</v>
      </c>
      <c r="Q115" s="73"/>
    </row>
    <row r="116" spans="1:17" ht="12.75">
      <c r="A116" s="73"/>
      <c r="B116" s="74"/>
      <c r="C116" s="111"/>
      <c r="D116" s="111"/>
      <c r="E116" s="88"/>
      <c r="F116" s="73"/>
      <c r="G116" s="73"/>
      <c r="H116" s="73"/>
      <c r="I116" s="73"/>
      <c r="J116" s="73"/>
      <c r="K116" s="73"/>
      <c r="L116" s="73"/>
      <c r="M116" s="73"/>
      <c r="N116" s="89"/>
      <c r="O116" s="767"/>
      <c r="P116" s="73"/>
      <c r="Q116" s="73"/>
    </row>
    <row r="117" spans="1:17" ht="12.75">
      <c r="A117" s="73"/>
      <c r="B117" s="74"/>
      <c r="C117" s="111"/>
      <c r="D117" s="111"/>
      <c r="E117" s="88"/>
      <c r="F117" s="73"/>
      <c r="G117" s="73"/>
      <c r="H117" s="73"/>
      <c r="I117" s="73"/>
      <c r="J117" s="73"/>
      <c r="K117" s="73"/>
      <c r="L117" s="73"/>
      <c r="M117" s="73"/>
      <c r="N117" s="89"/>
      <c r="O117" s="767"/>
      <c r="P117" s="73"/>
      <c r="Q117" s="73"/>
    </row>
    <row r="118" spans="1:17" ht="12.75">
      <c r="A118" s="73"/>
      <c r="B118" s="73"/>
      <c r="C118" s="73"/>
      <c r="D118" s="73"/>
      <c r="E118" s="73"/>
      <c r="F118" s="73"/>
      <c r="G118" s="73"/>
      <c r="H118" s="73"/>
      <c r="I118" s="73"/>
      <c r="J118" s="73"/>
      <c r="K118" s="73"/>
      <c r="L118" s="73"/>
      <c r="M118" s="73"/>
      <c r="N118" s="89"/>
      <c r="O118" s="767"/>
      <c r="P118" s="73"/>
      <c r="Q118" s="73"/>
    </row>
    <row r="119" spans="1:17" ht="12.75">
      <c r="A119" s="73"/>
      <c r="B119" s="73"/>
      <c r="C119" s="73"/>
      <c r="D119" s="73"/>
      <c r="E119" s="73"/>
      <c r="F119" s="73"/>
      <c r="G119" s="73"/>
      <c r="H119" s="73"/>
      <c r="I119" s="73"/>
      <c r="J119" s="73"/>
      <c r="K119" s="73"/>
      <c r="L119" s="73"/>
      <c r="M119" s="73"/>
      <c r="N119" s="89"/>
      <c r="O119" s="89"/>
      <c r="P119" s="73"/>
      <c r="Q119" s="73"/>
    </row>
    <row r="120" spans="1:17" ht="12.75">
      <c r="A120" s="73"/>
      <c r="B120" s="73"/>
      <c r="C120" s="73"/>
      <c r="D120" s="73"/>
      <c r="E120" s="73"/>
      <c r="F120" s="73"/>
      <c r="G120" s="73"/>
      <c r="H120" s="73"/>
      <c r="I120" s="73"/>
      <c r="J120" s="73"/>
      <c r="K120" s="73"/>
      <c r="L120" s="73"/>
      <c r="M120" s="73"/>
      <c r="N120" s="89"/>
      <c r="O120" s="89"/>
      <c r="P120" s="73"/>
      <c r="Q120" s="73"/>
    </row>
    <row r="121" spans="1:17" ht="12.75">
      <c r="A121" s="73"/>
      <c r="B121" s="73"/>
      <c r="C121" s="73"/>
      <c r="D121" s="73"/>
      <c r="E121" s="73"/>
      <c r="F121" s="73"/>
      <c r="G121" s="73"/>
      <c r="H121" s="73"/>
      <c r="I121" s="73"/>
      <c r="J121" s="73"/>
      <c r="K121" s="73"/>
      <c r="L121" s="73"/>
      <c r="M121" s="73"/>
      <c r="N121" s="89"/>
      <c r="O121" s="89"/>
      <c r="P121" s="73"/>
      <c r="Q121" s="73"/>
    </row>
    <row r="122" spans="1:17" ht="12.75">
      <c r="A122" s="73"/>
      <c r="B122" s="73"/>
      <c r="C122" s="73"/>
      <c r="D122" s="73"/>
      <c r="E122" s="73"/>
      <c r="F122" s="73"/>
      <c r="G122" s="73"/>
      <c r="H122" s="73"/>
      <c r="I122" s="73"/>
      <c r="J122" s="73"/>
      <c r="K122" s="73"/>
      <c r="L122" s="73"/>
      <c r="M122" s="73"/>
      <c r="N122" s="89"/>
      <c r="O122" s="89"/>
      <c r="P122" s="73"/>
      <c r="Q122" s="73"/>
    </row>
    <row r="123" spans="1:17" ht="12.75">
      <c r="A123" s="73"/>
      <c r="B123" s="73"/>
      <c r="C123" s="73"/>
      <c r="D123" s="73"/>
      <c r="E123" s="73"/>
      <c r="F123" s="73"/>
      <c r="G123" s="73"/>
      <c r="H123" s="73"/>
      <c r="I123" s="73"/>
      <c r="J123" s="73"/>
      <c r="K123" s="73"/>
      <c r="L123" s="73"/>
      <c r="M123" s="73"/>
      <c r="N123" s="89"/>
      <c r="O123" s="89"/>
      <c r="P123" s="73"/>
      <c r="Q123" s="73"/>
    </row>
    <row r="124" spans="1:17" ht="12.75">
      <c r="A124" s="73"/>
      <c r="B124" s="73"/>
      <c r="C124" s="73"/>
      <c r="D124" s="73"/>
      <c r="E124" s="73"/>
      <c r="F124" s="73"/>
      <c r="G124" s="73"/>
      <c r="H124" s="73"/>
      <c r="I124" s="73"/>
      <c r="J124" s="73"/>
      <c r="K124" s="73"/>
      <c r="L124" s="73"/>
      <c r="M124" s="73"/>
      <c r="N124" s="89"/>
      <c r="O124" s="89"/>
      <c r="P124" s="73"/>
      <c r="Q124" s="73"/>
    </row>
    <row r="125" spans="1:17" ht="12.75">
      <c r="A125" s="73"/>
      <c r="B125" s="73"/>
      <c r="C125" s="73"/>
      <c r="D125" s="73"/>
      <c r="E125" s="73"/>
      <c r="F125" s="73"/>
      <c r="G125" s="73"/>
      <c r="H125" s="73"/>
      <c r="I125" s="73"/>
      <c r="J125" s="73"/>
      <c r="K125" s="73"/>
      <c r="L125" s="73"/>
      <c r="M125" s="73"/>
      <c r="N125" s="89"/>
      <c r="O125" s="89"/>
      <c r="P125" s="73"/>
      <c r="Q125" s="73"/>
    </row>
    <row r="126" spans="1:19" ht="12.75">
      <c r="A126" s="73"/>
      <c r="B126" s="73"/>
      <c r="C126" s="73"/>
      <c r="D126" s="73"/>
      <c r="E126" s="73"/>
      <c r="F126" s="73"/>
      <c r="G126" s="73"/>
      <c r="H126" s="73"/>
      <c r="I126" s="73"/>
      <c r="J126" s="73"/>
      <c r="K126" s="73"/>
      <c r="L126" s="73"/>
      <c r="M126" s="73"/>
      <c r="N126" s="761"/>
      <c r="O126" s="761"/>
      <c r="P126" s="73"/>
      <c r="Q126" s="73"/>
      <c r="R126" s="153">
        <f>'Resumen presupuesto ejecutado'!D126/1000</f>
        <v>9072.845</v>
      </c>
      <c r="S126" s="153">
        <f>'Resumen presupuesto ejecutado'!E126/1000</f>
        <v>9072.845</v>
      </c>
    </row>
    <row r="127" spans="1:19" ht="13.5" thickBot="1">
      <c r="A127" s="81"/>
      <c r="B127" s="82" t="s">
        <v>445</v>
      </c>
      <c r="C127" s="81"/>
      <c r="D127" s="81"/>
      <c r="E127" s="81"/>
      <c r="F127" s="81"/>
      <c r="G127" s="156">
        <f>SUM(G113:G126)</f>
        <v>9072.845</v>
      </c>
      <c r="H127" s="156">
        <f aca="true" t="shared" si="3" ref="H127:O127">SUM(H113:H126)</f>
        <v>0</v>
      </c>
      <c r="I127" s="156">
        <f t="shared" si="3"/>
        <v>0</v>
      </c>
      <c r="J127" s="156">
        <f t="shared" si="3"/>
        <v>0</v>
      </c>
      <c r="K127" s="156">
        <f t="shared" si="3"/>
        <v>0</v>
      </c>
      <c r="L127" s="156">
        <f t="shared" si="3"/>
        <v>0</v>
      </c>
      <c r="M127" s="156">
        <f t="shared" si="3"/>
        <v>0</v>
      </c>
      <c r="N127" s="772">
        <f>SUM(N113:N126)</f>
        <v>9072.845</v>
      </c>
      <c r="O127" s="772">
        <f t="shared" si="3"/>
        <v>9072.845</v>
      </c>
      <c r="P127" s="81"/>
      <c r="Q127" s="81"/>
      <c r="R127" s="153">
        <f>+N127</f>
        <v>9072.845</v>
      </c>
      <c r="S127" s="153">
        <f>+O127</f>
        <v>9072.845</v>
      </c>
    </row>
    <row r="128" spans="18:19" ht="12.75">
      <c r="R128" s="153">
        <f>R126-R127</f>
        <v>0</v>
      </c>
      <c r="S128" s="153">
        <f>S126-S127</f>
        <v>0</v>
      </c>
    </row>
    <row r="129" spans="1:19" ht="12.75">
      <c r="A129" s="918" t="s">
        <v>420</v>
      </c>
      <c r="B129" s="918"/>
      <c r="C129" s="918"/>
      <c r="D129" s="918"/>
      <c r="E129" s="918"/>
      <c r="F129" s="918"/>
      <c r="G129" s="918"/>
      <c r="H129" s="918"/>
      <c r="I129" s="918"/>
      <c r="J129" s="918"/>
      <c r="K129" s="918"/>
      <c r="L129" s="918"/>
      <c r="M129" s="918"/>
      <c r="N129" s="918"/>
      <c r="O129" s="918"/>
      <c r="P129" s="918"/>
      <c r="Q129" s="918"/>
      <c r="S129" s="153">
        <f>+S127-S128</f>
        <v>9072.845</v>
      </c>
    </row>
    <row r="130" spans="1:20" s="39" customFormat="1" ht="16.5" thickBot="1">
      <c r="A130" s="891" t="s">
        <v>609</v>
      </c>
      <c r="B130" s="891"/>
      <c r="C130" s="891"/>
      <c r="D130" s="891"/>
      <c r="E130" s="891"/>
      <c r="F130" s="891"/>
      <c r="G130" s="891"/>
      <c r="H130" s="891"/>
      <c r="I130" s="891"/>
      <c r="J130" s="891"/>
      <c r="K130" s="891"/>
      <c r="L130" s="891"/>
      <c r="M130" s="891"/>
      <c r="N130" s="891"/>
      <c r="O130" s="891"/>
      <c r="P130" s="891"/>
      <c r="Q130" s="891"/>
      <c r="R130" s="184"/>
      <c r="S130" s="184"/>
      <c r="T130" s="184"/>
    </row>
    <row r="131" spans="3:24" s="39" customFormat="1" ht="13.5" thickBot="1">
      <c r="C131" s="38"/>
      <c r="D131" s="38"/>
      <c r="N131" s="755"/>
      <c r="O131" s="755"/>
      <c r="P131" s="892" t="s">
        <v>156</v>
      </c>
      <c r="Q131" s="893"/>
      <c r="R131" s="184"/>
      <c r="S131" s="184"/>
      <c r="T131" s="184"/>
      <c r="X131" s="184"/>
    </row>
    <row r="132" spans="1:17" ht="12.75">
      <c r="A132" s="917" t="s">
        <v>76</v>
      </c>
      <c r="B132" s="917"/>
      <c r="C132" s="917"/>
      <c r="D132" s="917"/>
      <c r="E132" s="917"/>
      <c r="F132" s="917"/>
      <c r="P132" s="889" t="s">
        <v>74</v>
      </c>
      <c r="Q132" s="889"/>
    </row>
    <row r="133" spans="1:17" ht="12.75">
      <c r="A133" s="917" t="s">
        <v>77</v>
      </c>
      <c r="B133" s="890"/>
      <c r="C133" s="890"/>
      <c r="D133" s="890"/>
      <c r="E133" s="890"/>
      <c r="F133" s="890"/>
      <c r="P133" s="890" t="s">
        <v>124</v>
      </c>
      <c r="Q133" s="890"/>
    </row>
    <row r="134" spans="1:16" ht="12.75">
      <c r="A134" s="917" t="s">
        <v>808</v>
      </c>
      <c r="B134" s="890"/>
      <c r="C134" s="890"/>
      <c r="D134" s="890"/>
      <c r="E134" s="890"/>
      <c r="F134" s="890"/>
      <c r="G134" s="38" t="s">
        <v>72</v>
      </c>
      <c r="I134" s="41">
        <v>39083</v>
      </c>
      <c r="P134" s="38" t="s">
        <v>123</v>
      </c>
    </row>
    <row r="135" ht="12.75"/>
    <row r="136" ht="13.5" thickBot="1"/>
    <row r="137" spans="1:17" ht="13.5" thickBot="1">
      <c r="A137" s="42" t="s">
        <v>424</v>
      </c>
      <c r="B137" s="43"/>
      <c r="C137" s="43" t="s">
        <v>559</v>
      </c>
      <c r="D137" s="43"/>
      <c r="E137" s="43"/>
      <c r="F137" s="45"/>
      <c r="G137" s="880" t="s">
        <v>425</v>
      </c>
      <c r="H137" s="881"/>
      <c r="I137" s="881"/>
      <c r="J137" s="881"/>
      <c r="K137" s="881"/>
      <c r="L137" s="881"/>
      <c r="M137" s="881"/>
      <c r="N137" s="881"/>
      <c r="O137" s="882"/>
      <c r="P137" s="880" t="s">
        <v>426</v>
      </c>
      <c r="Q137" s="882"/>
    </row>
    <row r="138" spans="1:23" ht="15">
      <c r="A138" s="46" t="s">
        <v>422</v>
      </c>
      <c r="B138" s="47"/>
      <c r="C138" s="47" t="s">
        <v>809</v>
      </c>
      <c r="D138" s="47"/>
      <c r="E138" s="47"/>
      <c r="F138" s="49"/>
      <c r="G138" s="896" t="s">
        <v>460</v>
      </c>
      <c r="H138" s="884"/>
      <c r="I138" s="884"/>
      <c r="J138" s="884"/>
      <c r="K138" s="884"/>
      <c r="L138" s="884"/>
      <c r="M138" s="884"/>
      <c r="N138" s="884"/>
      <c r="O138" s="885"/>
      <c r="P138" s="50"/>
      <c r="Q138" s="14" t="s">
        <v>562</v>
      </c>
      <c r="U138" s="153"/>
      <c r="W138" s="96"/>
    </row>
    <row r="139" spans="1:23" ht="13.5" thickBot="1">
      <c r="A139" s="51" t="s">
        <v>423</v>
      </c>
      <c r="B139" s="52"/>
      <c r="C139" s="52" t="s">
        <v>394</v>
      </c>
      <c r="D139" s="52"/>
      <c r="E139" s="52"/>
      <c r="F139" s="54"/>
      <c r="G139" s="886"/>
      <c r="H139" s="887"/>
      <c r="I139" s="887"/>
      <c r="J139" s="887"/>
      <c r="K139" s="887"/>
      <c r="L139" s="887"/>
      <c r="M139" s="887"/>
      <c r="N139" s="887"/>
      <c r="O139" s="888"/>
      <c r="P139" s="55"/>
      <c r="Q139" s="56"/>
      <c r="U139" s="153"/>
      <c r="W139" s="96"/>
    </row>
    <row r="140" spans="1:23" ht="13.5" thickBot="1">
      <c r="A140" s="38" t="s">
        <v>73</v>
      </c>
      <c r="B140" s="57"/>
      <c r="W140" s="96"/>
    </row>
    <row r="141" spans="1:17" ht="12.75">
      <c r="A141" s="872" t="s">
        <v>431</v>
      </c>
      <c r="B141" s="873"/>
      <c r="C141" s="873"/>
      <c r="D141" s="873"/>
      <c r="E141" s="873"/>
      <c r="F141" s="874"/>
      <c r="G141" s="872" t="s">
        <v>427</v>
      </c>
      <c r="H141" s="873"/>
      <c r="I141" s="873"/>
      <c r="J141" s="873"/>
      <c r="K141" s="873"/>
      <c r="L141" s="873"/>
      <c r="M141" s="873"/>
      <c r="N141" s="873"/>
      <c r="O141" s="874"/>
      <c r="P141" s="875" t="s">
        <v>428</v>
      </c>
      <c r="Q141" s="874" t="s">
        <v>429</v>
      </c>
    </row>
    <row r="142" spans="1:23" ht="13.5" thickBot="1">
      <c r="A142" s="61"/>
      <c r="B142" s="62"/>
      <c r="C142" s="62"/>
      <c r="D142" s="62"/>
      <c r="E142" s="62"/>
      <c r="F142" s="64"/>
      <c r="G142" s="61"/>
      <c r="H142" s="62"/>
      <c r="I142" s="62"/>
      <c r="J142" s="62"/>
      <c r="K142" s="62"/>
      <c r="L142" s="62"/>
      <c r="M142" s="62"/>
      <c r="N142" s="756"/>
      <c r="O142" s="757"/>
      <c r="P142" s="876"/>
      <c r="Q142" s="877"/>
      <c r="W142" s="96"/>
    </row>
    <row r="143" spans="1:23" ht="51.75" thickBot="1">
      <c r="A143" s="35" t="s">
        <v>430</v>
      </c>
      <c r="B143" s="90" t="s">
        <v>432</v>
      </c>
      <c r="C143" s="154" t="s">
        <v>433</v>
      </c>
      <c r="D143" s="138" t="s">
        <v>434</v>
      </c>
      <c r="E143" s="37" t="s">
        <v>435</v>
      </c>
      <c r="F143" s="90" t="s">
        <v>446</v>
      </c>
      <c r="G143" s="67" t="s">
        <v>436</v>
      </c>
      <c r="H143" s="68" t="s">
        <v>437</v>
      </c>
      <c r="I143" s="68" t="s">
        <v>438</v>
      </c>
      <c r="J143" s="68" t="s">
        <v>439</v>
      </c>
      <c r="K143" s="68" t="s">
        <v>440</v>
      </c>
      <c r="L143" s="68" t="s">
        <v>441</v>
      </c>
      <c r="M143" s="68" t="s">
        <v>442</v>
      </c>
      <c r="N143" s="773" t="s">
        <v>443</v>
      </c>
      <c r="O143" s="774" t="s">
        <v>444</v>
      </c>
      <c r="P143" s="876"/>
      <c r="Q143" s="877"/>
      <c r="W143" s="96"/>
    </row>
    <row r="144" spans="1:17" ht="38.25">
      <c r="A144" s="105">
        <v>1</v>
      </c>
      <c r="B144" s="92" t="s">
        <v>713</v>
      </c>
      <c r="C144" s="249">
        <v>2600</v>
      </c>
      <c r="D144" s="249">
        <f>347+1110+1142</f>
        <v>2599</v>
      </c>
      <c r="E144" s="751">
        <f>D144/C144</f>
        <v>0.9996153846153846</v>
      </c>
      <c r="F144" s="749">
        <f>2599/2297</f>
        <v>1.13147583804963</v>
      </c>
      <c r="G144" s="72">
        <v>120000</v>
      </c>
      <c r="H144" s="69"/>
      <c r="I144" s="69"/>
      <c r="J144" s="69"/>
      <c r="K144" s="69"/>
      <c r="L144" s="69"/>
      <c r="M144" s="69"/>
      <c r="N144" s="775">
        <f>G144</f>
        <v>120000</v>
      </c>
      <c r="O144" s="776">
        <v>120000</v>
      </c>
      <c r="P144" s="347" t="s">
        <v>140</v>
      </c>
      <c r="Q144" s="69"/>
    </row>
    <row r="145" spans="1:23" ht="12.75">
      <c r="A145" s="73"/>
      <c r="B145" s="118"/>
      <c r="C145" s="111"/>
      <c r="D145" s="73"/>
      <c r="E145" s="73"/>
      <c r="F145" s="73"/>
      <c r="G145" s="73"/>
      <c r="H145" s="73"/>
      <c r="I145" s="73"/>
      <c r="J145" s="73"/>
      <c r="K145" s="73"/>
      <c r="L145" s="73"/>
      <c r="M145" s="73"/>
      <c r="N145" s="89"/>
      <c r="O145" s="89"/>
      <c r="P145" s="73"/>
      <c r="Q145" s="73"/>
      <c r="W145" s="96"/>
    </row>
    <row r="146" spans="1:23" ht="12.75">
      <c r="A146" s="73"/>
      <c r="B146" s="118"/>
      <c r="C146" s="111"/>
      <c r="D146" s="73"/>
      <c r="E146" s="73"/>
      <c r="F146" s="73"/>
      <c r="G146" s="73"/>
      <c r="H146" s="73"/>
      <c r="I146" s="73"/>
      <c r="J146" s="73"/>
      <c r="K146" s="73"/>
      <c r="L146" s="73"/>
      <c r="M146" s="73"/>
      <c r="N146" s="89"/>
      <c r="O146" s="89"/>
      <c r="P146" s="73"/>
      <c r="Q146" s="73"/>
      <c r="U146" s="153"/>
      <c r="W146" s="96"/>
    </row>
    <row r="147" spans="1:23" ht="12.75">
      <c r="A147" s="73"/>
      <c r="B147" s="118"/>
      <c r="C147" s="111"/>
      <c r="D147" s="73"/>
      <c r="E147" s="73"/>
      <c r="F147" s="73"/>
      <c r="G147" s="73"/>
      <c r="H147" s="73"/>
      <c r="I147" s="73"/>
      <c r="J147" s="73"/>
      <c r="K147" s="73"/>
      <c r="L147" s="73"/>
      <c r="M147" s="73"/>
      <c r="N147" s="89"/>
      <c r="O147" s="89"/>
      <c r="P147" s="73"/>
      <c r="Q147" s="73"/>
      <c r="W147" s="96"/>
    </row>
    <row r="148" spans="1:17" ht="12.75">
      <c r="A148" s="73"/>
      <c r="B148" s="74"/>
      <c r="C148" s="111"/>
      <c r="D148" s="73"/>
      <c r="E148" s="73"/>
      <c r="F148" s="73"/>
      <c r="G148" s="73"/>
      <c r="H148" s="73"/>
      <c r="I148" s="73"/>
      <c r="J148" s="73"/>
      <c r="K148" s="73"/>
      <c r="L148" s="73"/>
      <c r="M148" s="73"/>
      <c r="N148" s="89"/>
      <c r="O148" s="89"/>
      <c r="P148" s="73"/>
      <c r="Q148" s="73"/>
    </row>
    <row r="149" spans="1:23" ht="12.75">
      <c r="A149" s="73"/>
      <c r="B149" s="74"/>
      <c r="C149" s="111"/>
      <c r="D149" s="73"/>
      <c r="E149" s="73"/>
      <c r="F149" s="73"/>
      <c r="G149" s="73"/>
      <c r="H149" s="73"/>
      <c r="I149" s="73"/>
      <c r="J149" s="73"/>
      <c r="K149" s="73"/>
      <c r="L149" s="73"/>
      <c r="M149" s="73"/>
      <c r="N149" s="89"/>
      <c r="O149" s="89"/>
      <c r="P149" s="73"/>
      <c r="Q149" s="73"/>
      <c r="W149" s="96"/>
    </row>
    <row r="150" spans="1:17" ht="12.75">
      <c r="A150" s="73"/>
      <c r="B150" s="74"/>
      <c r="C150" s="73"/>
      <c r="D150" s="73"/>
      <c r="E150" s="73"/>
      <c r="F150" s="73"/>
      <c r="G150" s="73"/>
      <c r="H150" s="73"/>
      <c r="I150" s="73"/>
      <c r="J150" s="73"/>
      <c r="K150" s="73"/>
      <c r="L150" s="73"/>
      <c r="M150" s="73"/>
      <c r="N150" s="89"/>
      <c r="O150" s="89"/>
      <c r="P150" s="73"/>
      <c r="Q150" s="73"/>
    </row>
    <row r="151" spans="1:17" ht="12.75">
      <c r="A151" s="73"/>
      <c r="B151" s="73"/>
      <c r="C151" s="73"/>
      <c r="D151" s="73"/>
      <c r="E151" s="73"/>
      <c r="F151" s="73"/>
      <c r="G151" s="73"/>
      <c r="H151" s="73"/>
      <c r="I151" s="73"/>
      <c r="J151" s="73"/>
      <c r="K151" s="73"/>
      <c r="L151" s="73"/>
      <c r="M151" s="73"/>
      <c r="N151" s="89"/>
      <c r="O151" s="89"/>
      <c r="P151" s="73"/>
      <c r="Q151" s="73"/>
    </row>
    <row r="152" spans="1:23" ht="12.75">
      <c r="A152" s="73"/>
      <c r="B152" s="73"/>
      <c r="C152" s="73"/>
      <c r="D152" s="73"/>
      <c r="E152" s="73"/>
      <c r="F152" s="73"/>
      <c r="G152" s="73"/>
      <c r="H152" s="73"/>
      <c r="I152" s="73"/>
      <c r="J152" s="73"/>
      <c r="K152" s="73"/>
      <c r="L152" s="73"/>
      <c r="M152" s="73"/>
      <c r="N152" s="89"/>
      <c r="O152" s="89"/>
      <c r="P152" s="73"/>
      <c r="Q152" s="73"/>
      <c r="T152" s="153">
        <v>300</v>
      </c>
      <c r="U152" s="38">
        <v>238</v>
      </c>
      <c r="W152" s="96"/>
    </row>
    <row r="153" spans="1:21" ht="12.75">
      <c r="A153" s="73"/>
      <c r="B153" s="73"/>
      <c r="C153" s="73"/>
      <c r="D153" s="73"/>
      <c r="E153" s="73"/>
      <c r="F153" s="73"/>
      <c r="G153" s="73"/>
      <c r="H153" s="73"/>
      <c r="I153" s="73"/>
      <c r="J153" s="73"/>
      <c r="K153" s="73"/>
      <c r="L153" s="73"/>
      <c r="M153" s="73"/>
      <c r="N153" s="89"/>
      <c r="O153" s="89"/>
      <c r="P153" s="73"/>
      <c r="Q153" s="73"/>
      <c r="T153" s="153">
        <v>400</v>
      </c>
      <c r="U153" s="38">
        <v>368</v>
      </c>
    </row>
    <row r="154" spans="1:21" ht="12.75">
      <c r="A154" s="73"/>
      <c r="B154" s="73"/>
      <c r="C154" s="73"/>
      <c r="D154" s="73"/>
      <c r="E154" s="73"/>
      <c r="F154" s="73"/>
      <c r="G154" s="73"/>
      <c r="H154" s="73"/>
      <c r="I154" s="73"/>
      <c r="J154" s="73"/>
      <c r="K154" s="73"/>
      <c r="L154" s="73"/>
      <c r="M154" s="73"/>
      <c r="N154" s="89"/>
      <c r="O154" s="89"/>
      <c r="P154" s="73"/>
      <c r="Q154" s="73"/>
      <c r="T154" s="153">
        <v>63</v>
      </c>
      <c r="U154" s="38">
        <v>201</v>
      </c>
    </row>
    <row r="155" spans="1:20" ht="12.75">
      <c r="A155" s="73"/>
      <c r="B155" s="73"/>
      <c r="C155" s="73"/>
      <c r="D155" s="73"/>
      <c r="E155" s="73"/>
      <c r="F155" s="73"/>
      <c r="G155" s="73"/>
      <c r="H155" s="73"/>
      <c r="I155" s="73"/>
      <c r="J155" s="73"/>
      <c r="K155" s="73"/>
      <c r="L155" s="73"/>
      <c r="M155" s="73"/>
      <c r="N155" s="89"/>
      <c r="O155" s="89"/>
      <c r="P155" s="73"/>
      <c r="Q155" s="73"/>
      <c r="T155" s="153">
        <v>150</v>
      </c>
    </row>
    <row r="156" spans="1:20" ht="12.75">
      <c r="A156" s="73"/>
      <c r="B156" s="73"/>
      <c r="C156" s="73"/>
      <c r="D156" s="73"/>
      <c r="E156" s="73"/>
      <c r="F156" s="73"/>
      <c r="G156" s="73"/>
      <c r="H156" s="73"/>
      <c r="I156" s="73"/>
      <c r="J156" s="73"/>
      <c r="K156" s="73"/>
      <c r="L156" s="73"/>
      <c r="M156" s="73"/>
      <c r="N156" s="89"/>
      <c r="O156" s="89"/>
      <c r="P156" s="73"/>
      <c r="Q156" s="73"/>
      <c r="T156" s="153">
        <v>120</v>
      </c>
    </row>
    <row r="157" spans="1:21" ht="12.75">
      <c r="A157" s="73"/>
      <c r="B157" s="73"/>
      <c r="C157" s="73"/>
      <c r="D157" s="73"/>
      <c r="E157" s="73"/>
      <c r="F157" s="73"/>
      <c r="G157" s="73"/>
      <c r="H157" s="73"/>
      <c r="I157" s="73"/>
      <c r="J157" s="73"/>
      <c r="K157" s="73"/>
      <c r="L157" s="73"/>
      <c r="M157" s="73"/>
      <c r="N157" s="89"/>
      <c r="O157" s="89"/>
      <c r="P157" s="73"/>
      <c r="Q157" s="73"/>
      <c r="T157" s="153">
        <f>SUM(T152:T156)</f>
        <v>1033</v>
      </c>
      <c r="U157" s="38">
        <f>SUM(U152:U156)</f>
        <v>807</v>
      </c>
    </row>
    <row r="158" spans="1:21" ht="12.75">
      <c r="A158" s="73"/>
      <c r="B158" s="73"/>
      <c r="C158" s="73"/>
      <c r="D158" s="73"/>
      <c r="E158" s="73"/>
      <c r="F158" s="73"/>
      <c r="G158" s="73"/>
      <c r="H158" s="73"/>
      <c r="I158" s="73"/>
      <c r="J158" s="73"/>
      <c r="K158" s="73"/>
      <c r="L158" s="73"/>
      <c r="M158" s="73"/>
      <c r="N158" s="89"/>
      <c r="O158" s="89"/>
      <c r="P158" s="73"/>
      <c r="Q158" s="73"/>
      <c r="T158" s="153">
        <f>1372-T157</f>
        <v>339</v>
      </c>
      <c r="U158" s="96">
        <f>+U157+T157</f>
        <v>1840</v>
      </c>
    </row>
    <row r="159" spans="1:20" ht="12.75">
      <c r="A159" s="73"/>
      <c r="B159" s="73"/>
      <c r="C159" s="73"/>
      <c r="D159" s="73"/>
      <c r="E159" s="73"/>
      <c r="F159" s="73"/>
      <c r="G159" s="73"/>
      <c r="H159" s="73"/>
      <c r="I159" s="73"/>
      <c r="J159" s="73"/>
      <c r="K159" s="73"/>
      <c r="L159" s="73"/>
      <c r="M159" s="73"/>
      <c r="N159" s="89"/>
      <c r="O159" s="89"/>
      <c r="P159" s="73"/>
      <c r="Q159" s="73"/>
      <c r="T159" s="153">
        <f>+T157+T158</f>
        <v>1372</v>
      </c>
    </row>
    <row r="160" spans="1:19" ht="13.5" thickBot="1">
      <c r="A160" s="81"/>
      <c r="B160" s="82" t="s">
        <v>445</v>
      </c>
      <c r="C160" s="81"/>
      <c r="D160" s="81"/>
      <c r="E160" s="81"/>
      <c r="F160" s="81"/>
      <c r="G160" s="81"/>
      <c r="H160" s="81"/>
      <c r="I160" s="81"/>
      <c r="J160" s="81"/>
      <c r="K160" s="81"/>
      <c r="L160" s="81"/>
      <c r="M160" s="81"/>
      <c r="N160" s="762">
        <f>SUM(N144:N159)</f>
        <v>120000</v>
      </c>
      <c r="O160" s="762">
        <f>SUM(O144:O159)</f>
        <v>120000</v>
      </c>
      <c r="P160" s="81"/>
      <c r="Q160" s="81"/>
      <c r="R160" s="153">
        <f>+N160</f>
        <v>120000</v>
      </c>
      <c r="S160" s="153">
        <f>+R160-'Resumen presupuesto ejecutado'!D129/1000</f>
        <v>0</v>
      </c>
    </row>
    <row r="161" ht="12.75"/>
    <row r="162" spans="1:17" ht="12.75">
      <c r="A162" s="918" t="s">
        <v>420</v>
      </c>
      <c r="B162" s="918"/>
      <c r="C162" s="918"/>
      <c r="D162" s="918"/>
      <c r="E162" s="918"/>
      <c r="F162" s="918"/>
      <c r="G162" s="918"/>
      <c r="H162" s="918"/>
      <c r="I162" s="918"/>
      <c r="J162" s="918"/>
      <c r="K162" s="918"/>
      <c r="L162" s="918"/>
      <c r="M162" s="918"/>
      <c r="N162" s="918"/>
      <c r="O162" s="918"/>
      <c r="P162" s="918"/>
      <c r="Q162" s="918"/>
    </row>
    <row r="163" spans="1:20" s="39" customFormat="1" ht="16.5" thickBot="1">
      <c r="A163" s="891" t="s">
        <v>609</v>
      </c>
      <c r="B163" s="891"/>
      <c r="C163" s="891"/>
      <c r="D163" s="891"/>
      <c r="E163" s="891"/>
      <c r="F163" s="891"/>
      <c r="G163" s="891"/>
      <c r="H163" s="891"/>
      <c r="I163" s="891"/>
      <c r="J163" s="891"/>
      <c r="K163" s="891"/>
      <c r="L163" s="891"/>
      <c r="M163" s="891"/>
      <c r="N163" s="891"/>
      <c r="O163" s="891"/>
      <c r="P163" s="891"/>
      <c r="Q163" s="891"/>
      <c r="R163" s="184"/>
      <c r="S163" s="184"/>
      <c r="T163" s="184"/>
    </row>
    <row r="164" spans="3:20" s="39" customFormat="1" ht="13.5" thickBot="1">
      <c r="C164" s="38"/>
      <c r="D164" s="38"/>
      <c r="N164" s="755"/>
      <c r="O164" s="755"/>
      <c r="P164" s="892" t="s">
        <v>158</v>
      </c>
      <c r="Q164" s="893"/>
      <c r="R164" s="184"/>
      <c r="S164" s="184"/>
      <c r="T164" s="184"/>
    </row>
    <row r="165" spans="1:17" ht="12.75">
      <c r="A165" s="917" t="s">
        <v>76</v>
      </c>
      <c r="B165" s="917"/>
      <c r="C165" s="917"/>
      <c r="D165" s="917"/>
      <c r="E165" s="917"/>
      <c r="F165" s="917"/>
      <c r="P165" s="889" t="s">
        <v>74</v>
      </c>
      <c r="Q165" s="889"/>
    </row>
    <row r="166" spans="1:17" ht="12.75">
      <c r="A166" s="917" t="s">
        <v>77</v>
      </c>
      <c r="B166" s="890"/>
      <c r="C166" s="890"/>
      <c r="D166" s="890"/>
      <c r="E166" s="890"/>
      <c r="F166" s="890"/>
      <c r="P166" s="890" t="s">
        <v>124</v>
      </c>
      <c r="Q166" s="890"/>
    </row>
    <row r="167" spans="1:16" ht="12.75">
      <c r="A167" s="917" t="s">
        <v>808</v>
      </c>
      <c r="B167" s="890"/>
      <c r="C167" s="890"/>
      <c r="D167" s="890"/>
      <c r="E167" s="890"/>
      <c r="F167" s="890"/>
      <c r="G167" s="38" t="s">
        <v>72</v>
      </c>
      <c r="I167" s="41">
        <v>38718</v>
      </c>
      <c r="P167" s="38" t="s">
        <v>123</v>
      </c>
    </row>
    <row r="168" ht="12.75"/>
    <row r="169" ht="13.5" thickBot="1"/>
    <row r="170" spans="1:17" ht="13.5" thickBot="1">
      <c r="A170" s="42" t="s">
        <v>424</v>
      </c>
      <c r="B170" s="43"/>
      <c r="C170" s="43" t="s">
        <v>559</v>
      </c>
      <c r="D170" s="43"/>
      <c r="E170" s="43"/>
      <c r="F170" s="45"/>
      <c r="G170" s="880" t="s">
        <v>425</v>
      </c>
      <c r="H170" s="881"/>
      <c r="I170" s="881"/>
      <c r="J170" s="881"/>
      <c r="K170" s="881"/>
      <c r="L170" s="881"/>
      <c r="M170" s="881"/>
      <c r="N170" s="881"/>
      <c r="O170" s="882"/>
      <c r="P170" s="880" t="s">
        <v>426</v>
      </c>
      <c r="Q170" s="882"/>
    </row>
    <row r="171" spans="1:17" ht="31.5" customHeight="1">
      <c r="A171" s="46" t="s">
        <v>422</v>
      </c>
      <c r="B171" s="47"/>
      <c r="C171" s="47" t="s">
        <v>809</v>
      </c>
      <c r="D171" s="47"/>
      <c r="E171" s="47"/>
      <c r="F171" s="49"/>
      <c r="G171" s="922" t="s">
        <v>461</v>
      </c>
      <c r="H171" s="923"/>
      <c r="I171" s="923"/>
      <c r="J171" s="923"/>
      <c r="K171" s="923"/>
      <c r="L171" s="923"/>
      <c r="M171" s="923"/>
      <c r="N171" s="923"/>
      <c r="O171" s="924"/>
      <c r="P171" s="50"/>
      <c r="Q171" s="14" t="s">
        <v>838</v>
      </c>
    </row>
    <row r="172" spans="1:17" ht="21.75" customHeight="1" thickBot="1">
      <c r="A172" s="51" t="s">
        <v>423</v>
      </c>
      <c r="B172" s="52"/>
      <c r="C172" s="52" t="s">
        <v>228</v>
      </c>
      <c r="D172" s="52"/>
      <c r="E172" s="52"/>
      <c r="F172" s="54"/>
      <c r="G172" s="925"/>
      <c r="H172" s="926"/>
      <c r="I172" s="926"/>
      <c r="J172" s="926"/>
      <c r="K172" s="926"/>
      <c r="L172" s="926"/>
      <c r="M172" s="926"/>
      <c r="N172" s="926"/>
      <c r="O172" s="927"/>
      <c r="P172" s="55"/>
      <c r="Q172" s="56"/>
    </row>
    <row r="173" spans="1:2" ht="13.5" thickBot="1">
      <c r="A173" s="38" t="s">
        <v>73</v>
      </c>
      <c r="B173" s="57"/>
    </row>
    <row r="174" spans="1:17" ht="12.75">
      <c r="A174" s="872" t="s">
        <v>431</v>
      </c>
      <c r="B174" s="873"/>
      <c r="C174" s="873"/>
      <c r="D174" s="873"/>
      <c r="E174" s="873"/>
      <c r="F174" s="874"/>
      <c r="G174" s="872" t="s">
        <v>427</v>
      </c>
      <c r="H174" s="873"/>
      <c r="I174" s="873"/>
      <c r="J174" s="873"/>
      <c r="K174" s="873"/>
      <c r="L174" s="873"/>
      <c r="M174" s="873"/>
      <c r="N174" s="873"/>
      <c r="O174" s="874"/>
      <c r="P174" s="875" t="s">
        <v>428</v>
      </c>
      <c r="Q174" s="874" t="s">
        <v>429</v>
      </c>
    </row>
    <row r="175" spans="1:17" ht="13.5" thickBot="1">
      <c r="A175" s="61"/>
      <c r="B175" s="62"/>
      <c r="C175" s="62"/>
      <c r="D175" s="62"/>
      <c r="E175" s="62"/>
      <c r="F175" s="64"/>
      <c r="G175" s="61"/>
      <c r="H175" s="62"/>
      <c r="I175" s="62"/>
      <c r="J175" s="62"/>
      <c r="K175" s="62"/>
      <c r="L175" s="62"/>
      <c r="M175" s="62"/>
      <c r="N175" s="756"/>
      <c r="O175" s="757"/>
      <c r="P175" s="876"/>
      <c r="Q175" s="877"/>
    </row>
    <row r="176" spans="1:17" ht="51.75" thickBot="1">
      <c r="A176" s="35" t="s">
        <v>430</v>
      </c>
      <c r="B176" s="90" t="s">
        <v>432</v>
      </c>
      <c r="C176" s="142" t="s">
        <v>433</v>
      </c>
      <c r="D176" s="143" t="s">
        <v>434</v>
      </c>
      <c r="E176" s="144" t="s">
        <v>435</v>
      </c>
      <c r="F176" s="144" t="s">
        <v>446</v>
      </c>
      <c r="G176" s="67" t="s">
        <v>436</v>
      </c>
      <c r="H176" s="68" t="s">
        <v>437</v>
      </c>
      <c r="I176" s="68" t="s">
        <v>438</v>
      </c>
      <c r="J176" s="68" t="s">
        <v>439</v>
      </c>
      <c r="K176" s="68" t="s">
        <v>440</v>
      </c>
      <c r="L176" s="68" t="s">
        <v>441</v>
      </c>
      <c r="M176" s="68" t="s">
        <v>442</v>
      </c>
      <c r="N176" s="758" t="s">
        <v>443</v>
      </c>
      <c r="O176" s="759" t="s">
        <v>444</v>
      </c>
      <c r="P176" s="900"/>
      <c r="Q176" s="901"/>
    </row>
    <row r="177" spans="1:17" ht="85.5" customHeight="1">
      <c r="A177" s="105">
        <v>1</v>
      </c>
      <c r="B177" s="92" t="s">
        <v>141</v>
      </c>
      <c r="C177" s="249">
        <v>800</v>
      </c>
      <c r="D177" s="249">
        <f>450+160+250</f>
        <v>860</v>
      </c>
      <c r="E177" s="93">
        <f>+D177/C177</f>
        <v>1.075</v>
      </c>
      <c r="F177" s="149">
        <f>60/55</f>
        <v>1.0909090909090908</v>
      </c>
      <c r="G177" s="107">
        <v>149261.685</v>
      </c>
      <c r="H177" s="107"/>
      <c r="I177" s="107"/>
      <c r="J177" s="107"/>
      <c r="K177" s="107"/>
      <c r="L177" s="107"/>
      <c r="M177" s="107"/>
      <c r="N177" s="777">
        <f>G177+I177+J177+H177+K177</f>
        <v>149261.685</v>
      </c>
      <c r="O177" s="777">
        <f>134861.679-6.965</f>
        <v>134854.714</v>
      </c>
      <c r="P177" s="697" t="s">
        <v>611</v>
      </c>
      <c r="Q177" s="116"/>
    </row>
    <row r="178" spans="1:20" ht="45" customHeight="1">
      <c r="A178" s="73">
        <v>2</v>
      </c>
      <c r="B178" s="118" t="s">
        <v>386</v>
      </c>
      <c r="C178" s="164">
        <v>150</v>
      </c>
      <c r="D178" s="164">
        <v>250</v>
      </c>
      <c r="E178" s="88">
        <f>D178/C178</f>
        <v>1.6666666666666667</v>
      </c>
      <c r="F178" s="88">
        <f>60/55</f>
        <v>1.0909090909090908</v>
      </c>
      <c r="G178" s="95">
        <v>16820.004</v>
      </c>
      <c r="H178" s="95"/>
      <c r="I178" s="95"/>
      <c r="J178" s="95"/>
      <c r="K178" s="95"/>
      <c r="L178" s="95"/>
      <c r="M178" s="95"/>
      <c r="N178" s="765">
        <f>G178+I178+J178</f>
        <v>16820.004</v>
      </c>
      <c r="O178" s="765">
        <v>16820.004</v>
      </c>
      <c r="P178" s="697" t="s">
        <v>611</v>
      </c>
      <c r="Q178" s="73"/>
      <c r="T178" s="153">
        <f>100+190+192</f>
        <v>482</v>
      </c>
    </row>
    <row r="179" spans="1:20" ht="25.5">
      <c r="A179" s="73">
        <v>3</v>
      </c>
      <c r="B179" s="118" t="s">
        <v>682</v>
      </c>
      <c r="C179" s="111">
        <v>50</v>
      </c>
      <c r="D179" s="111">
        <v>0</v>
      </c>
      <c r="E179" s="88">
        <f>D179/C179</f>
        <v>0</v>
      </c>
      <c r="F179" s="88">
        <f>60/55</f>
        <v>1.0909090909090908</v>
      </c>
      <c r="G179" s="73"/>
      <c r="H179" s="151">
        <v>9000</v>
      </c>
      <c r="I179" s="73"/>
      <c r="J179" s="73"/>
      <c r="K179" s="73"/>
      <c r="L179" s="73"/>
      <c r="M179" s="73"/>
      <c r="N179" s="765">
        <f>G179+I179+J179+H179</f>
        <v>9000</v>
      </c>
      <c r="O179" s="89">
        <v>0</v>
      </c>
      <c r="P179" s="73"/>
      <c r="Q179" s="73"/>
      <c r="T179" s="153">
        <f>70+75+103</f>
        <v>248</v>
      </c>
    </row>
    <row r="180" spans="1:22" ht="12.75">
      <c r="A180" s="73"/>
      <c r="B180" s="74"/>
      <c r="C180" s="111"/>
      <c r="D180" s="73"/>
      <c r="E180" s="73"/>
      <c r="F180" s="73"/>
      <c r="G180" s="73"/>
      <c r="H180" s="73"/>
      <c r="I180" s="73"/>
      <c r="J180" s="73"/>
      <c r="K180" s="73"/>
      <c r="L180" s="73"/>
      <c r="M180" s="73"/>
      <c r="N180" s="89"/>
      <c r="O180" s="89"/>
      <c r="P180" s="73"/>
      <c r="Q180" s="73"/>
      <c r="T180" s="153">
        <v>196</v>
      </c>
      <c r="U180" s="96">
        <f>+T178+T179+T181</f>
        <v>1121</v>
      </c>
      <c r="V180" s="96">
        <f>+U180-1320</f>
        <v>-199</v>
      </c>
    </row>
    <row r="181" spans="1:20" ht="12.75">
      <c r="A181" s="73"/>
      <c r="B181" s="74"/>
      <c r="C181" s="111"/>
      <c r="D181" s="73"/>
      <c r="E181" s="73"/>
      <c r="F181" s="73"/>
      <c r="G181" s="73"/>
      <c r="H181" s="73"/>
      <c r="I181" s="73"/>
      <c r="J181" s="73"/>
      <c r="K181" s="73"/>
      <c r="L181" s="73"/>
      <c r="M181" s="73"/>
      <c r="N181" s="89"/>
      <c r="O181" s="767"/>
      <c r="P181" s="73"/>
      <c r="Q181" s="73"/>
      <c r="T181" s="153">
        <f>174+217</f>
        <v>391</v>
      </c>
    </row>
    <row r="182" spans="1:20" ht="12.75">
      <c r="A182" s="73"/>
      <c r="B182" s="74"/>
      <c r="C182" s="73"/>
      <c r="D182" s="73"/>
      <c r="E182" s="73"/>
      <c r="F182" s="73"/>
      <c r="G182" s="73"/>
      <c r="H182" s="73"/>
      <c r="I182" s="73"/>
      <c r="J182" s="73"/>
      <c r="K182" s="73"/>
      <c r="L182" s="73"/>
      <c r="M182" s="73"/>
      <c r="N182" s="767"/>
      <c r="O182" s="89"/>
      <c r="P182" s="73"/>
      <c r="Q182" s="73"/>
      <c r="T182" s="153">
        <f>+T178+T179+T180+T181</f>
        <v>1317</v>
      </c>
    </row>
    <row r="183" spans="1:17" ht="12.75">
      <c r="A183" s="73"/>
      <c r="B183" s="73"/>
      <c r="C183" s="73"/>
      <c r="D183" s="73"/>
      <c r="E183" s="73"/>
      <c r="F183" s="73"/>
      <c r="G183" s="73"/>
      <c r="H183" s="73"/>
      <c r="I183" s="73"/>
      <c r="J183" s="73"/>
      <c r="K183" s="73"/>
      <c r="L183" s="73"/>
      <c r="M183" s="73"/>
      <c r="N183" s="89"/>
      <c r="O183" s="89"/>
      <c r="P183" s="73"/>
      <c r="Q183" s="73"/>
    </row>
    <row r="184" spans="1:17" ht="12.75">
      <c r="A184" s="73"/>
      <c r="B184" s="73"/>
      <c r="C184" s="73"/>
      <c r="D184" s="73"/>
      <c r="E184" s="73"/>
      <c r="F184" s="73"/>
      <c r="G184" s="73"/>
      <c r="H184" s="73"/>
      <c r="I184" s="73"/>
      <c r="J184" s="73"/>
      <c r="K184" s="73"/>
      <c r="L184" s="73"/>
      <c r="M184" s="73"/>
      <c r="N184" s="89"/>
      <c r="O184" s="89"/>
      <c r="P184" s="73"/>
      <c r="Q184" s="73"/>
    </row>
    <row r="185" spans="1:17" ht="12.75">
      <c r="A185" s="73"/>
      <c r="B185" s="73"/>
      <c r="C185" s="73"/>
      <c r="D185" s="73"/>
      <c r="E185" s="73"/>
      <c r="F185" s="73"/>
      <c r="G185" s="73"/>
      <c r="H185" s="73"/>
      <c r="I185" s="73"/>
      <c r="J185" s="73"/>
      <c r="K185" s="73"/>
      <c r="L185" s="73"/>
      <c r="M185" s="73"/>
      <c r="N185" s="89"/>
      <c r="O185" s="89"/>
      <c r="P185" s="73"/>
      <c r="Q185" s="73"/>
    </row>
    <row r="186" spans="1:17" ht="12.75">
      <c r="A186" s="73"/>
      <c r="B186" s="73"/>
      <c r="C186" s="73"/>
      <c r="D186" s="73"/>
      <c r="E186" s="73"/>
      <c r="F186" s="73"/>
      <c r="G186" s="73"/>
      <c r="H186" s="73"/>
      <c r="I186" s="73"/>
      <c r="J186" s="73"/>
      <c r="K186" s="73"/>
      <c r="L186" s="73"/>
      <c r="M186" s="73"/>
      <c r="N186" s="89"/>
      <c r="O186" s="89"/>
      <c r="P186" s="73"/>
      <c r="Q186" s="73"/>
    </row>
    <row r="187" spans="1:17" ht="12.75">
      <c r="A187" s="73"/>
      <c r="B187" s="73"/>
      <c r="C187" s="73"/>
      <c r="D187" s="73"/>
      <c r="E187" s="73"/>
      <c r="F187" s="73"/>
      <c r="G187" s="73"/>
      <c r="H187" s="73"/>
      <c r="I187" s="73"/>
      <c r="J187" s="73"/>
      <c r="K187" s="73"/>
      <c r="L187" s="73"/>
      <c r="M187" s="73"/>
      <c r="N187" s="89"/>
      <c r="O187" s="89"/>
      <c r="P187" s="73"/>
      <c r="Q187" s="73"/>
    </row>
    <row r="188" spans="1:17" ht="12.75">
      <c r="A188" s="73"/>
      <c r="B188" s="73"/>
      <c r="C188" s="73"/>
      <c r="D188" s="73"/>
      <c r="E188" s="73"/>
      <c r="F188" s="73"/>
      <c r="G188" s="73"/>
      <c r="H188" s="73"/>
      <c r="I188" s="73"/>
      <c r="J188" s="73"/>
      <c r="K188" s="73"/>
      <c r="L188" s="73"/>
      <c r="M188" s="73"/>
      <c r="N188" s="89"/>
      <c r="O188" s="89"/>
      <c r="P188" s="73"/>
      <c r="Q188" s="73"/>
    </row>
    <row r="189" spans="1:17" ht="12.75">
      <c r="A189" s="73"/>
      <c r="B189" s="73"/>
      <c r="C189" s="73"/>
      <c r="D189" s="73"/>
      <c r="E189" s="73"/>
      <c r="F189" s="73"/>
      <c r="G189" s="73"/>
      <c r="H189" s="73"/>
      <c r="I189" s="73"/>
      <c r="J189" s="73"/>
      <c r="K189" s="73"/>
      <c r="L189" s="73"/>
      <c r="M189" s="73"/>
      <c r="N189" s="89"/>
      <c r="O189" s="89"/>
      <c r="P189" s="73"/>
      <c r="Q189" s="73"/>
    </row>
    <row r="190" spans="1:17" ht="12.75">
      <c r="A190" s="73"/>
      <c r="B190" s="73"/>
      <c r="C190" s="73"/>
      <c r="D190" s="73"/>
      <c r="E190" s="73"/>
      <c r="F190" s="73"/>
      <c r="G190" s="73"/>
      <c r="H190" s="73"/>
      <c r="I190" s="73"/>
      <c r="J190" s="73"/>
      <c r="K190" s="73"/>
      <c r="L190" s="73"/>
      <c r="M190" s="73"/>
      <c r="N190" s="89"/>
      <c r="O190" s="89"/>
      <c r="P190" s="73"/>
      <c r="Q190" s="73"/>
    </row>
    <row r="191" spans="1:17" ht="12.75">
      <c r="A191" s="73"/>
      <c r="B191" s="73"/>
      <c r="C191" s="73"/>
      <c r="D191" s="73"/>
      <c r="E191" s="73"/>
      <c r="F191" s="73"/>
      <c r="G191" s="73"/>
      <c r="H191" s="73"/>
      <c r="I191" s="73"/>
      <c r="J191" s="73"/>
      <c r="K191" s="73"/>
      <c r="L191" s="73"/>
      <c r="M191" s="73"/>
      <c r="N191" s="89"/>
      <c r="O191" s="89"/>
      <c r="P191" s="73"/>
      <c r="Q191" s="73"/>
    </row>
    <row r="192" spans="1:17" ht="13.5" thickBot="1">
      <c r="A192" s="81"/>
      <c r="B192" s="82" t="s">
        <v>445</v>
      </c>
      <c r="C192" s="81"/>
      <c r="D192" s="81"/>
      <c r="E192" s="81"/>
      <c r="F192" s="81"/>
      <c r="G192" s="120">
        <f>SUM(G177:G191)</f>
        <v>166081.689</v>
      </c>
      <c r="H192" s="120">
        <f aca="true" t="shared" si="4" ref="H192:M192">SUM(H177:H191)</f>
        <v>9000</v>
      </c>
      <c r="I192" s="120">
        <f t="shared" si="4"/>
        <v>0</v>
      </c>
      <c r="J192" s="120">
        <f t="shared" si="4"/>
        <v>0</v>
      </c>
      <c r="K192" s="120">
        <f t="shared" si="4"/>
        <v>0</v>
      </c>
      <c r="L192" s="120">
        <f t="shared" si="4"/>
        <v>0</v>
      </c>
      <c r="M192" s="120">
        <f t="shared" si="4"/>
        <v>0</v>
      </c>
      <c r="N192" s="762">
        <f>SUM(N177:N191)</f>
        <v>175081.689</v>
      </c>
      <c r="O192" s="762">
        <f>SUM(O177:O191)</f>
        <v>151674.718</v>
      </c>
      <c r="P192" s="81"/>
      <c r="Q192" s="81"/>
    </row>
    <row r="193" ht="12.75">
      <c r="O193" s="362"/>
    </row>
    <row r="194" spans="1:17" ht="12.75">
      <c r="A194" s="918" t="s">
        <v>420</v>
      </c>
      <c r="B194" s="918"/>
      <c r="C194" s="918"/>
      <c r="D194" s="918"/>
      <c r="E194" s="918"/>
      <c r="F194" s="918"/>
      <c r="G194" s="918"/>
      <c r="H194" s="918"/>
      <c r="I194" s="918"/>
      <c r="J194" s="918"/>
      <c r="K194" s="918"/>
      <c r="L194" s="918"/>
      <c r="M194" s="918"/>
      <c r="N194" s="918"/>
      <c r="O194" s="918"/>
      <c r="P194" s="918"/>
      <c r="Q194" s="918"/>
    </row>
    <row r="195" spans="1:20" s="39" customFormat="1" ht="16.5" thickBot="1">
      <c r="A195" s="891" t="s">
        <v>609</v>
      </c>
      <c r="B195" s="891"/>
      <c r="C195" s="891"/>
      <c r="D195" s="891"/>
      <c r="E195" s="891"/>
      <c r="F195" s="891"/>
      <c r="G195" s="891"/>
      <c r="H195" s="891"/>
      <c r="I195" s="891"/>
      <c r="J195" s="891"/>
      <c r="K195" s="891"/>
      <c r="L195" s="891"/>
      <c r="M195" s="891"/>
      <c r="N195" s="891"/>
      <c r="O195" s="891"/>
      <c r="P195" s="891"/>
      <c r="Q195" s="891"/>
      <c r="R195" s="184"/>
      <c r="S195" s="184"/>
      <c r="T195" s="184"/>
    </row>
    <row r="196" spans="3:20" s="39" customFormat="1" ht="13.5" thickBot="1">
      <c r="C196" s="38"/>
      <c r="D196" s="38"/>
      <c r="N196" s="755"/>
      <c r="O196" s="755"/>
      <c r="P196" s="892" t="s">
        <v>159</v>
      </c>
      <c r="Q196" s="893"/>
      <c r="R196" s="184"/>
      <c r="S196" s="184"/>
      <c r="T196" s="184"/>
    </row>
    <row r="197" spans="1:17" ht="12.75">
      <c r="A197" s="917" t="s">
        <v>76</v>
      </c>
      <c r="B197" s="917"/>
      <c r="C197" s="917"/>
      <c r="D197" s="917"/>
      <c r="E197" s="917"/>
      <c r="F197" s="917"/>
      <c r="P197" s="889" t="s">
        <v>74</v>
      </c>
      <c r="Q197" s="889"/>
    </row>
    <row r="198" spans="1:17" ht="12.75">
      <c r="A198" s="917" t="s">
        <v>77</v>
      </c>
      <c r="B198" s="890"/>
      <c r="C198" s="890"/>
      <c r="D198" s="890"/>
      <c r="E198" s="890"/>
      <c r="F198" s="890"/>
      <c r="P198" s="890" t="s">
        <v>124</v>
      </c>
      <c r="Q198" s="890"/>
    </row>
    <row r="199" spans="1:16" ht="12.75">
      <c r="A199" s="917" t="s">
        <v>808</v>
      </c>
      <c r="B199" s="890"/>
      <c r="C199" s="890"/>
      <c r="D199" s="890"/>
      <c r="E199" s="890"/>
      <c r="F199" s="890"/>
      <c r="G199" s="38" t="s">
        <v>72</v>
      </c>
      <c r="I199" s="41">
        <v>39083</v>
      </c>
      <c r="P199" s="38" t="s">
        <v>123</v>
      </c>
    </row>
    <row r="200" ht="12.75"/>
    <row r="201" ht="13.5" thickBot="1"/>
    <row r="202" spans="1:17" ht="13.5" thickBot="1">
      <c r="A202" s="42" t="s">
        <v>424</v>
      </c>
      <c r="B202" s="43"/>
      <c r="C202" s="43" t="s">
        <v>559</v>
      </c>
      <c r="D202" s="43"/>
      <c r="E202" s="43"/>
      <c r="F202" s="45"/>
      <c r="G202" s="880" t="s">
        <v>425</v>
      </c>
      <c r="H202" s="881"/>
      <c r="I202" s="881"/>
      <c r="J202" s="881"/>
      <c r="K202" s="881"/>
      <c r="L202" s="881"/>
      <c r="M202" s="881"/>
      <c r="N202" s="881"/>
      <c r="O202" s="881"/>
      <c r="P202" s="880" t="s">
        <v>426</v>
      </c>
      <c r="Q202" s="882"/>
    </row>
    <row r="203" spans="1:17" ht="29.25" customHeight="1">
      <c r="A203" s="46" t="s">
        <v>422</v>
      </c>
      <c r="B203" s="47"/>
      <c r="C203" s="47" t="s">
        <v>809</v>
      </c>
      <c r="D203" s="47"/>
      <c r="E203" s="47"/>
      <c r="F203" s="49"/>
      <c r="G203" s="883" t="s">
        <v>462</v>
      </c>
      <c r="H203" s="884"/>
      <c r="I203" s="884"/>
      <c r="J203" s="884"/>
      <c r="K203" s="884"/>
      <c r="L203" s="884"/>
      <c r="M203" s="884"/>
      <c r="N203" s="884"/>
      <c r="O203" s="885"/>
      <c r="P203" s="50"/>
      <c r="Q203" s="157" t="s">
        <v>839</v>
      </c>
    </row>
    <row r="204" spans="1:17" ht="31.5" customHeight="1" thickBot="1">
      <c r="A204" s="51" t="s">
        <v>423</v>
      </c>
      <c r="B204" s="52"/>
      <c r="C204" s="928" t="s">
        <v>227</v>
      </c>
      <c r="D204" s="928"/>
      <c r="E204" s="928"/>
      <c r="F204" s="929"/>
      <c r="G204" s="886"/>
      <c r="H204" s="887"/>
      <c r="I204" s="887"/>
      <c r="J204" s="887"/>
      <c r="K204" s="887"/>
      <c r="L204" s="887"/>
      <c r="M204" s="887"/>
      <c r="N204" s="887"/>
      <c r="O204" s="888"/>
      <c r="P204" s="55"/>
      <c r="Q204" s="158"/>
    </row>
    <row r="205" spans="1:2" ht="13.5" thickBot="1">
      <c r="A205" s="38" t="s">
        <v>73</v>
      </c>
      <c r="B205" s="57"/>
    </row>
    <row r="206" spans="1:17" ht="12.75">
      <c r="A206" s="872" t="s">
        <v>431</v>
      </c>
      <c r="B206" s="873"/>
      <c r="C206" s="873"/>
      <c r="D206" s="873"/>
      <c r="E206" s="873"/>
      <c r="F206" s="874"/>
      <c r="G206" s="872" t="s">
        <v>427</v>
      </c>
      <c r="H206" s="873"/>
      <c r="I206" s="873"/>
      <c r="J206" s="873"/>
      <c r="K206" s="873"/>
      <c r="L206" s="873"/>
      <c r="M206" s="873"/>
      <c r="N206" s="873"/>
      <c r="O206" s="874"/>
      <c r="P206" s="875" t="s">
        <v>428</v>
      </c>
      <c r="Q206" s="874" t="s">
        <v>429</v>
      </c>
    </row>
    <row r="207" spans="1:17" ht="13.5" thickBot="1">
      <c r="A207" s="61"/>
      <c r="B207" s="62"/>
      <c r="C207" s="62"/>
      <c r="D207" s="62"/>
      <c r="E207" s="62"/>
      <c r="F207" s="64"/>
      <c r="G207" s="61"/>
      <c r="H207" s="62"/>
      <c r="I207" s="62"/>
      <c r="J207" s="62"/>
      <c r="K207" s="62"/>
      <c r="L207" s="62"/>
      <c r="M207" s="62"/>
      <c r="N207" s="756"/>
      <c r="O207" s="757"/>
      <c r="P207" s="876"/>
      <c r="Q207" s="877"/>
    </row>
    <row r="208" spans="1:17" ht="51.75" thickBot="1">
      <c r="A208" s="141" t="s">
        <v>430</v>
      </c>
      <c r="B208" s="142" t="s">
        <v>432</v>
      </c>
      <c r="C208" s="143" t="s">
        <v>433</v>
      </c>
      <c r="D208" s="143" t="s">
        <v>434</v>
      </c>
      <c r="E208" s="144" t="s">
        <v>435</v>
      </c>
      <c r="F208" s="145" t="s">
        <v>446</v>
      </c>
      <c r="G208" s="146" t="s">
        <v>436</v>
      </c>
      <c r="H208" s="147" t="s">
        <v>437</v>
      </c>
      <c r="I208" s="147" t="s">
        <v>438</v>
      </c>
      <c r="J208" s="147" t="s">
        <v>439</v>
      </c>
      <c r="K208" s="147" t="s">
        <v>440</v>
      </c>
      <c r="L208" s="147" t="s">
        <v>441</v>
      </c>
      <c r="M208" s="147" t="s">
        <v>442</v>
      </c>
      <c r="N208" s="763" t="s">
        <v>443</v>
      </c>
      <c r="O208" s="764" t="s">
        <v>444</v>
      </c>
      <c r="P208" s="900"/>
      <c r="Q208" s="901"/>
    </row>
    <row r="209" spans="1:17" ht="38.25" hidden="1">
      <c r="A209" s="105">
        <v>1</v>
      </c>
      <c r="B209" s="92" t="s">
        <v>50</v>
      </c>
      <c r="C209" s="155">
        <v>0</v>
      </c>
      <c r="D209" s="159">
        <v>0</v>
      </c>
      <c r="E209" s="93">
        <v>0</v>
      </c>
      <c r="F209" s="71">
        <v>0</v>
      </c>
      <c r="G209" s="76"/>
      <c r="H209" s="116"/>
      <c r="I209" s="119"/>
      <c r="J209" s="119"/>
      <c r="K209" s="116"/>
      <c r="L209" s="116"/>
      <c r="M209" s="116"/>
      <c r="N209" s="771">
        <f>G209+I209+J209</f>
        <v>0</v>
      </c>
      <c r="O209" s="121">
        <v>0</v>
      </c>
      <c r="P209" s="69"/>
      <c r="Q209" s="69"/>
    </row>
    <row r="210" spans="1:17" ht="43.5" customHeight="1">
      <c r="A210" s="73">
        <v>1</v>
      </c>
      <c r="B210" s="74" t="s">
        <v>142</v>
      </c>
      <c r="C210" s="828">
        <f>11770+(14980*5%)</f>
        <v>12519</v>
      </c>
      <c r="D210" s="828">
        <f>11770+(14980*5%)</f>
        <v>12519</v>
      </c>
      <c r="E210" s="748">
        <f>+D210/C210</f>
        <v>1</v>
      </c>
      <c r="F210" s="748">
        <f>1/1</f>
        <v>1</v>
      </c>
      <c r="G210" s="95">
        <v>25280.8</v>
      </c>
      <c r="H210" s="95"/>
      <c r="I210" s="151">
        <v>36491.856</v>
      </c>
      <c r="J210" s="73"/>
      <c r="K210" s="73"/>
      <c r="L210" s="73"/>
      <c r="M210" s="151"/>
      <c r="N210" s="761">
        <f>SUM(G210:M210)</f>
        <v>61772.656</v>
      </c>
      <c r="O210" s="761">
        <v>61772.656</v>
      </c>
      <c r="P210" s="697" t="s">
        <v>611</v>
      </c>
      <c r="Q210" s="73"/>
    </row>
    <row r="211" spans="1:19" ht="67.5" customHeight="1">
      <c r="A211" s="73">
        <v>2</v>
      </c>
      <c r="B211" s="118" t="s">
        <v>143</v>
      </c>
      <c r="C211" s="164">
        <f>11770+(14980*5%)</f>
        <v>12519</v>
      </c>
      <c r="D211" s="164">
        <f>11770+(14980*5%)</f>
        <v>12519</v>
      </c>
      <c r="E211" s="748">
        <f>+D211/C211</f>
        <v>1</v>
      </c>
      <c r="F211" s="754">
        <v>1</v>
      </c>
      <c r="G211" s="95"/>
      <c r="H211" s="95"/>
      <c r="I211" s="151">
        <v>230000</v>
      </c>
      <c r="J211" s="73"/>
      <c r="K211" s="73"/>
      <c r="L211" s="73"/>
      <c r="M211" s="73"/>
      <c r="N211" s="761">
        <f>SUM(G211:M211)</f>
        <v>230000</v>
      </c>
      <c r="O211" s="765">
        <v>230000</v>
      </c>
      <c r="P211" s="697" t="s">
        <v>611</v>
      </c>
      <c r="Q211" s="73"/>
      <c r="S211" s="153">
        <v>26750</v>
      </c>
    </row>
    <row r="212" spans="1:20" ht="12.75">
      <c r="A212" s="73"/>
      <c r="B212" s="118"/>
      <c r="C212" s="111"/>
      <c r="D212" s="73"/>
      <c r="E212" s="73"/>
      <c r="F212" s="73"/>
      <c r="G212" s="73"/>
      <c r="H212" s="95"/>
      <c r="I212" s="73"/>
      <c r="J212" s="73"/>
      <c r="K212" s="73"/>
      <c r="L212" s="73"/>
      <c r="M212" s="73"/>
      <c r="N212" s="89"/>
      <c r="O212" s="89"/>
      <c r="P212" s="73"/>
      <c r="Q212" s="73"/>
      <c r="S212" s="153">
        <f>2432+2155+52+65+2202+1968+48+42+1257+1076+23+227+168+55</f>
        <v>11770</v>
      </c>
      <c r="T212" s="153" t="s">
        <v>683</v>
      </c>
    </row>
    <row r="213" spans="1:20" ht="12.75">
      <c r="A213" s="73"/>
      <c r="B213" s="74"/>
      <c r="C213" s="111"/>
      <c r="D213" s="73"/>
      <c r="E213" s="73"/>
      <c r="F213" s="73"/>
      <c r="G213" s="73"/>
      <c r="H213" s="73"/>
      <c r="I213" s="73"/>
      <c r="J213" s="73"/>
      <c r="K213" s="73"/>
      <c r="L213" s="73"/>
      <c r="M213" s="73"/>
      <c r="N213" s="89"/>
      <c r="O213" s="89"/>
      <c r="P213" s="73"/>
      <c r="Q213" s="73"/>
      <c r="S213" s="153">
        <f>3805+4165+3027+3232+322+336+48+45</f>
        <v>14980</v>
      </c>
      <c r="T213" s="153" t="s">
        <v>684</v>
      </c>
    </row>
    <row r="214" spans="1:19" ht="12.75">
      <c r="A214" s="73"/>
      <c r="B214" s="74"/>
      <c r="C214" s="111"/>
      <c r="D214" s="73"/>
      <c r="E214" s="73"/>
      <c r="F214" s="73"/>
      <c r="G214" s="73"/>
      <c r="H214" s="73"/>
      <c r="I214" s="73"/>
      <c r="J214" s="73"/>
      <c r="K214" s="73"/>
      <c r="L214" s="73"/>
      <c r="M214" s="73"/>
      <c r="N214" s="89"/>
      <c r="O214" s="89"/>
      <c r="P214" s="73"/>
      <c r="Q214" s="73"/>
      <c r="S214" s="153">
        <f>S212+S213</f>
        <v>26750</v>
      </c>
    </row>
    <row r="215" spans="1:17" ht="12.75">
      <c r="A215" s="73"/>
      <c r="B215" s="74"/>
      <c r="C215" s="73"/>
      <c r="D215" s="73"/>
      <c r="E215" s="73"/>
      <c r="F215" s="73"/>
      <c r="G215" s="73"/>
      <c r="H215" s="73"/>
      <c r="I215" s="73"/>
      <c r="J215" s="73"/>
      <c r="K215" s="73"/>
      <c r="L215" s="73"/>
      <c r="M215" s="73"/>
      <c r="N215" s="89"/>
      <c r="O215" s="89"/>
      <c r="P215" s="73"/>
      <c r="Q215" s="73"/>
    </row>
    <row r="216" spans="1:17" ht="12.75">
      <c r="A216" s="73"/>
      <c r="B216" s="73"/>
      <c r="C216" s="73"/>
      <c r="D216" s="73"/>
      <c r="E216" s="73"/>
      <c r="F216" s="73"/>
      <c r="G216" s="73"/>
      <c r="H216" s="73"/>
      <c r="I216" s="73"/>
      <c r="J216" s="73"/>
      <c r="K216" s="73"/>
      <c r="L216" s="73"/>
      <c r="M216" s="73"/>
      <c r="N216" s="89"/>
      <c r="O216" s="89"/>
      <c r="P216" s="73"/>
      <c r="Q216" s="73"/>
    </row>
    <row r="217" spans="1:17" ht="12.75">
      <c r="A217" s="73"/>
      <c r="B217" s="73"/>
      <c r="C217" s="73"/>
      <c r="D217" s="73"/>
      <c r="E217" s="73"/>
      <c r="F217" s="73"/>
      <c r="G217" s="73"/>
      <c r="H217" s="73"/>
      <c r="I217" s="73"/>
      <c r="J217" s="73"/>
      <c r="K217" s="73"/>
      <c r="L217" s="73"/>
      <c r="M217" s="73"/>
      <c r="N217" s="89"/>
      <c r="O217" s="89"/>
      <c r="P217" s="73"/>
      <c r="Q217" s="73"/>
    </row>
    <row r="218" spans="1:17" ht="12.75">
      <c r="A218" s="73"/>
      <c r="B218" s="73"/>
      <c r="C218" s="73"/>
      <c r="D218" s="73"/>
      <c r="E218" s="73"/>
      <c r="F218" s="73"/>
      <c r="G218" s="73"/>
      <c r="H218" s="73"/>
      <c r="I218" s="73"/>
      <c r="J218" s="73"/>
      <c r="K218" s="73"/>
      <c r="L218" s="73"/>
      <c r="M218" s="73"/>
      <c r="N218" s="89"/>
      <c r="O218" s="89"/>
      <c r="P218" s="73"/>
      <c r="Q218" s="73"/>
    </row>
    <row r="219" spans="1:17" ht="12.75">
      <c r="A219" s="73"/>
      <c r="B219" s="73"/>
      <c r="C219" s="73"/>
      <c r="D219" s="73"/>
      <c r="E219" s="73"/>
      <c r="F219" s="73"/>
      <c r="G219" s="73"/>
      <c r="H219" s="73"/>
      <c r="I219" s="73"/>
      <c r="J219" s="73"/>
      <c r="K219" s="73"/>
      <c r="L219" s="73"/>
      <c r="M219" s="73"/>
      <c r="N219" s="89"/>
      <c r="O219" s="89"/>
      <c r="P219" s="73"/>
      <c r="Q219" s="73"/>
    </row>
    <row r="220" spans="1:17" ht="12.75">
      <c r="A220" s="73"/>
      <c r="B220" s="73"/>
      <c r="C220" s="73"/>
      <c r="D220" s="73"/>
      <c r="E220" s="73"/>
      <c r="F220" s="73"/>
      <c r="G220" s="73"/>
      <c r="H220" s="73"/>
      <c r="I220" s="73"/>
      <c r="J220" s="73"/>
      <c r="K220" s="73"/>
      <c r="L220" s="73"/>
      <c r="M220" s="73"/>
      <c r="N220" s="89"/>
      <c r="O220" s="89"/>
      <c r="P220" s="73"/>
      <c r="Q220" s="73"/>
    </row>
    <row r="221" spans="1:17" ht="12.75">
      <c r="A221" s="73"/>
      <c r="B221" s="73"/>
      <c r="C221" s="73"/>
      <c r="D221" s="73"/>
      <c r="E221" s="73"/>
      <c r="F221" s="73"/>
      <c r="G221" s="73"/>
      <c r="H221" s="73"/>
      <c r="I221" s="73"/>
      <c r="J221" s="73"/>
      <c r="K221" s="73"/>
      <c r="L221" s="73"/>
      <c r="M221" s="73"/>
      <c r="N221" s="89"/>
      <c r="O221" s="89"/>
      <c r="P221" s="73"/>
      <c r="Q221" s="73"/>
    </row>
    <row r="222" spans="1:17" ht="12.75">
      <c r="A222" s="73"/>
      <c r="B222" s="73"/>
      <c r="C222" s="73"/>
      <c r="D222" s="73"/>
      <c r="E222" s="73"/>
      <c r="F222" s="73"/>
      <c r="G222" s="73"/>
      <c r="H222" s="73"/>
      <c r="I222" s="73"/>
      <c r="J222" s="73"/>
      <c r="K222" s="73"/>
      <c r="L222" s="73"/>
      <c r="M222" s="73"/>
      <c r="N222" s="89"/>
      <c r="O222" s="89"/>
      <c r="P222" s="73"/>
      <c r="Q222" s="73"/>
    </row>
    <row r="223" spans="1:17" ht="12.75">
      <c r="A223" s="73"/>
      <c r="B223" s="73"/>
      <c r="C223" s="73"/>
      <c r="D223" s="73"/>
      <c r="E223" s="73"/>
      <c r="F223" s="73"/>
      <c r="G223" s="73"/>
      <c r="H223" s="73"/>
      <c r="I223" s="73"/>
      <c r="J223" s="73"/>
      <c r="K223" s="73"/>
      <c r="L223" s="73"/>
      <c r="M223" s="73"/>
      <c r="N223" s="89"/>
      <c r="O223" s="89"/>
      <c r="P223" s="73"/>
      <c r="Q223" s="73"/>
    </row>
    <row r="224" spans="1:19" ht="12.75">
      <c r="A224" s="73"/>
      <c r="B224" s="73"/>
      <c r="C224" s="73"/>
      <c r="D224" s="73"/>
      <c r="E224" s="73"/>
      <c r="F224" s="73"/>
      <c r="G224" s="73"/>
      <c r="H224" s="73"/>
      <c r="I224" s="73"/>
      <c r="J224" s="73"/>
      <c r="K224" s="73"/>
      <c r="L224" s="73"/>
      <c r="M224" s="73"/>
      <c r="N224" s="89"/>
      <c r="O224" s="89"/>
      <c r="P224" s="73"/>
      <c r="Q224" s="73"/>
      <c r="R224" s="153">
        <f>'Resumen presupuesto ejecutado'!D138/1000</f>
        <v>466854.345</v>
      </c>
      <c r="S224" s="153">
        <f>'Resumen presupuesto ejecutado'!E138/1000</f>
        <v>443447.373</v>
      </c>
    </row>
    <row r="225" spans="1:19" ht="13.5" thickBot="1">
      <c r="A225" s="81"/>
      <c r="B225" s="82" t="s">
        <v>445</v>
      </c>
      <c r="C225" s="81"/>
      <c r="D225" s="81"/>
      <c r="E225" s="81"/>
      <c r="F225" s="81"/>
      <c r="G225" s="84">
        <f>SUM(G209:G224)</f>
        <v>25280.8</v>
      </c>
      <c r="H225" s="84">
        <f aca="true" t="shared" si="5" ref="H225:O225">SUM(H209:H224)</f>
        <v>0</v>
      </c>
      <c r="I225" s="84">
        <f t="shared" si="5"/>
        <v>266491.856</v>
      </c>
      <c r="J225" s="84">
        <f t="shared" si="5"/>
        <v>0</v>
      </c>
      <c r="K225" s="84">
        <f t="shared" si="5"/>
        <v>0</v>
      </c>
      <c r="L225" s="84">
        <f t="shared" si="5"/>
        <v>0</v>
      </c>
      <c r="M225" s="84">
        <f t="shared" si="5"/>
        <v>0</v>
      </c>
      <c r="N225" s="762">
        <f>SUM(N209:N224)</f>
        <v>291772.656</v>
      </c>
      <c r="O225" s="762">
        <f t="shared" si="5"/>
        <v>291772.656</v>
      </c>
      <c r="P225" s="81"/>
      <c r="Q225" s="81"/>
      <c r="R225" s="153">
        <f>+N192+N225</f>
        <v>466854.34500000003</v>
      </c>
      <c r="S225" s="153">
        <f>+O192+O225</f>
        <v>443447.374</v>
      </c>
    </row>
    <row r="226" spans="18:19" ht="12.75">
      <c r="R226" s="153">
        <f>R224-R225</f>
        <v>0</v>
      </c>
      <c r="S226" s="153">
        <f>S224-S225</f>
        <v>-0.0009999999892897904</v>
      </c>
    </row>
    <row r="227" spans="1:19" ht="12.75">
      <c r="A227" s="918" t="s">
        <v>420</v>
      </c>
      <c r="B227" s="918"/>
      <c r="C227" s="918"/>
      <c r="D227" s="918"/>
      <c r="E227" s="918"/>
      <c r="F227" s="918"/>
      <c r="G227" s="918"/>
      <c r="H227" s="918"/>
      <c r="I227" s="918"/>
      <c r="J227" s="918"/>
      <c r="K227" s="918"/>
      <c r="L227" s="918"/>
      <c r="M227" s="918"/>
      <c r="N227" s="918"/>
      <c r="O227" s="918"/>
      <c r="P227" s="918"/>
      <c r="Q227" s="918"/>
      <c r="S227" s="153">
        <f>+S225-S226</f>
        <v>443447.375</v>
      </c>
    </row>
    <row r="228" spans="1:20" s="39" customFormat="1" ht="16.5" thickBot="1">
      <c r="A228" s="891" t="s">
        <v>609</v>
      </c>
      <c r="B228" s="891"/>
      <c r="C228" s="891"/>
      <c r="D228" s="891"/>
      <c r="E228" s="891"/>
      <c r="F228" s="891"/>
      <c r="G228" s="891"/>
      <c r="H228" s="891"/>
      <c r="I228" s="891"/>
      <c r="J228" s="891"/>
      <c r="K228" s="891"/>
      <c r="L228" s="891"/>
      <c r="M228" s="891"/>
      <c r="N228" s="891"/>
      <c r="O228" s="891"/>
      <c r="P228" s="891"/>
      <c r="Q228" s="891"/>
      <c r="R228" s="184"/>
      <c r="S228" s="184"/>
      <c r="T228" s="184"/>
    </row>
    <row r="229" spans="3:20" s="39" customFormat="1" ht="13.5" thickBot="1">
      <c r="C229" s="38"/>
      <c r="D229" s="38"/>
      <c r="N229" s="755"/>
      <c r="O229" s="755"/>
      <c r="P229" s="892" t="s">
        <v>161</v>
      </c>
      <c r="Q229" s="893"/>
      <c r="R229" s="184"/>
      <c r="S229" s="184"/>
      <c r="T229" s="184"/>
    </row>
    <row r="230" spans="1:17" ht="12.75">
      <c r="A230" s="917" t="s">
        <v>76</v>
      </c>
      <c r="B230" s="917"/>
      <c r="C230" s="917"/>
      <c r="D230" s="917"/>
      <c r="E230" s="917"/>
      <c r="F230" s="917"/>
      <c r="P230" s="889" t="s">
        <v>74</v>
      </c>
      <c r="Q230" s="889"/>
    </row>
    <row r="231" spans="1:17" ht="12.75">
      <c r="A231" s="917" t="s">
        <v>77</v>
      </c>
      <c r="B231" s="890"/>
      <c r="C231" s="890"/>
      <c r="D231" s="890"/>
      <c r="E231" s="890"/>
      <c r="F231" s="890"/>
      <c r="L231" s="160"/>
      <c r="P231" s="890" t="s">
        <v>124</v>
      </c>
      <c r="Q231" s="890"/>
    </row>
    <row r="232" spans="1:16" ht="12.75">
      <c r="A232" s="917" t="s">
        <v>808</v>
      </c>
      <c r="B232" s="890"/>
      <c r="C232" s="890"/>
      <c r="D232" s="890"/>
      <c r="E232" s="890"/>
      <c r="F232" s="890"/>
      <c r="G232" s="38" t="s">
        <v>72</v>
      </c>
      <c r="I232" s="41">
        <v>39083</v>
      </c>
      <c r="P232" s="38" t="s">
        <v>123</v>
      </c>
    </row>
    <row r="233" ht="12.75"/>
    <row r="234" ht="13.5" thickBot="1"/>
    <row r="235" spans="1:17" ht="13.5" thickBot="1">
      <c r="A235" s="42" t="s">
        <v>424</v>
      </c>
      <c r="B235" s="43"/>
      <c r="C235" s="43" t="s">
        <v>559</v>
      </c>
      <c r="D235" s="43"/>
      <c r="E235" s="43"/>
      <c r="F235" s="45"/>
      <c r="G235" s="880" t="s">
        <v>425</v>
      </c>
      <c r="H235" s="881"/>
      <c r="I235" s="881"/>
      <c r="J235" s="881"/>
      <c r="K235" s="881"/>
      <c r="L235" s="881"/>
      <c r="M235" s="881"/>
      <c r="N235" s="881"/>
      <c r="O235" s="881"/>
      <c r="P235" s="880" t="s">
        <v>426</v>
      </c>
      <c r="Q235" s="882"/>
    </row>
    <row r="236" spans="1:17" ht="20.25" customHeight="1">
      <c r="A236" s="46" t="s">
        <v>422</v>
      </c>
      <c r="B236" s="47"/>
      <c r="C236" s="47" t="s">
        <v>809</v>
      </c>
      <c r="D236" s="47"/>
      <c r="E236" s="47"/>
      <c r="F236" s="49"/>
      <c r="G236" s="883" t="s">
        <v>463</v>
      </c>
      <c r="H236" s="884"/>
      <c r="I236" s="884"/>
      <c r="J236" s="884"/>
      <c r="K236" s="884"/>
      <c r="L236" s="884"/>
      <c r="M236" s="884"/>
      <c r="N236" s="884"/>
      <c r="O236" s="885"/>
      <c r="P236" s="50"/>
      <c r="Q236" s="157" t="s">
        <v>88</v>
      </c>
    </row>
    <row r="237" spans="1:17" ht="13.5" thickBot="1">
      <c r="A237" s="51" t="s">
        <v>423</v>
      </c>
      <c r="B237" s="52"/>
      <c r="C237" s="52" t="s">
        <v>219</v>
      </c>
      <c r="D237" s="52"/>
      <c r="E237" s="52"/>
      <c r="F237" s="54"/>
      <c r="G237" s="886"/>
      <c r="H237" s="887"/>
      <c r="I237" s="887"/>
      <c r="J237" s="887"/>
      <c r="K237" s="887"/>
      <c r="L237" s="887"/>
      <c r="M237" s="887"/>
      <c r="N237" s="887"/>
      <c r="O237" s="888"/>
      <c r="P237" s="161"/>
      <c r="Q237" s="162"/>
    </row>
    <row r="238" spans="1:2" ht="13.5" thickBot="1">
      <c r="A238" s="38" t="s">
        <v>73</v>
      </c>
      <c r="B238" s="57"/>
    </row>
    <row r="239" spans="1:17" ht="12.75">
      <c r="A239" s="872" t="s">
        <v>431</v>
      </c>
      <c r="B239" s="873"/>
      <c r="C239" s="873"/>
      <c r="D239" s="873"/>
      <c r="E239" s="873"/>
      <c r="F239" s="874"/>
      <c r="G239" s="872" t="s">
        <v>427</v>
      </c>
      <c r="H239" s="873"/>
      <c r="I239" s="873"/>
      <c r="J239" s="873"/>
      <c r="K239" s="873"/>
      <c r="L239" s="873"/>
      <c r="M239" s="873"/>
      <c r="N239" s="873"/>
      <c r="O239" s="874"/>
      <c r="P239" s="875" t="s">
        <v>428</v>
      </c>
      <c r="Q239" s="874" t="s">
        <v>429</v>
      </c>
    </row>
    <row r="240" spans="1:17" ht="13.5" thickBot="1">
      <c r="A240" s="61"/>
      <c r="B240" s="62"/>
      <c r="C240" s="62"/>
      <c r="D240" s="62"/>
      <c r="E240" s="62"/>
      <c r="F240" s="64"/>
      <c r="G240" s="61"/>
      <c r="H240" s="62"/>
      <c r="I240" s="62"/>
      <c r="J240" s="62"/>
      <c r="K240" s="62"/>
      <c r="L240" s="62"/>
      <c r="M240" s="62"/>
      <c r="N240" s="756"/>
      <c r="O240" s="757"/>
      <c r="P240" s="876"/>
      <c r="Q240" s="877"/>
    </row>
    <row r="241" spans="1:17" ht="51.75" thickBot="1">
      <c r="A241" s="141" t="s">
        <v>430</v>
      </c>
      <c r="B241" s="142" t="s">
        <v>432</v>
      </c>
      <c r="C241" s="143" t="s">
        <v>433</v>
      </c>
      <c r="D241" s="143" t="s">
        <v>434</v>
      </c>
      <c r="E241" s="144" t="s">
        <v>435</v>
      </c>
      <c r="F241" s="144" t="s">
        <v>446</v>
      </c>
      <c r="G241" s="146" t="s">
        <v>436</v>
      </c>
      <c r="H241" s="147" t="s">
        <v>437</v>
      </c>
      <c r="I241" s="147" t="s">
        <v>438</v>
      </c>
      <c r="J241" s="147" t="s">
        <v>439</v>
      </c>
      <c r="K241" s="147" t="s">
        <v>440</v>
      </c>
      <c r="L241" s="147" t="s">
        <v>441</v>
      </c>
      <c r="M241" s="147" t="s">
        <v>442</v>
      </c>
      <c r="N241" s="763" t="s">
        <v>443</v>
      </c>
      <c r="O241" s="764" t="s">
        <v>444</v>
      </c>
      <c r="P241" s="900"/>
      <c r="Q241" s="901"/>
    </row>
    <row r="242" spans="1:17" ht="64.5" customHeight="1">
      <c r="A242" s="73">
        <v>1</v>
      </c>
      <c r="B242" s="123" t="s">
        <v>685</v>
      </c>
      <c r="C242" s="828">
        <v>11770</v>
      </c>
      <c r="D242" s="828">
        <v>11770</v>
      </c>
      <c r="E242" s="748">
        <f>+D242/C242</f>
        <v>1</v>
      </c>
      <c r="F242" s="748">
        <f>8/10</f>
        <v>0.8</v>
      </c>
      <c r="G242" s="76">
        <f>88074.857-63500+1000</f>
        <v>25574.857000000004</v>
      </c>
      <c r="H242" s="173"/>
      <c r="I242" s="95"/>
      <c r="J242" s="95"/>
      <c r="K242" s="73"/>
      <c r="L242" s="73"/>
      <c r="M242" s="73"/>
      <c r="N242" s="766">
        <f>SUM(G242:M242)</f>
        <v>25574.857000000004</v>
      </c>
      <c r="O242" s="776">
        <f>88074.857-63500+1000</f>
        <v>25574.857000000004</v>
      </c>
      <c r="P242" s="368" t="s">
        <v>367</v>
      </c>
      <c r="Q242" s="707"/>
    </row>
    <row r="243" spans="1:17" ht="63.75">
      <c r="A243" s="73">
        <v>2</v>
      </c>
      <c r="B243" s="123" t="s">
        <v>144</v>
      </c>
      <c r="C243" s="164">
        <v>400</v>
      </c>
      <c r="D243" s="164">
        <v>400</v>
      </c>
      <c r="E243" s="748">
        <f>+D243/C243</f>
        <v>1</v>
      </c>
      <c r="F243" s="748">
        <f>8/10</f>
        <v>0.8</v>
      </c>
      <c r="G243" s="76">
        <v>5000</v>
      </c>
      <c r="H243" s="173"/>
      <c r="I243" s="95"/>
      <c r="J243" s="95"/>
      <c r="K243" s="73"/>
      <c r="L243" s="73"/>
      <c r="M243" s="73"/>
      <c r="N243" s="766">
        <f>SUM(G243:M243)</f>
        <v>5000</v>
      </c>
      <c r="O243" s="776">
        <v>5000</v>
      </c>
      <c r="P243" s="369" t="s">
        <v>367</v>
      </c>
      <c r="Q243" s="708"/>
    </row>
    <row r="244" spans="1:17" ht="63.75">
      <c r="A244" s="73">
        <v>3</v>
      </c>
      <c r="B244" s="123" t="s">
        <v>145</v>
      </c>
      <c r="C244" s="164">
        <v>1</v>
      </c>
      <c r="D244" s="164">
        <v>1</v>
      </c>
      <c r="E244" s="748">
        <f>+D244/C244</f>
        <v>1</v>
      </c>
      <c r="F244" s="748">
        <f>8/10</f>
        <v>0.8</v>
      </c>
      <c r="G244" s="76">
        <v>63500</v>
      </c>
      <c r="H244" s="73"/>
      <c r="I244" s="95">
        <v>240000</v>
      </c>
      <c r="J244" s="95"/>
      <c r="K244" s="73"/>
      <c r="L244" s="73"/>
      <c r="M244" s="73"/>
      <c r="N244" s="766">
        <f>SUM(G244:M244)</f>
        <v>303500</v>
      </c>
      <c r="O244" s="761">
        <f>236030.888+63500</f>
        <v>299530.88800000004</v>
      </c>
      <c r="P244" s="369" t="s">
        <v>367</v>
      </c>
      <c r="Q244" s="707"/>
    </row>
    <row r="245" spans="1:17" ht="12.75">
      <c r="A245" s="73"/>
      <c r="B245" s="74"/>
      <c r="C245" s="111"/>
      <c r="D245" s="73"/>
      <c r="E245" s="73"/>
      <c r="F245" s="73"/>
      <c r="G245" s="73"/>
      <c r="H245" s="73"/>
      <c r="I245" s="73"/>
      <c r="J245" s="73"/>
      <c r="K245" s="73"/>
      <c r="L245" s="73"/>
      <c r="M245" s="73"/>
      <c r="N245" s="89"/>
      <c r="O245" s="89"/>
      <c r="P245" s="369"/>
      <c r="Q245" s="73"/>
    </row>
    <row r="246" spans="1:17" ht="12.75">
      <c r="A246" s="73"/>
      <c r="B246" s="74"/>
      <c r="C246" s="73"/>
      <c r="D246" s="73"/>
      <c r="E246" s="73"/>
      <c r="F246" s="73"/>
      <c r="G246" s="73"/>
      <c r="H246" s="73"/>
      <c r="I246" s="73"/>
      <c r="J246" s="73"/>
      <c r="K246" s="73"/>
      <c r="L246" s="73"/>
      <c r="M246" s="73"/>
      <c r="N246" s="89"/>
      <c r="O246" s="89"/>
      <c r="P246" s="73"/>
      <c r="Q246" s="73"/>
    </row>
    <row r="247" spans="1:17" ht="12.75">
      <c r="A247" s="73"/>
      <c r="B247" s="73"/>
      <c r="C247" s="73"/>
      <c r="D247" s="73"/>
      <c r="E247" s="73"/>
      <c r="F247" s="73"/>
      <c r="G247" s="73"/>
      <c r="H247" s="73"/>
      <c r="I247" s="73"/>
      <c r="J247" s="73"/>
      <c r="K247" s="73"/>
      <c r="L247" s="73"/>
      <c r="M247" s="73"/>
      <c r="N247" s="89"/>
      <c r="O247" s="89"/>
      <c r="P247" s="73"/>
      <c r="Q247" s="73"/>
    </row>
    <row r="248" spans="1:17" ht="12.75">
      <c r="A248" s="73"/>
      <c r="B248" s="73"/>
      <c r="C248" s="73"/>
      <c r="D248" s="73"/>
      <c r="E248" s="73"/>
      <c r="F248" s="73"/>
      <c r="G248" s="73"/>
      <c r="H248" s="73"/>
      <c r="I248" s="73"/>
      <c r="J248" s="73"/>
      <c r="K248" s="73"/>
      <c r="L248" s="73"/>
      <c r="M248" s="73"/>
      <c r="N248" s="89"/>
      <c r="O248" s="89"/>
      <c r="P248" s="73"/>
      <c r="Q248" s="73"/>
    </row>
    <row r="249" spans="1:17" ht="12.75">
      <c r="A249" s="73"/>
      <c r="B249" s="73"/>
      <c r="C249" s="73"/>
      <c r="D249" s="73"/>
      <c r="E249" s="73"/>
      <c r="F249" s="73"/>
      <c r="G249" s="73"/>
      <c r="H249" s="73"/>
      <c r="I249" s="73"/>
      <c r="J249" s="73"/>
      <c r="K249" s="73"/>
      <c r="L249" s="73"/>
      <c r="M249" s="73"/>
      <c r="N249" s="89"/>
      <c r="O249" s="89"/>
      <c r="P249" s="73"/>
      <c r="Q249" s="73"/>
    </row>
    <row r="250" spans="1:17" ht="12.75">
      <c r="A250" s="73"/>
      <c r="B250" s="73"/>
      <c r="C250" s="73"/>
      <c r="D250" s="73"/>
      <c r="E250" s="73"/>
      <c r="F250" s="73"/>
      <c r="G250" s="73"/>
      <c r="H250" s="73"/>
      <c r="I250" s="73"/>
      <c r="J250" s="73"/>
      <c r="K250" s="73"/>
      <c r="L250" s="73"/>
      <c r="M250" s="73"/>
      <c r="N250" s="89"/>
      <c r="O250" s="89"/>
      <c r="P250" s="73"/>
      <c r="Q250" s="73"/>
    </row>
    <row r="251" spans="1:17" ht="12.75">
      <c r="A251" s="73"/>
      <c r="B251" s="73"/>
      <c r="C251" s="73"/>
      <c r="D251" s="73"/>
      <c r="E251" s="73"/>
      <c r="F251" s="73"/>
      <c r="G251" s="73"/>
      <c r="H251" s="73"/>
      <c r="I251" s="73"/>
      <c r="J251" s="73"/>
      <c r="K251" s="73"/>
      <c r="L251" s="73"/>
      <c r="M251" s="73"/>
      <c r="N251" s="89"/>
      <c r="O251" s="89"/>
      <c r="P251" s="73"/>
      <c r="Q251" s="73"/>
    </row>
    <row r="252" spans="1:17" ht="12.75">
      <c r="A252" s="73"/>
      <c r="B252" s="73"/>
      <c r="C252" s="73"/>
      <c r="D252" s="73"/>
      <c r="E252" s="73"/>
      <c r="F252" s="73"/>
      <c r="G252" s="73"/>
      <c r="H252" s="73"/>
      <c r="I252" s="73"/>
      <c r="J252" s="73"/>
      <c r="K252" s="73"/>
      <c r="L252" s="73"/>
      <c r="M252" s="73"/>
      <c r="N252" s="89"/>
      <c r="O252" s="89"/>
      <c r="P252" s="73"/>
      <c r="Q252" s="73"/>
    </row>
    <row r="253" spans="1:17" ht="12.75">
      <c r="A253" s="73"/>
      <c r="B253" s="73"/>
      <c r="C253" s="73"/>
      <c r="D253" s="73"/>
      <c r="E253" s="73"/>
      <c r="F253" s="73"/>
      <c r="G253" s="73"/>
      <c r="H253" s="73"/>
      <c r="I253" s="73"/>
      <c r="J253" s="73"/>
      <c r="K253" s="73"/>
      <c r="L253" s="73"/>
      <c r="M253" s="73"/>
      <c r="N253" s="89"/>
      <c r="O253" s="89"/>
      <c r="P253" s="73"/>
      <c r="Q253" s="73"/>
    </row>
    <row r="254" spans="1:17" ht="12.75">
      <c r="A254" s="73"/>
      <c r="B254" s="73"/>
      <c r="C254" s="73"/>
      <c r="D254" s="73"/>
      <c r="E254" s="73"/>
      <c r="F254" s="73"/>
      <c r="G254" s="73"/>
      <c r="H254" s="73"/>
      <c r="I254" s="73"/>
      <c r="J254" s="73"/>
      <c r="K254" s="73"/>
      <c r="L254" s="73"/>
      <c r="M254" s="73"/>
      <c r="N254" s="89"/>
      <c r="O254" s="89"/>
      <c r="P254" s="73"/>
      <c r="Q254" s="73"/>
    </row>
    <row r="255" spans="1:17" ht="12.75">
      <c r="A255" s="73"/>
      <c r="B255" s="73"/>
      <c r="C255" s="73"/>
      <c r="D255" s="73"/>
      <c r="E255" s="73"/>
      <c r="F255" s="73"/>
      <c r="G255" s="73"/>
      <c r="H255" s="73"/>
      <c r="I255" s="73"/>
      <c r="J255" s="73"/>
      <c r="K255" s="73"/>
      <c r="L255" s="73"/>
      <c r="M255" s="73"/>
      <c r="N255" s="89"/>
      <c r="O255" s="89"/>
      <c r="P255" s="73"/>
      <c r="Q255" s="73"/>
    </row>
    <row r="256" spans="1:17" ht="13.5" thickBot="1">
      <c r="A256" s="81"/>
      <c r="B256" s="82" t="s">
        <v>445</v>
      </c>
      <c r="C256" s="81"/>
      <c r="D256" s="81"/>
      <c r="E256" s="81"/>
      <c r="F256" s="81"/>
      <c r="G256" s="84">
        <f aca="true" t="shared" si="6" ref="G256:M256">SUM(G242:G255)</f>
        <v>94074.857</v>
      </c>
      <c r="H256" s="84">
        <f t="shared" si="6"/>
        <v>0</v>
      </c>
      <c r="I256" s="84">
        <f t="shared" si="6"/>
        <v>240000</v>
      </c>
      <c r="J256" s="84">
        <f t="shared" si="6"/>
        <v>0</v>
      </c>
      <c r="K256" s="84">
        <f t="shared" si="6"/>
        <v>0</v>
      </c>
      <c r="L256" s="84">
        <f t="shared" si="6"/>
        <v>0</v>
      </c>
      <c r="M256" s="84">
        <f t="shared" si="6"/>
        <v>0</v>
      </c>
      <c r="N256" s="762">
        <f>SUM(N242:N255)</f>
        <v>334074.857</v>
      </c>
      <c r="O256" s="762">
        <f>SUM(O242:O255)</f>
        <v>330105.74500000005</v>
      </c>
      <c r="P256" s="81"/>
      <c r="Q256" s="81"/>
    </row>
    <row r="257" spans="18:21" ht="12.75">
      <c r="R257" s="239">
        <f>2201371.667-S257</f>
        <v>-4500.000000000466</v>
      </c>
      <c r="S257" s="239">
        <f>+N33+N65+N96+N127+N192+N225+N256+N734+N767+N160</f>
        <v>2205871.6670000004</v>
      </c>
      <c r="T257" s="239">
        <f>+O33+O65+O96+O127+O192+O225+O256+O734+O767+O160</f>
        <v>1491237.756</v>
      </c>
      <c r="U257" s="709">
        <f>1488259.754-T257</f>
        <v>-2978.002000000095</v>
      </c>
    </row>
    <row r="258" spans="1:17" ht="12.75">
      <c r="A258" s="918" t="s">
        <v>420</v>
      </c>
      <c r="B258" s="918"/>
      <c r="C258" s="918"/>
      <c r="D258" s="918"/>
      <c r="E258" s="918"/>
      <c r="F258" s="918"/>
      <c r="G258" s="918"/>
      <c r="H258" s="918"/>
      <c r="I258" s="918"/>
      <c r="J258" s="918"/>
      <c r="K258" s="918"/>
      <c r="L258" s="918"/>
      <c r="M258" s="918"/>
      <c r="N258" s="918"/>
      <c r="O258" s="918"/>
      <c r="P258" s="918"/>
      <c r="Q258" s="918"/>
    </row>
    <row r="259" spans="1:20" s="39" customFormat="1" ht="16.5" thickBot="1">
      <c r="A259" s="891" t="s">
        <v>609</v>
      </c>
      <c r="B259" s="891"/>
      <c r="C259" s="891"/>
      <c r="D259" s="891"/>
      <c r="E259" s="891"/>
      <c r="F259" s="891"/>
      <c r="G259" s="891"/>
      <c r="H259" s="891"/>
      <c r="I259" s="891"/>
      <c r="J259" s="891"/>
      <c r="K259" s="891"/>
      <c r="L259" s="891"/>
      <c r="M259" s="891"/>
      <c r="N259" s="891"/>
      <c r="O259" s="891"/>
      <c r="P259" s="891"/>
      <c r="Q259" s="891"/>
      <c r="R259" s="184"/>
      <c r="S259" s="184"/>
      <c r="T259" s="184"/>
    </row>
    <row r="260" spans="3:20" s="39" customFormat="1" ht="13.5" thickBot="1">
      <c r="C260" s="38"/>
      <c r="D260" s="38"/>
      <c r="N260" s="755"/>
      <c r="O260" s="755"/>
      <c r="P260" s="892" t="s">
        <v>163</v>
      </c>
      <c r="Q260" s="893"/>
      <c r="R260" s="184"/>
      <c r="S260" s="184"/>
      <c r="T260" s="184"/>
    </row>
    <row r="261" spans="1:17" ht="12.75">
      <c r="A261" s="917" t="s">
        <v>76</v>
      </c>
      <c r="B261" s="917"/>
      <c r="C261" s="917"/>
      <c r="D261" s="917"/>
      <c r="E261" s="917"/>
      <c r="F261" s="917"/>
      <c r="M261" s="80">
        <f>+I244-303500</f>
        <v>-63500</v>
      </c>
      <c r="P261" s="889" t="s">
        <v>74</v>
      </c>
      <c r="Q261" s="889"/>
    </row>
    <row r="262" spans="1:17" ht="12.75">
      <c r="A262" s="917" t="s">
        <v>77</v>
      </c>
      <c r="B262" s="890"/>
      <c r="C262" s="890"/>
      <c r="D262" s="890"/>
      <c r="E262" s="890"/>
      <c r="F262" s="890"/>
      <c r="L262" s="160"/>
      <c r="N262" s="362"/>
      <c r="O262" s="362"/>
      <c r="P262" s="890" t="s">
        <v>124</v>
      </c>
      <c r="Q262" s="890"/>
    </row>
    <row r="263" spans="1:16" ht="12.75">
      <c r="A263" s="917" t="s">
        <v>808</v>
      </c>
      <c r="B263" s="890"/>
      <c r="C263" s="890"/>
      <c r="D263" s="890"/>
      <c r="E263" s="890"/>
      <c r="F263" s="890"/>
      <c r="G263" s="38" t="s">
        <v>72</v>
      </c>
      <c r="I263" s="41">
        <v>39083</v>
      </c>
      <c r="P263" s="38" t="s">
        <v>123</v>
      </c>
    </row>
    <row r="264" ht="12.75"/>
    <row r="265" ht="13.5" thickBot="1"/>
    <row r="266" spans="1:17" ht="13.5" thickBot="1">
      <c r="A266" s="42" t="s">
        <v>424</v>
      </c>
      <c r="B266" s="43"/>
      <c r="C266" s="43" t="s">
        <v>559</v>
      </c>
      <c r="D266" s="43"/>
      <c r="E266" s="43"/>
      <c r="F266" s="45"/>
      <c r="G266" s="880" t="s">
        <v>425</v>
      </c>
      <c r="H266" s="881"/>
      <c r="I266" s="881"/>
      <c r="J266" s="881"/>
      <c r="K266" s="881"/>
      <c r="L266" s="881"/>
      <c r="M266" s="881"/>
      <c r="N266" s="881"/>
      <c r="O266" s="881"/>
      <c r="P266" s="880" t="s">
        <v>426</v>
      </c>
      <c r="Q266" s="882"/>
    </row>
    <row r="267" spans="1:17" ht="12.75">
      <c r="A267" s="46" t="s">
        <v>422</v>
      </c>
      <c r="B267" s="47"/>
      <c r="C267" s="47" t="s">
        <v>809</v>
      </c>
      <c r="D267" s="47"/>
      <c r="E267" s="47"/>
      <c r="F267" s="49"/>
      <c r="G267" s="883" t="s">
        <v>464</v>
      </c>
      <c r="H267" s="884"/>
      <c r="I267" s="884"/>
      <c r="J267" s="884"/>
      <c r="K267" s="884"/>
      <c r="L267" s="884"/>
      <c r="M267" s="884"/>
      <c r="N267" s="884"/>
      <c r="O267" s="885"/>
      <c r="P267" s="50"/>
      <c r="Q267" s="157" t="s">
        <v>840</v>
      </c>
    </row>
    <row r="268" spans="1:17" ht="13.5" thickBot="1">
      <c r="A268" s="51" t="s">
        <v>423</v>
      </c>
      <c r="B268" s="52"/>
      <c r="C268" s="52" t="s">
        <v>760</v>
      </c>
      <c r="D268" s="52"/>
      <c r="E268" s="52"/>
      <c r="F268" s="54"/>
      <c r="G268" s="886"/>
      <c r="H268" s="887"/>
      <c r="I268" s="887"/>
      <c r="J268" s="887"/>
      <c r="K268" s="887"/>
      <c r="L268" s="887"/>
      <c r="M268" s="887"/>
      <c r="N268" s="887"/>
      <c r="O268" s="888"/>
      <c r="P268" s="161"/>
      <c r="Q268" s="162"/>
    </row>
    <row r="269" spans="1:2" ht="13.5" thickBot="1">
      <c r="A269" s="38" t="s">
        <v>73</v>
      </c>
      <c r="B269" s="57"/>
    </row>
    <row r="270" spans="1:17" ht="12.75">
      <c r="A270" s="872" t="s">
        <v>431</v>
      </c>
      <c r="B270" s="873"/>
      <c r="C270" s="873"/>
      <c r="D270" s="873"/>
      <c r="E270" s="873"/>
      <c r="F270" s="874"/>
      <c r="G270" s="872" t="s">
        <v>427</v>
      </c>
      <c r="H270" s="873"/>
      <c r="I270" s="873"/>
      <c r="J270" s="873"/>
      <c r="K270" s="873"/>
      <c r="L270" s="873"/>
      <c r="M270" s="873"/>
      <c r="N270" s="873"/>
      <c r="O270" s="874"/>
      <c r="P270" s="875" t="s">
        <v>428</v>
      </c>
      <c r="Q270" s="874" t="s">
        <v>429</v>
      </c>
    </row>
    <row r="271" spans="1:17" ht="13.5" thickBot="1">
      <c r="A271" s="61"/>
      <c r="B271" s="62"/>
      <c r="C271" s="62"/>
      <c r="D271" s="62"/>
      <c r="E271" s="62"/>
      <c r="F271" s="64"/>
      <c r="G271" s="61"/>
      <c r="H271" s="62"/>
      <c r="I271" s="62"/>
      <c r="J271" s="62"/>
      <c r="K271" s="62"/>
      <c r="L271" s="62"/>
      <c r="M271" s="62"/>
      <c r="N271" s="756"/>
      <c r="O271" s="757"/>
      <c r="P271" s="876"/>
      <c r="Q271" s="877"/>
    </row>
    <row r="272" spans="1:17" ht="51.75" thickBot="1">
      <c r="A272" s="35" t="s">
        <v>430</v>
      </c>
      <c r="B272" s="90" t="s">
        <v>432</v>
      </c>
      <c r="C272" s="154" t="s">
        <v>433</v>
      </c>
      <c r="D272" s="138" t="s">
        <v>434</v>
      </c>
      <c r="E272" s="37" t="s">
        <v>435</v>
      </c>
      <c r="F272" s="36" t="s">
        <v>446</v>
      </c>
      <c r="G272" s="67" t="s">
        <v>436</v>
      </c>
      <c r="H272" s="68" t="s">
        <v>437</v>
      </c>
      <c r="I272" s="68" t="s">
        <v>438</v>
      </c>
      <c r="J272" s="68" t="s">
        <v>439</v>
      </c>
      <c r="K272" s="68" t="s">
        <v>440</v>
      </c>
      <c r="L272" s="68" t="s">
        <v>441</v>
      </c>
      <c r="M272" s="68" t="s">
        <v>442</v>
      </c>
      <c r="N272" s="773" t="s">
        <v>443</v>
      </c>
      <c r="O272" s="774" t="s">
        <v>444</v>
      </c>
      <c r="P272" s="900"/>
      <c r="Q272" s="901"/>
    </row>
    <row r="273" spans="1:17" ht="42" customHeight="1">
      <c r="A273" s="105">
        <v>1</v>
      </c>
      <c r="B273" s="117" t="s">
        <v>81</v>
      </c>
      <c r="C273" s="249">
        <f>12400*0.4</f>
        <v>4960</v>
      </c>
      <c r="D273" s="249">
        <f>12400*0.35</f>
        <v>4340</v>
      </c>
      <c r="E273" s="71">
        <f>+D273/C273</f>
        <v>0.875</v>
      </c>
      <c r="F273" s="71">
        <f>180/56</f>
        <v>3.2142857142857144</v>
      </c>
      <c r="G273" s="72"/>
      <c r="H273" s="72"/>
      <c r="I273" s="72"/>
      <c r="J273" s="72"/>
      <c r="K273" s="72"/>
      <c r="L273" s="72"/>
      <c r="M273" s="72"/>
      <c r="N273" s="778">
        <f>SUM(H273:M273)</f>
        <v>0</v>
      </c>
      <c r="O273" s="778"/>
      <c r="P273" s="353" t="s">
        <v>686</v>
      </c>
      <c r="Q273" s="116"/>
    </row>
    <row r="274" spans="1:17" ht="38.25">
      <c r="A274" s="73">
        <v>2</v>
      </c>
      <c r="B274" s="118" t="s">
        <v>387</v>
      </c>
      <c r="C274" s="164">
        <f>3100*0.2</f>
        <v>620</v>
      </c>
      <c r="D274" s="164">
        <f>3100*0.15</f>
        <v>465</v>
      </c>
      <c r="E274" s="75">
        <f>D274/C274</f>
        <v>0.75</v>
      </c>
      <c r="F274" s="75">
        <f>180/56</f>
        <v>3.2142857142857144</v>
      </c>
      <c r="G274" s="89">
        <v>18249.543</v>
      </c>
      <c r="H274" s="89">
        <v>18346.17</v>
      </c>
      <c r="I274" s="76"/>
      <c r="J274" s="76"/>
      <c r="K274" s="73"/>
      <c r="L274" s="73"/>
      <c r="M274" s="76"/>
      <c r="N274" s="761">
        <f>SUM(G274:M274)</f>
        <v>36595.713</v>
      </c>
      <c r="O274" s="711">
        <v>34508</v>
      </c>
      <c r="P274" s="350" t="s">
        <v>140</v>
      </c>
      <c r="Q274" s="163"/>
    </row>
    <row r="275" spans="1:17" ht="25.5">
      <c r="A275" s="73">
        <v>3</v>
      </c>
      <c r="B275" s="118" t="s">
        <v>388</v>
      </c>
      <c r="C275" s="164">
        <v>12400</v>
      </c>
      <c r="D275" s="164">
        <v>12400</v>
      </c>
      <c r="E275" s="75">
        <f>+D275/C275</f>
        <v>1</v>
      </c>
      <c r="F275" s="75">
        <f>180/56</f>
        <v>3.2142857142857144</v>
      </c>
      <c r="G275" s="89"/>
      <c r="H275" s="89">
        <v>172685.818</v>
      </c>
      <c r="I275" s="76"/>
      <c r="J275" s="76"/>
      <c r="K275" s="73"/>
      <c r="L275" s="73"/>
      <c r="M275" s="76"/>
      <c r="N275" s="761">
        <f>SUM(H275:M275)</f>
        <v>172685.818</v>
      </c>
      <c r="O275" s="761">
        <v>172685.818</v>
      </c>
      <c r="P275" s="350" t="s">
        <v>372</v>
      </c>
      <c r="Q275" s="73"/>
    </row>
    <row r="276" spans="1:17" ht="12.75">
      <c r="A276" s="73"/>
      <c r="B276" s="118"/>
      <c r="C276" s="111"/>
      <c r="D276" s="73"/>
      <c r="E276" s="73"/>
      <c r="F276" s="73"/>
      <c r="G276" s="89"/>
      <c r="H276" s="89"/>
      <c r="I276" s="89"/>
      <c r="J276" s="73"/>
      <c r="K276" s="73"/>
      <c r="L276" s="73"/>
      <c r="M276" s="73"/>
      <c r="N276" s="89"/>
      <c r="O276" s="89"/>
      <c r="P276" s="73"/>
      <c r="Q276" s="73"/>
    </row>
    <row r="277" spans="1:17" ht="12.75">
      <c r="A277" s="73"/>
      <c r="B277" s="74"/>
      <c r="C277" s="111"/>
      <c r="D277" s="73"/>
      <c r="E277" s="73"/>
      <c r="F277" s="73"/>
      <c r="G277" s="89"/>
      <c r="H277" s="89"/>
      <c r="I277" s="73"/>
      <c r="J277" s="73"/>
      <c r="K277" s="73"/>
      <c r="L277" s="73"/>
      <c r="M277" s="73"/>
      <c r="N277" s="89"/>
      <c r="O277" s="89"/>
      <c r="P277" s="73"/>
      <c r="Q277" s="73"/>
    </row>
    <row r="278" spans="1:17" ht="12.75">
      <c r="A278" s="73"/>
      <c r="B278" s="74"/>
      <c r="C278" s="111"/>
      <c r="D278" s="73"/>
      <c r="E278" s="73"/>
      <c r="F278" s="73"/>
      <c r="G278" s="73"/>
      <c r="H278" s="76"/>
      <c r="I278" s="73"/>
      <c r="J278" s="73"/>
      <c r="K278" s="73"/>
      <c r="L278" s="73"/>
      <c r="M278" s="73"/>
      <c r="N278" s="89"/>
      <c r="O278" s="89"/>
      <c r="P278" s="73"/>
      <c r="Q278" s="73"/>
    </row>
    <row r="279" spans="1:17" ht="12.75">
      <c r="A279" s="73"/>
      <c r="B279" s="74"/>
      <c r="C279" s="73"/>
      <c r="D279" s="73"/>
      <c r="E279" s="73"/>
      <c r="F279" s="73"/>
      <c r="G279" s="73"/>
      <c r="H279" s="73"/>
      <c r="I279" s="89"/>
      <c r="J279" s="73"/>
      <c r="K279" s="73"/>
      <c r="L279" s="73"/>
      <c r="M279" s="73"/>
      <c r="N279" s="89"/>
      <c r="O279" s="89"/>
      <c r="P279" s="73"/>
      <c r="Q279" s="73"/>
    </row>
    <row r="280" spans="1:17" ht="12.75">
      <c r="A280" s="73"/>
      <c r="B280" s="73"/>
      <c r="C280" s="73"/>
      <c r="D280" s="73"/>
      <c r="E280" s="73"/>
      <c r="F280" s="73"/>
      <c r="G280" s="73"/>
      <c r="H280" s="73"/>
      <c r="I280" s="73"/>
      <c r="J280" s="73"/>
      <c r="K280" s="73"/>
      <c r="L280" s="73"/>
      <c r="M280" s="73"/>
      <c r="N280" s="89"/>
      <c r="O280" s="89"/>
      <c r="P280" s="73"/>
      <c r="Q280" s="73"/>
    </row>
    <row r="281" spans="1:17" ht="12.75">
      <c r="A281" s="73"/>
      <c r="B281" s="73"/>
      <c r="C281" s="73"/>
      <c r="D281" s="73"/>
      <c r="E281" s="73"/>
      <c r="F281" s="73"/>
      <c r="G281" s="73"/>
      <c r="H281" s="73"/>
      <c r="I281" s="73"/>
      <c r="J281" s="73"/>
      <c r="K281" s="73"/>
      <c r="L281" s="73"/>
      <c r="M281" s="73"/>
      <c r="N281" s="89"/>
      <c r="O281" s="89"/>
      <c r="P281" s="73"/>
      <c r="Q281" s="73"/>
    </row>
    <row r="282" spans="1:17" ht="12.75">
      <c r="A282" s="73"/>
      <c r="B282" s="73"/>
      <c r="C282" s="73"/>
      <c r="D282" s="73"/>
      <c r="E282" s="73"/>
      <c r="F282" s="73"/>
      <c r="G282" s="73"/>
      <c r="H282" s="73"/>
      <c r="I282" s="73"/>
      <c r="J282" s="73"/>
      <c r="K282" s="73"/>
      <c r="L282" s="73"/>
      <c r="M282" s="73"/>
      <c r="N282" s="89"/>
      <c r="O282" s="89"/>
      <c r="P282" s="73"/>
      <c r="Q282" s="73"/>
    </row>
    <row r="283" spans="1:17" ht="12.75">
      <c r="A283" s="73"/>
      <c r="B283" s="73"/>
      <c r="C283" s="73"/>
      <c r="D283" s="73"/>
      <c r="E283" s="73"/>
      <c r="F283" s="73"/>
      <c r="G283" s="73"/>
      <c r="H283" s="73"/>
      <c r="I283" s="73"/>
      <c r="J283" s="73"/>
      <c r="K283" s="73"/>
      <c r="L283" s="73"/>
      <c r="M283" s="73"/>
      <c r="N283" s="89"/>
      <c r="O283" s="89"/>
      <c r="P283" s="73"/>
      <c r="Q283" s="73"/>
    </row>
    <row r="284" spans="1:17" ht="12.75">
      <c r="A284" s="73"/>
      <c r="B284" s="73"/>
      <c r="C284" s="73"/>
      <c r="D284" s="73"/>
      <c r="E284" s="73"/>
      <c r="F284" s="73"/>
      <c r="G284" s="73"/>
      <c r="H284" s="73"/>
      <c r="I284" s="73"/>
      <c r="J284" s="73"/>
      <c r="K284" s="73"/>
      <c r="L284" s="73"/>
      <c r="M284" s="73"/>
      <c r="N284" s="89"/>
      <c r="O284" s="89"/>
      <c r="P284" s="73"/>
      <c r="Q284" s="73"/>
    </row>
    <row r="285" spans="1:17" ht="12.75">
      <c r="A285" s="73"/>
      <c r="B285" s="73"/>
      <c r="C285" s="73"/>
      <c r="D285" s="73"/>
      <c r="E285" s="73"/>
      <c r="F285" s="73"/>
      <c r="G285" s="73"/>
      <c r="H285" s="73"/>
      <c r="I285" s="73"/>
      <c r="J285" s="73"/>
      <c r="K285" s="73"/>
      <c r="L285" s="73"/>
      <c r="M285" s="73"/>
      <c r="N285" s="89"/>
      <c r="O285" s="89"/>
      <c r="P285" s="73"/>
      <c r="Q285" s="73"/>
    </row>
    <row r="286" spans="1:17" ht="12.75">
      <c r="A286" s="73"/>
      <c r="B286" s="73"/>
      <c r="C286" s="73"/>
      <c r="D286" s="73"/>
      <c r="E286" s="73"/>
      <c r="F286" s="73"/>
      <c r="G286" s="73"/>
      <c r="H286" s="73"/>
      <c r="I286" s="73"/>
      <c r="J286" s="73"/>
      <c r="K286" s="73"/>
      <c r="L286" s="73"/>
      <c r="M286" s="73"/>
      <c r="N286" s="89"/>
      <c r="O286" s="89"/>
      <c r="P286" s="73"/>
      <c r="Q286" s="73"/>
    </row>
    <row r="287" spans="1:17" ht="12.75">
      <c r="A287" s="73"/>
      <c r="B287" s="73"/>
      <c r="C287" s="73"/>
      <c r="D287" s="73"/>
      <c r="E287" s="73"/>
      <c r="F287" s="73"/>
      <c r="G287" s="73"/>
      <c r="H287" s="73"/>
      <c r="I287" s="73"/>
      <c r="J287" s="73"/>
      <c r="K287" s="73"/>
      <c r="L287" s="73"/>
      <c r="M287" s="73"/>
      <c r="N287" s="89"/>
      <c r="O287" s="89"/>
      <c r="P287" s="73"/>
      <c r="Q287" s="73"/>
    </row>
    <row r="288" spans="1:17" ht="12.75">
      <c r="A288" s="73"/>
      <c r="B288" s="73"/>
      <c r="C288" s="73"/>
      <c r="D288" s="73"/>
      <c r="E288" s="73"/>
      <c r="F288" s="73"/>
      <c r="G288" s="73"/>
      <c r="H288" s="73"/>
      <c r="I288" s="73"/>
      <c r="J288" s="73"/>
      <c r="K288" s="73"/>
      <c r="L288" s="73"/>
      <c r="M288" s="73"/>
      <c r="N288" s="89"/>
      <c r="O288" s="89"/>
      <c r="P288" s="73"/>
      <c r="Q288" s="73"/>
    </row>
    <row r="289" spans="1:17" ht="13.5" thickBot="1">
      <c r="A289" s="81"/>
      <c r="B289" s="82" t="s">
        <v>445</v>
      </c>
      <c r="C289" s="81"/>
      <c r="D289" s="81"/>
      <c r="E289" s="81"/>
      <c r="F289" s="81"/>
      <c r="G289" s="84">
        <f>SUM(G273:G288)</f>
        <v>18249.543</v>
      </c>
      <c r="H289" s="84">
        <f aca="true" t="shared" si="7" ref="H289:O289">SUM(H273:H288)</f>
        <v>191031.988</v>
      </c>
      <c r="I289" s="84">
        <f t="shared" si="7"/>
        <v>0</v>
      </c>
      <c r="J289" s="84">
        <f t="shared" si="7"/>
        <v>0</v>
      </c>
      <c r="K289" s="84">
        <f t="shared" si="7"/>
        <v>0</v>
      </c>
      <c r="L289" s="84">
        <f t="shared" si="7"/>
        <v>0</v>
      </c>
      <c r="M289" s="84">
        <f t="shared" si="7"/>
        <v>0</v>
      </c>
      <c r="N289" s="762">
        <f>SUM(N273:N288)</f>
        <v>209281.53100000002</v>
      </c>
      <c r="O289" s="762">
        <f t="shared" si="7"/>
        <v>207193.818</v>
      </c>
      <c r="P289" s="81"/>
      <c r="Q289" s="81"/>
    </row>
    <row r="290" ht="12.75"/>
    <row r="291" spans="1:17" ht="12.75">
      <c r="A291" s="918" t="s">
        <v>420</v>
      </c>
      <c r="B291" s="918"/>
      <c r="C291" s="918"/>
      <c r="D291" s="918"/>
      <c r="E291" s="918"/>
      <c r="F291" s="918"/>
      <c r="G291" s="918"/>
      <c r="H291" s="918"/>
      <c r="I291" s="918"/>
      <c r="J291" s="918"/>
      <c r="K291" s="918"/>
      <c r="L291" s="918"/>
      <c r="M291" s="918"/>
      <c r="N291" s="918"/>
      <c r="O291" s="918"/>
      <c r="P291" s="918"/>
      <c r="Q291" s="918"/>
    </row>
    <row r="292" spans="1:20" s="39" customFormat="1" ht="16.5" thickBot="1">
      <c r="A292" s="891" t="s">
        <v>609</v>
      </c>
      <c r="B292" s="891"/>
      <c r="C292" s="891"/>
      <c r="D292" s="891"/>
      <c r="E292" s="891"/>
      <c r="F292" s="891"/>
      <c r="G292" s="891"/>
      <c r="H292" s="891"/>
      <c r="I292" s="891"/>
      <c r="J292" s="891"/>
      <c r="K292" s="891"/>
      <c r="L292" s="891"/>
      <c r="M292" s="891"/>
      <c r="N292" s="891"/>
      <c r="O292" s="891"/>
      <c r="P292" s="891"/>
      <c r="Q292" s="891"/>
      <c r="R292" s="184"/>
      <c r="S292" s="184"/>
      <c r="T292" s="184"/>
    </row>
    <row r="293" spans="3:20" s="39" customFormat="1" ht="13.5" thickBot="1">
      <c r="C293" s="38"/>
      <c r="D293" s="38"/>
      <c r="N293" s="755"/>
      <c r="O293" s="755"/>
      <c r="P293" s="892" t="s">
        <v>164</v>
      </c>
      <c r="Q293" s="893"/>
      <c r="R293" s="184"/>
      <c r="S293" s="184"/>
      <c r="T293" s="184"/>
    </row>
    <row r="294" spans="1:17" ht="12.75">
      <c r="A294" s="917" t="s">
        <v>76</v>
      </c>
      <c r="B294" s="917"/>
      <c r="C294" s="917"/>
      <c r="D294" s="917"/>
      <c r="E294" s="917"/>
      <c r="F294" s="917"/>
      <c r="P294" s="889" t="s">
        <v>74</v>
      </c>
      <c r="Q294" s="889"/>
    </row>
    <row r="295" spans="1:17" ht="12.75">
      <c r="A295" s="917" t="s">
        <v>77</v>
      </c>
      <c r="B295" s="890"/>
      <c r="C295" s="890"/>
      <c r="D295" s="890"/>
      <c r="E295" s="890"/>
      <c r="F295" s="890"/>
      <c r="L295" s="160"/>
      <c r="P295" s="890" t="s">
        <v>124</v>
      </c>
      <c r="Q295" s="890"/>
    </row>
    <row r="296" spans="1:16" ht="12.75">
      <c r="A296" s="917" t="s">
        <v>808</v>
      </c>
      <c r="B296" s="890"/>
      <c r="C296" s="890"/>
      <c r="D296" s="890"/>
      <c r="E296" s="890"/>
      <c r="F296" s="890"/>
      <c r="G296" s="38" t="s">
        <v>72</v>
      </c>
      <c r="I296" s="41">
        <v>39083</v>
      </c>
      <c r="P296" s="38" t="s">
        <v>123</v>
      </c>
    </row>
    <row r="297" ht="12.75"/>
    <row r="298" ht="13.5" thickBot="1"/>
    <row r="299" spans="1:17" ht="13.5" thickBot="1">
      <c r="A299" s="42" t="s">
        <v>424</v>
      </c>
      <c r="B299" s="43"/>
      <c r="C299" s="43" t="s">
        <v>559</v>
      </c>
      <c r="D299" s="43"/>
      <c r="E299" s="43"/>
      <c r="F299" s="45"/>
      <c r="G299" s="880" t="s">
        <v>425</v>
      </c>
      <c r="H299" s="881"/>
      <c r="I299" s="881"/>
      <c r="J299" s="881"/>
      <c r="K299" s="881"/>
      <c r="L299" s="881"/>
      <c r="M299" s="881"/>
      <c r="N299" s="881"/>
      <c r="O299" s="881"/>
      <c r="P299" s="880" t="s">
        <v>426</v>
      </c>
      <c r="Q299" s="882"/>
    </row>
    <row r="300" spans="1:17" ht="12.75">
      <c r="A300" s="46" t="s">
        <v>422</v>
      </c>
      <c r="B300" s="47"/>
      <c r="C300" s="47" t="s">
        <v>809</v>
      </c>
      <c r="D300" s="47"/>
      <c r="E300" s="47"/>
      <c r="F300" s="49"/>
      <c r="G300" s="883" t="s">
        <v>3</v>
      </c>
      <c r="H300" s="884"/>
      <c r="I300" s="884"/>
      <c r="J300" s="884"/>
      <c r="K300" s="884"/>
      <c r="L300" s="884"/>
      <c r="M300" s="884"/>
      <c r="N300" s="884"/>
      <c r="O300" s="885"/>
      <c r="P300" s="50"/>
      <c r="Q300" s="157" t="s">
        <v>766</v>
      </c>
    </row>
    <row r="301" spans="1:17" ht="13.5" thickBot="1">
      <c r="A301" s="51" t="s">
        <v>423</v>
      </c>
      <c r="B301" s="52"/>
      <c r="C301" s="52" t="s">
        <v>761</v>
      </c>
      <c r="D301" s="52"/>
      <c r="E301" s="52"/>
      <c r="F301" s="54"/>
      <c r="G301" s="886"/>
      <c r="H301" s="887"/>
      <c r="I301" s="887"/>
      <c r="J301" s="887"/>
      <c r="K301" s="887"/>
      <c r="L301" s="887"/>
      <c r="M301" s="887"/>
      <c r="N301" s="887"/>
      <c r="O301" s="888"/>
      <c r="P301" s="161"/>
      <c r="Q301" s="162"/>
    </row>
    <row r="302" spans="1:2" ht="13.5" thickBot="1">
      <c r="A302" s="38" t="s">
        <v>73</v>
      </c>
      <c r="B302" s="57"/>
    </row>
    <row r="303" spans="1:17" ht="12.75">
      <c r="A303" s="872" t="s">
        <v>431</v>
      </c>
      <c r="B303" s="873"/>
      <c r="C303" s="873"/>
      <c r="D303" s="873"/>
      <c r="E303" s="873"/>
      <c r="F303" s="874"/>
      <c r="G303" s="872" t="s">
        <v>427</v>
      </c>
      <c r="H303" s="873"/>
      <c r="I303" s="873"/>
      <c r="J303" s="873"/>
      <c r="K303" s="873"/>
      <c r="L303" s="873"/>
      <c r="M303" s="873"/>
      <c r="N303" s="873"/>
      <c r="O303" s="874"/>
      <c r="P303" s="875" t="s">
        <v>428</v>
      </c>
      <c r="Q303" s="874" t="s">
        <v>429</v>
      </c>
    </row>
    <row r="304" spans="1:17" ht="13.5" thickBot="1">
      <c r="A304" s="61"/>
      <c r="B304" s="62"/>
      <c r="C304" s="62"/>
      <c r="D304" s="62"/>
      <c r="E304" s="62"/>
      <c r="F304" s="64"/>
      <c r="G304" s="61"/>
      <c r="H304" s="62"/>
      <c r="I304" s="62"/>
      <c r="J304" s="62"/>
      <c r="K304" s="62"/>
      <c r="L304" s="62"/>
      <c r="M304" s="62"/>
      <c r="N304" s="756"/>
      <c r="O304" s="757"/>
      <c r="P304" s="876"/>
      <c r="Q304" s="877"/>
    </row>
    <row r="305" spans="1:17" ht="51.75" thickBot="1">
      <c r="A305" s="35" t="s">
        <v>430</v>
      </c>
      <c r="B305" s="90" t="s">
        <v>432</v>
      </c>
      <c r="C305" s="90" t="s">
        <v>433</v>
      </c>
      <c r="D305" s="90" t="s">
        <v>434</v>
      </c>
      <c r="E305" s="37" t="s">
        <v>435</v>
      </c>
      <c r="F305" s="36" t="s">
        <v>446</v>
      </c>
      <c r="G305" s="67" t="s">
        <v>436</v>
      </c>
      <c r="H305" s="68" t="s">
        <v>437</v>
      </c>
      <c r="I305" s="68" t="s">
        <v>438</v>
      </c>
      <c r="J305" s="68" t="s">
        <v>439</v>
      </c>
      <c r="K305" s="68" t="s">
        <v>440</v>
      </c>
      <c r="L305" s="68" t="s">
        <v>441</v>
      </c>
      <c r="M305" s="68" t="s">
        <v>442</v>
      </c>
      <c r="N305" s="773" t="s">
        <v>443</v>
      </c>
      <c r="O305" s="774" t="s">
        <v>444</v>
      </c>
      <c r="P305" s="900"/>
      <c r="Q305" s="901"/>
    </row>
    <row r="306" spans="1:17" ht="44.25" customHeight="1">
      <c r="A306" s="105">
        <v>1</v>
      </c>
      <c r="B306" s="117" t="s">
        <v>189</v>
      </c>
      <c r="C306" s="249">
        <f>180*6</f>
        <v>1080</v>
      </c>
      <c r="D306" s="249">
        <f>200*6</f>
        <v>1200</v>
      </c>
      <c r="E306" s="752">
        <f>+D306/C306</f>
        <v>1.1111111111111112</v>
      </c>
      <c r="F306" s="752">
        <f>(200)/90</f>
        <v>2.2222222222222223</v>
      </c>
      <c r="G306" s="72">
        <f>1005+8090+11000+9000</f>
        <v>29095</v>
      </c>
      <c r="H306" s="72">
        <v>11152.405</v>
      </c>
      <c r="I306" s="72"/>
      <c r="J306" s="95">
        <f>250000+150004.6</f>
        <v>400004.6</v>
      </c>
      <c r="K306" s="72"/>
      <c r="L306" s="72"/>
      <c r="M306" s="72"/>
      <c r="N306" s="760">
        <f>G306+H306+I306+M306+K306+J306</f>
        <v>440252.005</v>
      </c>
      <c r="O306" s="760">
        <f>30792.405+9000+250000+150004.6</f>
        <v>439797.005</v>
      </c>
      <c r="P306" s="697" t="s">
        <v>611</v>
      </c>
      <c r="Q306" s="116"/>
    </row>
    <row r="307" spans="1:17" ht="38.25">
      <c r="A307" s="73">
        <v>2</v>
      </c>
      <c r="B307" s="118" t="s">
        <v>390</v>
      </c>
      <c r="C307" s="111">
        <v>2</v>
      </c>
      <c r="D307" s="111">
        <v>2</v>
      </c>
      <c r="E307" s="748">
        <f>D307/C307</f>
        <v>1</v>
      </c>
      <c r="F307" s="748">
        <f>(200)/90</f>
        <v>2.2222222222222223</v>
      </c>
      <c r="G307" s="151">
        <v>2995</v>
      </c>
      <c r="H307" s="151">
        <v>7500</v>
      </c>
      <c r="I307" s="73"/>
      <c r="J307" s="73"/>
      <c r="K307" s="73"/>
      <c r="L307" s="73"/>
      <c r="M307" s="73">
        <v>0</v>
      </c>
      <c r="N307" s="761">
        <f>+G307+H307</f>
        <v>10495</v>
      </c>
      <c r="O307" s="761">
        <v>10495</v>
      </c>
      <c r="P307" s="697" t="s">
        <v>611</v>
      </c>
      <c r="Q307" s="163"/>
    </row>
    <row r="308" spans="1:17" ht="51">
      <c r="A308" s="73">
        <v>4</v>
      </c>
      <c r="B308" s="118" t="s">
        <v>389</v>
      </c>
      <c r="C308" s="111">
        <v>1</v>
      </c>
      <c r="D308" s="111">
        <v>1</v>
      </c>
      <c r="E308" s="748">
        <f>D308/C308</f>
        <v>1</v>
      </c>
      <c r="F308" s="748">
        <f>(200)/90</f>
        <v>2.2222222222222223</v>
      </c>
      <c r="G308" s="73"/>
      <c r="H308" s="73"/>
      <c r="I308" s="73"/>
      <c r="J308" s="73"/>
      <c r="K308" s="73"/>
      <c r="L308" s="73"/>
      <c r="M308" s="73"/>
      <c r="N308" s="761">
        <f>+G308+H308</f>
        <v>0</v>
      </c>
      <c r="O308" s="89">
        <v>0</v>
      </c>
      <c r="P308" s="697" t="s">
        <v>611</v>
      </c>
      <c r="Q308" s="73"/>
    </row>
    <row r="309" spans="1:17" ht="12.75">
      <c r="A309" s="73"/>
      <c r="B309" s="118"/>
      <c r="C309" s="111"/>
      <c r="D309" s="73"/>
      <c r="E309" s="73"/>
      <c r="F309" s="73"/>
      <c r="G309" s="73"/>
      <c r="H309" s="73"/>
      <c r="I309" s="73"/>
      <c r="J309" s="73"/>
      <c r="K309" s="73"/>
      <c r="L309" s="73"/>
      <c r="M309" s="73"/>
      <c r="N309" s="89"/>
      <c r="O309" s="89"/>
      <c r="P309" s="73"/>
      <c r="Q309" s="73"/>
    </row>
    <row r="310" spans="1:17" ht="12.75">
      <c r="A310" s="73"/>
      <c r="B310" s="74"/>
      <c r="C310" s="111"/>
      <c r="D310" s="73"/>
      <c r="E310" s="73"/>
      <c r="F310" s="73"/>
      <c r="G310" s="73"/>
      <c r="H310" s="73"/>
      <c r="I310" s="73"/>
      <c r="J310" s="73"/>
      <c r="K310" s="73"/>
      <c r="L310" s="73"/>
      <c r="M310" s="73"/>
      <c r="N310" s="89"/>
      <c r="O310" s="89"/>
      <c r="P310" s="73"/>
      <c r="Q310" s="73"/>
    </row>
    <row r="311" spans="1:17" ht="12.75">
      <c r="A311" s="73"/>
      <c r="B311" s="74"/>
      <c r="C311" s="111"/>
      <c r="D311" s="73"/>
      <c r="E311" s="73"/>
      <c r="F311" s="73"/>
      <c r="G311" s="73"/>
      <c r="H311" s="73"/>
      <c r="I311" s="73"/>
      <c r="J311" s="73"/>
      <c r="K311" s="73"/>
      <c r="L311" s="73"/>
      <c r="M311" s="73"/>
      <c r="N311" s="89"/>
      <c r="O311" s="89"/>
      <c r="P311" s="73"/>
      <c r="Q311" s="73"/>
    </row>
    <row r="312" spans="1:17" ht="12.75">
      <c r="A312" s="73"/>
      <c r="B312" s="74"/>
      <c r="C312" s="73"/>
      <c r="D312" s="73"/>
      <c r="E312" s="73"/>
      <c r="F312" s="73"/>
      <c r="G312" s="73"/>
      <c r="H312" s="73"/>
      <c r="I312" s="73"/>
      <c r="J312" s="73"/>
      <c r="K312" s="73"/>
      <c r="L312" s="73"/>
      <c r="M312" s="73"/>
      <c r="N312" s="89"/>
      <c r="O312" s="89"/>
      <c r="P312" s="73"/>
      <c r="Q312" s="73"/>
    </row>
    <row r="313" spans="1:17" ht="12.75">
      <c r="A313" s="73"/>
      <c r="B313" s="73"/>
      <c r="C313" s="73"/>
      <c r="D313" s="73"/>
      <c r="E313" s="73"/>
      <c r="F313" s="73"/>
      <c r="G313" s="73"/>
      <c r="H313" s="73"/>
      <c r="I313" s="73"/>
      <c r="J313" s="73"/>
      <c r="K313" s="73"/>
      <c r="L313" s="73"/>
      <c r="M313" s="73"/>
      <c r="N313" s="89"/>
      <c r="O313" s="89"/>
      <c r="P313" s="73"/>
      <c r="Q313" s="73"/>
    </row>
    <row r="314" spans="1:17" ht="12.75">
      <c r="A314" s="73"/>
      <c r="B314" s="73"/>
      <c r="C314" s="73"/>
      <c r="D314" s="73"/>
      <c r="E314" s="73"/>
      <c r="F314" s="73"/>
      <c r="G314" s="73"/>
      <c r="H314" s="73"/>
      <c r="I314" s="73"/>
      <c r="J314" s="73"/>
      <c r="K314" s="73"/>
      <c r="L314" s="73"/>
      <c r="M314" s="73"/>
      <c r="N314" s="89"/>
      <c r="O314" s="89"/>
      <c r="P314" s="73"/>
      <c r="Q314" s="73"/>
    </row>
    <row r="315" spans="1:17" ht="12.75">
      <c r="A315" s="73"/>
      <c r="B315" s="73"/>
      <c r="C315" s="73"/>
      <c r="D315" s="73"/>
      <c r="E315" s="73"/>
      <c r="F315" s="73"/>
      <c r="G315" s="73"/>
      <c r="H315" s="73"/>
      <c r="I315" s="73"/>
      <c r="J315" s="73"/>
      <c r="K315" s="73"/>
      <c r="L315" s="73"/>
      <c r="M315" s="73"/>
      <c r="N315" s="89"/>
      <c r="O315" s="89"/>
      <c r="P315" s="73"/>
      <c r="Q315" s="73"/>
    </row>
    <row r="316" spans="1:17" ht="12.75">
      <c r="A316" s="73"/>
      <c r="B316" s="73"/>
      <c r="C316" s="73"/>
      <c r="D316" s="73"/>
      <c r="E316" s="73"/>
      <c r="F316" s="73"/>
      <c r="G316" s="73"/>
      <c r="H316" s="73"/>
      <c r="I316" s="73"/>
      <c r="J316" s="73"/>
      <c r="K316" s="73"/>
      <c r="L316" s="73"/>
      <c r="M316" s="73"/>
      <c r="N316" s="89"/>
      <c r="O316" s="89"/>
      <c r="P316" s="73"/>
      <c r="Q316" s="73"/>
    </row>
    <row r="317" spans="1:17" ht="12.75">
      <c r="A317" s="73"/>
      <c r="B317" s="73"/>
      <c r="C317" s="73"/>
      <c r="D317" s="73"/>
      <c r="E317" s="73"/>
      <c r="F317" s="73"/>
      <c r="G317" s="73"/>
      <c r="H317" s="73"/>
      <c r="I317" s="73"/>
      <c r="J317" s="73"/>
      <c r="K317" s="73"/>
      <c r="L317" s="73"/>
      <c r="M317" s="73"/>
      <c r="N317" s="89"/>
      <c r="O317" s="89"/>
      <c r="P317" s="73"/>
      <c r="Q317" s="73"/>
    </row>
    <row r="318" spans="1:17" ht="12.75">
      <c r="A318" s="73"/>
      <c r="B318" s="73"/>
      <c r="C318" s="73"/>
      <c r="D318" s="73"/>
      <c r="E318" s="73"/>
      <c r="F318" s="73"/>
      <c r="G318" s="73"/>
      <c r="H318" s="73"/>
      <c r="I318" s="73"/>
      <c r="J318" s="73"/>
      <c r="K318" s="73"/>
      <c r="L318" s="73"/>
      <c r="M318" s="73"/>
      <c r="N318" s="89"/>
      <c r="O318" s="89"/>
      <c r="P318" s="73"/>
      <c r="Q318" s="73"/>
    </row>
    <row r="319" spans="1:17" ht="12.75">
      <c r="A319" s="73"/>
      <c r="B319" s="73"/>
      <c r="C319" s="73"/>
      <c r="D319" s="73"/>
      <c r="E319" s="73"/>
      <c r="F319" s="73"/>
      <c r="G319" s="73"/>
      <c r="H319" s="73"/>
      <c r="I319" s="73"/>
      <c r="J319" s="73"/>
      <c r="K319" s="73"/>
      <c r="L319" s="73"/>
      <c r="M319" s="73"/>
      <c r="N319" s="89"/>
      <c r="O319" s="89"/>
      <c r="P319" s="73"/>
      <c r="Q319" s="73"/>
    </row>
    <row r="320" spans="1:17" ht="12.75">
      <c r="A320" s="73"/>
      <c r="B320" s="73"/>
      <c r="C320" s="73"/>
      <c r="D320" s="73"/>
      <c r="E320" s="73"/>
      <c r="F320" s="73"/>
      <c r="G320" s="73"/>
      <c r="H320" s="73"/>
      <c r="I320" s="73"/>
      <c r="J320" s="73"/>
      <c r="K320" s="73"/>
      <c r="L320" s="73"/>
      <c r="M320" s="73"/>
      <c r="N320" s="89"/>
      <c r="O320" s="89"/>
      <c r="P320" s="73"/>
      <c r="Q320" s="73"/>
    </row>
    <row r="321" spans="1:17" ht="12.75">
      <c r="A321" s="73"/>
      <c r="B321" s="73"/>
      <c r="C321" s="73"/>
      <c r="D321" s="73"/>
      <c r="E321" s="73"/>
      <c r="F321" s="73"/>
      <c r="G321" s="73"/>
      <c r="H321" s="73"/>
      <c r="I321" s="73"/>
      <c r="J321" s="73"/>
      <c r="K321" s="73"/>
      <c r="L321" s="73"/>
      <c r="M321" s="73"/>
      <c r="N321" s="89"/>
      <c r="O321" s="89"/>
      <c r="P321" s="73"/>
      <c r="Q321" s="73"/>
    </row>
    <row r="322" spans="1:20" ht="13.5" thickBot="1">
      <c r="A322" s="81"/>
      <c r="B322" s="82" t="s">
        <v>445</v>
      </c>
      <c r="C322" s="81"/>
      <c r="D322" s="81"/>
      <c r="E322" s="81"/>
      <c r="F322" s="81"/>
      <c r="G322" s="84">
        <f>SUM(G306:G321)</f>
        <v>32090</v>
      </c>
      <c r="H322" s="84">
        <f aca="true" t="shared" si="8" ref="H322:O322">SUM(H306:H321)</f>
        <v>18652.405</v>
      </c>
      <c r="I322" s="84">
        <f t="shared" si="8"/>
        <v>0</v>
      </c>
      <c r="J322" s="84">
        <f t="shared" si="8"/>
        <v>400004.6</v>
      </c>
      <c r="K322" s="84">
        <f t="shared" si="8"/>
        <v>0</v>
      </c>
      <c r="L322" s="84">
        <f t="shared" si="8"/>
        <v>0</v>
      </c>
      <c r="M322" s="84">
        <f t="shared" si="8"/>
        <v>0</v>
      </c>
      <c r="N322" s="762">
        <f>SUM(N306:N321)</f>
        <v>450747.005</v>
      </c>
      <c r="O322" s="762">
        <f t="shared" si="8"/>
        <v>450292.005</v>
      </c>
      <c r="P322" s="81"/>
      <c r="Q322" s="81"/>
      <c r="R322" s="239">
        <f>+N289+N322</f>
        <v>660028.5360000001</v>
      </c>
      <c r="S322" s="239">
        <f>+O289+O322</f>
        <v>657485.823</v>
      </c>
      <c r="T322" s="153" t="e">
        <f>+#REF!-#REF!</f>
        <v>#REF!</v>
      </c>
    </row>
    <row r="323" spans="18:19" ht="12.75">
      <c r="R323" s="153">
        <f>+R322-('Resumen presupuesto ejecutado'!D197)/1000</f>
        <v>0</v>
      </c>
      <c r="S323" s="153">
        <f>+S322-('Resumen presupuesto ejecutado'!E197)/1000</f>
        <v>0</v>
      </c>
    </row>
    <row r="324" spans="1:17" ht="12.75">
      <c r="A324" s="918" t="s">
        <v>420</v>
      </c>
      <c r="B324" s="918"/>
      <c r="C324" s="918"/>
      <c r="D324" s="918"/>
      <c r="E324" s="918"/>
      <c r="F324" s="918"/>
      <c r="G324" s="918"/>
      <c r="H324" s="918"/>
      <c r="I324" s="918"/>
      <c r="J324" s="918"/>
      <c r="K324" s="918"/>
      <c r="L324" s="918"/>
      <c r="M324" s="918"/>
      <c r="N324" s="918"/>
      <c r="O324" s="918"/>
      <c r="P324" s="918"/>
      <c r="Q324" s="918"/>
    </row>
    <row r="325" spans="1:20" s="39" customFormat="1" ht="16.5" thickBot="1">
      <c r="A325" s="891" t="s">
        <v>609</v>
      </c>
      <c r="B325" s="891"/>
      <c r="C325" s="891"/>
      <c r="D325" s="891"/>
      <c r="E325" s="891"/>
      <c r="F325" s="891"/>
      <c r="G325" s="891"/>
      <c r="H325" s="891"/>
      <c r="I325" s="891"/>
      <c r="J325" s="891"/>
      <c r="K325" s="891"/>
      <c r="L325" s="891"/>
      <c r="M325" s="891"/>
      <c r="N325" s="891"/>
      <c r="O325" s="891"/>
      <c r="P325" s="891"/>
      <c r="Q325" s="891"/>
      <c r="R325" s="184"/>
      <c r="S325" s="184"/>
      <c r="T325" s="184"/>
    </row>
    <row r="326" spans="3:20" s="39" customFormat="1" ht="13.5" thickBot="1">
      <c r="C326" s="38"/>
      <c r="D326" s="38"/>
      <c r="N326" s="755"/>
      <c r="O326" s="755"/>
      <c r="P326" s="892" t="s">
        <v>165</v>
      </c>
      <c r="Q326" s="893"/>
      <c r="R326" s="184"/>
      <c r="S326" s="184"/>
      <c r="T326" s="184"/>
    </row>
    <row r="327" spans="1:17" ht="12.75">
      <c r="A327" s="917" t="s">
        <v>76</v>
      </c>
      <c r="B327" s="917"/>
      <c r="C327" s="917"/>
      <c r="D327" s="917"/>
      <c r="E327" s="917"/>
      <c r="F327" s="917"/>
      <c r="P327" s="889" t="s">
        <v>74</v>
      </c>
      <c r="Q327" s="889"/>
    </row>
    <row r="328" spans="1:17" ht="12.75">
      <c r="A328" s="917" t="s">
        <v>77</v>
      </c>
      <c r="B328" s="890"/>
      <c r="C328" s="890"/>
      <c r="D328" s="890"/>
      <c r="E328" s="890"/>
      <c r="F328" s="890"/>
      <c r="L328" s="160"/>
      <c r="P328" s="890" t="s">
        <v>124</v>
      </c>
      <c r="Q328" s="890"/>
    </row>
    <row r="329" spans="1:16" ht="12.75">
      <c r="A329" s="917" t="s">
        <v>808</v>
      </c>
      <c r="B329" s="890"/>
      <c r="C329" s="890"/>
      <c r="D329" s="890"/>
      <c r="E329" s="890"/>
      <c r="F329" s="890"/>
      <c r="G329" s="38" t="s">
        <v>72</v>
      </c>
      <c r="I329" s="41">
        <v>39083</v>
      </c>
      <c r="P329" s="38" t="s">
        <v>123</v>
      </c>
    </row>
    <row r="330" ht="12.75"/>
    <row r="331" ht="13.5" thickBot="1"/>
    <row r="332" spans="1:17" ht="13.5" thickBot="1">
      <c r="A332" s="42" t="s">
        <v>424</v>
      </c>
      <c r="B332" s="43"/>
      <c r="C332" s="43" t="s">
        <v>559</v>
      </c>
      <c r="D332" s="43"/>
      <c r="E332" s="43"/>
      <c r="F332" s="45"/>
      <c r="G332" s="880" t="s">
        <v>425</v>
      </c>
      <c r="H332" s="881"/>
      <c r="I332" s="881"/>
      <c r="J332" s="881"/>
      <c r="K332" s="881"/>
      <c r="L332" s="881"/>
      <c r="M332" s="881"/>
      <c r="N332" s="881"/>
      <c r="O332" s="881"/>
      <c r="P332" s="880" t="s">
        <v>426</v>
      </c>
      <c r="Q332" s="882"/>
    </row>
    <row r="333" spans="1:17" ht="12.75">
      <c r="A333" s="46" t="s">
        <v>422</v>
      </c>
      <c r="B333" s="47"/>
      <c r="C333" s="47" t="s">
        <v>809</v>
      </c>
      <c r="D333" s="47"/>
      <c r="E333" s="47"/>
      <c r="F333" s="49"/>
      <c r="G333" s="883" t="s">
        <v>4</v>
      </c>
      <c r="H333" s="884"/>
      <c r="I333" s="884"/>
      <c r="J333" s="884"/>
      <c r="K333" s="884"/>
      <c r="L333" s="884"/>
      <c r="M333" s="884"/>
      <c r="N333" s="884"/>
      <c r="O333" s="885"/>
      <c r="P333" s="50"/>
      <c r="Q333" s="157" t="s">
        <v>841</v>
      </c>
    </row>
    <row r="334" spans="1:17" ht="13.5" thickBot="1">
      <c r="A334" s="51" t="s">
        <v>423</v>
      </c>
      <c r="B334" s="52"/>
      <c r="C334" s="52" t="s">
        <v>150</v>
      </c>
      <c r="D334" s="52"/>
      <c r="E334" s="52"/>
      <c r="F334" s="54"/>
      <c r="G334" s="886"/>
      <c r="H334" s="887"/>
      <c r="I334" s="887"/>
      <c r="J334" s="887"/>
      <c r="K334" s="887"/>
      <c r="L334" s="887"/>
      <c r="M334" s="887"/>
      <c r="N334" s="887"/>
      <c r="O334" s="888"/>
      <c r="P334" s="161"/>
      <c r="Q334" s="162"/>
    </row>
    <row r="335" spans="1:2" ht="13.5" thickBot="1">
      <c r="A335" s="38" t="s">
        <v>73</v>
      </c>
      <c r="B335" s="57"/>
    </row>
    <row r="336" spans="1:17" ht="12.75">
      <c r="A336" s="872" t="s">
        <v>431</v>
      </c>
      <c r="B336" s="873"/>
      <c r="C336" s="873"/>
      <c r="D336" s="873"/>
      <c r="E336" s="873"/>
      <c r="F336" s="874"/>
      <c r="G336" s="872" t="s">
        <v>427</v>
      </c>
      <c r="H336" s="873"/>
      <c r="I336" s="873"/>
      <c r="J336" s="873"/>
      <c r="K336" s="873"/>
      <c r="L336" s="873"/>
      <c r="M336" s="873"/>
      <c r="N336" s="873"/>
      <c r="O336" s="874"/>
      <c r="P336" s="875" t="s">
        <v>428</v>
      </c>
      <c r="Q336" s="874" t="s">
        <v>429</v>
      </c>
    </row>
    <row r="337" spans="1:17" ht="13.5" thickBot="1">
      <c r="A337" s="61"/>
      <c r="B337" s="62"/>
      <c r="C337" s="62"/>
      <c r="D337" s="62"/>
      <c r="E337" s="62"/>
      <c r="F337" s="64"/>
      <c r="G337" s="61"/>
      <c r="H337" s="62"/>
      <c r="I337" s="62"/>
      <c r="J337" s="62"/>
      <c r="K337" s="62"/>
      <c r="L337" s="62"/>
      <c r="M337" s="62"/>
      <c r="N337" s="756"/>
      <c r="O337" s="757"/>
      <c r="P337" s="876"/>
      <c r="Q337" s="877"/>
    </row>
    <row r="338" spans="1:17" ht="51.75" thickBot="1">
      <c r="A338" s="141" t="s">
        <v>430</v>
      </c>
      <c r="B338" s="90" t="s">
        <v>432</v>
      </c>
      <c r="C338" s="90" t="s">
        <v>433</v>
      </c>
      <c r="D338" s="90" t="s">
        <v>434</v>
      </c>
      <c r="E338" s="144" t="s">
        <v>435</v>
      </c>
      <c r="F338" s="145" t="s">
        <v>446</v>
      </c>
      <c r="G338" s="146" t="s">
        <v>436</v>
      </c>
      <c r="H338" s="147" t="s">
        <v>437</v>
      </c>
      <c r="I338" s="147" t="s">
        <v>438</v>
      </c>
      <c r="J338" s="147" t="s">
        <v>439</v>
      </c>
      <c r="K338" s="147" t="s">
        <v>440</v>
      </c>
      <c r="L338" s="147" t="s">
        <v>441</v>
      </c>
      <c r="M338" s="147" t="s">
        <v>442</v>
      </c>
      <c r="N338" s="779" t="s">
        <v>443</v>
      </c>
      <c r="O338" s="774" t="s">
        <v>444</v>
      </c>
      <c r="P338" s="900"/>
      <c r="Q338" s="901"/>
    </row>
    <row r="339" spans="1:17" ht="38.25">
      <c r="A339" s="116">
        <v>1</v>
      </c>
      <c r="B339" s="122" t="s">
        <v>622</v>
      </c>
      <c r="C339" s="334">
        <v>2</v>
      </c>
      <c r="D339" s="334">
        <v>1</v>
      </c>
      <c r="E339" s="749">
        <f>+D339/C339</f>
        <v>0.5</v>
      </c>
      <c r="F339" s="750">
        <f>2/2</f>
        <v>1</v>
      </c>
      <c r="G339" s="76">
        <v>1000</v>
      </c>
      <c r="H339" s="76">
        <v>5000</v>
      </c>
      <c r="I339" s="76"/>
      <c r="J339" s="76"/>
      <c r="K339" s="76"/>
      <c r="L339" s="76"/>
      <c r="M339" s="76"/>
      <c r="N339" s="760">
        <f>H339+I339+J339+G339</f>
        <v>6000</v>
      </c>
      <c r="O339" s="760">
        <v>218.5</v>
      </c>
      <c r="P339" s="697" t="s">
        <v>611</v>
      </c>
      <c r="Q339" s="245"/>
    </row>
    <row r="340" spans="1:17" ht="38.25" hidden="1">
      <c r="A340" s="73">
        <v>3</v>
      </c>
      <c r="B340" s="118" t="s">
        <v>41</v>
      </c>
      <c r="C340" s="111">
        <v>0</v>
      </c>
      <c r="D340" s="111"/>
      <c r="E340" s="75">
        <v>0</v>
      </c>
      <c r="F340" s="328">
        <f>0/850%</f>
        <v>0</v>
      </c>
      <c r="G340" s="73"/>
      <c r="H340" s="77"/>
      <c r="I340" s="77"/>
      <c r="J340" s="77"/>
      <c r="K340" s="77"/>
      <c r="L340" s="77"/>
      <c r="M340" s="77"/>
      <c r="N340" s="78">
        <f>H340+I340+J340</f>
        <v>0</v>
      </c>
      <c r="O340" s="89"/>
      <c r="P340" s="697" t="s">
        <v>611</v>
      </c>
      <c r="Q340" s="73"/>
    </row>
    <row r="341" spans="1:17" ht="12.75">
      <c r="A341" s="73"/>
      <c r="B341" s="118"/>
      <c r="C341" s="111"/>
      <c r="D341" s="73"/>
      <c r="E341" s="73"/>
      <c r="F341" s="73"/>
      <c r="G341" s="73"/>
      <c r="H341" s="73"/>
      <c r="I341" s="73"/>
      <c r="J341" s="73"/>
      <c r="K341" s="73"/>
      <c r="L341" s="73"/>
      <c r="M341" s="73"/>
      <c r="N341" s="89"/>
      <c r="O341" s="89"/>
      <c r="P341" s="73"/>
      <c r="Q341" s="73"/>
    </row>
    <row r="342" spans="1:17" ht="12.75">
      <c r="A342" s="73"/>
      <c r="B342" s="74"/>
      <c r="C342" s="111"/>
      <c r="D342" s="73"/>
      <c r="E342" s="73"/>
      <c r="F342" s="73"/>
      <c r="G342" s="73"/>
      <c r="H342" s="73"/>
      <c r="I342" s="73"/>
      <c r="J342" s="73"/>
      <c r="K342" s="73"/>
      <c r="L342" s="73"/>
      <c r="M342" s="73"/>
      <c r="N342" s="89"/>
      <c r="O342" s="89"/>
      <c r="P342" s="73"/>
      <c r="Q342" s="73"/>
    </row>
    <row r="343" spans="1:17" ht="12.75">
      <c r="A343" s="73"/>
      <c r="B343" s="74"/>
      <c r="C343" s="111"/>
      <c r="D343" s="73"/>
      <c r="E343" s="73"/>
      <c r="F343" s="73"/>
      <c r="G343" s="73"/>
      <c r="H343" s="73"/>
      <c r="I343" s="73"/>
      <c r="J343" s="73"/>
      <c r="K343" s="73"/>
      <c r="L343" s="73"/>
      <c r="M343" s="73"/>
      <c r="N343" s="89"/>
      <c r="O343" s="89"/>
      <c r="P343" s="73"/>
      <c r="Q343" s="73"/>
    </row>
    <row r="344" spans="1:17" ht="12.75">
      <c r="A344" s="73"/>
      <c r="B344" s="74"/>
      <c r="C344" s="73"/>
      <c r="D344" s="73"/>
      <c r="E344" s="73"/>
      <c r="F344" s="73"/>
      <c r="G344" s="73"/>
      <c r="H344" s="73"/>
      <c r="I344" s="73"/>
      <c r="J344" s="73"/>
      <c r="K344" s="73"/>
      <c r="L344" s="73"/>
      <c r="M344" s="73"/>
      <c r="N344" s="89"/>
      <c r="O344" s="89"/>
      <c r="P344" s="73"/>
      <c r="Q344" s="73"/>
    </row>
    <row r="345" spans="1:17" ht="12.75">
      <c r="A345" s="73"/>
      <c r="B345" s="73"/>
      <c r="C345" s="73"/>
      <c r="D345" s="73"/>
      <c r="E345" s="73"/>
      <c r="F345" s="73"/>
      <c r="G345" s="73"/>
      <c r="H345" s="73"/>
      <c r="I345" s="73"/>
      <c r="J345" s="73"/>
      <c r="K345" s="73"/>
      <c r="L345" s="73"/>
      <c r="M345" s="73"/>
      <c r="N345" s="89"/>
      <c r="O345" s="89"/>
      <c r="P345" s="73"/>
      <c r="Q345" s="73"/>
    </row>
    <row r="346" spans="1:17" ht="12.75">
      <c r="A346" s="73"/>
      <c r="B346" s="73"/>
      <c r="C346" s="73"/>
      <c r="D346" s="73"/>
      <c r="E346" s="73"/>
      <c r="F346" s="73"/>
      <c r="G346" s="73"/>
      <c r="H346" s="73"/>
      <c r="I346" s="73"/>
      <c r="J346" s="73"/>
      <c r="K346" s="73"/>
      <c r="L346" s="73"/>
      <c r="M346" s="73"/>
      <c r="N346" s="89"/>
      <c r="O346" s="89"/>
      <c r="P346" s="73"/>
      <c r="Q346" s="73"/>
    </row>
    <row r="347" spans="1:17" ht="12.75">
      <c r="A347" s="73"/>
      <c r="B347" s="73"/>
      <c r="C347" s="73"/>
      <c r="D347" s="73"/>
      <c r="E347" s="73"/>
      <c r="F347" s="73"/>
      <c r="G347" s="73"/>
      <c r="H347" s="73"/>
      <c r="I347" s="73"/>
      <c r="J347" s="73"/>
      <c r="K347" s="73"/>
      <c r="L347" s="73"/>
      <c r="M347" s="73"/>
      <c r="N347" s="89"/>
      <c r="O347" s="89"/>
      <c r="P347" s="73"/>
      <c r="Q347" s="73"/>
    </row>
    <row r="348" spans="1:17" ht="12.75">
      <c r="A348" s="73"/>
      <c r="B348" s="73"/>
      <c r="C348" s="73"/>
      <c r="D348" s="73"/>
      <c r="E348" s="73"/>
      <c r="F348" s="73"/>
      <c r="G348" s="73"/>
      <c r="H348" s="73"/>
      <c r="I348" s="73"/>
      <c r="J348" s="73"/>
      <c r="K348" s="73"/>
      <c r="L348" s="73"/>
      <c r="M348" s="73"/>
      <c r="N348" s="89"/>
      <c r="O348" s="89"/>
      <c r="P348" s="73"/>
      <c r="Q348" s="73"/>
    </row>
    <row r="349" spans="1:17" ht="12.75">
      <c r="A349" s="73"/>
      <c r="B349" s="73"/>
      <c r="C349" s="73"/>
      <c r="D349" s="73"/>
      <c r="E349" s="73"/>
      <c r="F349" s="73"/>
      <c r="G349" s="73"/>
      <c r="H349" s="73"/>
      <c r="I349" s="73"/>
      <c r="J349" s="73"/>
      <c r="K349" s="73"/>
      <c r="L349" s="73"/>
      <c r="M349" s="73"/>
      <c r="N349" s="89"/>
      <c r="O349" s="89"/>
      <c r="P349" s="73"/>
      <c r="Q349" s="73"/>
    </row>
    <row r="350" spans="1:17" ht="12.75">
      <c r="A350" s="73"/>
      <c r="B350" s="73"/>
      <c r="C350" s="73"/>
      <c r="D350" s="73"/>
      <c r="E350" s="73"/>
      <c r="F350" s="73"/>
      <c r="G350" s="73"/>
      <c r="H350" s="73"/>
      <c r="I350" s="73"/>
      <c r="J350" s="73"/>
      <c r="K350" s="73"/>
      <c r="L350" s="73"/>
      <c r="M350" s="73"/>
      <c r="N350" s="89"/>
      <c r="O350" s="89"/>
      <c r="P350" s="73"/>
      <c r="Q350" s="73"/>
    </row>
    <row r="351" spans="1:17" ht="12.75">
      <c r="A351" s="73"/>
      <c r="B351" s="73"/>
      <c r="C351" s="73"/>
      <c r="D351" s="73"/>
      <c r="E351" s="73"/>
      <c r="F351" s="73"/>
      <c r="G351" s="73"/>
      <c r="H351" s="73"/>
      <c r="I351" s="73"/>
      <c r="J351" s="73"/>
      <c r="K351" s="73"/>
      <c r="L351" s="73"/>
      <c r="M351" s="73"/>
      <c r="N351" s="89"/>
      <c r="O351" s="89"/>
      <c r="P351" s="73"/>
      <c r="Q351" s="73"/>
    </row>
    <row r="352" spans="1:17" ht="12.75">
      <c r="A352" s="73"/>
      <c r="B352" s="73"/>
      <c r="C352" s="73"/>
      <c r="D352" s="73"/>
      <c r="E352" s="73"/>
      <c r="F352" s="73"/>
      <c r="G352" s="73"/>
      <c r="H352" s="73"/>
      <c r="I352" s="73"/>
      <c r="J352" s="73"/>
      <c r="K352" s="73"/>
      <c r="L352" s="73"/>
      <c r="M352" s="73"/>
      <c r="N352" s="89"/>
      <c r="O352" s="89"/>
      <c r="P352" s="73"/>
      <c r="Q352" s="73"/>
    </row>
    <row r="353" spans="1:17" ht="12.75">
      <c r="A353" s="73"/>
      <c r="B353" s="73"/>
      <c r="C353" s="73"/>
      <c r="D353" s="73"/>
      <c r="E353" s="73"/>
      <c r="F353" s="73"/>
      <c r="G353" s="73"/>
      <c r="H353" s="73"/>
      <c r="I353" s="73"/>
      <c r="J353" s="73"/>
      <c r="K353" s="73"/>
      <c r="L353" s="73"/>
      <c r="M353" s="73"/>
      <c r="N353" s="89"/>
      <c r="O353" s="89"/>
      <c r="P353" s="73"/>
      <c r="Q353" s="73"/>
    </row>
    <row r="354" spans="1:17" ht="13.5" thickBot="1">
      <c r="A354" s="81"/>
      <c r="B354" s="82" t="s">
        <v>445</v>
      </c>
      <c r="C354" s="81"/>
      <c r="D354" s="81"/>
      <c r="E354" s="81"/>
      <c r="F354" s="81"/>
      <c r="G354" s="84">
        <f aca="true" t="shared" si="9" ref="G354:O354">SUM(G339:G353)</f>
        <v>1000</v>
      </c>
      <c r="H354" s="84">
        <f t="shared" si="9"/>
        <v>5000</v>
      </c>
      <c r="I354" s="84">
        <f t="shared" si="9"/>
        <v>0</v>
      </c>
      <c r="J354" s="84">
        <f t="shared" si="9"/>
        <v>0</v>
      </c>
      <c r="K354" s="84">
        <f t="shared" si="9"/>
        <v>0</v>
      </c>
      <c r="L354" s="84">
        <f t="shared" si="9"/>
        <v>0</v>
      </c>
      <c r="M354" s="84">
        <f t="shared" si="9"/>
        <v>0</v>
      </c>
      <c r="N354" s="762">
        <f t="shared" si="9"/>
        <v>6000</v>
      </c>
      <c r="O354" s="762">
        <f t="shared" si="9"/>
        <v>218.5</v>
      </c>
      <c r="P354" s="81"/>
      <c r="Q354" s="81"/>
    </row>
    <row r="355" ht="12.75"/>
    <row r="356" spans="1:17" ht="12.75">
      <c r="A356" s="918" t="s">
        <v>420</v>
      </c>
      <c r="B356" s="918"/>
      <c r="C356" s="918"/>
      <c r="D356" s="918"/>
      <c r="E356" s="918"/>
      <c r="F356" s="918"/>
      <c r="G356" s="918"/>
      <c r="H356" s="918"/>
      <c r="I356" s="918"/>
      <c r="J356" s="918"/>
      <c r="K356" s="918"/>
      <c r="L356" s="918"/>
      <c r="M356" s="918"/>
      <c r="N356" s="918"/>
      <c r="O356" s="918"/>
      <c r="P356" s="918"/>
      <c r="Q356" s="918"/>
    </row>
    <row r="357" spans="1:20" s="39" customFormat="1" ht="16.5" thickBot="1">
      <c r="A357" s="891" t="s">
        <v>609</v>
      </c>
      <c r="B357" s="891"/>
      <c r="C357" s="891"/>
      <c r="D357" s="891"/>
      <c r="E357" s="891"/>
      <c r="F357" s="891"/>
      <c r="G357" s="891"/>
      <c r="H357" s="891"/>
      <c r="I357" s="891"/>
      <c r="J357" s="891"/>
      <c r="K357" s="891"/>
      <c r="L357" s="891"/>
      <c r="M357" s="891"/>
      <c r="N357" s="891"/>
      <c r="O357" s="891"/>
      <c r="P357" s="891"/>
      <c r="Q357" s="891"/>
      <c r="R357" s="184"/>
      <c r="S357" s="184"/>
      <c r="T357" s="184"/>
    </row>
    <row r="358" spans="3:20" s="39" customFormat="1" ht="13.5" thickBot="1">
      <c r="C358" s="38"/>
      <c r="D358" s="38"/>
      <c r="N358" s="755"/>
      <c r="O358" s="755"/>
      <c r="P358" s="892" t="s">
        <v>167</v>
      </c>
      <c r="Q358" s="893"/>
      <c r="R358" s="184"/>
      <c r="S358" s="184"/>
      <c r="T358" s="184"/>
    </row>
    <row r="359" spans="1:17" ht="12.75">
      <c r="A359" s="917" t="s">
        <v>76</v>
      </c>
      <c r="B359" s="917"/>
      <c r="C359" s="917"/>
      <c r="D359" s="917"/>
      <c r="E359" s="917"/>
      <c r="F359" s="917"/>
      <c r="P359" s="889" t="s">
        <v>74</v>
      </c>
      <c r="Q359" s="889"/>
    </row>
    <row r="360" spans="1:17" ht="12.75">
      <c r="A360" s="917" t="s">
        <v>77</v>
      </c>
      <c r="B360" s="890"/>
      <c r="C360" s="890"/>
      <c r="D360" s="890"/>
      <c r="E360" s="890"/>
      <c r="F360" s="890"/>
      <c r="L360" s="160"/>
      <c r="P360" s="890" t="s">
        <v>124</v>
      </c>
      <c r="Q360" s="890"/>
    </row>
    <row r="361" spans="1:16" ht="12.75">
      <c r="A361" s="917" t="s">
        <v>808</v>
      </c>
      <c r="B361" s="890"/>
      <c r="C361" s="890"/>
      <c r="D361" s="890"/>
      <c r="E361" s="890"/>
      <c r="F361" s="890"/>
      <c r="G361" s="38" t="s">
        <v>72</v>
      </c>
      <c r="I361" s="41">
        <v>39083</v>
      </c>
      <c r="P361" s="38" t="s">
        <v>123</v>
      </c>
    </row>
    <row r="362" ht="12.75"/>
    <row r="363" ht="13.5" thickBot="1"/>
    <row r="364" spans="1:17" ht="13.5" thickBot="1">
      <c r="A364" s="42" t="s">
        <v>424</v>
      </c>
      <c r="B364" s="43"/>
      <c r="C364" s="43" t="s">
        <v>559</v>
      </c>
      <c r="D364" s="43"/>
      <c r="E364" s="43"/>
      <c r="F364" s="45"/>
      <c r="G364" s="880" t="s">
        <v>425</v>
      </c>
      <c r="H364" s="881"/>
      <c r="I364" s="881"/>
      <c r="J364" s="881"/>
      <c r="K364" s="881"/>
      <c r="L364" s="881"/>
      <c r="M364" s="881"/>
      <c r="N364" s="881"/>
      <c r="O364" s="882"/>
      <c r="P364" s="880" t="s">
        <v>426</v>
      </c>
      <c r="Q364" s="882"/>
    </row>
    <row r="365" spans="1:17" ht="12.75">
      <c r="A365" s="46" t="s">
        <v>422</v>
      </c>
      <c r="B365" s="47"/>
      <c r="C365" s="47" t="s">
        <v>809</v>
      </c>
      <c r="D365" s="47"/>
      <c r="E365" s="47"/>
      <c r="F365" s="49"/>
      <c r="G365" s="883" t="s">
        <v>5</v>
      </c>
      <c r="H365" s="884"/>
      <c r="I365" s="884"/>
      <c r="J365" s="884"/>
      <c r="K365" s="884"/>
      <c r="L365" s="884"/>
      <c r="M365" s="884"/>
      <c r="N365" s="884"/>
      <c r="O365" s="885"/>
      <c r="P365" s="50"/>
      <c r="Q365" s="157" t="s">
        <v>767</v>
      </c>
    </row>
    <row r="366" spans="1:17" ht="13.5" thickBot="1">
      <c r="A366" s="51" t="s">
        <v>423</v>
      </c>
      <c r="B366" s="52"/>
      <c r="C366" s="52" t="s">
        <v>152</v>
      </c>
      <c r="D366" s="52"/>
      <c r="E366" s="52"/>
      <c r="F366" s="54"/>
      <c r="G366" s="886"/>
      <c r="H366" s="887"/>
      <c r="I366" s="887"/>
      <c r="J366" s="887"/>
      <c r="K366" s="887"/>
      <c r="L366" s="887"/>
      <c r="M366" s="887"/>
      <c r="N366" s="887"/>
      <c r="O366" s="888"/>
      <c r="P366" s="161"/>
      <c r="Q366" s="162"/>
    </row>
    <row r="367" spans="1:2" ht="13.5" thickBot="1">
      <c r="A367" s="38" t="s">
        <v>73</v>
      </c>
      <c r="B367" s="57"/>
    </row>
    <row r="368" spans="1:17" ht="12.75">
      <c r="A368" s="872" t="s">
        <v>431</v>
      </c>
      <c r="B368" s="873"/>
      <c r="C368" s="873"/>
      <c r="D368" s="873"/>
      <c r="E368" s="873"/>
      <c r="F368" s="874"/>
      <c r="G368" s="872" t="s">
        <v>427</v>
      </c>
      <c r="H368" s="873"/>
      <c r="I368" s="873"/>
      <c r="J368" s="873"/>
      <c r="K368" s="873"/>
      <c r="L368" s="873"/>
      <c r="M368" s="873"/>
      <c r="N368" s="873"/>
      <c r="O368" s="874"/>
      <c r="P368" s="875" t="s">
        <v>428</v>
      </c>
      <c r="Q368" s="874" t="s">
        <v>429</v>
      </c>
    </row>
    <row r="369" spans="1:17" ht="13.5" thickBot="1">
      <c r="A369" s="61"/>
      <c r="B369" s="62"/>
      <c r="C369" s="62"/>
      <c r="D369" s="62"/>
      <c r="E369" s="62"/>
      <c r="F369" s="64"/>
      <c r="G369" s="61"/>
      <c r="H369" s="62"/>
      <c r="I369" s="62"/>
      <c r="J369" s="62"/>
      <c r="K369" s="62"/>
      <c r="L369" s="62"/>
      <c r="M369" s="62"/>
      <c r="N369" s="756"/>
      <c r="O369" s="757"/>
      <c r="P369" s="876"/>
      <c r="Q369" s="877"/>
    </row>
    <row r="370" spans="1:17" ht="51.75" thickBot="1">
      <c r="A370" s="35" t="s">
        <v>430</v>
      </c>
      <c r="B370" s="90" t="s">
        <v>432</v>
      </c>
      <c r="C370" s="90" t="s">
        <v>433</v>
      </c>
      <c r="D370" s="90" t="s">
        <v>434</v>
      </c>
      <c r="E370" s="37" t="s">
        <v>435</v>
      </c>
      <c r="F370" s="36" t="s">
        <v>446</v>
      </c>
      <c r="G370" s="67" t="s">
        <v>436</v>
      </c>
      <c r="H370" s="68" t="s">
        <v>437</v>
      </c>
      <c r="I370" s="68" t="s">
        <v>438</v>
      </c>
      <c r="J370" s="68" t="s">
        <v>439</v>
      </c>
      <c r="K370" s="68" t="s">
        <v>440</v>
      </c>
      <c r="L370" s="68" t="s">
        <v>441</v>
      </c>
      <c r="M370" s="68" t="s">
        <v>442</v>
      </c>
      <c r="N370" s="773" t="s">
        <v>443</v>
      </c>
      <c r="O370" s="774" t="s">
        <v>444</v>
      </c>
      <c r="P370" s="900"/>
      <c r="Q370" s="901"/>
    </row>
    <row r="371" spans="1:17" ht="57" customHeight="1">
      <c r="A371" s="105">
        <v>1</v>
      </c>
      <c r="B371" s="122" t="s">
        <v>699</v>
      </c>
      <c r="C371" s="155">
        <v>100</v>
      </c>
      <c r="D371" s="155">
        <v>89</v>
      </c>
      <c r="E371" s="751">
        <f>D371/C371</f>
        <v>0.89</v>
      </c>
      <c r="F371" s="751">
        <f aca="true" t="shared" si="10" ref="F371:F377">(41+57+11+250)/275</f>
        <v>1.3054545454545454</v>
      </c>
      <c r="G371" s="72">
        <f>3774.84+1000+8500</f>
        <v>13274.84</v>
      </c>
      <c r="H371" s="107"/>
      <c r="I371" s="72"/>
      <c r="J371" s="72"/>
      <c r="K371" s="72"/>
      <c r="L371" s="72"/>
      <c r="M371" s="72"/>
      <c r="N371" s="760">
        <f aca="true" t="shared" si="11" ref="N371:N377">G371+H371+I371</f>
        <v>13274.84</v>
      </c>
      <c r="O371" s="760">
        <f>3774.84-61.502+1000+8475.691</f>
        <v>13189.029</v>
      </c>
      <c r="P371" s="697" t="s">
        <v>611</v>
      </c>
      <c r="Q371" s="116"/>
    </row>
    <row r="372" spans="1:17" ht="38.25">
      <c r="A372" s="73">
        <v>2</v>
      </c>
      <c r="B372" s="123" t="s">
        <v>633</v>
      </c>
      <c r="C372" s="111">
        <v>5</v>
      </c>
      <c r="D372" s="111">
        <v>3</v>
      </c>
      <c r="E372" s="748">
        <f>D372/C372</f>
        <v>0.6</v>
      </c>
      <c r="F372" s="748">
        <f t="shared" si="10"/>
        <v>1.3054545454545454</v>
      </c>
      <c r="G372" s="77"/>
      <c r="H372" s="77">
        <f>1300+1000+1000</f>
        <v>3300</v>
      </c>
      <c r="I372" s="77"/>
      <c r="J372" s="77"/>
      <c r="K372" s="77"/>
      <c r="L372" s="77"/>
      <c r="M372" s="77"/>
      <c r="N372" s="780">
        <f t="shared" si="11"/>
        <v>3300</v>
      </c>
      <c r="O372" s="780">
        <f>1300+0+0</f>
        <v>1300</v>
      </c>
      <c r="P372" s="350" t="s">
        <v>611</v>
      </c>
      <c r="Q372" s="163"/>
    </row>
    <row r="373" spans="1:17" ht="67.5">
      <c r="A373" s="73">
        <v>3</v>
      </c>
      <c r="B373" s="123" t="s">
        <v>238</v>
      </c>
      <c r="C373" s="111">
        <v>57</v>
      </c>
      <c r="D373" s="111">
        <v>57</v>
      </c>
      <c r="E373" s="748">
        <f>+D373/C373</f>
        <v>1</v>
      </c>
      <c r="F373" s="748">
        <f t="shared" si="10"/>
        <v>1.3054545454545454</v>
      </c>
      <c r="G373" s="77">
        <f>29000+4522.827+32225.16</f>
        <v>65747.987</v>
      </c>
      <c r="H373" s="77">
        <v>7962.971</v>
      </c>
      <c r="I373" s="77">
        <v>0</v>
      </c>
      <c r="J373" s="77"/>
      <c r="K373" s="77"/>
      <c r="L373" s="77"/>
      <c r="M373" s="77"/>
      <c r="N373" s="711">
        <f t="shared" si="11"/>
        <v>73710.958</v>
      </c>
      <c r="O373" s="780">
        <f>73710.958-365.36</f>
        <v>73345.598</v>
      </c>
      <c r="P373" s="350" t="s">
        <v>611</v>
      </c>
      <c r="Q373" s="313" t="s">
        <v>190</v>
      </c>
    </row>
    <row r="374" spans="1:17" ht="38.25">
      <c r="A374" s="73">
        <v>4</v>
      </c>
      <c r="B374" s="123" t="s">
        <v>634</v>
      </c>
      <c r="C374" s="111">
        <v>0</v>
      </c>
      <c r="D374" s="111">
        <v>0</v>
      </c>
      <c r="E374" s="748">
        <v>0</v>
      </c>
      <c r="F374" s="748">
        <f t="shared" si="10"/>
        <v>1.3054545454545454</v>
      </c>
      <c r="G374" s="77"/>
      <c r="H374" s="77"/>
      <c r="I374" s="77"/>
      <c r="J374" s="77"/>
      <c r="K374" s="77"/>
      <c r="L374" s="77"/>
      <c r="M374" s="77"/>
      <c r="N374" s="253">
        <f t="shared" si="11"/>
        <v>0</v>
      </c>
      <c r="O374" s="78"/>
      <c r="P374" s="350" t="s">
        <v>611</v>
      </c>
      <c r="Q374" s="73"/>
    </row>
    <row r="375" spans="1:17" ht="51">
      <c r="A375" s="73">
        <v>5</v>
      </c>
      <c r="B375" s="74" t="s">
        <v>147</v>
      </c>
      <c r="C375" s="111">
        <v>1</v>
      </c>
      <c r="D375" s="111">
        <v>1</v>
      </c>
      <c r="E375" s="748">
        <f>+D375/C375</f>
        <v>1</v>
      </c>
      <c r="F375" s="748">
        <f t="shared" si="10"/>
        <v>1.3054545454545454</v>
      </c>
      <c r="G375" s="95"/>
      <c r="H375" s="95"/>
      <c r="I375" s="89"/>
      <c r="J375" s="73"/>
      <c r="K375" s="73"/>
      <c r="L375" s="73"/>
      <c r="M375" s="73"/>
      <c r="N375" s="253">
        <f t="shared" si="11"/>
        <v>0</v>
      </c>
      <c r="O375" s="78"/>
      <c r="P375" s="350" t="s">
        <v>611</v>
      </c>
      <c r="Q375" s="73"/>
    </row>
    <row r="376" spans="1:17" ht="51">
      <c r="A376" s="73">
        <v>6</v>
      </c>
      <c r="B376" s="74" t="s">
        <v>146</v>
      </c>
      <c r="C376" s="111">
        <v>15</v>
      </c>
      <c r="D376" s="111">
        <v>15</v>
      </c>
      <c r="E376" s="748">
        <f>+D376/C376</f>
        <v>1</v>
      </c>
      <c r="F376" s="748">
        <f t="shared" si="10"/>
        <v>1.3054545454545454</v>
      </c>
      <c r="G376" s="95"/>
      <c r="H376" s="95"/>
      <c r="I376" s="73"/>
      <c r="J376" s="73"/>
      <c r="K376" s="73"/>
      <c r="L376" s="73"/>
      <c r="M376" s="73"/>
      <c r="N376" s="253">
        <f t="shared" si="11"/>
        <v>0</v>
      </c>
      <c r="O376" s="89"/>
      <c r="P376" s="350" t="s">
        <v>611</v>
      </c>
      <c r="Q376" s="73"/>
    </row>
    <row r="377" spans="1:17" ht="38.25">
      <c r="A377" s="73">
        <v>7</v>
      </c>
      <c r="B377" s="74" t="s">
        <v>391</v>
      </c>
      <c r="C377" s="111">
        <v>60</v>
      </c>
      <c r="D377" s="111">
        <v>60</v>
      </c>
      <c r="E377" s="748">
        <f>+D377/C377</f>
        <v>1</v>
      </c>
      <c r="F377" s="748">
        <f t="shared" si="10"/>
        <v>1.3054545454545454</v>
      </c>
      <c r="G377" s="73"/>
      <c r="H377" s="95"/>
      <c r="I377" s="73"/>
      <c r="J377" s="73"/>
      <c r="K377" s="73"/>
      <c r="L377" s="73"/>
      <c r="M377" s="73"/>
      <c r="N377" s="253">
        <f t="shared" si="11"/>
        <v>0</v>
      </c>
      <c r="O377" s="89"/>
      <c r="P377" s="350" t="s">
        <v>611</v>
      </c>
      <c r="Q377" s="73"/>
    </row>
    <row r="378" spans="1:17" ht="12.75">
      <c r="A378" s="73"/>
      <c r="B378" s="73"/>
      <c r="C378" s="73"/>
      <c r="D378" s="73"/>
      <c r="E378" s="73"/>
      <c r="F378" s="73"/>
      <c r="G378" s="73"/>
      <c r="H378" s="73"/>
      <c r="I378" s="73"/>
      <c r="J378" s="73"/>
      <c r="K378" s="73"/>
      <c r="L378" s="73"/>
      <c r="M378" s="73"/>
      <c r="N378" s="89"/>
      <c r="O378" s="89"/>
      <c r="P378" s="73"/>
      <c r="Q378" s="73"/>
    </row>
    <row r="379" spans="1:17" ht="12.75">
      <c r="A379" s="73"/>
      <c r="B379" s="73"/>
      <c r="C379" s="73"/>
      <c r="D379" s="73"/>
      <c r="E379" s="73"/>
      <c r="F379" s="73"/>
      <c r="G379" s="73"/>
      <c r="H379" s="73"/>
      <c r="I379" s="73"/>
      <c r="J379" s="73"/>
      <c r="K379" s="73"/>
      <c r="L379" s="73"/>
      <c r="M379" s="73"/>
      <c r="N379" s="89"/>
      <c r="O379" s="89"/>
      <c r="P379" s="73"/>
      <c r="Q379" s="73"/>
    </row>
    <row r="380" spans="1:17" ht="12.75">
      <c r="A380" s="73"/>
      <c r="B380" s="73"/>
      <c r="C380" s="73"/>
      <c r="D380" s="73"/>
      <c r="E380" s="73"/>
      <c r="F380" s="73"/>
      <c r="G380" s="73"/>
      <c r="H380" s="73"/>
      <c r="I380" s="73"/>
      <c r="J380" s="73"/>
      <c r="K380" s="73"/>
      <c r="L380" s="73"/>
      <c r="M380" s="73"/>
      <c r="N380" s="89"/>
      <c r="O380" s="89"/>
      <c r="P380" s="73"/>
      <c r="Q380" s="73"/>
    </row>
    <row r="381" spans="1:17" ht="12.75">
      <c r="A381" s="73"/>
      <c r="B381" s="73"/>
      <c r="C381" s="73"/>
      <c r="D381" s="73"/>
      <c r="E381" s="73"/>
      <c r="F381" s="73"/>
      <c r="G381" s="73"/>
      <c r="H381" s="73"/>
      <c r="I381" s="73"/>
      <c r="J381" s="73"/>
      <c r="K381" s="73"/>
      <c r="L381" s="73"/>
      <c r="M381" s="73"/>
      <c r="N381" s="89"/>
      <c r="O381" s="89"/>
      <c r="P381" s="73"/>
      <c r="Q381" s="73"/>
    </row>
    <row r="382" spans="1:17" ht="12.75">
      <c r="A382" s="73"/>
      <c r="B382" s="73"/>
      <c r="C382" s="73"/>
      <c r="D382" s="73"/>
      <c r="E382" s="73"/>
      <c r="F382" s="73"/>
      <c r="G382" s="73"/>
      <c r="H382" s="73"/>
      <c r="I382" s="73"/>
      <c r="J382" s="73"/>
      <c r="K382" s="73"/>
      <c r="L382" s="73"/>
      <c r="M382" s="73"/>
      <c r="N382" s="89"/>
      <c r="O382" s="89"/>
      <c r="P382" s="73"/>
      <c r="Q382" s="73"/>
    </row>
    <row r="383" spans="1:17" ht="12.75">
      <c r="A383" s="73"/>
      <c r="B383" s="73"/>
      <c r="C383" s="73"/>
      <c r="D383" s="73"/>
      <c r="E383" s="73"/>
      <c r="F383" s="73"/>
      <c r="G383" s="73"/>
      <c r="H383" s="73"/>
      <c r="I383" s="73"/>
      <c r="J383" s="73"/>
      <c r="K383" s="73"/>
      <c r="L383" s="73"/>
      <c r="M383" s="73"/>
      <c r="N383" s="89"/>
      <c r="O383" s="89"/>
      <c r="P383" s="73"/>
      <c r="Q383" s="73"/>
    </row>
    <row r="384" spans="1:17" ht="12.75">
      <c r="A384" s="73"/>
      <c r="B384" s="73"/>
      <c r="C384" s="73"/>
      <c r="D384" s="73"/>
      <c r="E384" s="73"/>
      <c r="F384" s="73"/>
      <c r="G384" s="73"/>
      <c r="H384" s="73"/>
      <c r="I384" s="73"/>
      <c r="J384" s="73"/>
      <c r="K384" s="73"/>
      <c r="L384" s="73"/>
      <c r="M384" s="73"/>
      <c r="N384" s="89"/>
      <c r="O384" s="89"/>
      <c r="P384" s="73"/>
      <c r="Q384" s="73"/>
    </row>
    <row r="385" spans="1:17" ht="12.75">
      <c r="A385" s="73"/>
      <c r="B385" s="73"/>
      <c r="C385" s="73"/>
      <c r="D385" s="73"/>
      <c r="E385" s="73"/>
      <c r="F385" s="73"/>
      <c r="G385" s="73"/>
      <c r="H385" s="73"/>
      <c r="I385" s="73"/>
      <c r="J385" s="73"/>
      <c r="K385" s="73"/>
      <c r="L385" s="73"/>
      <c r="M385" s="73"/>
      <c r="N385" s="89"/>
      <c r="O385" s="89"/>
      <c r="P385" s="73"/>
      <c r="Q385" s="73"/>
    </row>
    <row r="386" spans="1:17" ht="12.75">
      <c r="A386" s="73"/>
      <c r="B386" s="73"/>
      <c r="C386" s="73"/>
      <c r="D386" s="73"/>
      <c r="E386" s="73"/>
      <c r="F386" s="73"/>
      <c r="G386" s="73"/>
      <c r="H386" s="73"/>
      <c r="I386" s="73"/>
      <c r="J386" s="73"/>
      <c r="K386" s="73"/>
      <c r="L386" s="73"/>
      <c r="M386" s="73"/>
      <c r="N386" s="89"/>
      <c r="O386" s="89"/>
      <c r="P386" s="73"/>
      <c r="Q386" s="73"/>
    </row>
    <row r="387" spans="1:19" ht="13.5" thickBot="1">
      <c r="A387" s="81"/>
      <c r="B387" s="82" t="s">
        <v>445</v>
      </c>
      <c r="C387" s="81"/>
      <c r="D387" s="81"/>
      <c r="E387" s="81"/>
      <c r="F387" s="81"/>
      <c r="G387" s="84">
        <f>SUM(G371:G386)</f>
        <v>79022.82699999999</v>
      </c>
      <c r="H387" s="84">
        <f aca="true" t="shared" si="12" ref="H387:O387">SUM(H371:H386)</f>
        <v>11262.971</v>
      </c>
      <c r="I387" s="84">
        <f t="shared" si="12"/>
        <v>0</v>
      </c>
      <c r="J387" s="84">
        <f t="shared" si="12"/>
        <v>0</v>
      </c>
      <c r="K387" s="84">
        <f t="shared" si="12"/>
        <v>0</v>
      </c>
      <c r="L387" s="84">
        <f t="shared" si="12"/>
        <v>0</v>
      </c>
      <c r="M387" s="84">
        <f t="shared" si="12"/>
        <v>0</v>
      </c>
      <c r="N387" s="762">
        <f>SUM(N371:N386)</f>
        <v>90285.798</v>
      </c>
      <c r="O387" s="762">
        <f t="shared" si="12"/>
        <v>87834.627</v>
      </c>
      <c r="P387" s="81"/>
      <c r="Q387" s="81"/>
      <c r="R387" s="153">
        <f>+N387</f>
        <v>90285.798</v>
      </c>
      <c r="S387" s="153">
        <f>+O387</f>
        <v>87834.627</v>
      </c>
    </row>
    <row r="388" spans="14:19" ht="12.75" hidden="1">
      <c r="N388" s="362"/>
      <c r="O388" s="362"/>
      <c r="S388" s="153" t="e">
        <f>+'Resumen presupuesto ejecutado'!#REF!/1000</f>
        <v>#REF!</v>
      </c>
    </row>
    <row r="389" spans="1:19" ht="12.75" hidden="1">
      <c r="A389" s="918" t="s">
        <v>420</v>
      </c>
      <c r="B389" s="918"/>
      <c r="C389" s="918"/>
      <c r="D389" s="918"/>
      <c r="E389" s="918"/>
      <c r="F389" s="918"/>
      <c r="G389" s="918"/>
      <c r="H389" s="918"/>
      <c r="I389" s="918"/>
      <c r="J389" s="918"/>
      <c r="K389" s="918"/>
      <c r="L389" s="918"/>
      <c r="M389" s="918"/>
      <c r="N389" s="918"/>
      <c r="O389" s="918"/>
      <c r="P389" s="918"/>
      <c r="Q389" s="918"/>
      <c r="S389" s="153" t="e">
        <f>+S387-S388</f>
        <v>#REF!</v>
      </c>
    </row>
    <row r="390" spans="1:20" s="39" customFormat="1" ht="16.5" hidden="1" thickBot="1">
      <c r="A390" s="891" t="s">
        <v>783</v>
      </c>
      <c r="B390" s="891"/>
      <c r="C390" s="891"/>
      <c r="D390" s="891"/>
      <c r="E390" s="891"/>
      <c r="F390" s="891"/>
      <c r="G390" s="891"/>
      <c r="H390" s="891"/>
      <c r="I390" s="891"/>
      <c r="J390" s="891"/>
      <c r="K390" s="891"/>
      <c r="L390" s="891"/>
      <c r="M390" s="891"/>
      <c r="N390" s="891"/>
      <c r="O390" s="891"/>
      <c r="P390" s="891"/>
      <c r="Q390" s="891"/>
      <c r="R390" s="184"/>
      <c r="S390" s="184"/>
      <c r="T390" s="184"/>
    </row>
    <row r="391" spans="3:20" s="39" customFormat="1" ht="13.5" hidden="1" thickBot="1">
      <c r="C391" s="38"/>
      <c r="D391" s="38"/>
      <c r="N391" s="755"/>
      <c r="O391" s="755"/>
      <c r="P391" s="892" t="s">
        <v>168</v>
      </c>
      <c r="Q391" s="893"/>
      <c r="R391" s="184"/>
      <c r="S391" s="184"/>
      <c r="T391" s="184"/>
    </row>
    <row r="392" spans="1:17" ht="12.75" hidden="1">
      <c r="A392" s="917" t="s">
        <v>76</v>
      </c>
      <c r="B392" s="917"/>
      <c r="C392" s="917"/>
      <c r="D392" s="917"/>
      <c r="E392" s="917"/>
      <c r="F392" s="917"/>
      <c r="P392" s="889" t="s">
        <v>74</v>
      </c>
      <c r="Q392" s="889"/>
    </row>
    <row r="393" spans="1:17" ht="12.75" hidden="1">
      <c r="A393" s="917" t="s">
        <v>77</v>
      </c>
      <c r="B393" s="890"/>
      <c r="C393" s="890"/>
      <c r="D393" s="890"/>
      <c r="E393" s="890"/>
      <c r="F393" s="890"/>
      <c r="L393" s="160"/>
      <c r="P393" s="890" t="s">
        <v>245</v>
      </c>
      <c r="Q393" s="890"/>
    </row>
    <row r="394" spans="1:16" ht="12.75" hidden="1">
      <c r="A394" s="917" t="s">
        <v>808</v>
      </c>
      <c r="B394" s="890"/>
      <c r="C394" s="890"/>
      <c r="D394" s="890"/>
      <c r="E394" s="890"/>
      <c r="F394" s="890"/>
      <c r="G394" s="38" t="s">
        <v>72</v>
      </c>
      <c r="I394" s="41">
        <v>38718</v>
      </c>
      <c r="P394" s="38" t="s">
        <v>123</v>
      </c>
    </row>
    <row r="395" ht="12.75" hidden="1"/>
    <row r="396" ht="13.5" hidden="1" thickBot="1"/>
    <row r="397" spans="1:17" ht="13.5" hidden="1" thickBot="1">
      <c r="A397" s="42" t="s">
        <v>424</v>
      </c>
      <c r="B397" s="43"/>
      <c r="C397" s="43" t="s">
        <v>559</v>
      </c>
      <c r="D397" s="43"/>
      <c r="E397" s="43"/>
      <c r="F397" s="45"/>
      <c r="G397" s="880" t="s">
        <v>425</v>
      </c>
      <c r="H397" s="881"/>
      <c r="I397" s="881"/>
      <c r="J397" s="881"/>
      <c r="K397" s="881"/>
      <c r="L397" s="881"/>
      <c r="M397" s="881"/>
      <c r="N397" s="881"/>
      <c r="O397" s="881"/>
      <c r="P397" s="880" t="s">
        <v>426</v>
      </c>
      <c r="Q397" s="882"/>
    </row>
    <row r="398" spans="1:17" ht="12.75" hidden="1">
      <c r="A398" s="46" t="s">
        <v>422</v>
      </c>
      <c r="B398" s="47"/>
      <c r="C398" s="47" t="s">
        <v>809</v>
      </c>
      <c r="D398" s="47"/>
      <c r="E398" s="47"/>
      <c r="F398" s="49"/>
      <c r="G398" s="883" t="s">
        <v>787</v>
      </c>
      <c r="H398" s="884"/>
      <c r="I398" s="884"/>
      <c r="J398" s="884"/>
      <c r="K398" s="884"/>
      <c r="L398" s="884"/>
      <c r="M398" s="884"/>
      <c r="N398" s="884"/>
      <c r="O398" s="885"/>
      <c r="P398" s="50"/>
      <c r="Q398" s="157" t="s">
        <v>768</v>
      </c>
    </row>
    <row r="399" spans="1:17" ht="13.5" hidden="1" thickBot="1">
      <c r="A399" s="51" t="s">
        <v>423</v>
      </c>
      <c r="B399" s="52"/>
      <c r="C399" s="52" t="s">
        <v>154</v>
      </c>
      <c r="D399" s="52"/>
      <c r="E399" s="52"/>
      <c r="F399" s="54"/>
      <c r="G399" s="886"/>
      <c r="H399" s="887"/>
      <c r="I399" s="887"/>
      <c r="J399" s="887"/>
      <c r="K399" s="887"/>
      <c r="L399" s="887"/>
      <c r="M399" s="887"/>
      <c r="N399" s="887"/>
      <c r="O399" s="888"/>
      <c r="P399" s="161"/>
      <c r="Q399" s="162"/>
    </row>
    <row r="400" spans="1:2" ht="13.5" hidden="1" thickBot="1">
      <c r="A400" s="38" t="s">
        <v>73</v>
      </c>
      <c r="B400" s="57"/>
    </row>
    <row r="401" spans="1:17" ht="12.75" hidden="1">
      <c r="A401" s="872" t="s">
        <v>431</v>
      </c>
      <c r="B401" s="873"/>
      <c r="C401" s="873"/>
      <c r="D401" s="873"/>
      <c r="E401" s="873"/>
      <c r="F401" s="874"/>
      <c r="G401" s="872" t="s">
        <v>427</v>
      </c>
      <c r="H401" s="873"/>
      <c r="I401" s="873"/>
      <c r="J401" s="873"/>
      <c r="K401" s="873"/>
      <c r="L401" s="873"/>
      <c r="M401" s="873"/>
      <c r="N401" s="873"/>
      <c r="O401" s="874"/>
      <c r="P401" s="875" t="s">
        <v>428</v>
      </c>
      <c r="Q401" s="874" t="s">
        <v>429</v>
      </c>
    </row>
    <row r="402" spans="1:17" ht="13.5" hidden="1" thickBot="1">
      <c r="A402" s="61"/>
      <c r="B402" s="62"/>
      <c r="C402" s="62"/>
      <c r="D402" s="62"/>
      <c r="E402" s="62"/>
      <c r="F402" s="64"/>
      <c r="G402" s="61"/>
      <c r="H402" s="62"/>
      <c r="I402" s="62"/>
      <c r="J402" s="62"/>
      <c r="K402" s="62"/>
      <c r="L402" s="62"/>
      <c r="M402" s="62"/>
      <c r="N402" s="756"/>
      <c r="O402" s="757"/>
      <c r="P402" s="876"/>
      <c r="Q402" s="877"/>
    </row>
    <row r="403" spans="1:17" ht="52.5" hidden="1" thickBot="1">
      <c r="A403" s="35" t="s">
        <v>430</v>
      </c>
      <c r="B403" s="90" t="s">
        <v>432</v>
      </c>
      <c r="C403" s="154" t="s">
        <v>433</v>
      </c>
      <c r="D403" s="138" t="s">
        <v>434</v>
      </c>
      <c r="E403" s="37" t="s">
        <v>435</v>
      </c>
      <c r="F403" s="36" t="s">
        <v>446</v>
      </c>
      <c r="G403" s="67" t="s">
        <v>436</v>
      </c>
      <c r="H403" s="68" t="s">
        <v>437</v>
      </c>
      <c r="I403" s="68" t="s">
        <v>438</v>
      </c>
      <c r="J403" s="68" t="s">
        <v>439</v>
      </c>
      <c r="K403" s="68" t="s">
        <v>440</v>
      </c>
      <c r="L403" s="68" t="s">
        <v>441</v>
      </c>
      <c r="M403" s="68" t="s">
        <v>442</v>
      </c>
      <c r="N403" s="773" t="s">
        <v>443</v>
      </c>
      <c r="O403" s="774" t="s">
        <v>444</v>
      </c>
      <c r="P403" s="876"/>
      <c r="Q403" s="877"/>
    </row>
    <row r="404" spans="1:17" ht="38.25" hidden="1">
      <c r="A404" s="105">
        <v>1</v>
      </c>
      <c r="B404" s="117" t="s">
        <v>82</v>
      </c>
      <c r="C404" s="155">
        <f>47+33</f>
        <v>80</v>
      </c>
      <c r="D404" s="155"/>
      <c r="E404" s="93">
        <f>+D404/C404</f>
        <v>0</v>
      </c>
      <c r="F404" s="71"/>
      <c r="G404" s="72"/>
      <c r="H404" s="72"/>
      <c r="I404" s="159"/>
      <c r="J404" s="69"/>
      <c r="K404" s="69"/>
      <c r="L404" s="69"/>
      <c r="M404" s="69"/>
      <c r="N404" s="108">
        <f>G404+H404+I404</f>
        <v>0</v>
      </c>
      <c r="O404" s="121"/>
      <c r="P404" s="69"/>
      <c r="Q404" s="69"/>
    </row>
    <row r="405" spans="1:17" ht="12.75" hidden="1">
      <c r="A405" s="73"/>
      <c r="B405" s="118"/>
      <c r="C405" s="111"/>
      <c r="D405" s="73"/>
      <c r="E405" s="73"/>
      <c r="F405" s="73"/>
      <c r="G405" s="73"/>
      <c r="H405" s="73"/>
      <c r="I405" s="73"/>
      <c r="J405" s="73"/>
      <c r="K405" s="73"/>
      <c r="L405" s="73"/>
      <c r="M405" s="73"/>
      <c r="N405" s="89"/>
      <c r="O405" s="89"/>
      <c r="P405" s="73"/>
      <c r="Q405" s="163"/>
    </row>
    <row r="406" spans="1:17" ht="12.75" hidden="1">
      <c r="A406" s="73"/>
      <c r="B406" s="118"/>
      <c r="C406" s="111"/>
      <c r="D406" s="73"/>
      <c r="E406" s="73"/>
      <c r="F406" s="73"/>
      <c r="G406" s="73"/>
      <c r="H406" s="73"/>
      <c r="I406" s="73"/>
      <c r="J406" s="73"/>
      <c r="K406" s="73"/>
      <c r="L406" s="73"/>
      <c r="M406" s="73"/>
      <c r="N406" s="89"/>
      <c r="O406" s="89"/>
      <c r="P406" s="73"/>
      <c r="Q406" s="73"/>
    </row>
    <row r="407" spans="1:17" ht="12.75" hidden="1">
      <c r="A407" s="73"/>
      <c r="B407" s="118"/>
      <c r="C407" s="111"/>
      <c r="D407" s="73"/>
      <c r="E407" s="73"/>
      <c r="F407" s="73"/>
      <c r="G407" s="73"/>
      <c r="H407" s="73"/>
      <c r="I407" s="73"/>
      <c r="J407" s="73"/>
      <c r="K407" s="73"/>
      <c r="L407" s="73"/>
      <c r="M407" s="73"/>
      <c r="N407" s="89"/>
      <c r="O407" s="89"/>
      <c r="P407" s="73"/>
      <c r="Q407" s="73"/>
    </row>
    <row r="408" spans="1:17" ht="12.75" hidden="1">
      <c r="A408" s="73"/>
      <c r="B408" s="74"/>
      <c r="C408" s="111"/>
      <c r="D408" s="73"/>
      <c r="E408" s="73"/>
      <c r="F408" s="73"/>
      <c r="G408" s="73"/>
      <c r="H408" s="73"/>
      <c r="I408" s="73"/>
      <c r="J408" s="73"/>
      <c r="K408" s="73"/>
      <c r="L408" s="73"/>
      <c r="M408" s="73"/>
      <c r="N408" s="89"/>
      <c r="O408" s="89"/>
      <c r="P408" s="73"/>
      <c r="Q408" s="73"/>
    </row>
    <row r="409" spans="1:17" ht="12.75" hidden="1">
      <c r="A409" s="73"/>
      <c r="B409" s="74"/>
      <c r="C409" s="111"/>
      <c r="D409" s="73"/>
      <c r="E409" s="73"/>
      <c r="F409" s="73"/>
      <c r="G409" s="73"/>
      <c r="H409" s="73"/>
      <c r="I409" s="73"/>
      <c r="J409" s="73"/>
      <c r="K409" s="73"/>
      <c r="L409" s="73"/>
      <c r="M409" s="73"/>
      <c r="N409" s="89"/>
      <c r="O409" s="89"/>
      <c r="P409" s="73"/>
      <c r="Q409" s="73"/>
    </row>
    <row r="410" spans="1:17" ht="12.75" hidden="1">
      <c r="A410" s="73"/>
      <c r="B410" s="74"/>
      <c r="C410" s="73"/>
      <c r="D410" s="73"/>
      <c r="E410" s="73"/>
      <c r="F410" s="73"/>
      <c r="G410" s="73"/>
      <c r="H410" s="73"/>
      <c r="I410" s="73"/>
      <c r="J410" s="73"/>
      <c r="K410" s="73"/>
      <c r="L410" s="73"/>
      <c r="M410" s="73"/>
      <c r="N410" s="89"/>
      <c r="O410" s="89"/>
      <c r="P410" s="73"/>
      <c r="Q410" s="73"/>
    </row>
    <row r="411" spans="1:17" ht="12.75" hidden="1">
      <c r="A411" s="73"/>
      <c r="B411" s="73"/>
      <c r="C411" s="73"/>
      <c r="D411" s="73"/>
      <c r="E411" s="73"/>
      <c r="F411" s="73"/>
      <c r="G411" s="73"/>
      <c r="H411" s="73"/>
      <c r="I411" s="73"/>
      <c r="J411" s="73"/>
      <c r="K411" s="73"/>
      <c r="L411" s="73"/>
      <c r="M411" s="73"/>
      <c r="N411" s="89"/>
      <c r="O411" s="89"/>
      <c r="P411" s="73"/>
      <c r="Q411" s="73"/>
    </row>
    <row r="412" spans="1:17" ht="12.75" hidden="1">
      <c r="A412" s="73"/>
      <c r="B412" s="73"/>
      <c r="C412" s="73"/>
      <c r="D412" s="73"/>
      <c r="E412" s="73"/>
      <c r="F412" s="73"/>
      <c r="G412" s="73"/>
      <c r="H412" s="73"/>
      <c r="I412" s="73"/>
      <c r="J412" s="73"/>
      <c r="K412" s="73"/>
      <c r="L412" s="73"/>
      <c r="M412" s="73"/>
      <c r="N412" s="89"/>
      <c r="O412" s="89"/>
      <c r="P412" s="73"/>
      <c r="Q412" s="73"/>
    </row>
    <row r="413" spans="1:17" ht="12.75" hidden="1">
      <c r="A413" s="73"/>
      <c r="B413" s="73"/>
      <c r="C413" s="73"/>
      <c r="D413" s="73"/>
      <c r="E413" s="73"/>
      <c r="F413" s="73"/>
      <c r="G413" s="73"/>
      <c r="H413" s="73"/>
      <c r="I413" s="73"/>
      <c r="J413" s="73"/>
      <c r="K413" s="73"/>
      <c r="L413" s="73"/>
      <c r="M413" s="73"/>
      <c r="N413" s="89"/>
      <c r="O413" s="89"/>
      <c r="P413" s="73"/>
      <c r="Q413" s="73"/>
    </row>
    <row r="414" spans="1:17" ht="12.75" hidden="1">
      <c r="A414" s="73"/>
      <c r="B414" s="73"/>
      <c r="C414" s="73"/>
      <c r="D414" s="73"/>
      <c r="E414" s="73"/>
      <c r="F414" s="73"/>
      <c r="G414" s="73"/>
      <c r="H414" s="73"/>
      <c r="I414" s="73"/>
      <c r="J414" s="73"/>
      <c r="K414" s="73"/>
      <c r="L414" s="73"/>
      <c r="M414" s="73"/>
      <c r="N414" s="89"/>
      <c r="O414" s="89"/>
      <c r="P414" s="73"/>
      <c r="Q414" s="73"/>
    </row>
    <row r="415" spans="1:17" ht="12.75" hidden="1">
      <c r="A415" s="73"/>
      <c r="B415" s="73"/>
      <c r="C415" s="73"/>
      <c r="D415" s="73"/>
      <c r="E415" s="73"/>
      <c r="F415" s="73"/>
      <c r="G415" s="73"/>
      <c r="H415" s="73"/>
      <c r="I415" s="73"/>
      <c r="J415" s="73"/>
      <c r="K415" s="73"/>
      <c r="L415" s="73"/>
      <c r="M415" s="73"/>
      <c r="N415" s="89"/>
      <c r="O415" s="89"/>
      <c r="P415" s="73"/>
      <c r="Q415" s="73"/>
    </row>
    <row r="416" spans="1:17" ht="12.75" hidden="1">
      <c r="A416" s="73"/>
      <c r="B416" s="73"/>
      <c r="C416" s="73"/>
      <c r="D416" s="73"/>
      <c r="E416" s="73"/>
      <c r="F416" s="73"/>
      <c r="G416" s="73"/>
      <c r="H416" s="73"/>
      <c r="I416" s="73"/>
      <c r="J416" s="73"/>
      <c r="K416" s="73"/>
      <c r="L416" s="73"/>
      <c r="M416" s="73"/>
      <c r="N416" s="89"/>
      <c r="O416" s="89"/>
      <c r="P416" s="73"/>
      <c r="Q416" s="73"/>
    </row>
    <row r="417" spans="1:17" ht="12.75" hidden="1">
      <c r="A417" s="73"/>
      <c r="B417" s="73"/>
      <c r="C417" s="73"/>
      <c r="D417" s="73"/>
      <c r="E417" s="73"/>
      <c r="F417" s="73"/>
      <c r="G417" s="73"/>
      <c r="H417" s="73"/>
      <c r="I417" s="73"/>
      <c r="J417" s="73"/>
      <c r="K417" s="73"/>
      <c r="L417" s="73"/>
      <c r="M417" s="73"/>
      <c r="N417" s="89"/>
      <c r="O417" s="89"/>
      <c r="P417" s="73"/>
      <c r="Q417" s="73"/>
    </row>
    <row r="418" spans="1:17" ht="12.75" hidden="1">
      <c r="A418" s="73"/>
      <c r="B418" s="73"/>
      <c r="C418" s="73"/>
      <c r="D418" s="73"/>
      <c r="E418" s="73"/>
      <c r="F418" s="73"/>
      <c r="G418" s="73"/>
      <c r="H418" s="73"/>
      <c r="I418" s="73"/>
      <c r="J418" s="73"/>
      <c r="K418" s="73"/>
      <c r="L418" s="73"/>
      <c r="M418" s="73"/>
      <c r="N418" s="89"/>
      <c r="O418" s="89"/>
      <c r="P418" s="73"/>
      <c r="Q418" s="73"/>
    </row>
    <row r="419" spans="1:17" ht="12.75" hidden="1">
      <c r="A419" s="73"/>
      <c r="B419" s="73"/>
      <c r="C419" s="73"/>
      <c r="D419" s="73"/>
      <c r="E419" s="73"/>
      <c r="F419" s="73"/>
      <c r="G419" s="73"/>
      <c r="H419" s="73"/>
      <c r="I419" s="73"/>
      <c r="J419" s="73"/>
      <c r="K419" s="73"/>
      <c r="L419" s="73"/>
      <c r="M419" s="73"/>
      <c r="N419" s="89"/>
      <c r="O419" s="89"/>
      <c r="P419" s="73"/>
      <c r="Q419" s="73"/>
    </row>
    <row r="420" spans="1:20" ht="13.5" hidden="1" thickBot="1">
      <c r="A420" s="81"/>
      <c r="B420" s="82" t="s">
        <v>445</v>
      </c>
      <c r="C420" s="81"/>
      <c r="D420" s="81"/>
      <c r="E420" s="81"/>
      <c r="F420" s="81"/>
      <c r="G420" s="84">
        <f>SUM(G404:G419)</f>
        <v>0</v>
      </c>
      <c r="H420" s="84">
        <f aca="true" t="shared" si="13" ref="H420:O420">SUM(H404:H419)</f>
        <v>0</v>
      </c>
      <c r="I420" s="84">
        <f t="shared" si="13"/>
        <v>0</v>
      </c>
      <c r="J420" s="84">
        <f t="shared" si="13"/>
        <v>0</v>
      </c>
      <c r="K420" s="84">
        <f t="shared" si="13"/>
        <v>0</v>
      </c>
      <c r="L420" s="84">
        <f t="shared" si="13"/>
        <v>0</v>
      </c>
      <c r="M420" s="84">
        <f t="shared" si="13"/>
        <v>0</v>
      </c>
      <c r="N420" s="84">
        <f t="shared" si="13"/>
        <v>0</v>
      </c>
      <c r="O420" s="84">
        <f t="shared" si="13"/>
        <v>0</v>
      </c>
      <c r="P420" s="81"/>
      <c r="Q420" s="81"/>
      <c r="R420" s="153">
        <f>+N387+N420</f>
        <v>90285.798</v>
      </c>
      <c r="S420" s="153">
        <f>+O387+O420</f>
        <v>87834.627</v>
      </c>
      <c r="T420" s="153">
        <f>+R420-S420</f>
        <v>2451.171000000002</v>
      </c>
    </row>
    <row r="421" ht="12.75">
      <c r="S421" s="153" t="e">
        <f>+'Resumen presupuesto ejecutado'!#REF!/1000</f>
        <v>#REF!</v>
      </c>
    </row>
    <row r="422" spans="1:19" ht="12.75">
      <c r="A422" s="918" t="s">
        <v>420</v>
      </c>
      <c r="B422" s="918"/>
      <c r="C422" s="918"/>
      <c r="D422" s="918"/>
      <c r="E422" s="918"/>
      <c r="F422" s="918"/>
      <c r="G422" s="918"/>
      <c r="H422" s="918"/>
      <c r="I422" s="918"/>
      <c r="J422" s="918"/>
      <c r="K422" s="918"/>
      <c r="L422" s="918"/>
      <c r="M422" s="918"/>
      <c r="N422" s="918"/>
      <c r="O422" s="918"/>
      <c r="P422" s="918"/>
      <c r="Q422" s="918"/>
      <c r="S422" s="153" t="e">
        <f>+S420-S421</f>
        <v>#REF!</v>
      </c>
    </row>
    <row r="423" spans="1:20" s="39" customFormat="1" ht="16.5" thickBot="1">
      <c r="A423" s="891" t="s">
        <v>609</v>
      </c>
      <c r="B423" s="891"/>
      <c r="C423" s="891"/>
      <c r="D423" s="891"/>
      <c r="E423" s="891"/>
      <c r="F423" s="891"/>
      <c r="G423" s="891"/>
      <c r="H423" s="891"/>
      <c r="I423" s="891"/>
      <c r="J423" s="891"/>
      <c r="K423" s="891"/>
      <c r="L423" s="891"/>
      <c r="M423" s="891"/>
      <c r="N423" s="891"/>
      <c r="O423" s="891"/>
      <c r="P423" s="891"/>
      <c r="Q423" s="891"/>
      <c r="R423" s="184"/>
      <c r="S423" s="184"/>
      <c r="T423" s="184"/>
    </row>
    <row r="424" spans="3:20" s="39" customFormat="1" ht="13.5" thickBot="1">
      <c r="C424" s="38"/>
      <c r="D424" s="38"/>
      <c r="N424" s="755"/>
      <c r="O424" s="755"/>
      <c r="P424" s="892" t="s">
        <v>689</v>
      </c>
      <c r="Q424" s="893"/>
      <c r="R424" s="184"/>
      <c r="S424" s="184"/>
      <c r="T424" s="184"/>
    </row>
    <row r="425" spans="1:17" ht="12.75">
      <c r="A425" s="917" t="s">
        <v>76</v>
      </c>
      <c r="B425" s="917"/>
      <c r="C425" s="917"/>
      <c r="D425" s="917"/>
      <c r="E425" s="917"/>
      <c r="F425" s="917"/>
      <c r="P425" s="889" t="s">
        <v>74</v>
      </c>
      <c r="Q425" s="889"/>
    </row>
    <row r="426" spans="1:17" ht="12.75">
      <c r="A426" s="917" t="s">
        <v>77</v>
      </c>
      <c r="B426" s="890"/>
      <c r="C426" s="890"/>
      <c r="D426" s="890"/>
      <c r="E426" s="890"/>
      <c r="F426" s="890"/>
      <c r="L426" s="160"/>
      <c r="P426" s="890" t="s">
        <v>124</v>
      </c>
      <c r="Q426" s="890"/>
    </row>
    <row r="427" spans="1:16" ht="12.75">
      <c r="A427" s="917" t="s">
        <v>808</v>
      </c>
      <c r="B427" s="890"/>
      <c r="C427" s="890"/>
      <c r="D427" s="890"/>
      <c r="E427" s="890"/>
      <c r="F427" s="890"/>
      <c r="G427" s="38" t="s">
        <v>72</v>
      </c>
      <c r="I427" s="41">
        <v>39083</v>
      </c>
      <c r="P427" s="38" t="s">
        <v>123</v>
      </c>
    </row>
    <row r="428" ht="12.75"/>
    <row r="429" ht="13.5" thickBot="1"/>
    <row r="430" spans="1:17" ht="13.5" thickBot="1">
      <c r="A430" s="42" t="s">
        <v>424</v>
      </c>
      <c r="B430" s="43"/>
      <c r="C430" s="43" t="s">
        <v>559</v>
      </c>
      <c r="D430" s="43"/>
      <c r="E430" s="43"/>
      <c r="F430" s="45"/>
      <c r="G430" s="880" t="s">
        <v>425</v>
      </c>
      <c r="H430" s="881"/>
      <c r="I430" s="881"/>
      <c r="J430" s="881"/>
      <c r="K430" s="881"/>
      <c r="L430" s="881"/>
      <c r="M430" s="881"/>
      <c r="N430" s="881"/>
      <c r="O430" s="881"/>
      <c r="P430" s="880" t="s">
        <v>426</v>
      </c>
      <c r="Q430" s="882"/>
    </row>
    <row r="431" spans="1:17" ht="17.25" customHeight="1">
      <c r="A431" s="46" t="s">
        <v>422</v>
      </c>
      <c r="B431" s="47"/>
      <c r="C431" s="47" t="s">
        <v>809</v>
      </c>
      <c r="D431" s="47"/>
      <c r="E431" s="47"/>
      <c r="F431" s="49"/>
      <c r="G431" s="883" t="s">
        <v>57</v>
      </c>
      <c r="H431" s="884"/>
      <c r="I431" s="884"/>
      <c r="J431" s="884"/>
      <c r="K431" s="884"/>
      <c r="L431" s="884"/>
      <c r="M431" s="884"/>
      <c r="N431" s="884"/>
      <c r="O431" s="885"/>
      <c r="P431" s="50"/>
      <c r="Q431" s="157" t="s">
        <v>687</v>
      </c>
    </row>
    <row r="432" spans="1:17" ht="17.25" customHeight="1" thickBot="1">
      <c r="A432" s="51" t="s">
        <v>423</v>
      </c>
      <c r="B432" s="52"/>
      <c r="C432" s="52" t="s">
        <v>788</v>
      </c>
      <c r="D432" s="52"/>
      <c r="E432" s="52"/>
      <c r="F432" s="54"/>
      <c r="G432" s="886"/>
      <c r="H432" s="887"/>
      <c r="I432" s="887"/>
      <c r="J432" s="887"/>
      <c r="K432" s="887"/>
      <c r="L432" s="887"/>
      <c r="M432" s="887"/>
      <c r="N432" s="887"/>
      <c r="O432" s="888"/>
      <c r="P432" s="161"/>
      <c r="Q432" s="162"/>
    </row>
    <row r="433" spans="1:2" ht="13.5" thickBot="1">
      <c r="A433" s="38" t="s">
        <v>73</v>
      </c>
      <c r="B433" s="57"/>
    </row>
    <row r="434" spans="1:17" ht="12.75">
      <c r="A434" s="872" t="s">
        <v>431</v>
      </c>
      <c r="B434" s="873"/>
      <c r="C434" s="873"/>
      <c r="D434" s="873"/>
      <c r="E434" s="873"/>
      <c r="F434" s="874"/>
      <c r="G434" s="872" t="s">
        <v>427</v>
      </c>
      <c r="H434" s="873"/>
      <c r="I434" s="873"/>
      <c r="J434" s="873"/>
      <c r="K434" s="873"/>
      <c r="L434" s="873"/>
      <c r="M434" s="873"/>
      <c r="N434" s="873"/>
      <c r="O434" s="874"/>
      <c r="P434" s="875" t="s">
        <v>428</v>
      </c>
      <c r="Q434" s="874" t="s">
        <v>429</v>
      </c>
    </row>
    <row r="435" spans="1:17" ht="13.5" thickBot="1">
      <c r="A435" s="61"/>
      <c r="B435" s="62"/>
      <c r="C435" s="62"/>
      <c r="D435" s="62"/>
      <c r="E435" s="62"/>
      <c r="F435" s="64"/>
      <c r="G435" s="61"/>
      <c r="H435" s="62"/>
      <c r="I435" s="62"/>
      <c r="J435" s="62"/>
      <c r="K435" s="62"/>
      <c r="L435" s="62"/>
      <c r="M435" s="62"/>
      <c r="N435" s="756"/>
      <c r="O435" s="757"/>
      <c r="P435" s="876"/>
      <c r="Q435" s="877"/>
    </row>
    <row r="436" spans="1:17" ht="51.75" thickBot="1">
      <c r="A436" s="35" t="s">
        <v>430</v>
      </c>
      <c r="B436" s="90" t="s">
        <v>432</v>
      </c>
      <c r="C436" s="154" t="s">
        <v>433</v>
      </c>
      <c r="D436" s="138" t="s">
        <v>434</v>
      </c>
      <c r="E436" s="143" t="s">
        <v>435</v>
      </c>
      <c r="F436" s="36" t="s">
        <v>446</v>
      </c>
      <c r="G436" s="67" t="s">
        <v>436</v>
      </c>
      <c r="H436" s="68" t="s">
        <v>437</v>
      </c>
      <c r="I436" s="68" t="s">
        <v>438</v>
      </c>
      <c r="J436" s="68" t="s">
        <v>439</v>
      </c>
      <c r="K436" s="68" t="s">
        <v>440</v>
      </c>
      <c r="L436" s="68" t="s">
        <v>441</v>
      </c>
      <c r="M436" s="68" t="s">
        <v>442</v>
      </c>
      <c r="N436" s="758" t="s">
        <v>443</v>
      </c>
      <c r="O436" s="759" t="s">
        <v>444</v>
      </c>
      <c r="P436" s="900"/>
      <c r="Q436" s="901"/>
    </row>
    <row r="437" spans="1:17" ht="38.25">
      <c r="A437" s="105">
        <v>1</v>
      </c>
      <c r="B437" s="106" t="s">
        <v>790</v>
      </c>
      <c r="C437" s="829">
        <v>0.1</v>
      </c>
      <c r="D437" s="155">
        <v>0</v>
      </c>
      <c r="E437" s="749">
        <f aca="true" t="shared" si="14" ref="E437:E443">+D437/C437</f>
        <v>0</v>
      </c>
      <c r="F437" s="752">
        <f>390/500</f>
        <v>0.78</v>
      </c>
      <c r="G437" s="72">
        <f>(106520.141+2798.878)*0</f>
        <v>0</v>
      </c>
      <c r="H437" s="72">
        <f>(8731.219)*0</f>
        <v>0</v>
      </c>
      <c r="I437" s="72"/>
      <c r="J437" s="72"/>
      <c r="K437" s="72"/>
      <c r="L437" s="72"/>
      <c r="M437" s="72"/>
      <c r="N437" s="760">
        <f>SUM(G437:M437)</f>
        <v>0</v>
      </c>
      <c r="O437" s="777">
        <f>(122458.316-5515.451)*0</f>
        <v>0</v>
      </c>
      <c r="P437" s="697" t="s">
        <v>611</v>
      </c>
      <c r="Q437" s="116"/>
    </row>
    <row r="438" spans="1:17" ht="38.25">
      <c r="A438" s="73">
        <v>2</v>
      </c>
      <c r="B438" s="109" t="s">
        <v>791</v>
      </c>
      <c r="C438" s="830">
        <v>0.2</v>
      </c>
      <c r="D438" s="830">
        <f>0.09+0.1+0.1</f>
        <v>0.29000000000000004</v>
      </c>
      <c r="E438" s="748">
        <f t="shared" si="14"/>
        <v>1.4500000000000002</v>
      </c>
      <c r="F438" s="748">
        <f>390/500</f>
        <v>0.78</v>
      </c>
      <c r="G438" s="77">
        <f>(106520.141+2798.878)*0.6+20000</f>
        <v>85591.4114</v>
      </c>
      <c r="H438" s="77">
        <f>(8731.219)*0.6</f>
        <v>5238.7314</v>
      </c>
      <c r="I438" s="77"/>
      <c r="J438" s="76">
        <f>30000+399996.834</f>
        <v>429996.834</v>
      </c>
      <c r="K438" s="77"/>
      <c r="L438" s="77"/>
      <c r="M438" s="77"/>
      <c r="N438" s="780">
        <f>SUM(G438:M438)</f>
        <v>520826.97679999995</v>
      </c>
      <c r="O438" s="765">
        <f>(122458.316-5515.451)*0.6+20000+29998.388+399987.4</f>
        <v>520151.507</v>
      </c>
      <c r="P438" s="350" t="s">
        <v>611</v>
      </c>
      <c r="Q438" s="163"/>
    </row>
    <row r="439" spans="1:17" ht="38.25">
      <c r="A439" s="73">
        <v>3</v>
      </c>
      <c r="B439" s="109" t="s">
        <v>352</v>
      </c>
      <c r="C439" s="111">
        <v>30</v>
      </c>
      <c r="D439" s="111">
        <v>45</v>
      </c>
      <c r="E439" s="748">
        <f t="shared" si="14"/>
        <v>1.5</v>
      </c>
      <c r="F439" s="748">
        <f aca="true" t="shared" si="15" ref="F439:F444">390/500</f>
        <v>0.78</v>
      </c>
      <c r="G439" s="77">
        <f>2449.506+2500+4000</f>
        <v>8949.506</v>
      </c>
      <c r="H439" s="77">
        <f>7200+6054.35+1000+8100+498.781</f>
        <v>22853.130999999998</v>
      </c>
      <c r="I439" s="77"/>
      <c r="J439" s="77"/>
      <c r="K439" s="77"/>
      <c r="L439" s="77"/>
      <c r="M439" s="77"/>
      <c r="N439" s="780">
        <f aca="true" t="shared" si="16" ref="N439:N448">SUM(G439:M439)</f>
        <v>31802.636999999995</v>
      </c>
      <c r="O439" s="765">
        <f>15502.1+2200+11900</f>
        <v>29602.1</v>
      </c>
      <c r="P439" s="350" t="s">
        <v>611</v>
      </c>
      <c r="Q439" s="73"/>
    </row>
    <row r="440" spans="1:17" ht="38.25">
      <c r="A440" s="73">
        <v>4</v>
      </c>
      <c r="B440" s="109" t="s">
        <v>239</v>
      </c>
      <c r="C440" s="111">
        <v>550</v>
      </c>
      <c r="D440" s="111">
        <f>30/0.05</f>
        <v>600</v>
      </c>
      <c r="E440" s="748">
        <f t="shared" si="14"/>
        <v>1.0909090909090908</v>
      </c>
      <c r="F440" s="748">
        <f t="shared" si="15"/>
        <v>0.78</v>
      </c>
      <c r="G440" s="77">
        <f>(106520.141+2798.878)*0.24</f>
        <v>26236.56456</v>
      </c>
      <c r="H440" s="77">
        <f>(8731.219)*0.24</f>
        <v>2095.4925599999997</v>
      </c>
      <c r="I440" s="77"/>
      <c r="J440" s="77"/>
      <c r="K440" s="77"/>
      <c r="L440" s="77"/>
      <c r="M440" s="77"/>
      <c r="N440" s="780">
        <f t="shared" si="16"/>
        <v>28332.057119999998</v>
      </c>
      <c r="O440" s="765">
        <f>(122458.316-5515.451)*0.24</f>
        <v>28066.2876</v>
      </c>
      <c r="P440" s="350" t="s">
        <v>611</v>
      </c>
      <c r="Q440" s="73"/>
    </row>
    <row r="441" spans="1:17" ht="38.25">
      <c r="A441" s="73">
        <v>5</v>
      </c>
      <c r="B441" s="109" t="s">
        <v>240</v>
      </c>
      <c r="C441" s="111">
        <v>100</v>
      </c>
      <c r="D441" s="111">
        <f>2000*0.6*0.15</f>
        <v>180</v>
      </c>
      <c r="E441" s="748">
        <f t="shared" si="14"/>
        <v>1.8</v>
      </c>
      <c r="F441" s="748">
        <f t="shared" si="15"/>
        <v>0.78</v>
      </c>
      <c r="G441" s="77">
        <f>(106520.141+2798.878)*0.15</f>
        <v>16397.85285</v>
      </c>
      <c r="H441" s="77">
        <f>(8731.219)*0.15</f>
        <v>1309.68285</v>
      </c>
      <c r="I441" s="77"/>
      <c r="J441" s="77"/>
      <c r="K441" s="73"/>
      <c r="L441" s="73"/>
      <c r="M441" s="73"/>
      <c r="N441" s="780">
        <f t="shared" si="16"/>
        <v>17707.5357</v>
      </c>
      <c r="O441" s="765">
        <f>(122458.316-5515.451)*0.15</f>
        <v>17541.42975</v>
      </c>
      <c r="P441" s="350" t="s">
        <v>611</v>
      </c>
      <c r="Q441" s="73"/>
    </row>
    <row r="442" spans="1:17" ht="38.25">
      <c r="A442" s="73">
        <v>6</v>
      </c>
      <c r="B442" s="109" t="s">
        <v>353</v>
      </c>
      <c r="C442" s="164">
        <f>150*5.5</f>
        <v>825</v>
      </c>
      <c r="D442" s="164">
        <f>(90+120)*6</f>
        <v>1260</v>
      </c>
      <c r="E442" s="748">
        <f t="shared" si="14"/>
        <v>1.5272727272727273</v>
      </c>
      <c r="F442" s="748">
        <f t="shared" si="15"/>
        <v>0.78</v>
      </c>
      <c r="G442" s="77">
        <f>(106520.141+2798.878)*0.01</f>
        <v>1093.19019</v>
      </c>
      <c r="H442" s="77">
        <f>(8731.219)*0.01</f>
        <v>87.31218999999999</v>
      </c>
      <c r="I442" s="77"/>
      <c r="J442" s="77">
        <v>30000</v>
      </c>
      <c r="K442" s="73"/>
      <c r="L442" s="73"/>
      <c r="M442" s="73"/>
      <c r="N442" s="780">
        <f t="shared" si="16"/>
        <v>31180.502379999998</v>
      </c>
      <c r="O442" s="765">
        <f>(122458.316-5515.451)*0.01+29999.528</f>
        <v>31168.95665</v>
      </c>
      <c r="P442" s="350" t="s">
        <v>611</v>
      </c>
      <c r="Q442" s="73"/>
    </row>
    <row r="443" spans="1:17" ht="38.25">
      <c r="A443" s="73">
        <v>7</v>
      </c>
      <c r="B443" s="109" t="s">
        <v>354</v>
      </c>
      <c r="C443" s="111">
        <v>1</v>
      </c>
      <c r="D443" s="111">
        <v>1</v>
      </c>
      <c r="E443" s="748">
        <f t="shared" si="14"/>
        <v>1</v>
      </c>
      <c r="F443" s="748">
        <f t="shared" si="15"/>
        <v>0.78</v>
      </c>
      <c r="G443" s="77">
        <v>300</v>
      </c>
      <c r="H443" s="77">
        <f>7000-7000</f>
        <v>0</v>
      </c>
      <c r="I443" s="73"/>
      <c r="J443" s="77"/>
      <c r="K443" s="73"/>
      <c r="L443" s="73"/>
      <c r="M443" s="73"/>
      <c r="N443" s="780">
        <f t="shared" si="16"/>
        <v>300</v>
      </c>
      <c r="O443" s="765">
        <v>300</v>
      </c>
      <c r="P443" s="350" t="s">
        <v>611</v>
      </c>
      <c r="Q443" s="73"/>
    </row>
    <row r="444" spans="1:17" ht="38.25">
      <c r="A444" s="73">
        <v>8</v>
      </c>
      <c r="B444" s="109" t="s">
        <v>356</v>
      </c>
      <c r="C444" s="111">
        <v>10</v>
      </c>
      <c r="D444" s="111">
        <v>12</v>
      </c>
      <c r="E444" s="748">
        <f>+D444/C444</f>
        <v>1.2</v>
      </c>
      <c r="F444" s="748">
        <f t="shared" si="15"/>
        <v>0.78</v>
      </c>
      <c r="G444" s="77"/>
      <c r="H444" s="77"/>
      <c r="I444" s="95"/>
      <c r="J444" s="77"/>
      <c r="K444" s="73"/>
      <c r="L444" s="73"/>
      <c r="M444" s="710"/>
      <c r="N444" s="780">
        <f t="shared" si="16"/>
        <v>0</v>
      </c>
      <c r="O444" s="765">
        <v>0</v>
      </c>
      <c r="P444" s="350" t="s">
        <v>611</v>
      </c>
      <c r="Q444" s="753" t="s">
        <v>688</v>
      </c>
    </row>
    <row r="445" spans="1:17" ht="12.75">
      <c r="A445" s="73"/>
      <c r="B445" s="73"/>
      <c r="C445" s="73"/>
      <c r="D445" s="73"/>
      <c r="E445" s="73"/>
      <c r="F445" s="73"/>
      <c r="G445" s="73"/>
      <c r="H445" s="77"/>
      <c r="I445" s="73"/>
      <c r="J445" s="73"/>
      <c r="K445" s="73"/>
      <c r="L445" s="73"/>
      <c r="M445" s="710"/>
      <c r="N445" s="780">
        <f t="shared" si="16"/>
        <v>0</v>
      </c>
      <c r="O445" s="761"/>
      <c r="P445" s="73"/>
      <c r="Q445" s="73"/>
    </row>
    <row r="446" spans="1:17" ht="12.75">
      <c r="A446" s="73"/>
      <c r="B446" s="73"/>
      <c r="C446" s="73"/>
      <c r="D446" s="73"/>
      <c r="E446" s="73"/>
      <c r="F446" s="73"/>
      <c r="G446" s="73"/>
      <c r="H446" s="73"/>
      <c r="I446" s="73"/>
      <c r="J446" s="73"/>
      <c r="K446" s="73"/>
      <c r="L446" s="73"/>
      <c r="M446" s="73"/>
      <c r="N446" s="780">
        <f t="shared" si="16"/>
        <v>0</v>
      </c>
      <c r="O446" s="761"/>
      <c r="P446" s="73"/>
      <c r="Q446" s="73"/>
    </row>
    <row r="447" spans="1:17" ht="12.75">
      <c r="A447" s="73"/>
      <c r="B447" s="73"/>
      <c r="C447" s="73"/>
      <c r="D447" s="73"/>
      <c r="E447" s="73"/>
      <c r="F447" s="73"/>
      <c r="G447" s="73"/>
      <c r="H447" s="73"/>
      <c r="I447" s="73"/>
      <c r="J447" s="73"/>
      <c r="K447" s="73"/>
      <c r="L447" s="73"/>
      <c r="M447" s="73"/>
      <c r="N447" s="78">
        <f t="shared" si="16"/>
        <v>0</v>
      </c>
      <c r="O447" s="89"/>
      <c r="P447" s="73"/>
      <c r="Q447" s="73"/>
    </row>
    <row r="448" spans="1:17" ht="12.75">
      <c r="A448" s="73"/>
      <c r="B448" s="73"/>
      <c r="C448" s="73"/>
      <c r="D448" s="73"/>
      <c r="E448" s="73"/>
      <c r="F448" s="73"/>
      <c r="G448" s="73"/>
      <c r="H448" s="73"/>
      <c r="I448" s="73"/>
      <c r="J448" s="73"/>
      <c r="K448" s="73"/>
      <c r="L448" s="73"/>
      <c r="M448" s="73"/>
      <c r="N448" s="78">
        <f t="shared" si="16"/>
        <v>0</v>
      </c>
      <c r="O448" s="89"/>
      <c r="P448" s="73"/>
      <c r="Q448" s="73"/>
    </row>
    <row r="449" spans="1:17" ht="12.75">
      <c r="A449" s="73"/>
      <c r="B449" s="73"/>
      <c r="C449" s="73"/>
      <c r="D449" s="73"/>
      <c r="E449" s="73"/>
      <c r="F449" s="73"/>
      <c r="G449" s="73"/>
      <c r="H449" s="73"/>
      <c r="I449" s="73"/>
      <c r="J449" s="73"/>
      <c r="K449" s="73"/>
      <c r="L449" s="73"/>
      <c r="M449" s="73"/>
      <c r="N449" s="89"/>
      <c r="O449" s="89"/>
      <c r="P449" s="73"/>
      <c r="Q449" s="73"/>
    </row>
    <row r="450" spans="1:17" ht="12.75">
      <c r="A450" s="73"/>
      <c r="B450" s="73"/>
      <c r="C450" s="73"/>
      <c r="D450" s="73"/>
      <c r="E450" s="73"/>
      <c r="F450" s="73"/>
      <c r="G450" s="73"/>
      <c r="H450" s="73"/>
      <c r="I450" s="73"/>
      <c r="J450" s="73"/>
      <c r="K450" s="73"/>
      <c r="L450" s="73"/>
      <c r="M450" s="73"/>
      <c r="N450" s="89"/>
      <c r="O450" s="89"/>
      <c r="P450" s="73"/>
      <c r="Q450" s="73"/>
    </row>
    <row r="451" spans="1:17" ht="12.75">
      <c r="A451" s="73"/>
      <c r="B451" s="73"/>
      <c r="C451" s="73"/>
      <c r="D451" s="73"/>
      <c r="E451" s="73"/>
      <c r="F451" s="73"/>
      <c r="G451" s="73"/>
      <c r="H451" s="73"/>
      <c r="I451" s="73"/>
      <c r="J451" s="73"/>
      <c r="K451" s="73"/>
      <c r="L451" s="73"/>
      <c r="M451" s="73"/>
      <c r="N451" s="89"/>
      <c r="O451" s="89"/>
      <c r="P451" s="73"/>
      <c r="Q451" s="73"/>
    </row>
    <row r="452" spans="1:17" ht="13.5" thickBot="1">
      <c r="A452" s="81"/>
      <c r="B452" s="82" t="s">
        <v>445</v>
      </c>
      <c r="C452" s="81"/>
      <c r="D452" s="81"/>
      <c r="E452" s="81"/>
      <c r="F452" s="81"/>
      <c r="G452" s="84">
        <f>SUM(G437:G451)</f>
        <v>138568.525</v>
      </c>
      <c r="H452" s="84">
        <f aca="true" t="shared" si="17" ref="H452:O452">SUM(H437:H451)</f>
        <v>31584.35</v>
      </c>
      <c r="I452" s="84">
        <f t="shared" si="17"/>
        <v>0</v>
      </c>
      <c r="J452" s="84">
        <f t="shared" si="17"/>
        <v>459996.834</v>
      </c>
      <c r="K452" s="84">
        <f t="shared" si="17"/>
        <v>0</v>
      </c>
      <c r="L452" s="84">
        <f t="shared" si="17"/>
        <v>0</v>
      </c>
      <c r="M452" s="84">
        <f t="shared" si="17"/>
        <v>0</v>
      </c>
      <c r="N452" s="762">
        <f>SUM(N437:N451)</f>
        <v>630149.7089999999</v>
      </c>
      <c r="O452" s="762">
        <f t="shared" si="17"/>
        <v>626830.281</v>
      </c>
      <c r="P452" s="81"/>
      <c r="Q452" s="81"/>
    </row>
    <row r="453" spans="14:15" ht="12.75">
      <c r="N453" s="362"/>
      <c r="O453" s="362"/>
    </row>
    <row r="454" spans="1:17" ht="12.75">
      <c r="A454" s="918" t="s">
        <v>420</v>
      </c>
      <c r="B454" s="918"/>
      <c r="C454" s="918"/>
      <c r="D454" s="918"/>
      <c r="E454" s="918"/>
      <c r="F454" s="918"/>
      <c r="G454" s="918"/>
      <c r="H454" s="918"/>
      <c r="I454" s="918"/>
      <c r="J454" s="918"/>
      <c r="K454" s="918"/>
      <c r="L454" s="918"/>
      <c r="M454" s="918"/>
      <c r="N454" s="918"/>
      <c r="O454" s="918"/>
      <c r="P454" s="918"/>
      <c r="Q454" s="918"/>
    </row>
    <row r="455" spans="1:20" s="39" customFormat="1" ht="16.5" thickBot="1">
      <c r="A455" s="891" t="s">
        <v>609</v>
      </c>
      <c r="B455" s="891"/>
      <c r="C455" s="891"/>
      <c r="D455" s="891"/>
      <c r="E455" s="891"/>
      <c r="F455" s="891"/>
      <c r="G455" s="891"/>
      <c r="H455" s="891"/>
      <c r="I455" s="891"/>
      <c r="J455" s="891"/>
      <c r="K455" s="891"/>
      <c r="L455" s="891"/>
      <c r="M455" s="891"/>
      <c r="N455" s="891"/>
      <c r="O455" s="891"/>
      <c r="P455" s="891"/>
      <c r="Q455" s="891"/>
      <c r="R455" s="184"/>
      <c r="S455" s="184"/>
      <c r="T455" s="184"/>
    </row>
    <row r="456" spans="3:20" s="39" customFormat="1" ht="13.5" thickBot="1">
      <c r="C456" s="38"/>
      <c r="D456" s="38"/>
      <c r="N456" s="755"/>
      <c r="O456" s="755"/>
      <c r="P456" s="892" t="s">
        <v>691</v>
      </c>
      <c r="Q456" s="893"/>
      <c r="R456" s="184"/>
      <c r="S456" s="184"/>
      <c r="T456" s="184"/>
    </row>
    <row r="457" spans="1:17" ht="12.75">
      <c r="A457" s="917" t="s">
        <v>76</v>
      </c>
      <c r="B457" s="917"/>
      <c r="C457" s="917"/>
      <c r="D457" s="917"/>
      <c r="E457" s="917"/>
      <c r="F457" s="917"/>
      <c r="P457" s="889" t="s">
        <v>74</v>
      </c>
      <c r="Q457" s="889"/>
    </row>
    <row r="458" spans="1:17" ht="12.75">
      <c r="A458" s="917" t="s">
        <v>77</v>
      </c>
      <c r="B458" s="890"/>
      <c r="C458" s="890"/>
      <c r="D458" s="890"/>
      <c r="E458" s="890"/>
      <c r="F458" s="890"/>
      <c r="L458" s="160"/>
      <c r="P458" s="890" t="s">
        <v>124</v>
      </c>
      <c r="Q458" s="890"/>
    </row>
    <row r="459" spans="1:16" ht="12.75">
      <c r="A459" s="917" t="s">
        <v>808</v>
      </c>
      <c r="B459" s="890"/>
      <c r="C459" s="890"/>
      <c r="D459" s="890"/>
      <c r="E459" s="890"/>
      <c r="F459" s="890"/>
      <c r="G459" s="38" t="s">
        <v>72</v>
      </c>
      <c r="I459" s="41">
        <v>39083</v>
      </c>
      <c r="P459" s="38" t="s">
        <v>123</v>
      </c>
    </row>
    <row r="460" ht="12.75"/>
    <row r="461" ht="13.5" thickBot="1"/>
    <row r="462" spans="1:17" ht="13.5" thickBot="1">
      <c r="A462" s="42" t="s">
        <v>424</v>
      </c>
      <c r="B462" s="43"/>
      <c r="C462" s="43" t="s">
        <v>559</v>
      </c>
      <c r="D462" s="43"/>
      <c r="E462" s="43"/>
      <c r="F462" s="45"/>
      <c r="G462" s="880" t="s">
        <v>425</v>
      </c>
      <c r="H462" s="881"/>
      <c r="I462" s="881"/>
      <c r="J462" s="881"/>
      <c r="K462" s="881"/>
      <c r="L462" s="881"/>
      <c r="M462" s="881"/>
      <c r="N462" s="881"/>
      <c r="O462" s="881"/>
      <c r="P462" s="880" t="s">
        <v>426</v>
      </c>
      <c r="Q462" s="882"/>
    </row>
    <row r="463" spans="1:17" ht="12.75">
      <c r="A463" s="46" t="s">
        <v>422</v>
      </c>
      <c r="B463" s="47"/>
      <c r="C463" s="47" t="s">
        <v>809</v>
      </c>
      <c r="D463" s="47"/>
      <c r="E463" s="47"/>
      <c r="F463" s="49"/>
      <c r="G463" s="883" t="s">
        <v>485</v>
      </c>
      <c r="H463" s="884"/>
      <c r="I463" s="884"/>
      <c r="J463" s="884"/>
      <c r="K463" s="884"/>
      <c r="L463" s="884"/>
      <c r="M463" s="884"/>
      <c r="N463" s="884"/>
      <c r="O463" s="885"/>
      <c r="P463" s="165"/>
      <c r="Q463" s="157" t="s">
        <v>43</v>
      </c>
    </row>
    <row r="464" spans="1:17" ht="13.5" thickBot="1">
      <c r="A464" s="51" t="s">
        <v>423</v>
      </c>
      <c r="B464" s="52"/>
      <c r="C464" s="52" t="s">
        <v>157</v>
      </c>
      <c r="D464" s="52"/>
      <c r="E464" s="52"/>
      <c r="F464" s="54"/>
      <c r="G464" s="886"/>
      <c r="H464" s="887"/>
      <c r="I464" s="887"/>
      <c r="J464" s="887"/>
      <c r="K464" s="887"/>
      <c r="L464" s="887"/>
      <c r="M464" s="887"/>
      <c r="N464" s="887"/>
      <c r="O464" s="888"/>
      <c r="P464" s="161"/>
      <c r="Q464" s="162"/>
    </row>
    <row r="465" spans="1:2" ht="13.5" thickBot="1">
      <c r="A465" s="38" t="s">
        <v>73</v>
      </c>
      <c r="B465" s="57"/>
    </row>
    <row r="466" spans="1:17" ht="12.75">
      <c r="A466" s="872" t="s">
        <v>431</v>
      </c>
      <c r="B466" s="873"/>
      <c r="C466" s="873"/>
      <c r="D466" s="873"/>
      <c r="E466" s="873"/>
      <c r="F466" s="874"/>
      <c r="G466" s="872" t="s">
        <v>427</v>
      </c>
      <c r="H466" s="873"/>
      <c r="I466" s="873"/>
      <c r="J466" s="873"/>
      <c r="K466" s="873"/>
      <c r="L466" s="873"/>
      <c r="M466" s="873"/>
      <c r="N466" s="873"/>
      <c r="O466" s="874"/>
      <c r="P466" s="875" t="s">
        <v>428</v>
      </c>
      <c r="Q466" s="874" t="s">
        <v>429</v>
      </c>
    </row>
    <row r="467" spans="1:17" ht="13.5" thickBot="1">
      <c r="A467" s="61"/>
      <c r="B467" s="62"/>
      <c r="C467" s="62"/>
      <c r="D467" s="62"/>
      <c r="E467" s="62"/>
      <c r="F467" s="64"/>
      <c r="G467" s="61"/>
      <c r="H467" s="62"/>
      <c r="I467" s="332"/>
      <c r="J467" s="331"/>
      <c r="K467" s="62"/>
      <c r="L467" s="62"/>
      <c r="M467" s="62"/>
      <c r="N467" s="756"/>
      <c r="O467" s="757"/>
      <c r="P467" s="876"/>
      <c r="Q467" s="877"/>
    </row>
    <row r="468" spans="1:17" ht="51.75" thickBot="1">
      <c r="A468" s="35" t="s">
        <v>430</v>
      </c>
      <c r="B468" s="90" t="s">
        <v>432</v>
      </c>
      <c r="C468" s="154" t="s">
        <v>433</v>
      </c>
      <c r="D468" s="138" t="s">
        <v>434</v>
      </c>
      <c r="E468" s="37" t="s">
        <v>435</v>
      </c>
      <c r="F468" s="36" t="s">
        <v>446</v>
      </c>
      <c r="G468" s="67" t="s">
        <v>436</v>
      </c>
      <c r="H468" s="68" t="s">
        <v>437</v>
      </c>
      <c r="I468" s="68" t="s">
        <v>438</v>
      </c>
      <c r="J468" s="68" t="s">
        <v>439</v>
      </c>
      <c r="K468" s="68" t="s">
        <v>440</v>
      </c>
      <c r="L468" s="68" t="s">
        <v>441</v>
      </c>
      <c r="M468" s="112" t="s">
        <v>442</v>
      </c>
      <c r="N468" s="774" t="s">
        <v>443</v>
      </c>
      <c r="O468" s="781" t="s">
        <v>444</v>
      </c>
      <c r="P468" s="900"/>
      <c r="Q468" s="901"/>
    </row>
    <row r="469" spans="1:17" ht="38.25">
      <c r="A469" s="105">
        <v>1</v>
      </c>
      <c r="B469" s="106" t="s">
        <v>357</v>
      </c>
      <c r="C469" s="155">
        <v>180</v>
      </c>
      <c r="D469" s="155">
        <v>150</v>
      </c>
      <c r="E469" s="751">
        <f>+D469/C469</f>
        <v>0.8333333333333334</v>
      </c>
      <c r="F469" s="752">
        <f aca="true" t="shared" si="18" ref="F469:F475">(14300*0.75)/2000</f>
        <v>5.3625</v>
      </c>
      <c r="G469" s="108">
        <f>(97292+70201.122)*0.25</f>
        <v>41873.2805</v>
      </c>
      <c r="H469" s="108">
        <f>(3229.75+1317.056+3651.071+40030.031)*0.25+(1000+2572+3000+1000)+10000</f>
        <v>29628.977</v>
      </c>
      <c r="I469" s="108"/>
      <c r="J469" s="108">
        <v>40000</v>
      </c>
      <c r="K469" s="108"/>
      <c r="L469" s="108"/>
      <c r="M469" s="108"/>
      <c r="N469" s="766">
        <f aca="true" t="shared" si="19" ref="N469:N475">SUM(G469:M469)</f>
        <v>111502.2575</v>
      </c>
      <c r="O469" s="775">
        <f>(220824.682-5104.296)*0.25+(39960)+(2565)+(10452.92-540)</f>
        <v>106368.0165</v>
      </c>
      <c r="P469" s="697" t="s">
        <v>611</v>
      </c>
      <c r="Q469" s="116"/>
    </row>
    <row r="470" spans="1:17" ht="38.25">
      <c r="A470" s="73">
        <v>2</v>
      </c>
      <c r="B470" s="109" t="s">
        <v>148</v>
      </c>
      <c r="C470" s="111">
        <v>25</v>
      </c>
      <c r="D470" s="111">
        <f>171000/4500</f>
        <v>38</v>
      </c>
      <c r="E470" s="748">
        <f>+D470/C470</f>
        <v>1.52</v>
      </c>
      <c r="F470" s="748">
        <f t="shared" si="18"/>
        <v>5.3625</v>
      </c>
      <c r="G470" s="89">
        <f>(97292+70201.122)*0.1</f>
        <v>16749.3122</v>
      </c>
      <c r="H470" s="89">
        <f>(3229.75+1317.056+3651.071+40030.031)*0.1</f>
        <v>4822.790800000001</v>
      </c>
      <c r="I470" s="89">
        <v>150000</v>
      </c>
      <c r="J470" s="89"/>
      <c r="K470" s="89"/>
      <c r="L470" s="89"/>
      <c r="M470" s="89"/>
      <c r="N470" s="761">
        <f t="shared" si="19"/>
        <v>171572.103</v>
      </c>
      <c r="O470" s="761">
        <f>(220824.682-5104.296)*0.1+138503.915</f>
        <v>160075.9536</v>
      </c>
      <c r="P470" s="350" t="s">
        <v>611</v>
      </c>
      <c r="Q470" s="73"/>
    </row>
    <row r="471" spans="1:17" ht="38.25">
      <c r="A471" s="73">
        <v>3</v>
      </c>
      <c r="B471" s="109" t="s">
        <v>395</v>
      </c>
      <c r="C471" s="111">
        <v>1</v>
      </c>
      <c r="D471" s="111">
        <v>1</v>
      </c>
      <c r="E471" s="748">
        <f>D471/C471</f>
        <v>1</v>
      </c>
      <c r="F471" s="748">
        <f t="shared" si="18"/>
        <v>5.3625</v>
      </c>
      <c r="G471" s="89">
        <f>(97292+70201.122)*0.3</f>
        <v>50247.9366</v>
      </c>
      <c r="H471" s="89">
        <f>(3229.75+1317.056+3651.071+40030.031)*0.3</f>
        <v>14468.3724</v>
      </c>
      <c r="I471" s="89"/>
      <c r="J471" s="89">
        <v>80000</v>
      </c>
      <c r="K471" s="89"/>
      <c r="L471" s="89"/>
      <c r="M471" s="89"/>
      <c r="N471" s="761">
        <f>SUM(G471:M471)</f>
        <v>144716.309</v>
      </c>
      <c r="O471" s="761">
        <f>(220824.682-5104.296)*0.3+(79200)</f>
        <v>143916.1158</v>
      </c>
      <c r="P471" s="350" t="s">
        <v>611</v>
      </c>
      <c r="Q471" s="73"/>
    </row>
    <row r="472" spans="1:17" ht="38.25">
      <c r="A472" s="73">
        <v>4</v>
      </c>
      <c r="B472" s="109" t="s">
        <v>242</v>
      </c>
      <c r="C472" s="164">
        <v>13000</v>
      </c>
      <c r="D472" s="164">
        <v>12797</v>
      </c>
      <c r="E472" s="748">
        <f>D472/C472</f>
        <v>0.9843846153846154</v>
      </c>
      <c r="F472" s="748">
        <f t="shared" si="18"/>
        <v>5.3625</v>
      </c>
      <c r="G472" s="89">
        <f>(97292+70201.122)*0.35</f>
        <v>58622.592699999994</v>
      </c>
      <c r="H472" s="89">
        <f>(3229.75+1317.056+3651.071+40030.031)*0.35</f>
        <v>16879.7678</v>
      </c>
      <c r="I472" s="89"/>
      <c r="J472" s="89"/>
      <c r="K472" s="89"/>
      <c r="L472" s="89"/>
      <c r="M472" s="89"/>
      <c r="N472" s="761">
        <f t="shared" si="19"/>
        <v>75502.3605</v>
      </c>
      <c r="O472" s="761">
        <f>(220824.682-5104.296)*0.35</f>
        <v>75502.1351</v>
      </c>
      <c r="P472" s="350" t="s">
        <v>611</v>
      </c>
      <c r="Q472" s="73"/>
    </row>
    <row r="473" spans="1:17" ht="38.25">
      <c r="A473" s="73">
        <v>5</v>
      </c>
      <c r="B473" s="109" t="s">
        <v>241</v>
      </c>
      <c r="C473" s="111">
        <v>1</v>
      </c>
      <c r="D473" s="111">
        <v>1</v>
      </c>
      <c r="E473" s="748">
        <f>D473/C473</f>
        <v>1</v>
      </c>
      <c r="F473" s="748">
        <f t="shared" si="18"/>
        <v>5.3625</v>
      </c>
      <c r="G473" s="89">
        <f>708+1000</f>
        <v>1708</v>
      </c>
      <c r="H473" s="89">
        <f>770.25+4000+2000</f>
        <v>6770.25</v>
      </c>
      <c r="I473" s="89"/>
      <c r="J473" s="89"/>
      <c r="K473" s="89"/>
      <c r="L473" s="89"/>
      <c r="M473" s="89"/>
      <c r="N473" s="761">
        <f t="shared" si="19"/>
        <v>8478.25</v>
      </c>
      <c r="O473" s="761">
        <v>5478.25</v>
      </c>
      <c r="P473" s="350" t="s">
        <v>611</v>
      </c>
      <c r="Q473" s="73"/>
    </row>
    <row r="474" spans="1:17" ht="38.25">
      <c r="A474" s="73">
        <v>6</v>
      </c>
      <c r="B474" s="109" t="s">
        <v>243</v>
      </c>
      <c r="C474" s="111">
        <v>1</v>
      </c>
      <c r="D474" s="111">
        <v>1</v>
      </c>
      <c r="E474" s="748">
        <f>D474/C474</f>
        <v>1</v>
      </c>
      <c r="F474" s="748">
        <f t="shared" si="18"/>
        <v>5.3625</v>
      </c>
      <c r="G474" s="89"/>
      <c r="H474" s="89"/>
      <c r="I474" s="89"/>
      <c r="J474" s="89">
        <v>149969.089</v>
      </c>
      <c r="K474" s="89"/>
      <c r="L474" s="89"/>
      <c r="M474" s="89"/>
      <c r="N474" s="761">
        <f t="shared" si="19"/>
        <v>149969.089</v>
      </c>
      <c r="O474" s="765">
        <v>149969.089</v>
      </c>
      <c r="P474" s="350" t="s">
        <v>611</v>
      </c>
      <c r="Q474" s="73"/>
    </row>
    <row r="475" spans="1:17" ht="38.25">
      <c r="A475" s="73">
        <v>7</v>
      </c>
      <c r="B475" s="109" t="s">
        <v>128</v>
      </c>
      <c r="C475" s="111">
        <v>10</v>
      </c>
      <c r="D475" s="111">
        <v>16</v>
      </c>
      <c r="E475" s="748">
        <f>D475/C475</f>
        <v>1.6</v>
      </c>
      <c r="F475" s="748">
        <f t="shared" si="18"/>
        <v>5.3625</v>
      </c>
      <c r="G475" s="89">
        <v>5000</v>
      </c>
      <c r="H475" s="89">
        <v>22728</v>
      </c>
      <c r="I475" s="89"/>
      <c r="J475" s="89"/>
      <c r="K475" s="73"/>
      <c r="L475" s="73"/>
      <c r="M475" s="73"/>
      <c r="N475" s="761">
        <f t="shared" si="19"/>
        <v>27728</v>
      </c>
      <c r="O475" s="765">
        <v>27676</v>
      </c>
      <c r="P475" s="350" t="s">
        <v>611</v>
      </c>
      <c r="Q475" s="73"/>
    </row>
    <row r="476" spans="1:17" ht="12.75">
      <c r="A476" s="73"/>
      <c r="B476" s="73"/>
      <c r="C476" s="73"/>
      <c r="D476" s="73"/>
      <c r="E476" s="73"/>
      <c r="F476" s="73"/>
      <c r="G476" s="73"/>
      <c r="H476" s="73"/>
      <c r="I476" s="73"/>
      <c r="J476" s="73"/>
      <c r="K476" s="73"/>
      <c r="L476" s="73"/>
      <c r="M476" s="73"/>
      <c r="N476" s="89"/>
      <c r="O476" s="89"/>
      <c r="P476" s="73"/>
      <c r="Q476" s="73"/>
    </row>
    <row r="477" spans="1:17" ht="12.75">
      <c r="A477" s="73"/>
      <c r="B477" s="73"/>
      <c r="C477" s="73"/>
      <c r="D477" s="73"/>
      <c r="E477" s="73"/>
      <c r="F477" s="73"/>
      <c r="G477" s="73"/>
      <c r="H477" s="73"/>
      <c r="I477" s="73"/>
      <c r="J477" s="73"/>
      <c r="K477" s="73"/>
      <c r="L477" s="73"/>
      <c r="M477" s="73"/>
      <c r="N477" s="89"/>
      <c r="O477" s="89"/>
      <c r="P477" s="73"/>
      <c r="Q477" s="73"/>
    </row>
    <row r="478" spans="1:17" ht="12.75">
      <c r="A478" s="73"/>
      <c r="B478" s="73"/>
      <c r="C478" s="73"/>
      <c r="D478" s="73"/>
      <c r="E478" s="73"/>
      <c r="F478" s="73"/>
      <c r="G478" s="73"/>
      <c r="H478" s="73"/>
      <c r="I478" s="73"/>
      <c r="J478" s="73"/>
      <c r="K478" s="73"/>
      <c r="L478" s="73"/>
      <c r="M478" s="73"/>
      <c r="N478" s="89"/>
      <c r="O478" s="89"/>
      <c r="P478" s="73"/>
      <c r="Q478" s="73"/>
    </row>
    <row r="479" spans="1:17" ht="12.75">
      <c r="A479" s="73"/>
      <c r="B479" s="73"/>
      <c r="C479" s="73"/>
      <c r="D479" s="73"/>
      <c r="E479" s="73"/>
      <c r="F479" s="73"/>
      <c r="G479" s="73"/>
      <c r="H479" s="73"/>
      <c r="I479" s="73"/>
      <c r="J479" s="73"/>
      <c r="K479" s="73"/>
      <c r="L479" s="73"/>
      <c r="M479" s="73"/>
      <c r="N479" s="89"/>
      <c r="O479" s="89"/>
      <c r="P479" s="73"/>
      <c r="Q479" s="73"/>
    </row>
    <row r="480" spans="1:17" ht="12.75">
      <c r="A480" s="73"/>
      <c r="B480" s="73"/>
      <c r="C480" s="73"/>
      <c r="D480" s="73"/>
      <c r="E480" s="73"/>
      <c r="F480" s="73"/>
      <c r="G480" s="73"/>
      <c r="H480" s="73"/>
      <c r="I480" s="73"/>
      <c r="J480" s="73"/>
      <c r="K480" s="73"/>
      <c r="L480" s="73"/>
      <c r="M480" s="73"/>
      <c r="N480" s="89"/>
      <c r="O480" s="89"/>
      <c r="P480" s="73"/>
      <c r="Q480" s="73"/>
    </row>
    <row r="481" spans="1:17" ht="12.75">
      <c r="A481" s="73"/>
      <c r="B481" s="73"/>
      <c r="C481" s="73"/>
      <c r="D481" s="73"/>
      <c r="E481" s="73"/>
      <c r="F481" s="73"/>
      <c r="G481" s="73"/>
      <c r="H481" s="73"/>
      <c r="I481" s="73"/>
      <c r="J481" s="73"/>
      <c r="K481" s="73"/>
      <c r="L481" s="73"/>
      <c r="M481" s="73"/>
      <c r="N481" s="89"/>
      <c r="O481" s="89"/>
      <c r="P481" s="73"/>
      <c r="Q481" s="73"/>
    </row>
    <row r="482" spans="1:17" ht="12.75">
      <c r="A482" s="73"/>
      <c r="B482" s="73"/>
      <c r="C482" s="73"/>
      <c r="D482" s="73"/>
      <c r="E482" s="73"/>
      <c r="F482" s="73"/>
      <c r="G482" s="73"/>
      <c r="H482" s="73"/>
      <c r="I482" s="73"/>
      <c r="J482" s="73"/>
      <c r="K482" s="73"/>
      <c r="L482" s="73"/>
      <c r="M482" s="73"/>
      <c r="N482" s="89"/>
      <c r="O482" s="89"/>
      <c r="P482" s="73"/>
      <c r="Q482" s="73"/>
    </row>
    <row r="483" spans="1:20" ht="13.5" thickBot="1">
      <c r="A483" s="81"/>
      <c r="B483" s="82" t="s">
        <v>445</v>
      </c>
      <c r="C483" s="81"/>
      <c r="D483" s="81"/>
      <c r="E483" s="81"/>
      <c r="F483" s="81"/>
      <c r="G483" s="84">
        <f>SUM(G469:G482)</f>
        <v>174201.12199999997</v>
      </c>
      <c r="H483" s="84">
        <f aca="true" t="shared" si="20" ref="H483:M483">SUM(H469:H482)</f>
        <v>95298.158</v>
      </c>
      <c r="I483" s="84">
        <f t="shared" si="20"/>
        <v>150000</v>
      </c>
      <c r="J483" s="84">
        <f t="shared" si="20"/>
        <v>269969.08900000004</v>
      </c>
      <c r="K483" s="84">
        <f t="shared" si="20"/>
        <v>0</v>
      </c>
      <c r="L483" s="84">
        <f t="shared" si="20"/>
        <v>0</v>
      </c>
      <c r="M483" s="84">
        <f t="shared" si="20"/>
        <v>0</v>
      </c>
      <c r="N483" s="762">
        <f>SUM(N469:N481)</f>
        <v>689468.3690000001</v>
      </c>
      <c r="O483" s="762">
        <f>SUM(O469:O481)</f>
        <v>668985.56</v>
      </c>
      <c r="P483" s="85"/>
      <c r="Q483" s="85"/>
      <c r="R483" s="241">
        <f>+N483+N452</f>
        <v>1319618.078</v>
      </c>
      <c r="S483" s="241">
        <f>+O483+O452</f>
        <v>1295815.841</v>
      </c>
      <c r="T483" s="241">
        <f>+R483-S483</f>
        <v>23802.236999999965</v>
      </c>
    </row>
    <row r="484" spans="1:19" ht="12.75">
      <c r="A484" s="918" t="s">
        <v>420</v>
      </c>
      <c r="B484" s="918"/>
      <c r="C484" s="918"/>
      <c r="D484" s="918"/>
      <c r="E484" s="918"/>
      <c r="F484" s="918"/>
      <c r="G484" s="918"/>
      <c r="H484" s="918"/>
      <c r="I484" s="918"/>
      <c r="J484" s="918"/>
      <c r="K484" s="918"/>
      <c r="L484" s="918"/>
      <c r="M484" s="918"/>
      <c r="N484" s="918"/>
      <c r="O484" s="918"/>
      <c r="P484" s="918"/>
      <c r="Q484" s="918"/>
      <c r="R484" s="153">
        <f>+R483-('Resumen presupuesto ejecutado'!D241)/1000</f>
        <v>0</v>
      </c>
      <c r="S484" s="153">
        <f>+S483-('Resumen presupuesto ejecutado'!E241)/1000</f>
        <v>0</v>
      </c>
    </row>
    <row r="485" spans="1:20" s="39" customFormat="1" ht="16.5" thickBot="1">
      <c r="A485" s="891" t="s">
        <v>609</v>
      </c>
      <c r="B485" s="891"/>
      <c r="C485" s="891"/>
      <c r="D485" s="891"/>
      <c r="E485" s="891"/>
      <c r="F485" s="891"/>
      <c r="G485" s="891"/>
      <c r="H485" s="891"/>
      <c r="I485" s="891"/>
      <c r="J485" s="891"/>
      <c r="K485" s="891"/>
      <c r="L485" s="891"/>
      <c r="M485" s="891"/>
      <c r="N485" s="891"/>
      <c r="O485" s="891"/>
      <c r="P485" s="891"/>
      <c r="Q485" s="891"/>
      <c r="R485" s="184"/>
      <c r="S485" s="184"/>
      <c r="T485" s="184"/>
    </row>
    <row r="486" spans="3:20" s="39" customFormat="1" ht="13.5" thickBot="1">
      <c r="C486" s="38"/>
      <c r="D486" s="38"/>
      <c r="N486" s="755"/>
      <c r="O486" s="755"/>
      <c r="P486" s="892" t="s">
        <v>256</v>
      </c>
      <c r="Q486" s="893"/>
      <c r="R486" s="184"/>
      <c r="S486" s="184"/>
      <c r="T486" s="184"/>
    </row>
    <row r="487" spans="1:17" ht="12.75">
      <c r="A487" s="917" t="s">
        <v>76</v>
      </c>
      <c r="B487" s="917"/>
      <c r="C487" s="917"/>
      <c r="D487" s="917"/>
      <c r="E487" s="917"/>
      <c r="F487" s="917"/>
      <c r="P487" s="889" t="s">
        <v>74</v>
      </c>
      <c r="Q487" s="889"/>
    </row>
    <row r="488" spans="1:17" ht="12.75">
      <c r="A488" s="917" t="s">
        <v>77</v>
      </c>
      <c r="B488" s="890"/>
      <c r="C488" s="890"/>
      <c r="D488" s="890"/>
      <c r="E488" s="890"/>
      <c r="F488" s="890"/>
      <c r="L488" s="160"/>
      <c r="P488" s="890" t="s">
        <v>124</v>
      </c>
      <c r="Q488" s="890"/>
    </row>
    <row r="489" spans="1:16" ht="12.75">
      <c r="A489" s="917" t="s">
        <v>808</v>
      </c>
      <c r="B489" s="890"/>
      <c r="C489" s="890"/>
      <c r="D489" s="890"/>
      <c r="E489" s="890"/>
      <c r="F489" s="890"/>
      <c r="G489" s="38" t="s">
        <v>72</v>
      </c>
      <c r="I489" s="41">
        <v>39083</v>
      </c>
      <c r="P489" s="38" t="s">
        <v>123</v>
      </c>
    </row>
    <row r="490" ht="12.75"/>
    <row r="491" ht="13.5" thickBot="1"/>
    <row r="492" spans="1:17" ht="13.5" thickBot="1">
      <c r="A492" s="42" t="s">
        <v>424</v>
      </c>
      <c r="B492" s="43"/>
      <c r="C492" s="43" t="s">
        <v>559</v>
      </c>
      <c r="D492" s="43"/>
      <c r="E492" s="43"/>
      <c r="F492" s="45"/>
      <c r="G492" s="880" t="s">
        <v>425</v>
      </c>
      <c r="H492" s="881"/>
      <c r="I492" s="881"/>
      <c r="J492" s="881"/>
      <c r="K492" s="881"/>
      <c r="L492" s="881"/>
      <c r="M492" s="881"/>
      <c r="N492" s="881"/>
      <c r="O492" s="882"/>
      <c r="P492" s="880" t="s">
        <v>426</v>
      </c>
      <c r="Q492" s="882"/>
    </row>
    <row r="493" spans="1:17" ht="13.5" thickBot="1">
      <c r="A493" s="46" t="s">
        <v>422</v>
      </c>
      <c r="B493" s="47"/>
      <c r="C493" s="47" t="s">
        <v>809</v>
      </c>
      <c r="D493" s="47"/>
      <c r="E493" s="47"/>
      <c r="F493" s="49"/>
      <c r="G493" s="883" t="s">
        <v>486</v>
      </c>
      <c r="H493" s="884"/>
      <c r="I493" s="884"/>
      <c r="J493" s="884"/>
      <c r="K493" s="884"/>
      <c r="L493" s="884"/>
      <c r="M493" s="884"/>
      <c r="N493" s="884"/>
      <c r="O493" s="885"/>
      <c r="P493" s="166"/>
      <c r="Q493" s="166" t="s">
        <v>396</v>
      </c>
    </row>
    <row r="494" spans="1:17" ht="13.5" thickBot="1">
      <c r="A494" s="51" t="s">
        <v>423</v>
      </c>
      <c r="B494" s="52"/>
      <c r="C494" s="52" t="s">
        <v>138</v>
      </c>
      <c r="D494" s="52"/>
      <c r="E494" s="52"/>
      <c r="F494" s="54"/>
      <c r="G494" s="886"/>
      <c r="H494" s="887"/>
      <c r="I494" s="887"/>
      <c r="J494" s="887"/>
      <c r="K494" s="887"/>
      <c r="L494" s="887"/>
      <c r="M494" s="887"/>
      <c r="N494" s="887"/>
      <c r="O494" s="888"/>
      <c r="P494" s="161"/>
      <c r="Q494" s="162"/>
    </row>
    <row r="495" spans="1:2" ht="13.5" thickBot="1">
      <c r="A495" s="38" t="s">
        <v>73</v>
      </c>
      <c r="B495" s="57"/>
    </row>
    <row r="496" spans="1:17" ht="12.75">
      <c r="A496" s="872" t="s">
        <v>431</v>
      </c>
      <c r="B496" s="873"/>
      <c r="C496" s="873"/>
      <c r="D496" s="873"/>
      <c r="E496" s="873"/>
      <c r="F496" s="874"/>
      <c r="G496" s="872" t="s">
        <v>427</v>
      </c>
      <c r="H496" s="873"/>
      <c r="I496" s="873"/>
      <c r="J496" s="873"/>
      <c r="K496" s="873"/>
      <c r="L496" s="873"/>
      <c r="M496" s="873"/>
      <c r="N496" s="873"/>
      <c r="O496" s="874"/>
      <c r="P496" s="875" t="s">
        <v>428</v>
      </c>
      <c r="Q496" s="874" t="s">
        <v>429</v>
      </c>
    </row>
    <row r="497" spans="1:17" ht="13.5" thickBot="1">
      <c r="A497" s="61"/>
      <c r="B497" s="62"/>
      <c r="C497" s="62"/>
      <c r="D497" s="62"/>
      <c r="E497" s="62"/>
      <c r="F497" s="64"/>
      <c r="G497" s="61"/>
      <c r="H497" s="62"/>
      <c r="I497" s="62"/>
      <c r="J497" s="62"/>
      <c r="K497" s="62"/>
      <c r="L497" s="62"/>
      <c r="M497" s="62"/>
      <c r="N497" s="756"/>
      <c r="O497" s="757"/>
      <c r="P497" s="876"/>
      <c r="Q497" s="877"/>
    </row>
    <row r="498" spans="1:17" ht="51.75" thickBot="1">
      <c r="A498" s="141" t="s">
        <v>430</v>
      </c>
      <c r="B498" s="90" t="s">
        <v>432</v>
      </c>
      <c r="C498" s="247" t="s">
        <v>433</v>
      </c>
      <c r="D498" s="143" t="s">
        <v>434</v>
      </c>
      <c r="E498" s="144" t="s">
        <v>435</v>
      </c>
      <c r="F498" s="145" t="s">
        <v>446</v>
      </c>
      <c r="G498" s="146" t="s">
        <v>436</v>
      </c>
      <c r="H498" s="147" t="s">
        <v>437</v>
      </c>
      <c r="I498" s="147" t="s">
        <v>438</v>
      </c>
      <c r="J498" s="147" t="s">
        <v>439</v>
      </c>
      <c r="K498" s="147" t="s">
        <v>440</v>
      </c>
      <c r="L498" s="147" t="s">
        <v>441</v>
      </c>
      <c r="M498" s="246" t="s">
        <v>442</v>
      </c>
      <c r="N498" s="782" t="s">
        <v>443</v>
      </c>
      <c r="O498" s="764" t="s">
        <v>444</v>
      </c>
      <c r="P498" s="900"/>
      <c r="Q498" s="901"/>
    </row>
    <row r="499" spans="1:20" ht="63.75">
      <c r="A499" s="115">
        <v>1</v>
      </c>
      <c r="B499" s="122" t="s">
        <v>799</v>
      </c>
      <c r="C499" s="828">
        <f>11770+(14980*25%)</f>
        <v>15515</v>
      </c>
      <c r="D499" s="828">
        <f>11770+(14980*25%)</f>
        <v>15515</v>
      </c>
      <c r="E499" s="149">
        <f>+D499/C499</f>
        <v>1</v>
      </c>
      <c r="F499" s="149">
        <f>500/53</f>
        <v>9.433962264150944</v>
      </c>
      <c r="G499" s="119">
        <f>6524.999+7103.522</f>
        <v>13628.521</v>
      </c>
      <c r="H499" s="361"/>
      <c r="I499" s="116"/>
      <c r="J499" s="116"/>
      <c r="K499" s="116"/>
      <c r="L499" s="116"/>
      <c r="M499" s="116"/>
      <c r="N499" s="711">
        <f>SUM(G499:M499)</f>
        <v>13628.521</v>
      </c>
      <c r="O499" s="711">
        <v>13627.499</v>
      </c>
      <c r="P499" s="697" t="s">
        <v>367</v>
      </c>
      <c r="Q499" s="74"/>
      <c r="T499" s="38"/>
    </row>
    <row r="500" spans="1:20" ht="63.75">
      <c r="A500" s="180">
        <v>2</v>
      </c>
      <c r="B500" s="123" t="s">
        <v>302</v>
      </c>
      <c r="C500" s="828">
        <f>11770+(14980*25%)</f>
        <v>15515</v>
      </c>
      <c r="D500" s="828">
        <f>11770+(14980*25%)</f>
        <v>15515</v>
      </c>
      <c r="E500" s="75">
        <f>D662/C662</f>
        <v>1</v>
      </c>
      <c r="F500" s="75">
        <f>500/53</f>
        <v>9.433962264150944</v>
      </c>
      <c r="G500" s="77">
        <v>3218.13</v>
      </c>
      <c r="H500" s="77"/>
      <c r="I500" s="73"/>
      <c r="J500" s="73"/>
      <c r="K500" s="73"/>
      <c r="L500" s="73"/>
      <c r="M500" s="73"/>
      <c r="N500" s="711">
        <f>SUM(G500:M500)</f>
        <v>3218.13</v>
      </c>
      <c r="O500" s="761">
        <v>3218.13</v>
      </c>
      <c r="P500" s="697" t="s">
        <v>367</v>
      </c>
      <c r="Q500" s="74"/>
      <c r="T500" s="38"/>
    </row>
    <row r="501" spans="1:17" ht="38.25">
      <c r="A501" s="73">
        <v>3</v>
      </c>
      <c r="B501" s="123" t="s">
        <v>612</v>
      </c>
      <c r="C501" s="828">
        <v>300</v>
      </c>
      <c r="D501" s="828">
        <v>300</v>
      </c>
      <c r="E501" s="75" t="e">
        <f>D663/C663</f>
        <v>#DIV/0!</v>
      </c>
      <c r="F501" s="75">
        <f>500/53</f>
        <v>9.433962264150944</v>
      </c>
      <c r="G501" s="73"/>
      <c r="H501" s="77">
        <v>3500</v>
      </c>
      <c r="I501" s="73"/>
      <c r="J501" s="73"/>
      <c r="K501" s="73"/>
      <c r="L501" s="73"/>
      <c r="M501" s="73"/>
      <c r="N501" s="711">
        <f>SUM(G501:M501)</f>
        <v>3500</v>
      </c>
      <c r="O501" s="761">
        <v>0</v>
      </c>
      <c r="P501" s="697" t="s">
        <v>611</v>
      </c>
      <c r="Q501" s="73"/>
    </row>
    <row r="502" spans="1:17" ht="12.75">
      <c r="A502" s="73"/>
      <c r="B502" s="123"/>
      <c r="C502" s="111"/>
      <c r="D502" s="73"/>
      <c r="E502" s="73"/>
      <c r="F502" s="73"/>
      <c r="G502" s="73"/>
      <c r="H502" s="73"/>
      <c r="I502" s="73"/>
      <c r="J502" s="73"/>
      <c r="K502" s="73"/>
      <c r="L502" s="73"/>
      <c r="M502" s="73"/>
      <c r="N502" s="89"/>
      <c r="O502" s="121"/>
      <c r="P502" s="73"/>
      <c r="Q502" s="73"/>
    </row>
    <row r="503" spans="1:17" ht="12.75">
      <c r="A503" s="73"/>
      <c r="B503" s="123"/>
      <c r="C503" s="73"/>
      <c r="D503" s="73"/>
      <c r="E503" s="73"/>
      <c r="F503" s="73"/>
      <c r="G503" s="73"/>
      <c r="H503" s="73"/>
      <c r="I503" s="73"/>
      <c r="J503" s="73"/>
      <c r="K503" s="73"/>
      <c r="L503" s="73"/>
      <c r="M503" s="73"/>
      <c r="N503" s="89"/>
      <c r="O503" s="121"/>
      <c r="P503" s="73"/>
      <c r="Q503" s="73"/>
    </row>
    <row r="504" spans="1:17" ht="12.75">
      <c r="A504" s="73"/>
      <c r="B504" s="123"/>
      <c r="C504" s="73"/>
      <c r="D504" s="73"/>
      <c r="E504" s="73"/>
      <c r="F504" s="73"/>
      <c r="G504" s="73"/>
      <c r="H504" s="73"/>
      <c r="I504" s="73"/>
      <c r="J504" s="73"/>
      <c r="K504" s="73"/>
      <c r="L504" s="73"/>
      <c r="M504" s="73"/>
      <c r="N504" s="89"/>
      <c r="O504" s="121"/>
      <c r="P504" s="73"/>
      <c r="Q504" s="73"/>
    </row>
    <row r="505" spans="1:17" ht="12.75">
      <c r="A505" s="73"/>
      <c r="B505" s="123"/>
      <c r="C505" s="73"/>
      <c r="D505" s="73"/>
      <c r="E505" s="73"/>
      <c r="F505" s="73"/>
      <c r="G505" s="73"/>
      <c r="H505" s="73"/>
      <c r="I505" s="73"/>
      <c r="J505" s="73"/>
      <c r="K505" s="73"/>
      <c r="L505" s="73"/>
      <c r="M505" s="73"/>
      <c r="N505" s="89"/>
      <c r="O505" s="121"/>
      <c r="P505" s="73"/>
      <c r="Q505" s="73"/>
    </row>
    <row r="506" spans="1:17" ht="12.75">
      <c r="A506" s="73"/>
      <c r="B506" s="123"/>
      <c r="C506" s="73"/>
      <c r="D506" s="73"/>
      <c r="E506" s="73"/>
      <c r="F506" s="73"/>
      <c r="G506" s="73"/>
      <c r="H506" s="73"/>
      <c r="I506" s="73"/>
      <c r="J506" s="73"/>
      <c r="K506" s="73"/>
      <c r="L506" s="73"/>
      <c r="M506" s="73"/>
      <c r="N506" s="89"/>
      <c r="O506" s="121"/>
      <c r="P506" s="73"/>
      <c r="Q506" s="73"/>
    </row>
    <row r="507" spans="1:17" ht="12.75">
      <c r="A507" s="73"/>
      <c r="B507" s="73"/>
      <c r="C507" s="73"/>
      <c r="D507" s="73"/>
      <c r="E507" s="73"/>
      <c r="F507" s="73"/>
      <c r="G507" s="73"/>
      <c r="H507" s="73"/>
      <c r="I507" s="73"/>
      <c r="J507" s="73"/>
      <c r="K507" s="73"/>
      <c r="L507" s="73"/>
      <c r="M507" s="73"/>
      <c r="N507" s="89"/>
      <c r="O507" s="121"/>
      <c r="P507" s="73"/>
      <c r="Q507" s="73"/>
    </row>
    <row r="508" spans="1:17" ht="12.75">
      <c r="A508" s="73"/>
      <c r="B508" s="123"/>
      <c r="C508" s="73"/>
      <c r="D508" s="73"/>
      <c r="E508" s="73"/>
      <c r="F508" s="73"/>
      <c r="G508" s="73"/>
      <c r="H508" s="73"/>
      <c r="I508" s="73"/>
      <c r="J508" s="73"/>
      <c r="K508" s="73"/>
      <c r="L508" s="73"/>
      <c r="M508" s="73"/>
      <c r="N508" s="89"/>
      <c r="O508" s="121"/>
      <c r="P508" s="73"/>
      <c r="Q508" s="73"/>
    </row>
    <row r="509" spans="1:17" ht="12.75">
      <c r="A509" s="73"/>
      <c r="B509" s="123"/>
      <c r="C509" s="73"/>
      <c r="D509" s="73"/>
      <c r="E509" s="73"/>
      <c r="F509" s="73"/>
      <c r="G509" s="73"/>
      <c r="H509" s="73"/>
      <c r="I509" s="73"/>
      <c r="J509" s="73"/>
      <c r="K509" s="73"/>
      <c r="L509" s="73"/>
      <c r="M509" s="73"/>
      <c r="N509" s="89"/>
      <c r="O509" s="89"/>
      <c r="P509" s="73"/>
      <c r="Q509" s="73"/>
    </row>
    <row r="510" spans="1:17" ht="12.75">
      <c r="A510" s="73"/>
      <c r="B510" s="73"/>
      <c r="C510" s="73"/>
      <c r="D510" s="73"/>
      <c r="E510" s="73"/>
      <c r="F510" s="73"/>
      <c r="G510" s="73"/>
      <c r="H510" s="73"/>
      <c r="I510" s="73"/>
      <c r="J510" s="73"/>
      <c r="K510" s="73"/>
      <c r="L510" s="73"/>
      <c r="M510" s="73"/>
      <c r="N510" s="89"/>
      <c r="O510" s="89"/>
      <c r="P510" s="73"/>
      <c r="Q510" s="73"/>
    </row>
    <row r="511" spans="1:17" ht="12.75">
      <c r="A511" s="73"/>
      <c r="B511" s="73"/>
      <c r="C511" s="73"/>
      <c r="D511" s="73"/>
      <c r="E511" s="73"/>
      <c r="F511" s="73"/>
      <c r="G511" s="73"/>
      <c r="H511" s="73"/>
      <c r="I511" s="73"/>
      <c r="J511" s="73"/>
      <c r="K511" s="73"/>
      <c r="L511" s="73"/>
      <c r="M511" s="73"/>
      <c r="N511" s="89"/>
      <c r="O511" s="89"/>
      <c r="P511" s="73"/>
      <c r="Q511" s="73"/>
    </row>
    <row r="512" spans="1:17" ht="12.75">
      <c r="A512" s="73"/>
      <c r="B512" s="73"/>
      <c r="C512" s="73"/>
      <c r="D512" s="73"/>
      <c r="E512" s="73"/>
      <c r="F512" s="73"/>
      <c r="G512" s="73"/>
      <c r="H512" s="73"/>
      <c r="I512" s="73"/>
      <c r="J512" s="73"/>
      <c r="K512" s="73"/>
      <c r="L512" s="73"/>
      <c r="M512" s="73"/>
      <c r="N512" s="89"/>
      <c r="O512" s="89"/>
      <c r="P512" s="73"/>
      <c r="Q512" s="73"/>
    </row>
    <row r="513" spans="1:17" ht="13.5" thickBot="1">
      <c r="A513" s="81"/>
      <c r="B513" s="82" t="s">
        <v>445</v>
      </c>
      <c r="C513" s="81"/>
      <c r="D513" s="81"/>
      <c r="E513" s="81"/>
      <c r="F513" s="81"/>
      <c r="G513" s="120">
        <f>SUM(G499:G512)</f>
        <v>16846.651</v>
      </c>
      <c r="H513" s="81"/>
      <c r="I513" s="81"/>
      <c r="J513" s="81"/>
      <c r="K513" s="81"/>
      <c r="L513" s="81"/>
      <c r="M513" s="81"/>
      <c r="N513" s="762">
        <f>SUM(N499:N512)</f>
        <v>20346.651</v>
      </c>
      <c r="O513" s="762">
        <f>SUM(O499:O512)</f>
        <v>16845.629</v>
      </c>
      <c r="P513" s="81"/>
      <c r="Q513" s="81"/>
    </row>
    <row r="514" spans="7:13" ht="12.75">
      <c r="G514" s="87"/>
      <c r="I514" s="87"/>
      <c r="M514" s="87"/>
    </row>
    <row r="515" spans="7:13" ht="12.75">
      <c r="G515" s="87"/>
      <c r="I515" s="87"/>
      <c r="M515" s="87"/>
    </row>
    <row r="516" spans="1:19" ht="12.75">
      <c r="A516" s="918" t="s">
        <v>420</v>
      </c>
      <c r="B516" s="918"/>
      <c r="C516" s="918"/>
      <c r="D516" s="918"/>
      <c r="E516" s="918"/>
      <c r="F516" s="918"/>
      <c r="G516" s="918"/>
      <c r="H516" s="918"/>
      <c r="I516" s="918"/>
      <c r="J516" s="918"/>
      <c r="K516" s="918"/>
      <c r="L516" s="918"/>
      <c r="M516" s="918"/>
      <c r="N516" s="918"/>
      <c r="O516" s="918"/>
      <c r="P516" s="918"/>
      <c r="Q516" s="918"/>
      <c r="S516" s="153">
        <f>+S483-S484</f>
        <v>1295815.841</v>
      </c>
    </row>
    <row r="517" spans="1:20" s="39" customFormat="1" ht="16.5" thickBot="1">
      <c r="A517" s="891" t="s">
        <v>609</v>
      </c>
      <c r="B517" s="891"/>
      <c r="C517" s="891"/>
      <c r="D517" s="891"/>
      <c r="E517" s="891"/>
      <c r="F517" s="891"/>
      <c r="G517" s="891"/>
      <c r="H517" s="891"/>
      <c r="I517" s="891"/>
      <c r="J517" s="891"/>
      <c r="K517" s="891"/>
      <c r="L517" s="891"/>
      <c r="M517" s="891"/>
      <c r="N517" s="891"/>
      <c r="O517" s="891"/>
      <c r="P517" s="891"/>
      <c r="Q517" s="891"/>
      <c r="R517" s="184"/>
      <c r="S517" s="184"/>
      <c r="T517" s="184"/>
    </row>
    <row r="518" spans="3:20" s="39" customFormat="1" ht="13.5" thickBot="1">
      <c r="C518" s="38"/>
      <c r="D518" s="38"/>
      <c r="N518" s="755"/>
      <c r="O518" s="755"/>
      <c r="P518" s="892" t="s">
        <v>256</v>
      </c>
      <c r="Q518" s="893"/>
      <c r="R518" s="184"/>
      <c r="S518" s="184"/>
      <c r="T518" s="184"/>
    </row>
    <row r="519" spans="1:17" ht="12.75">
      <c r="A519" s="917" t="s">
        <v>76</v>
      </c>
      <c r="B519" s="917"/>
      <c r="C519" s="917"/>
      <c r="D519" s="917"/>
      <c r="E519" s="917"/>
      <c r="F519" s="917"/>
      <c r="P519" s="889" t="s">
        <v>74</v>
      </c>
      <c r="Q519" s="889"/>
    </row>
    <row r="520" spans="1:17" ht="12.75">
      <c r="A520" s="917" t="s">
        <v>77</v>
      </c>
      <c r="B520" s="890"/>
      <c r="C520" s="890"/>
      <c r="D520" s="890"/>
      <c r="E520" s="890"/>
      <c r="F520" s="890"/>
      <c r="L520" s="160"/>
      <c r="P520" s="890" t="s">
        <v>124</v>
      </c>
      <c r="Q520" s="890"/>
    </row>
    <row r="521" spans="1:16" ht="12.75">
      <c r="A521" s="917" t="s">
        <v>808</v>
      </c>
      <c r="B521" s="890"/>
      <c r="C521" s="890"/>
      <c r="D521" s="890"/>
      <c r="E521" s="890"/>
      <c r="F521" s="890"/>
      <c r="G521" s="38" t="s">
        <v>72</v>
      </c>
      <c r="I521" s="41">
        <v>39083</v>
      </c>
      <c r="P521" s="38" t="s">
        <v>123</v>
      </c>
    </row>
    <row r="522" ht="12.75"/>
    <row r="523" ht="13.5" thickBot="1"/>
    <row r="524" spans="1:17" ht="13.5" thickBot="1">
      <c r="A524" s="42" t="s">
        <v>424</v>
      </c>
      <c r="B524" s="43"/>
      <c r="C524" s="43" t="s">
        <v>559</v>
      </c>
      <c r="D524" s="43"/>
      <c r="E524" s="43"/>
      <c r="F524" s="45"/>
      <c r="G524" s="880" t="s">
        <v>425</v>
      </c>
      <c r="H524" s="881"/>
      <c r="I524" s="881"/>
      <c r="J524" s="881"/>
      <c r="K524" s="881"/>
      <c r="L524" s="881"/>
      <c r="M524" s="881"/>
      <c r="N524" s="881"/>
      <c r="O524" s="882"/>
      <c r="P524" s="880" t="s">
        <v>426</v>
      </c>
      <c r="Q524" s="882"/>
    </row>
    <row r="525" spans="1:17" ht="13.5" thickBot="1">
      <c r="A525" s="46" t="s">
        <v>422</v>
      </c>
      <c r="B525" s="47"/>
      <c r="C525" s="47" t="s">
        <v>809</v>
      </c>
      <c r="D525" s="47"/>
      <c r="E525" s="47"/>
      <c r="F525" s="49"/>
      <c r="G525" s="883" t="s">
        <v>487</v>
      </c>
      <c r="H525" s="884"/>
      <c r="I525" s="884"/>
      <c r="J525" s="884"/>
      <c r="K525" s="884"/>
      <c r="L525" s="884"/>
      <c r="M525" s="884"/>
      <c r="N525" s="884"/>
      <c r="O525" s="885"/>
      <c r="P525" s="166"/>
      <c r="Q525" s="166" t="s">
        <v>396</v>
      </c>
    </row>
    <row r="526" spans="1:17" ht="13.5" thickBot="1">
      <c r="A526" s="51" t="s">
        <v>423</v>
      </c>
      <c r="B526" s="52"/>
      <c r="C526" s="52" t="s">
        <v>610</v>
      </c>
      <c r="D526" s="52"/>
      <c r="E526" s="52"/>
      <c r="F526" s="54"/>
      <c r="G526" s="886"/>
      <c r="H526" s="887"/>
      <c r="I526" s="887"/>
      <c r="J526" s="887"/>
      <c r="K526" s="887"/>
      <c r="L526" s="887"/>
      <c r="M526" s="887"/>
      <c r="N526" s="887"/>
      <c r="O526" s="888"/>
      <c r="P526" s="161"/>
      <c r="Q526" s="162"/>
    </row>
    <row r="527" spans="1:2" ht="13.5" thickBot="1">
      <c r="A527" s="38" t="s">
        <v>73</v>
      </c>
      <c r="B527" s="57"/>
    </row>
    <row r="528" spans="1:17" ht="12.75">
      <c r="A528" s="872" t="s">
        <v>431</v>
      </c>
      <c r="B528" s="873"/>
      <c r="C528" s="873"/>
      <c r="D528" s="873"/>
      <c r="E528" s="873"/>
      <c r="F528" s="874"/>
      <c r="G528" s="872" t="s">
        <v>427</v>
      </c>
      <c r="H528" s="873"/>
      <c r="I528" s="873"/>
      <c r="J528" s="873"/>
      <c r="K528" s="873"/>
      <c r="L528" s="873"/>
      <c r="M528" s="873"/>
      <c r="N528" s="873"/>
      <c r="O528" s="874"/>
      <c r="P528" s="875" t="s">
        <v>428</v>
      </c>
      <c r="Q528" s="874" t="s">
        <v>429</v>
      </c>
    </row>
    <row r="529" spans="1:17" ht="13.5" thickBot="1">
      <c r="A529" s="61"/>
      <c r="B529" s="62"/>
      <c r="C529" s="62"/>
      <c r="D529" s="62"/>
      <c r="E529" s="62"/>
      <c r="F529" s="64"/>
      <c r="G529" s="61"/>
      <c r="H529" s="62"/>
      <c r="I529" s="62"/>
      <c r="J529" s="62"/>
      <c r="K529" s="62"/>
      <c r="L529" s="62"/>
      <c r="M529" s="62"/>
      <c r="N529" s="756"/>
      <c r="O529" s="757"/>
      <c r="P529" s="876"/>
      <c r="Q529" s="877"/>
    </row>
    <row r="530" spans="1:17" ht="51.75" thickBot="1">
      <c r="A530" s="35" t="s">
        <v>430</v>
      </c>
      <c r="B530" s="90" t="s">
        <v>432</v>
      </c>
      <c r="C530" s="154" t="s">
        <v>433</v>
      </c>
      <c r="D530" s="138" t="s">
        <v>434</v>
      </c>
      <c r="E530" s="37" t="s">
        <v>435</v>
      </c>
      <c r="F530" s="36" t="s">
        <v>446</v>
      </c>
      <c r="G530" s="146" t="s">
        <v>436</v>
      </c>
      <c r="H530" s="147" t="s">
        <v>437</v>
      </c>
      <c r="I530" s="147" t="s">
        <v>438</v>
      </c>
      <c r="J530" s="147" t="s">
        <v>439</v>
      </c>
      <c r="K530" s="147" t="s">
        <v>440</v>
      </c>
      <c r="L530" s="147" t="s">
        <v>441</v>
      </c>
      <c r="M530" s="148" t="s">
        <v>442</v>
      </c>
      <c r="N530" s="782" t="s">
        <v>443</v>
      </c>
      <c r="O530" s="764" t="s">
        <v>444</v>
      </c>
      <c r="P530" s="900"/>
      <c r="Q530" s="901"/>
    </row>
    <row r="531" spans="1:19" ht="41.25" customHeight="1">
      <c r="A531" s="105">
        <v>1</v>
      </c>
      <c r="B531" s="122" t="s">
        <v>518</v>
      </c>
      <c r="C531" s="155">
        <v>1</v>
      </c>
      <c r="D531" s="155">
        <v>1</v>
      </c>
      <c r="E531" s="93">
        <f>D531/C531</f>
        <v>1</v>
      </c>
      <c r="F531" s="71">
        <f>350/270</f>
        <v>1.2962962962962963</v>
      </c>
      <c r="G531" s="119"/>
      <c r="H531" s="116"/>
      <c r="I531" s="699">
        <v>199999.82</v>
      </c>
      <c r="J531" s="119"/>
      <c r="K531" s="116"/>
      <c r="L531" s="116"/>
      <c r="M531" s="116"/>
      <c r="N531" s="766">
        <f>SUM(G531:M531)</f>
        <v>199999.82</v>
      </c>
      <c r="O531" s="766">
        <v>199999.82</v>
      </c>
      <c r="P531" s="697" t="s">
        <v>611</v>
      </c>
      <c r="Q531" s="354"/>
      <c r="R531" s="153">
        <f>N531+'Eje social'!N660+N499+N500</f>
        <v>350992.65</v>
      </c>
      <c r="S531" s="153">
        <f>O531+'Eje social'!O660+O499+O500</f>
        <v>350928.131</v>
      </c>
    </row>
    <row r="532" spans="1:18" ht="44.25" customHeight="1">
      <c r="A532" s="73">
        <v>2</v>
      </c>
      <c r="B532" s="703" t="s">
        <v>519</v>
      </c>
      <c r="C532" s="111">
        <v>1</v>
      </c>
      <c r="D532" s="111">
        <v>1</v>
      </c>
      <c r="E532" s="75">
        <f>C532/D532</f>
        <v>1</v>
      </c>
      <c r="F532" s="75">
        <f>350/270</f>
        <v>1.2962962962962963</v>
      </c>
      <c r="G532" s="151">
        <f>15000+2781.87</f>
        <v>17781.87</v>
      </c>
      <c r="H532" s="73"/>
      <c r="I532" s="73"/>
      <c r="J532" s="73"/>
      <c r="K532" s="73"/>
      <c r="L532" s="73"/>
      <c r="M532" s="73"/>
      <c r="N532" s="761">
        <f>SUM(G532:M532)</f>
        <v>17781.87</v>
      </c>
      <c r="O532" s="766">
        <v>17781.309</v>
      </c>
      <c r="P532" s="350" t="s">
        <v>611</v>
      </c>
      <c r="Q532" s="73"/>
      <c r="R532" s="153">
        <v>372274.52</v>
      </c>
    </row>
    <row r="533" spans="1:18" ht="38.25">
      <c r="A533" s="73">
        <v>3</v>
      </c>
      <c r="B533" s="123" t="s">
        <v>520</v>
      </c>
      <c r="C533" s="111">
        <v>250</v>
      </c>
      <c r="D533" s="111">
        <v>350</v>
      </c>
      <c r="E533" s="75">
        <f>C533/D533</f>
        <v>0.7142857142857143</v>
      </c>
      <c r="F533" s="75">
        <f>350/270</f>
        <v>1.2962962962962963</v>
      </c>
      <c r="G533" s="73"/>
      <c r="H533" s="151">
        <v>23129</v>
      </c>
      <c r="I533" s="151"/>
      <c r="J533" s="151"/>
      <c r="K533" s="151">
        <v>6000</v>
      </c>
      <c r="L533" s="151"/>
      <c r="M533" s="73"/>
      <c r="N533" s="761">
        <f>SUM(G533:M533)</f>
        <v>29129</v>
      </c>
      <c r="O533" s="766">
        <f>29541.179-546.866</f>
        <v>28994.313000000002</v>
      </c>
      <c r="P533" s="350" t="s">
        <v>611</v>
      </c>
      <c r="Q533" s="73"/>
      <c r="R533" s="153">
        <f>R531-R532</f>
        <v>-21281.869999999995</v>
      </c>
    </row>
    <row r="534" spans="1:17" ht="12.75">
      <c r="A534" s="73"/>
      <c r="B534" s="123"/>
      <c r="C534" s="111"/>
      <c r="D534" s="73"/>
      <c r="E534" s="73"/>
      <c r="F534" s="73"/>
      <c r="G534" s="73"/>
      <c r="H534" s="73"/>
      <c r="I534" s="73"/>
      <c r="J534" s="73"/>
      <c r="K534" s="73"/>
      <c r="L534" s="73"/>
      <c r="M534" s="73"/>
      <c r="N534" s="89"/>
      <c r="O534" s="121"/>
      <c r="P534" s="73"/>
      <c r="Q534" s="73"/>
    </row>
    <row r="535" spans="1:17" ht="12.75">
      <c r="A535" s="73"/>
      <c r="B535" s="123"/>
      <c r="C535" s="111"/>
      <c r="D535" s="73"/>
      <c r="E535" s="73"/>
      <c r="F535" s="73"/>
      <c r="G535" s="73"/>
      <c r="H535" s="73"/>
      <c r="I535" s="73"/>
      <c r="J535" s="73"/>
      <c r="K535" s="73"/>
      <c r="L535" s="73"/>
      <c r="M535" s="73"/>
      <c r="N535" s="89"/>
      <c r="O535" s="121"/>
      <c r="P535" s="73"/>
      <c r="Q535" s="73"/>
    </row>
    <row r="536" spans="1:17" ht="12.75">
      <c r="A536" s="73"/>
      <c r="B536" s="123"/>
      <c r="C536" s="73"/>
      <c r="D536" s="73"/>
      <c r="E536" s="73"/>
      <c r="F536" s="73"/>
      <c r="G536" s="73"/>
      <c r="H536" s="73"/>
      <c r="I536" s="73"/>
      <c r="J536" s="73"/>
      <c r="K536" s="73"/>
      <c r="L536" s="73"/>
      <c r="M536" s="73"/>
      <c r="N536" s="89"/>
      <c r="O536" s="121"/>
      <c r="P536" s="73"/>
      <c r="Q536" s="73"/>
    </row>
    <row r="537" spans="1:17" ht="12.75">
      <c r="A537" s="73"/>
      <c r="B537" s="123"/>
      <c r="C537" s="73"/>
      <c r="D537" s="73"/>
      <c r="E537" s="73"/>
      <c r="F537" s="73"/>
      <c r="G537" s="73"/>
      <c r="H537" s="73"/>
      <c r="I537" s="73"/>
      <c r="J537" s="73"/>
      <c r="K537" s="73"/>
      <c r="L537" s="73"/>
      <c r="M537" s="73"/>
      <c r="N537" s="89"/>
      <c r="O537" s="121"/>
      <c r="P537" s="73"/>
      <c r="Q537" s="73"/>
    </row>
    <row r="538" spans="1:17" ht="12.75">
      <c r="A538" s="73"/>
      <c r="B538" s="123"/>
      <c r="C538" s="73"/>
      <c r="D538" s="73"/>
      <c r="E538" s="73"/>
      <c r="F538" s="73"/>
      <c r="G538" s="73"/>
      <c r="H538" s="73"/>
      <c r="I538" s="73"/>
      <c r="J538" s="73"/>
      <c r="K538" s="73"/>
      <c r="L538" s="73"/>
      <c r="M538" s="73"/>
      <c r="N538" s="89"/>
      <c r="O538" s="121"/>
      <c r="P538" s="73"/>
      <c r="Q538" s="73"/>
    </row>
    <row r="539" spans="1:17" ht="12.75">
      <c r="A539" s="73"/>
      <c r="B539" s="123"/>
      <c r="C539" s="73"/>
      <c r="D539" s="73"/>
      <c r="E539" s="73"/>
      <c r="F539" s="73"/>
      <c r="G539" s="73"/>
      <c r="H539" s="73"/>
      <c r="I539" s="73"/>
      <c r="J539" s="73"/>
      <c r="K539" s="73"/>
      <c r="L539" s="73"/>
      <c r="M539" s="73"/>
      <c r="N539" s="89"/>
      <c r="O539" s="121"/>
      <c r="P539" s="73"/>
      <c r="Q539" s="73"/>
    </row>
    <row r="540" spans="1:17" ht="12.75">
      <c r="A540" s="73"/>
      <c r="B540" s="73"/>
      <c r="C540" s="73"/>
      <c r="D540" s="73"/>
      <c r="E540" s="73"/>
      <c r="F540" s="73"/>
      <c r="G540" s="73"/>
      <c r="H540" s="73"/>
      <c r="I540" s="73"/>
      <c r="J540" s="73"/>
      <c r="K540" s="73"/>
      <c r="L540" s="73"/>
      <c r="M540" s="73"/>
      <c r="N540" s="89"/>
      <c r="O540" s="121"/>
      <c r="P540" s="73"/>
      <c r="Q540" s="73"/>
    </row>
    <row r="541" spans="1:17" ht="12.75">
      <c r="A541" s="73"/>
      <c r="B541" s="123"/>
      <c r="C541" s="73"/>
      <c r="D541" s="73"/>
      <c r="E541" s="73"/>
      <c r="F541" s="73"/>
      <c r="G541" s="73"/>
      <c r="H541" s="73"/>
      <c r="I541" s="73"/>
      <c r="J541" s="73"/>
      <c r="K541" s="73"/>
      <c r="L541" s="73"/>
      <c r="M541" s="73"/>
      <c r="N541" s="89"/>
      <c r="O541" s="121"/>
      <c r="P541" s="73"/>
      <c r="Q541" s="73"/>
    </row>
    <row r="542" spans="1:17" ht="12.75">
      <c r="A542" s="73"/>
      <c r="B542" s="123"/>
      <c r="C542" s="73"/>
      <c r="D542" s="73"/>
      <c r="E542" s="73"/>
      <c r="F542" s="73"/>
      <c r="G542" s="73"/>
      <c r="H542" s="73"/>
      <c r="I542" s="73"/>
      <c r="J542" s="73"/>
      <c r="K542" s="73"/>
      <c r="L542" s="73"/>
      <c r="M542" s="73"/>
      <c r="N542" s="89"/>
      <c r="O542" s="89"/>
      <c r="P542" s="73"/>
      <c r="Q542" s="73"/>
    </row>
    <row r="543" spans="1:17" ht="12.75">
      <c r="A543" s="73"/>
      <c r="B543" s="73"/>
      <c r="C543" s="73"/>
      <c r="D543" s="73"/>
      <c r="E543" s="73"/>
      <c r="F543" s="73"/>
      <c r="G543" s="73"/>
      <c r="H543" s="73"/>
      <c r="I543" s="73"/>
      <c r="J543" s="73"/>
      <c r="K543" s="73"/>
      <c r="L543" s="73"/>
      <c r="M543" s="73"/>
      <c r="N543" s="89"/>
      <c r="O543" s="89"/>
      <c r="P543" s="73"/>
      <c r="Q543" s="73"/>
    </row>
    <row r="544" spans="1:17" ht="12.75">
      <c r="A544" s="73"/>
      <c r="B544" s="73"/>
      <c r="C544" s="73"/>
      <c r="D544" s="73"/>
      <c r="E544" s="73"/>
      <c r="F544" s="73"/>
      <c r="G544" s="73"/>
      <c r="H544" s="73"/>
      <c r="I544" s="73"/>
      <c r="J544" s="73"/>
      <c r="K544" s="73"/>
      <c r="L544" s="73"/>
      <c r="M544" s="73"/>
      <c r="N544" s="89"/>
      <c r="O544" s="89"/>
      <c r="P544" s="73"/>
      <c r="Q544" s="73"/>
    </row>
    <row r="545" spans="1:17" ht="12.75">
      <c r="A545" s="73"/>
      <c r="B545" s="73"/>
      <c r="C545" s="73"/>
      <c r="D545" s="73"/>
      <c r="E545" s="73"/>
      <c r="F545" s="73"/>
      <c r="G545" s="73"/>
      <c r="H545" s="73"/>
      <c r="I545" s="73"/>
      <c r="J545" s="73"/>
      <c r="K545" s="73"/>
      <c r="L545" s="73"/>
      <c r="M545" s="73"/>
      <c r="N545" s="89"/>
      <c r="O545" s="89"/>
      <c r="P545" s="73"/>
      <c r="Q545" s="73"/>
    </row>
    <row r="546" spans="1:17" ht="13.5" thickBot="1">
      <c r="A546" s="81"/>
      <c r="B546" s="82" t="s">
        <v>445</v>
      </c>
      <c r="C546" s="81"/>
      <c r="D546" s="81"/>
      <c r="E546" s="81"/>
      <c r="F546" s="81"/>
      <c r="G546" s="716">
        <f>SUM(G531:G545)</f>
        <v>17781.87</v>
      </c>
      <c r="H546" s="716">
        <f aca="true" t="shared" si="21" ref="H546:M546">SUM(H531:H545)</f>
        <v>23129</v>
      </c>
      <c r="I546" s="716">
        <f t="shared" si="21"/>
        <v>199999.82</v>
      </c>
      <c r="J546" s="716">
        <f t="shared" si="21"/>
        <v>0</v>
      </c>
      <c r="K546" s="716">
        <f t="shared" si="21"/>
        <v>6000</v>
      </c>
      <c r="L546" s="716">
        <f t="shared" si="21"/>
        <v>0</v>
      </c>
      <c r="M546" s="716">
        <f t="shared" si="21"/>
        <v>0</v>
      </c>
      <c r="N546" s="783">
        <f>SUM(N531:N545)</f>
        <v>246910.69</v>
      </c>
      <c r="O546" s="762">
        <f>SUM(O531:O545)</f>
        <v>246775.442</v>
      </c>
      <c r="P546" s="81"/>
      <c r="Q546" s="81"/>
    </row>
    <row r="547" ht="12.75"/>
    <row r="548" spans="1:17" ht="12.75">
      <c r="A548" s="918" t="s">
        <v>420</v>
      </c>
      <c r="B548" s="918"/>
      <c r="C548" s="918"/>
      <c r="D548" s="918"/>
      <c r="E548" s="918"/>
      <c r="F548" s="918"/>
      <c r="G548" s="918"/>
      <c r="H548" s="918"/>
      <c r="I548" s="918"/>
      <c r="J548" s="918"/>
      <c r="K548" s="918"/>
      <c r="L548" s="918"/>
      <c r="M548" s="918"/>
      <c r="N548" s="918"/>
      <c r="O548" s="918"/>
      <c r="P548" s="918"/>
      <c r="Q548" s="918"/>
    </row>
    <row r="549" spans="1:20" s="39" customFormat="1" ht="16.5" thickBot="1">
      <c r="A549" s="891" t="s">
        <v>609</v>
      </c>
      <c r="B549" s="891"/>
      <c r="C549" s="891"/>
      <c r="D549" s="891"/>
      <c r="E549" s="891"/>
      <c r="F549" s="891"/>
      <c r="G549" s="891"/>
      <c r="H549" s="891"/>
      <c r="I549" s="891"/>
      <c r="J549" s="891"/>
      <c r="K549" s="891"/>
      <c r="L549" s="891"/>
      <c r="M549" s="891"/>
      <c r="N549" s="891"/>
      <c r="O549" s="891"/>
      <c r="P549" s="891"/>
      <c r="Q549" s="891"/>
      <c r="R549" s="184"/>
      <c r="S549" s="184"/>
      <c r="T549" s="184"/>
    </row>
    <row r="550" spans="3:20" s="39" customFormat="1" ht="13.5" thickBot="1">
      <c r="C550" s="38"/>
      <c r="D550" s="38"/>
      <c r="N550" s="755"/>
      <c r="O550" s="755"/>
      <c r="P550" s="892" t="s">
        <v>696</v>
      </c>
      <c r="Q550" s="893"/>
      <c r="R550" s="184"/>
      <c r="S550" s="184"/>
      <c r="T550" s="184"/>
    </row>
    <row r="551" spans="1:17" ht="12.75">
      <c r="A551" s="917" t="s">
        <v>76</v>
      </c>
      <c r="B551" s="917"/>
      <c r="C551" s="917"/>
      <c r="D551" s="917"/>
      <c r="E551" s="917"/>
      <c r="F551" s="917"/>
      <c r="P551" s="889" t="s">
        <v>74</v>
      </c>
      <c r="Q551" s="889"/>
    </row>
    <row r="552" spans="1:17" ht="12.75">
      <c r="A552" s="917" t="s">
        <v>77</v>
      </c>
      <c r="B552" s="890"/>
      <c r="C552" s="890"/>
      <c r="D552" s="890"/>
      <c r="E552" s="890"/>
      <c r="F552" s="890"/>
      <c r="L552" s="160"/>
      <c r="P552" s="890" t="s">
        <v>124</v>
      </c>
      <c r="Q552" s="890"/>
    </row>
    <row r="553" spans="1:16" ht="12.75">
      <c r="A553" s="917" t="s">
        <v>808</v>
      </c>
      <c r="B553" s="890"/>
      <c r="C553" s="890"/>
      <c r="D553" s="890"/>
      <c r="E553" s="890"/>
      <c r="F553" s="890"/>
      <c r="G553" s="38" t="s">
        <v>72</v>
      </c>
      <c r="I553" s="41">
        <v>39083</v>
      </c>
      <c r="P553" s="38" t="s">
        <v>123</v>
      </c>
    </row>
    <row r="554" ht="12.75"/>
    <row r="555" ht="13.5" thickBot="1"/>
    <row r="556" spans="1:17" ht="13.5" thickBot="1">
      <c r="A556" s="42" t="s">
        <v>424</v>
      </c>
      <c r="B556" s="43"/>
      <c r="C556" s="43" t="s">
        <v>559</v>
      </c>
      <c r="D556" s="43"/>
      <c r="E556" s="43"/>
      <c r="F556" s="45"/>
      <c r="G556" s="880" t="s">
        <v>425</v>
      </c>
      <c r="H556" s="881"/>
      <c r="I556" s="881"/>
      <c r="J556" s="881"/>
      <c r="K556" s="881"/>
      <c r="L556" s="881"/>
      <c r="M556" s="881"/>
      <c r="N556" s="881"/>
      <c r="O556" s="881"/>
      <c r="P556" s="880" t="s">
        <v>426</v>
      </c>
      <c r="Q556" s="882"/>
    </row>
    <row r="557" spans="1:17" ht="21.75" customHeight="1">
      <c r="A557" s="46" t="s">
        <v>422</v>
      </c>
      <c r="B557" s="47"/>
      <c r="C557" s="47" t="s">
        <v>809</v>
      </c>
      <c r="D557" s="47"/>
      <c r="E557" s="47"/>
      <c r="F557" s="49"/>
      <c r="G557" s="896" t="s">
        <v>415</v>
      </c>
      <c r="H557" s="884"/>
      <c r="I557" s="884"/>
      <c r="J557" s="884"/>
      <c r="K557" s="884"/>
      <c r="L557" s="884"/>
      <c r="M557" s="884"/>
      <c r="N557" s="884"/>
      <c r="O557" s="885"/>
      <c r="P557" s="165"/>
      <c r="Q557" s="157" t="s">
        <v>416</v>
      </c>
    </row>
    <row r="558" spans="1:17" ht="21.75" customHeight="1" thickBot="1">
      <c r="A558" s="51" t="s">
        <v>423</v>
      </c>
      <c r="B558" s="52"/>
      <c r="C558" s="52" t="s">
        <v>160</v>
      </c>
      <c r="D558" s="52"/>
      <c r="E558" s="52"/>
      <c r="F558" s="54"/>
      <c r="G558" s="886"/>
      <c r="H558" s="887"/>
      <c r="I558" s="887"/>
      <c r="J558" s="887"/>
      <c r="K558" s="887"/>
      <c r="L558" s="887"/>
      <c r="M558" s="887"/>
      <c r="N558" s="887"/>
      <c r="O558" s="888"/>
      <c r="P558" s="161"/>
      <c r="Q558" s="162"/>
    </row>
    <row r="559" spans="1:2" ht="13.5" thickBot="1">
      <c r="A559" s="38" t="s">
        <v>73</v>
      </c>
      <c r="B559" s="57"/>
    </row>
    <row r="560" spans="1:17" ht="12.75">
      <c r="A560" s="872" t="s">
        <v>431</v>
      </c>
      <c r="B560" s="873"/>
      <c r="C560" s="873"/>
      <c r="D560" s="873"/>
      <c r="E560" s="873"/>
      <c r="F560" s="874"/>
      <c r="G560" s="872" t="s">
        <v>427</v>
      </c>
      <c r="H560" s="873"/>
      <c r="I560" s="873"/>
      <c r="J560" s="873"/>
      <c r="K560" s="873"/>
      <c r="L560" s="873"/>
      <c r="M560" s="873"/>
      <c r="N560" s="873"/>
      <c r="O560" s="874"/>
      <c r="P560" s="875" t="s">
        <v>428</v>
      </c>
      <c r="Q560" s="874" t="s">
        <v>429</v>
      </c>
    </row>
    <row r="561" spans="1:17" ht="13.5" thickBot="1">
      <c r="A561" s="61"/>
      <c r="B561" s="62"/>
      <c r="C561" s="62"/>
      <c r="D561" s="62"/>
      <c r="E561" s="62"/>
      <c r="F561" s="64"/>
      <c r="G561" s="61"/>
      <c r="H561" s="62"/>
      <c r="I561" s="62"/>
      <c r="J561" s="62"/>
      <c r="K561" s="62"/>
      <c r="L561" s="62"/>
      <c r="M561" s="62"/>
      <c r="N561" s="756"/>
      <c r="O561" s="757"/>
      <c r="P561" s="876"/>
      <c r="Q561" s="877"/>
    </row>
    <row r="562" spans="1:17" ht="51.75" thickBot="1">
      <c r="A562" s="35" t="s">
        <v>430</v>
      </c>
      <c r="B562" s="90" t="s">
        <v>432</v>
      </c>
      <c r="C562" s="154" t="s">
        <v>433</v>
      </c>
      <c r="D562" s="138" t="s">
        <v>434</v>
      </c>
      <c r="E562" s="37" t="s">
        <v>435</v>
      </c>
      <c r="F562" s="36" t="s">
        <v>446</v>
      </c>
      <c r="G562" s="67" t="s">
        <v>436</v>
      </c>
      <c r="H562" s="68" t="s">
        <v>437</v>
      </c>
      <c r="I562" s="68" t="s">
        <v>438</v>
      </c>
      <c r="J562" s="68" t="s">
        <v>439</v>
      </c>
      <c r="K562" s="68" t="s">
        <v>440</v>
      </c>
      <c r="L562" s="68" t="s">
        <v>441</v>
      </c>
      <c r="M562" s="68" t="s">
        <v>442</v>
      </c>
      <c r="N562" s="758" t="s">
        <v>443</v>
      </c>
      <c r="O562" s="759" t="s">
        <v>444</v>
      </c>
      <c r="P562" s="900"/>
      <c r="Q562" s="901"/>
    </row>
    <row r="563" spans="1:17" ht="38.25">
      <c r="A563" s="105">
        <v>1</v>
      </c>
      <c r="B563" s="117" t="s">
        <v>307</v>
      </c>
      <c r="C563" s="249">
        <v>26750</v>
      </c>
      <c r="D563" s="249">
        <v>26750</v>
      </c>
      <c r="E563" s="93">
        <f>D563/C563</f>
        <v>1</v>
      </c>
      <c r="F563" s="71">
        <f>26177/24000</f>
        <v>1.0907083333333334</v>
      </c>
      <c r="G563" s="159">
        <v>1724.915</v>
      </c>
      <c r="H563" s="159"/>
      <c r="I563" s="159"/>
      <c r="J563" s="159"/>
      <c r="K563" s="69"/>
      <c r="L563" s="69"/>
      <c r="M563" s="69"/>
      <c r="N563" s="760">
        <f>G563+I563+J563+H563</f>
        <v>1724.915</v>
      </c>
      <c r="O563" s="760">
        <f>1919.238-194.323</f>
        <v>1724.915</v>
      </c>
      <c r="P563" s="697" t="s">
        <v>611</v>
      </c>
      <c r="Q563" s="116"/>
    </row>
    <row r="564" spans="1:17" ht="38.25">
      <c r="A564" s="73">
        <v>3</v>
      </c>
      <c r="B564" s="118" t="s">
        <v>308</v>
      </c>
      <c r="C564" s="164">
        <v>26750</v>
      </c>
      <c r="D564" s="164">
        <v>26750</v>
      </c>
      <c r="E564" s="75">
        <f>+D564/C564</f>
        <v>1</v>
      </c>
      <c r="F564" s="75">
        <f>26177/24000</f>
        <v>1.0907083333333334</v>
      </c>
      <c r="G564" s="95"/>
      <c r="H564" s="73">
        <v>75</v>
      </c>
      <c r="I564" s="73"/>
      <c r="J564" s="73"/>
      <c r="K564" s="73"/>
      <c r="L564" s="73"/>
      <c r="M564" s="73"/>
      <c r="N564" s="711">
        <f>SUM(G564:M564)</f>
        <v>75</v>
      </c>
      <c r="O564" s="765">
        <v>74.36</v>
      </c>
      <c r="P564" s="350" t="s">
        <v>611</v>
      </c>
      <c r="Q564" s="163"/>
    </row>
    <row r="565" spans="1:17" ht="12.75">
      <c r="A565" s="73"/>
      <c r="B565" s="118"/>
      <c r="C565" s="111"/>
      <c r="D565" s="73"/>
      <c r="E565" s="73"/>
      <c r="F565" s="73"/>
      <c r="G565" s="73"/>
      <c r="H565" s="73"/>
      <c r="I565" s="73"/>
      <c r="J565" s="73"/>
      <c r="K565" s="73"/>
      <c r="L565" s="73"/>
      <c r="M565" s="73"/>
      <c r="N565" s="253">
        <f>SUM(G565:M565)</f>
        <v>0</v>
      </c>
      <c r="O565" s="89"/>
      <c r="P565" s="73"/>
      <c r="Q565" s="73"/>
    </row>
    <row r="566" spans="1:17" ht="12.75">
      <c r="A566" s="73"/>
      <c r="B566" s="74"/>
      <c r="C566" s="111"/>
      <c r="D566" s="73"/>
      <c r="E566" s="73"/>
      <c r="F566" s="73"/>
      <c r="G566" s="73"/>
      <c r="H566" s="73"/>
      <c r="I566" s="73"/>
      <c r="J566" s="73"/>
      <c r="K566" s="73"/>
      <c r="L566" s="73"/>
      <c r="M566" s="73"/>
      <c r="N566" s="253">
        <f>SUM(G566:M566)</f>
        <v>0</v>
      </c>
      <c r="O566" s="89"/>
      <c r="P566" s="73"/>
      <c r="Q566" s="73"/>
    </row>
    <row r="567" spans="1:17" ht="12.75">
      <c r="A567" s="73"/>
      <c r="B567" s="74"/>
      <c r="C567" s="111"/>
      <c r="D567" s="73"/>
      <c r="E567" s="73"/>
      <c r="F567" s="73"/>
      <c r="G567" s="73"/>
      <c r="H567" s="73"/>
      <c r="I567" s="73"/>
      <c r="J567" s="73"/>
      <c r="K567" s="73"/>
      <c r="L567" s="73"/>
      <c r="M567" s="73"/>
      <c r="N567" s="89"/>
      <c r="O567" s="89"/>
      <c r="P567" s="73"/>
      <c r="Q567" s="73"/>
    </row>
    <row r="568" spans="1:17" ht="12.75">
      <c r="A568" s="73"/>
      <c r="B568" s="74"/>
      <c r="C568" s="111"/>
      <c r="D568" s="73"/>
      <c r="E568" s="73"/>
      <c r="F568" s="73"/>
      <c r="G568" s="73"/>
      <c r="H568" s="73"/>
      <c r="I568" s="73"/>
      <c r="J568" s="73"/>
      <c r="K568" s="73"/>
      <c r="L568" s="73"/>
      <c r="M568" s="73"/>
      <c r="N568" s="89"/>
      <c r="O568" s="89"/>
      <c r="P568" s="73"/>
      <c r="Q568" s="73"/>
    </row>
    <row r="569" spans="1:17" ht="12.75">
      <c r="A569" s="73"/>
      <c r="B569" s="74"/>
      <c r="C569" s="73"/>
      <c r="D569" s="73"/>
      <c r="E569" s="73"/>
      <c r="F569" s="73"/>
      <c r="G569" s="73"/>
      <c r="H569" s="73"/>
      <c r="I569" s="73"/>
      <c r="J569" s="73"/>
      <c r="K569" s="73"/>
      <c r="L569" s="73"/>
      <c r="M569" s="73"/>
      <c r="N569" s="89"/>
      <c r="O569" s="89"/>
      <c r="P569" s="73"/>
      <c r="Q569" s="73"/>
    </row>
    <row r="570" spans="1:17" ht="12.75">
      <c r="A570" s="73"/>
      <c r="B570" s="73"/>
      <c r="C570" s="73"/>
      <c r="D570" s="73"/>
      <c r="E570" s="73"/>
      <c r="F570" s="73"/>
      <c r="G570" s="73"/>
      <c r="H570" s="73"/>
      <c r="I570" s="73"/>
      <c r="J570" s="73"/>
      <c r="K570" s="73"/>
      <c r="L570" s="73"/>
      <c r="M570" s="73"/>
      <c r="N570" s="89"/>
      <c r="O570" s="89"/>
      <c r="P570" s="73"/>
      <c r="Q570" s="73"/>
    </row>
    <row r="571" spans="1:17" ht="12.75">
      <c r="A571" s="73"/>
      <c r="B571" s="73"/>
      <c r="C571" s="73"/>
      <c r="D571" s="73"/>
      <c r="E571" s="73"/>
      <c r="F571" s="73"/>
      <c r="G571" s="73"/>
      <c r="H571" s="73"/>
      <c r="I571" s="73"/>
      <c r="J571" s="73"/>
      <c r="K571" s="73"/>
      <c r="L571" s="73"/>
      <c r="M571" s="73"/>
      <c r="N571" s="89"/>
      <c r="O571" s="89"/>
      <c r="P571" s="73"/>
      <c r="Q571" s="73"/>
    </row>
    <row r="572" spans="1:17" ht="12.75">
      <c r="A572" s="73"/>
      <c r="B572" s="73"/>
      <c r="C572" s="73"/>
      <c r="D572" s="73"/>
      <c r="E572" s="73"/>
      <c r="F572" s="73"/>
      <c r="G572" s="73"/>
      <c r="H572" s="73"/>
      <c r="I572" s="73"/>
      <c r="J572" s="73"/>
      <c r="K572" s="73"/>
      <c r="L572" s="73"/>
      <c r="M572" s="73"/>
      <c r="N572" s="89"/>
      <c r="O572" s="89"/>
      <c r="P572" s="73"/>
      <c r="Q572" s="73"/>
    </row>
    <row r="573" spans="1:17" ht="12.75">
      <c r="A573" s="73"/>
      <c r="B573" s="73"/>
      <c r="C573" s="73"/>
      <c r="D573" s="73"/>
      <c r="E573" s="73"/>
      <c r="F573" s="73"/>
      <c r="G573" s="73"/>
      <c r="H573" s="73"/>
      <c r="I573" s="73"/>
      <c r="J573" s="73"/>
      <c r="K573" s="73"/>
      <c r="L573" s="73"/>
      <c r="M573" s="73"/>
      <c r="N573" s="89"/>
      <c r="O573" s="89"/>
      <c r="P573" s="73"/>
      <c r="Q573" s="73"/>
    </row>
    <row r="574" spans="1:17" ht="12.75">
      <c r="A574" s="73"/>
      <c r="B574" s="73"/>
      <c r="C574" s="73"/>
      <c r="D574" s="73"/>
      <c r="E574" s="73"/>
      <c r="F574" s="73"/>
      <c r="G574" s="73"/>
      <c r="H574" s="73"/>
      <c r="I574" s="73"/>
      <c r="J574" s="73"/>
      <c r="K574" s="73"/>
      <c r="L574" s="73"/>
      <c r="M574" s="73"/>
      <c r="N574" s="89"/>
      <c r="O574" s="89"/>
      <c r="P574" s="73"/>
      <c r="Q574" s="73"/>
    </row>
    <row r="575" spans="1:17" ht="12.75">
      <c r="A575" s="73"/>
      <c r="B575" s="73"/>
      <c r="C575" s="73"/>
      <c r="D575" s="73"/>
      <c r="E575" s="73"/>
      <c r="F575" s="73"/>
      <c r="G575" s="73"/>
      <c r="H575" s="73"/>
      <c r="I575" s="73"/>
      <c r="J575" s="73"/>
      <c r="K575" s="73"/>
      <c r="L575" s="73"/>
      <c r="M575" s="73"/>
      <c r="N575" s="89"/>
      <c r="O575" s="89"/>
      <c r="P575" s="73"/>
      <c r="Q575" s="73"/>
    </row>
    <row r="576" spans="1:17" ht="12.75">
      <c r="A576" s="73"/>
      <c r="B576" s="73"/>
      <c r="C576" s="73"/>
      <c r="D576" s="73"/>
      <c r="E576" s="73"/>
      <c r="F576" s="73"/>
      <c r="G576" s="73"/>
      <c r="H576" s="73"/>
      <c r="I576" s="73"/>
      <c r="J576" s="73"/>
      <c r="K576" s="73"/>
      <c r="L576" s="73"/>
      <c r="M576" s="73"/>
      <c r="N576" s="89"/>
      <c r="O576" s="89"/>
      <c r="P576" s="73"/>
      <c r="Q576" s="73"/>
    </row>
    <row r="577" spans="1:17" ht="12.75">
      <c r="A577" s="73"/>
      <c r="B577" s="73"/>
      <c r="C577" s="73"/>
      <c r="D577" s="73"/>
      <c r="E577" s="73"/>
      <c r="F577" s="73"/>
      <c r="G577" s="73"/>
      <c r="H577" s="73"/>
      <c r="I577" s="73"/>
      <c r="J577" s="73"/>
      <c r="K577" s="73"/>
      <c r="L577" s="73"/>
      <c r="M577" s="73"/>
      <c r="N577" s="89"/>
      <c r="O577" s="89"/>
      <c r="P577" s="73"/>
      <c r="Q577" s="73"/>
    </row>
    <row r="578" spans="1:17" ht="12.75">
      <c r="A578" s="73"/>
      <c r="B578" s="73"/>
      <c r="C578" s="73"/>
      <c r="D578" s="73"/>
      <c r="E578" s="73"/>
      <c r="F578" s="73"/>
      <c r="G578" s="73"/>
      <c r="H578" s="73"/>
      <c r="I578" s="73"/>
      <c r="J578" s="73"/>
      <c r="K578" s="73"/>
      <c r="L578" s="73"/>
      <c r="M578" s="73"/>
      <c r="N578" s="89"/>
      <c r="O578" s="89"/>
      <c r="P578" s="73"/>
      <c r="Q578" s="73"/>
    </row>
    <row r="579" spans="1:17" ht="13.5" thickBot="1">
      <c r="A579" s="81"/>
      <c r="B579" s="82" t="s">
        <v>445</v>
      </c>
      <c r="C579" s="81"/>
      <c r="D579" s="81"/>
      <c r="E579" s="81"/>
      <c r="F579" s="81"/>
      <c r="G579" s="84">
        <f>SUM(G563:G578)</f>
        <v>1724.915</v>
      </c>
      <c r="H579" s="84">
        <f aca="true" t="shared" si="22" ref="H579:M579">SUM(H563:H578)</f>
        <v>75</v>
      </c>
      <c r="I579" s="84">
        <f t="shared" si="22"/>
        <v>0</v>
      </c>
      <c r="J579" s="84">
        <f t="shared" si="22"/>
        <v>0</v>
      </c>
      <c r="K579" s="84">
        <f t="shared" si="22"/>
        <v>0</v>
      </c>
      <c r="L579" s="84">
        <f t="shared" si="22"/>
        <v>0</v>
      </c>
      <c r="M579" s="84">
        <f t="shared" si="22"/>
        <v>0</v>
      </c>
      <c r="N579" s="762">
        <f>SUM(N563:N578)</f>
        <v>1799.915</v>
      </c>
      <c r="O579" s="762">
        <f>SUM(O563:O578)</f>
        <v>1799.2749999999999</v>
      </c>
      <c r="P579" s="81"/>
      <c r="Q579" s="81"/>
    </row>
    <row r="580" ht="12.75"/>
    <row r="581" spans="1:17" ht="12.75">
      <c r="A581" s="918" t="s">
        <v>420</v>
      </c>
      <c r="B581" s="918"/>
      <c r="C581" s="918"/>
      <c r="D581" s="918"/>
      <c r="E581" s="918"/>
      <c r="F581" s="918"/>
      <c r="G581" s="918"/>
      <c r="H581" s="918"/>
      <c r="I581" s="918"/>
      <c r="J581" s="918"/>
      <c r="K581" s="918"/>
      <c r="L581" s="918"/>
      <c r="M581" s="918"/>
      <c r="N581" s="918"/>
      <c r="O581" s="918"/>
      <c r="P581" s="918"/>
      <c r="Q581" s="918"/>
    </row>
    <row r="582" spans="1:20" s="39" customFormat="1" ht="16.5" thickBot="1">
      <c r="A582" s="891" t="s">
        <v>609</v>
      </c>
      <c r="B582" s="891"/>
      <c r="C582" s="891"/>
      <c r="D582" s="891"/>
      <c r="E582" s="891"/>
      <c r="F582" s="891"/>
      <c r="G582" s="891"/>
      <c r="H582" s="891"/>
      <c r="I582" s="891"/>
      <c r="J582" s="891"/>
      <c r="K582" s="891"/>
      <c r="L582" s="891"/>
      <c r="M582" s="891"/>
      <c r="N582" s="891"/>
      <c r="O582" s="891"/>
      <c r="P582" s="891"/>
      <c r="Q582" s="891"/>
      <c r="R582" s="184"/>
      <c r="S582" s="184"/>
      <c r="T582" s="184"/>
    </row>
    <row r="583" spans="3:20" s="39" customFormat="1" ht="13.5" thickBot="1">
      <c r="C583" s="38"/>
      <c r="D583" s="38"/>
      <c r="N583" s="755"/>
      <c r="O583" s="755"/>
      <c r="P583" s="892" t="s">
        <v>700</v>
      </c>
      <c r="Q583" s="893"/>
      <c r="R583" s="184"/>
      <c r="S583" s="184"/>
      <c r="T583" s="184"/>
    </row>
    <row r="584" spans="1:17" ht="12.75">
      <c r="A584" s="917" t="s">
        <v>76</v>
      </c>
      <c r="B584" s="917"/>
      <c r="C584" s="917"/>
      <c r="D584" s="917"/>
      <c r="E584" s="917"/>
      <c r="F584" s="917"/>
      <c r="P584" s="889" t="s">
        <v>74</v>
      </c>
      <c r="Q584" s="889"/>
    </row>
    <row r="585" spans="1:17" ht="12.75">
      <c r="A585" s="917" t="s">
        <v>77</v>
      </c>
      <c r="B585" s="890"/>
      <c r="C585" s="890"/>
      <c r="D585" s="890"/>
      <c r="E585" s="890"/>
      <c r="F585" s="890"/>
      <c r="L585" s="160"/>
      <c r="P585" s="890" t="s">
        <v>124</v>
      </c>
      <c r="Q585" s="890"/>
    </row>
    <row r="586" spans="1:16" ht="12.75">
      <c r="A586" s="917" t="s">
        <v>808</v>
      </c>
      <c r="B586" s="890"/>
      <c r="C586" s="890"/>
      <c r="D586" s="890"/>
      <c r="E586" s="890"/>
      <c r="F586" s="890"/>
      <c r="G586" s="38" t="s">
        <v>72</v>
      </c>
      <c r="I586" s="41">
        <v>39083</v>
      </c>
      <c r="P586" s="38" t="s">
        <v>123</v>
      </c>
    </row>
    <row r="587" ht="12.75"/>
    <row r="588" ht="13.5" thickBot="1"/>
    <row r="589" spans="1:17" ht="13.5" thickBot="1">
      <c r="A589" s="42" t="s">
        <v>424</v>
      </c>
      <c r="B589" s="43"/>
      <c r="C589" s="43" t="s">
        <v>559</v>
      </c>
      <c r="D589" s="43"/>
      <c r="E589" s="43"/>
      <c r="F589" s="45"/>
      <c r="G589" s="880" t="s">
        <v>425</v>
      </c>
      <c r="H589" s="881"/>
      <c r="I589" s="881"/>
      <c r="J589" s="881"/>
      <c r="K589" s="881"/>
      <c r="L589" s="881"/>
      <c r="M589" s="881"/>
      <c r="N589" s="881"/>
      <c r="O589" s="881"/>
      <c r="P589" s="880" t="s">
        <v>426</v>
      </c>
      <c r="Q589" s="882"/>
    </row>
    <row r="590" spans="1:17" ht="24" customHeight="1">
      <c r="A590" s="46" t="s">
        <v>422</v>
      </c>
      <c r="B590" s="47"/>
      <c r="C590" s="47" t="s">
        <v>809</v>
      </c>
      <c r="D590" s="47"/>
      <c r="E590" s="47"/>
      <c r="F590" s="49"/>
      <c r="G590" s="883" t="s">
        <v>488</v>
      </c>
      <c r="H590" s="884"/>
      <c r="I590" s="884"/>
      <c r="J590" s="884"/>
      <c r="K590" s="884"/>
      <c r="L590" s="884"/>
      <c r="M590" s="884"/>
      <c r="N590" s="884"/>
      <c r="O590" s="885"/>
      <c r="P590" s="165"/>
      <c r="Q590" s="157" t="s">
        <v>417</v>
      </c>
    </row>
    <row r="591" spans="1:17" ht="24" customHeight="1" thickBot="1">
      <c r="A591" s="51" t="s">
        <v>423</v>
      </c>
      <c r="B591" s="52"/>
      <c r="C591" s="52" t="s">
        <v>162</v>
      </c>
      <c r="D591" s="52"/>
      <c r="E591" s="52"/>
      <c r="F591" s="54"/>
      <c r="G591" s="886"/>
      <c r="H591" s="887"/>
      <c r="I591" s="887"/>
      <c r="J591" s="887"/>
      <c r="K591" s="887"/>
      <c r="L591" s="887"/>
      <c r="M591" s="887"/>
      <c r="N591" s="887"/>
      <c r="O591" s="888"/>
      <c r="P591" s="161"/>
      <c r="Q591" s="162"/>
    </row>
    <row r="592" spans="1:2" ht="13.5" thickBot="1">
      <c r="A592" s="38" t="s">
        <v>73</v>
      </c>
      <c r="B592" s="57"/>
    </row>
    <row r="593" spans="1:17" ht="12.75">
      <c r="A593" s="872" t="s">
        <v>431</v>
      </c>
      <c r="B593" s="873"/>
      <c r="C593" s="873"/>
      <c r="D593" s="873"/>
      <c r="E593" s="873"/>
      <c r="F593" s="874"/>
      <c r="G593" s="872" t="s">
        <v>427</v>
      </c>
      <c r="H593" s="873"/>
      <c r="I593" s="873"/>
      <c r="J593" s="873"/>
      <c r="K593" s="873"/>
      <c r="L593" s="873"/>
      <c r="M593" s="873"/>
      <c r="N593" s="873"/>
      <c r="O593" s="874"/>
      <c r="P593" s="875" t="s">
        <v>428</v>
      </c>
      <c r="Q593" s="874" t="s">
        <v>429</v>
      </c>
    </row>
    <row r="594" spans="1:17" ht="13.5" thickBot="1">
      <c r="A594" s="61"/>
      <c r="B594" s="62"/>
      <c r="C594" s="62"/>
      <c r="D594" s="62"/>
      <c r="E594" s="62"/>
      <c r="F594" s="64"/>
      <c r="G594" s="61"/>
      <c r="H594" s="62"/>
      <c r="I594" s="62"/>
      <c r="J594" s="62"/>
      <c r="K594" s="62"/>
      <c r="L594" s="62"/>
      <c r="M594" s="62"/>
      <c r="N594" s="756"/>
      <c r="O594" s="757"/>
      <c r="P594" s="876"/>
      <c r="Q594" s="877"/>
    </row>
    <row r="595" spans="1:17" ht="51.75" thickBot="1">
      <c r="A595" s="35" t="s">
        <v>430</v>
      </c>
      <c r="B595" s="90" t="s">
        <v>432</v>
      </c>
      <c r="C595" s="154" t="s">
        <v>433</v>
      </c>
      <c r="D595" s="138" t="s">
        <v>434</v>
      </c>
      <c r="E595" s="37" t="s">
        <v>435</v>
      </c>
      <c r="F595" s="36" t="s">
        <v>446</v>
      </c>
      <c r="G595" s="67" t="s">
        <v>436</v>
      </c>
      <c r="H595" s="68" t="s">
        <v>437</v>
      </c>
      <c r="I595" s="68" t="s">
        <v>438</v>
      </c>
      <c r="J595" s="68" t="s">
        <v>439</v>
      </c>
      <c r="K595" s="68" t="s">
        <v>440</v>
      </c>
      <c r="L595" s="68" t="s">
        <v>441</v>
      </c>
      <c r="M595" s="68" t="s">
        <v>442</v>
      </c>
      <c r="N595" s="773" t="s">
        <v>443</v>
      </c>
      <c r="O595" s="774" t="s">
        <v>444</v>
      </c>
      <c r="P595" s="900"/>
      <c r="Q595" s="901"/>
    </row>
    <row r="596" spans="1:17" ht="38.25">
      <c r="A596" s="105">
        <v>1</v>
      </c>
      <c r="B596" s="117" t="s">
        <v>309</v>
      </c>
      <c r="C596" s="249">
        <v>4500</v>
      </c>
      <c r="D596" s="249">
        <v>4500</v>
      </c>
      <c r="E596" s="93">
        <f>D596/C596</f>
        <v>1</v>
      </c>
      <c r="F596" s="71">
        <v>1</v>
      </c>
      <c r="G596" s="72"/>
      <c r="H596" s="72">
        <v>8000</v>
      </c>
      <c r="I596" s="107"/>
      <c r="J596" s="107"/>
      <c r="K596" s="107">
        <v>1700</v>
      </c>
      <c r="L596" s="69"/>
      <c r="M596" s="69"/>
      <c r="N596" s="760">
        <f>G596+H596+I596+J596+K596</f>
        <v>9700</v>
      </c>
      <c r="O596" s="776">
        <v>9697.339</v>
      </c>
      <c r="P596" s="704" t="s">
        <v>611</v>
      </c>
      <c r="Q596" s="116"/>
    </row>
    <row r="597" spans="1:17" ht="12.75">
      <c r="A597" s="73"/>
      <c r="B597" s="118"/>
      <c r="C597" s="111"/>
      <c r="D597" s="73"/>
      <c r="E597" s="73"/>
      <c r="F597" s="73"/>
      <c r="G597" s="73"/>
      <c r="H597" s="73"/>
      <c r="I597" s="73"/>
      <c r="J597" s="73"/>
      <c r="K597" s="73"/>
      <c r="L597" s="73"/>
      <c r="M597" s="73"/>
      <c r="N597" s="89"/>
      <c r="O597" s="89"/>
      <c r="P597" s="73"/>
      <c r="Q597" s="163"/>
    </row>
    <row r="598" spans="1:17" ht="12.75">
      <c r="A598" s="73"/>
      <c r="B598" s="118"/>
      <c r="C598" s="111"/>
      <c r="D598" s="73"/>
      <c r="E598" s="73"/>
      <c r="F598" s="73"/>
      <c r="G598" s="73"/>
      <c r="H598" s="73"/>
      <c r="I598" s="73"/>
      <c r="J598" s="73"/>
      <c r="K598" s="73"/>
      <c r="L598" s="73"/>
      <c r="M598" s="73"/>
      <c r="N598" s="89"/>
      <c r="O598" s="89"/>
      <c r="P598" s="73"/>
      <c r="Q598" s="73"/>
    </row>
    <row r="599" spans="1:17" ht="12.75">
      <c r="A599" s="73"/>
      <c r="B599" s="74"/>
      <c r="C599" s="111"/>
      <c r="D599" s="73"/>
      <c r="E599" s="73"/>
      <c r="F599" s="73"/>
      <c r="G599" s="73"/>
      <c r="H599" s="73"/>
      <c r="I599" s="73"/>
      <c r="J599" s="73"/>
      <c r="K599" s="73"/>
      <c r="L599" s="73"/>
      <c r="M599" s="73"/>
      <c r="N599" s="89"/>
      <c r="O599" s="89"/>
      <c r="P599" s="73"/>
      <c r="Q599" s="73"/>
    </row>
    <row r="600" spans="1:17" ht="12.75">
      <c r="A600" s="73"/>
      <c r="B600" s="74"/>
      <c r="C600" s="111"/>
      <c r="D600" s="73"/>
      <c r="E600" s="73"/>
      <c r="F600" s="73"/>
      <c r="G600" s="73"/>
      <c r="H600" s="73"/>
      <c r="I600" s="73"/>
      <c r="J600" s="73"/>
      <c r="K600" s="73"/>
      <c r="L600" s="73"/>
      <c r="M600" s="73"/>
      <c r="N600" s="89"/>
      <c r="O600" s="89"/>
      <c r="P600" s="73"/>
      <c r="Q600" s="73"/>
    </row>
    <row r="601" spans="1:17" ht="12.75">
      <c r="A601" s="73"/>
      <c r="B601" s="74"/>
      <c r="C601" s="111"/>
      <c r="D601" s="73"/>
      <c r="E601" s="73"/>
      <c r="F601" s="73"/>
      <c r="G601" s="73"/>
      <c r="H601" s="73"/>
      <c r="I601" s="73"/>
      <c r="J601" s="73"/>
      <c r="K601" s="73"/>
      <c r="L601" s="73"/>
      <c r="M601" s="73"/>
      <c r="N601" s="89"/>
      <c r="O601" s="89"/>
      <c r="P601" s="73"/>
      <c r="Q601" s="73"/>
    </row>
    <row r="602" spans="1:17" ht="12.75">
      <c r="A602" s="73"/>
      <c r="B602" s="74"/>
      <c r="C602" s="73"/>
      <c r="D602" s="73"/>
      <c r="E602" s="73"/>
      <c r="F602" s="73"/>
      <c r="G602" s="73"/>
      <c r="H602" s="73"/>
      <c r="I602" s="73"/>
      <c r="J602" s="73"/>
      <c r="K602" s="73"/>
      <c r="L602" s="73"/>
      <c r="M602" s="73"/>
      <c r="N602" s="89"/>
      <c r="O602" s="89"/>
      <c r="P602" s="73"/>
      <c r="Q602" s="73"/>
    </row>
    <row r="603" spans="1:17" ht="12.75">
      <c r="A603" s="73"/>
      <c r="B603" s="73"/>
      <c r="C603" s="73"/>
      <c r="D603" s="73"/>
      <c r="E603" s="73"/>
      <c r="F603" s="73"/>
      <c r="G603" s="73"/>
      <c r="H603" s="73"/>
      <c r="I603" s="73"/>
      <c r="J603" s="73"/>
      <c r="K603" s="73"/>
      <c r="L603" s="73"/>
      <c r="M603" s="73"/>
      <c r="N603" s="89"/>
      <c r="O603" s="89"/>
      <c r="P603" s="73"/>
      <c r="Q603" s="73"/>
    </row>
    <row r="604" spans="1:17" ht="12.75">
      <c r="A604" s="73"/>
      <c r="B604" s="73"/>
      <c r="C604" s="73"/>
      <c r="D604" s="73"/>
      <c r="E604" s="73"/>
      <c r="F604" s="73"/>
      <c r="G604" s="73"/>
      <c r="H604" s="73"/>
      <c r="I604" s="73"/>
      <c r="J604" s="73"/>
      <c r="K604" s="73"/>
      <c r="L604" s="73"/>
      <c r="M604" s="73"/>
      <c r="N604" s="89"/>
      <c r="O604" s="89"/>
      <c r="P604" s="73"/>
      <c r="Q604" s="73"/>
    </row>
    <row r="605" spans="1:17" ht="12.75">
      <c r="A605" s="73"/>
      <c r="B605" s="73"/>
      <c r="C605" s="73"/>
      <c r="D605" s="73"/>
      <c r="E605" s="73"/>
      <c r="F605" s="73"/>
      <c r="G605" s="73"/>
      <c r="H605" s="73"/>
      <c r="I605" s="73"/>
      <c r="J605" s="73"/>
      <c r="K605" s="73"/>
      <c r="L605" s="73"/>
      <c r="M605" s="73"/>
      <c r="N605" s="89"/>
      <c r="O605" s="89"/>
      <c r="P605" s="73"/>
      <c r="Q605" s="73"/>
    </row>
    <row r="606" spans="1:17" ht="12.75">
      <c r="A606" s="73"/>
      <c r="B606" s="73"/>
      <c r="C606" s="73"/>
      <c r="D606" s="73"/>
      <c r="E606" s="73"/>
      <c r="F606" s="73"/>
      <c r="G606" s="73"/>
      <c r="H606" s="73"/>
      <c r="I606" s="73"/>
      <c r="J606" s="73"/>
      <c r="K606" s="73"/>
      <c r="L606" s="73"/>
      <c r="M606" s="73"/>
      <c r="N606" s="89"/>
      <c r="O606" s="89"/>
      <c r="P606" s="73"/>
      <c r="Q606" s="73"/>
    </row>
    <row r="607" spans="1:17" ht="12.75">
      <c r="A607" s="73"/>
      <c r="B607" s="73"/>
      <c r="C607" s="73"/>
      <c r="D607" s="73"/>
      <c r="E607" s="73"/>
      <c r="F607" s="73"/>
      <c r="G607" s="73"/>
      <c r="H607" s="73"/>
      <c r="I607" s="73"/>
      <c r="J607" s="73"/>
      <c r="K607" s="73"/>
      <c r="L607" s="73"/>
      <c r="M607" s="73"/>
      <c r="N607" s="89"/>
      <c r="O607" s="89"/>
      <c r="P607" s="73"/>
      <c r="Q607" s="73"/>
    </row>
    <row r="608" spans="1:17" ht="12.75">
      <c r="A608" s="73"/>
      <c r="B608" s="73"/>
      <c r="C608" s="73"/>
      <c r="D608" s="73"/>
      <c r="E608" s="73"/>
      <c r="F608" s="73"/>
      <c r="G608" s="73"/>
      <c r="H608" s="73"/>
      <c r="I608" s="73"/>
      <c r="J608" s="73"/>
      <c r="K608" s="73"/>
      <c r="L608" s="73"/>
      <c r="M608" s="73"/>
      <c r="N608" s="89"/>
      <c r="O608" s="89"/>
      <c r="P608" s="73"/>
      <c r="Q608" s="73"/>
    </row>
    <row r="609" spans="1:17" ht="12.75">
      <c r="A609" s="73"/>
      <c r="B609" s="73"/>
      <c r="C609" s="73"/>
      <c r="D609" s="73"/>
      <c r="E609" s="73"/>
      <c r="F609" s="73"/>
      <c r="G609" s="73"/>
      <c r="H609" s="73"/>
      <c r="I609" s="73"/>
      <c r="J609" s="73"/>
      <c r="K609" s="73"/>
      <c r="L609" s="73"/>
      <c r="M609" s="73"/>
      <c r="N609" s="89"/>
      <c r="O609" s="89"/>
      <c r="P609" s="73"/>
      <c r="Q609" s="73"/>
    </row>
    <row r="610" spans="1:17" ht="12.75">
      <c r="A610" s="73"/>
      <c r="B610" s="73"/>
      <c r="C610" s="73"/>
      <c r="D610" s="73"/>
      <c r="E610" s="73"/>
      <c r="F610" s="73"/>
      <c r="G610" s="73"/>
      <c r="H610" s="73"/>
      <c r="I610" s="73"/>
      <c r="J610" s="73"/>
      <c r="K610" s="73"/>
      <c r="L610" s="73"/>
      <c r="M610" s="73"/>
      <c r="N610" s="89"/>
      <c r="O610" s="89"/>
      <c r="P610" s="73"/>
      <c r="Q610" s="73"/>
    </row>
    <row r="611" spans="1:17" ht="12.75">
      <c r="A611" s="73"/>
      <c r="B611" s="73"/>
      <c r="C611" s="73"/>
      <c r="D611" s="73"/>
      <c r="E611" s="73"/>
      <c r="F611" s="73"/>
      <c r="G611" s="73"/>
      <c r="H611" s="73"/>
      <c r="I611" s="73"/>
      <c r="J611" s="73"/>
      <c r="K611" s="73"/>
      <c r="L611" s="73"/>
      <c r="M611" s="73"/>
      <c r="N611" s="89"/>
      <c r="O611" s="89"/>
      <c r="P611" s="73"/>
      <c r="Q611" s="73"/>
    </row>
    <row r="612" spans="1:17" ht="13.5" thickBot="1">
      <c r="A612" s="81"/>
      <c r="B612" s="82" t="s">
        <v>445</v>
      </c>
      <c r="C612" s="81"/>
      <c r="D612" s="81"/>
      <c r="E612" s="81"/>
      <c r="F612" s="81"/>
      <c r="G612" s="84">
        <f>SUM(G596:G611)</f>
        <v>0</v>
      </c>
      <c r="H612" s="84">
        <f aca="true" t="shared" si="23" ref="H612:O612">SUM(H596:H611)</f>
        <v>8000</v>
      </c>
      <c r="I612" s="84">
        <f t="shared" si="23"/>
        <v>0</v>
      </c>
      <c r="J612" s="84">
        <f t="shared" si="23"/>
        <v>0</v>
      </c>
      <c r="K612" s="84">
        <f t="shared" si="23"/>
        <v>1700</v>
      </c>
      <c r="L612" s="84">
        <f t="shared" si="23"/>
        <v>0</v>
      </c>
      <c r="M612" s="84">
        <f t="shared" si="23"/>
        <v>0</v>
      </c>
      <c r="N612" s="762">
        <f>SUM(N596:N611)</f>
        <v>9700</v>
      </c>
      <c r="O612" s="762">
        <f t="shared" si="23"/>
        <v>9697.339</v>
      </c>
      <c r="P612" s="81"/>
      <c r="Q612" s="81"/>
    </row>
    <row r="613" ht="12.75" hidden="1"/>
    <row r="614" spans="1:17" ht="12.75" hidden="1">
      <c r="A614" s="918" t="s">
        <v>420</v>
      </c>
      <c r="B614" s="918"/>
      <c r="C614" s="918"/>
      <c r="D614" s="918"/>
      <c r="E614" s="918"/>
      <c r="F614" s="918"/>
      <c r="G614" s="918"/>
      <c r="H614" s="918"/>
      <c r="I614" s="918"/>
      <c r="J614" s="918"/>
      <c r="K614" s="918"/>
      <c r="L614" s="918"/>
      <c r="M614" s="918"/>
      <c r="N614" s="918"/>
      <c r="O614" s="918"/>
      <c r="P614" s="918"/>
      <c r="Q614" s="918"/>
    </row>
    <row r="615" spans="1:20" s="39" customFormat="1" ht="16.5" hidden="1" thickBot="1">
      <c r="A615" s="891" t="s">
        <v>629</v>
      </c>
      <c r="B615" s="891"/>
      <c r="C615" s="891"/>
      <c r="D615" s="891"/>
      <c r="E615" s="891"/>
      <c r="F615" s="891"/>
      <c r="G615" s="891"/>
      <c r="H615" s="891"/>
      <c r="I615" s="891"/>
      <c r="J615" s="891"/>
      <c r="K615" s="891"/>
      <c r="L615" s="891"/>
      <c r="M615" s="891"/>
      <c r="N615" s="891"/>
      <c r="O615" s="891"/>
      <c r="P615" s="891"/>
      <c r="Q615" s="891"/>
      <c r="R615" s="184"/>
      <c r="S615" s="184"/>
      <c r="T615" s="184"/>
    </row>
    <row r="616" spans="3:20" s="39" customFormat="1" ht="13.5" hidden="1" thickBot="1">
      <c r="C616" s="38"/>
      <c r="D616" s="38"/>
      <c r="N616" s="755"/>
      <c r="O616" s="755"/>
      <c r="P616" s="892" t="s">
        <v>163</v>
      </c>
      <c r="Q616" s="893"/>
      <c r="R616" s="184"/>
      <c r="S616" s="184"/>
      <c r="T616" s="184"/>
    </row>
    <row r="617" spans="1:17" ht="12.75" hidden="1">
      <c r="A617" s="917" t="s">
        <v>76</v>
      </c>
      <c r="B617" s="917"/>
      <c r="C617" s="917"/>
      <c r="D617" s="917"/>
      <c r="E617" s="917"/>
      <c r="F617" s="917"/>
      <c r="P617" s="889" t="s">
        <v>74</v>
      </c>
      <c r="Q617" s="889"/>
    </row>
    <row r="618" spans="1:17" ht="12.75" hidden="1">
      <c r="A618" s="917" t="s">
        <v>77</v>
      </c>
      <c r="B618" s="890"/>
      <c r="C618" s="890"/>
      <c r="D618" s="890"/>
      <c r="E618" s="890"/>
      <c r="F618" s="890"/>
      <c r="L618" s="160"/>
      <c r="P618" s="890" t="s">
        <v>124</v>
      </c>
      <c r="Q618" s="890"/>
    </row>
    <row r="619" spans="1:16" ht="12.75" hidden="1">
      <c r="A619" s="917" t="s">
        <v>808</v>
      </c>
      <c r="B619" s="890"/>
      <c r="C619" s="890"/>
      <c r="D619" s="890"/>
      <c r="E619" s="890"/>
      <c r="F619" s="890"/>
      <c r="G619" s="38" t="s">
        <v>72</v>
      </c>
      <c r="I619" s="41">
        <v>38534</v>
      </c>
      <c r="P619" s="38" t="s">
        <v>123</v>
      </c>
    </row>
    <row r="620" ht="12.75" hidden="1"/>
    <row r="621" ht="13.5" hidden="1" thickBot="1"/>
    <row r="622" spans="1:17" ht="13.5" hidden="1" thickBot="1">
      <c r="A622" s="42" t="s">
        <v>424</v>
      </c>
      <c r="B622" s="43"/>
      <c r="C622" s="43" t="s">
        <v>559</v>
      </c>
      <c r="D622" s="43"/>
      <c r="E622" s="43"/>
      <c r="F622" s="45"/>
      <c r="G622" s="880" t="s">
        <v>425</v>
      </c>
      <c r="H622" s="881"/>
      <c r="I622" s="881"/>
      <c r="J622" s="881"/>
      <c r="K622" s="881"/>
      <c r="L622" s="881"/>
      <c r="M622" s="881"/>
      <c r="N622" s="881"/>
      <c r="O622" s="881"/>
      <c r="P622" s="880" t="s">
        <v>426</v>
      </c>
      <c r="Q622" s="882"/>
    </row>
    <row r="623" spans="1:17" ht="21.75" customHeight="1" hidden="1">
      <c r="A623" s="46" t="s">
        <v>422</v>
      </c>
      <c r="B623" s="47"/>
      <c r="C623" s="47" t="s">
        <v>809</v>
      </c>
      <c r="D623" s="47"/>
      <c r="E623" s="47"/>
      <c r="F623" s="49"/>
      <c r="G623" s="922" t="s">
        <v>418</v>
      </c>
      <c r="H623" s="923"/>
      <c r="I623" s="923"/>
      <c r="J623" s="923"/>
      <c r="K623" s="923"/>
      <c r="L623" s="923"/>
      <c r="M623" s="923"/>
      <c r="N623" s="923"/>
      <c r="O623" s="924"/>
      <c r="P623" s="165"/>
      <c r="Q623" s="157" t="s">
        <v>44</v>
      </c>
    </row>
    <row r="624" spans="1:17" ht="21.75" customHeight="1" hidden="1" thickBot="1">
      <c r="A624" s="51" t="s">
        <v>423</v>
      </c>
      <c r="B624" s="52"/>
      <c r="C624" s="52" t="s">
        <v>248</v>
      </c>
      <c r="D624" s="52"/>
      <c r="E624" s="52"/>
      <c r="F624" s="54"/>
      <c r="G624" s="925"/>
      <c r="H624" s="926"/>
      <c r="I624" s="926"/>
      <c r="J624" s="926"/>
      <c r="K624" s="926"/>
      <c r="L624" s="926"/>
      <c r="M624" s="926"/>
      <c r="N624" s="926"/>
      <c r="O624" s="927"/>
      <c r="P624" s="161"/>
      <c r="Q624" s="162"/>
    </row>
    <row r="625" spans="1:2" ht="13.5" hidden="1" thickBot="1">
      <c r="A625" s="38" t="s">
        <v>73</v>
      </c>
      <c r="B625" s="57"/>
    </row>
    <row r="626" spans="1:17" ht="12.75" hidden="1">
      <c r="A626" s="872" t="s">
        <v>431</v>
      </c>
      <c r="B626" s="873"/>
      <c r="C626" s="873"/>
      <c r="D626" s="873"/>
      <c r="E626" s="873"/>
      <c r="F626" s="874"/>
      <c r="G626" s="872" t="s">
        <v>427</v>
      </c>
      <c r="H626" s="873"/>
      <c r="I626" s="873"/>
      <c r="J626" s="873"/>
      <c r="K626" s="873"/>
      <c r="L626" s="873"/>
      <c r="M626" s="873"/>
      <c r="N626" s="873"/>
      <c r="O626" s="874"/>
      <c r="P626" s="875" t="s">
        <v>428</v>
      </c>
      <c r="Q626" s="874" t="s">
        <v>429</v>
      </c>
    </row>
    <row r="627" spans="1:17" ht="13.5" hidden="1" thickBot="1">
      <c r="A627" s="61"/>
      <c r="B627" s="62"/>
      <c r="C627" s="62"/>
      <c r="D627" s="62"/>
      <c r="E627" s="62"/>
      <c r="F627" s="64"/>
      <c r="G627" s="61"/>
      <c r="H627" s="62"/>
      <c r="I627" s="62"/>
      <c r="J627" s="62"/>
      <c r="K627" s="62"/>
      <c r="L627" s="62"/>
      <c r="M627" s="62"/>
      <c r="N627" s="756"/>
      <c r="O627" s="757"/>
      <c r="P627" s="876"/>
      <c r="Q627" s="877"/>
    </row>
    <row r="628" spans="1:17" ht="52.5" hidden="1" thickBot="1">
      <c r="A628" s="35" t="s">
        <v>430</v>
      </c>
      <c r="B628" s="90" t="s">
        <v>432</v>
      </c>
      <c r="C628" s="154" t="s">
        <v>433</v>
      </c>
      <c r="D628" s="138" t="s">
        <v>434</v>
      </c>
      <c r="E628" s="37" t="s">
        <v>435</v>
      </c>
      <c r="F628" s="36" t="s">
        <v>446</v>
      </c>
      <c r="G628" s="67" t="s">
        <v>436</v>
      </c>
      <c r="H628" s="68" t="s">
        <v>437</v>
      </c>
      <c r="I628" s="68" t="s">
        <v>438</v>
      </c>
      <c r="J628" s="68" t="s">
        <v>439</v>
      </c>
      <c r="K628" s="68" t="s">
        <v>440</v>
      </c>
      <c r="L628" s="68" t="s">
        <v>441</v>
      </c>
      <c r="M628" s="68" t="s">
        <v>442</v>
      </c>
      <c r="N628" s="758" t="s">
        <v>443</v>
      </c>
      <c r="O628" s="759" t="s">
        <v>444</v>
      </c>
      <c r="P628" s="876"/>
      <c r="Q628" s="877"/>
    </row>
    <row r="629" spans="1:17" ht="25.5" hidden="1">
      <c r="A629" s="105">
        <v>1</v>
      </c>
      <c r="B629" s="122" t="s">
        <v>631</v>
      </c>
      <c r="C629" s="155">
        <v>0</v>
      </c>
      <c r="D629" s="155">
        <v>0</v>
      </c>
      <c r="E629" s="93" t="e">
        <f>D629/C629</f>
        <v>#DIV/0!</v>
      </c>
      <c r="F629" s="71">
        <f>4800/5500</f>
        <v>0.8727272727272727</v>
      </c>
      <c r="G629" s="69"/>
      <c r="H629" s="107"/>
      <c r="I629" s="69"/>
      <c r="J629" s="69"/>
      <c r="K629" s="69"/>
      <c r="L629" s="69"/>
      <c r="M629" s="69"/>
      <c r="N629" s="770">
        <f>H629</f>
        <v>0</v>
      </c>
      <c r="O629" s="108">
        <v>0</v>
      </c>
      <c r="P629" s="69"/>
      <c r="Q629" s="69"/>
    </row>
    <row r="630" spans="1:17" ht="25.5" hidden="1">
      <c r="A630" s="73">
        <v>2</v>
      </c>
      <c r="B630" s="123" t="s">
        <v>419</v>
      </c>
      <c r="C630" s="111"/>
      <c r="D630" s="111">
        <v>1</v>
      </c>
      <c r="E630" s="75" t="e">
        <f>D630/C630</f>
        <v>#DIV/0!</v>
      </c>
      <c r="F630" s="75">
        <f>4800/5500</f>
        <v>0.8727272727272727</v>
      </c>
      <c r="G630" s="73"/>
      <c r="H630" s="119"/>
      <c r="I630" s="73"/>
      <c r="J630" s="73"/>
      <c r="K630" s="73"/>
      <c r="L630" s="73"/>
      <c r="M630" s="73"/>
      <c r="N630" s="767">
        <f>H630</f>
        <v>0</v>
      </c>
      <c r="O630" s="89">
        <v>0</v>
      </c>
      <c r="P630" s="73"/>
      <c r="Q630" s="163"/>
    </row>
    <row r="631" spans="1:17" ht="12.75" hidden="1">
      <c r="A631" s="73"/>
      <c r="B631" s="118"/>
      <c r="C631" s="111"/>
      <c r="D631" s="73"/>
      <c r="E631" s="73"/>
      <c r="F631" s="73"/>
      <c r="G631" s="73"/>
      <c r="H631" s="73"/>
      <c r="I631" s="73"/>
      <c r="J631" s="73"/>
      <c r="K631" s="73"/>
      <c r="L631" s="73"/>
      <c r="M631" s="73"/>
      <c r="N631" s="89"/>
      <c r="O631" s="89"/>
      <c r="P631" s="73"/>
      <c r="Q631" s="73"/>
    </row>
    <row r="632" spans="1:17" ht="12.75" hidden="1">
      <c r="A632" s="73"/>
      <c r="B632" s="74"/>
      <c r="C632" s="111"/>
      <c r="D632" s="73"/>
      <c r="E632" s="73"/>
      <c r="F632" s="73"/>
      <c r="G632" s="73"/>
      <c r="H632" s="73"/>
      <c r="I632" s="73"/>
      <c r="J632" s="73"/>
      <c r="K632" s="73"/>
      <c r="L632" s="73"/>
      <c r="M632" s="73"/>
      <c r="N632" s="89"/>
      <c r="O632" s="89"/>
      <c r="P632" s="73"/>
      <c r="Q632" s="73"/>
    </row>
    <row r="633" spans="1:17" ht="12.75" hidden="1">
      <c r="A633" s="73"/>
      <c r="B633" s="74"/>
      <c r="C633" s="111"/>
      <c r="D633" s="73"/>
      <c r="E633" s="73"/>
      <c r="F633" s="73"/>
      <c r="G633" s="73"/>
      <c r="H633" s="73"/>
      <c r="I633" s="73"/>
      <c r="J633" s="73"/>
      <c r="K633" s="73"/>
      <c r="L633" s="73"/>
      <c r="M633" s="73"/>
      <c r="N633" s="89"/>
      <c r="O633" s="89"/>
      <c r="P633" s="73"/>
      <c r="Q633" s="73"/>
    </row>
    <row r="634" spans="1:17" ht="12.75" hidden="1">
      <c r="A634" s="73"/>
      <c r="B634" s="74"/>
      <c r="C634" s="111"/>
      <c r="D634" s="73"/>
      <c r="E634" s="73"/>
      <c r="F634" s="73"/>
      <c r="G634" s="73"/>
      <c r="H634" s="73"/>
      <c r="I634" s="73"/>
      <c r="J634" s="73"/>
      <c r="K634" s="73"/>
      <c r="L634" s="73"/>
      <c r="M634" s="73"/>
      <c r="N634" s="89"/>
      <c r="O634" s="89"/>
      <c r="P634" s="73"/>
      <c r="Q634" s="73"/>
    </row>
    <row r="635" spans="1:17" ht="12.75" hidden="1">
      <c r="A635" s="73"/>
      <c r="B635" s="74"/>
      <c r="C635" s="73"/>
      <c r="D635" s="73"/>
      <c r="E635" s="73"/>
      <c r="F635" s="73"/>
      <c r="G635" s="73"/>
      <c r="H635" s="73"/>
      <c r="I635" s="73"/>
      <c r="J635" s="73"/>
      <c r="K635" s="73"/>
      <c r="L635" s="73"/>
      <c r="M635" s="73"/>
      <c r="N635" s="89"/>
      <c r="O635" s="89"/>
      <c r="P635" s="73"/>
      <c r="Q635" s="73"/>
    </row>
    <row r="636" spans="1:17" ht="12.75" hidden="1">
      <c r="A636" s="73"/>
      <c r="B636" s="73"/>
      <c r="C636" s="73"/>
      <c r="D636" s="73"/>
      <c r="E636" s="73"/>
      <c r="F636" s="73"/>
      <c r="G636" s="73"/>
      <c r="H636" s="73"/>
      <c r="I636" s="73"/>
      <c r="J636" s="73"/>
      <c r="K636" s="73"/>
      <c r="L636" s="73"/>
      <c r="M636" s="73"/>
      <c r="N636" s="89"/>
      <c r="O636" s="89"/>
      <c r="P636" s="73"/>
      <c r="Q636" s="73"/>
    </row>
    <row r="637" spans="1:17" ht="12.75" hidden="1">
      <c r="A637" s="73"/>
      <c r="B637" s="73"/>
      <c r="C637" s="73"/>
      <c r="D637" s="73"/>
      <c r="E637" s="73"/>
      <c r="F637" s="73"/>
      <c r="G637" s="73"/>
      <c r="H637" s="73"/>
      <c r="I637" s="73"/>
      <c r="J637" s="73"/>
      <c r="K637" s="73"/>
      <c r="L637" s="73"/>
      <c r="M637" s="73"/>
      <c r="N637" s="89"/>
      <c r="O637" s="89"/>
      <c r="P637" s="73"/>
      <c r="Q637" s="73"/>
    </row>
    <row r="638" spans="1:17" ht="12.75" hidden="1">
      <c r="A638" s="73"/>
      <c r="B638" s="73"/>
      <c r="C638" s="73"/>
      <c r="D638" s="73"/>
      <c r="E638" s="73"/>
      <c r="F638" s="73"/>
      <c r="G638" s="73"/>
      <c r="H638" s="73"/>
      <c r="I638" s="73"/>
      <c r="J638" s="73"/>
      <c r="K638" s="73"/>
      <c r="L638" s="73"/>
      <c r="M638" s="73"/>
      <c r="N638" s="89"/>
      <c r="O638" s="89"/>
      <c r="P638" s="73"/>
      <c r="Q638" s="73"/>
    </row>
    <row r="639" spans="1:17" ht="12.75" hidden="1">
      <c r="A639" s="73"/>
      <c r="B639" s="73"/>
      <c r="C639" s="73"/>
      <c r="D639" s="73"/>
      <c r="E639" s="73"/>
      <c r="F639" s="73"/>
      <c r="G639" s="73"/>
      <c r="H639" s="73"/>
      <c r="I639" s="73"/>
      <c r="J639" s="73"/>
      <c r="K639" s="73"/>
      <c r="L639" s="73"/>
      <c r="M639" s="73"/>
      <c r="N639" s="89"/>
      <c r="O639" s="89"/>
      <c r="P639" s="73"/>
      <c r="Q639" s="73"/>
    </row>
    <row r="640" spans="1:17" ht="12.75" hidden="1">
      <c r="A640" s="73"/>
      <c r="B640" s="73"/>
      <c r="C640" s="73"/>
      <c r="D640" s="73"/>
      <c r="E640" s="73"/>
      <c r="F640" s="73"/>
      <c r="G640" s="73"/>
      <c r="H640" s="73"/>
      <c r="I640" s="73"/>
      <c r="J640" s="73"/>
      <c r="K640" s="73"/>
      <c r="L640" s="73"/>
      <c r="M640" s="73"/>
      <c r="N640" s="89"/>
      <c r="O640" s="89"/>
      <c r="P640" s="73"/>
      <c r="Q640" s="73"/>
    </row>
    <row r="641" spans="1:17" ht="12.75" hidden="1">
      <c r="A641" s="73"/>
      <c r="B641" s="73"/>
      <c r="C641" s="73"/>
      <c r="D641" s="73"/>
      <c r="E641" s="73"/>
      <c r="F641" s="73"/>
      <c r="G641" s="73"/>
      <c r="H641" s="73"/>
      <c r="I641" s="73"/>
      <c r="J641" s="73"/>
      <c r="K641" s="73"/>
      <c r="L641" s="73"/>
      <c r="M641" s="73"/>
      <c r="N641" s="89"/>
      <c r="O641" s="89"/>
      <c r="P641" s="73"/>
      <c r="Q641" s="73"/>
    </row>
    <row r="642" spans="1:17" ht="12.75" hidden="1">
      <c r="A642" s="73"/>
      <c r="B642" s="73"/>
      <c r="C642" s="73"/>
      <c r="D642" s="73"/>
      <c r="E642" s="73"/>
      <c r="F642" s="73"/>
      <c r="G642" s="73"/>
      <c r="H642" s="73"/>
      <c r="I642" s="73"/>
      <c r="J642" s="73"/>
      <c r="K642" s="73"/>
      <c r="L642" s="73"/>
      <c r="M642" s="73"/>
      <c r="N642" s="89"/>
      <c r="O642" s="89"/>
      <c r="P642" s="73"/>
      <c r="Q642" s="73"/>
    </row>
    <row r="643" spans="1:17" ht="12.75" hidden="1">
      <c r="A643" s="73"/>
      <c r="B643" s="73"/>
      <c r="C643" s="73"/>
      <c r="D643" s="73"/>
      <c r="E643" s="73"/>
      <c r="F643" s="73"/>
      <c r="G643" s="73"/>
      <c r="H643" s="73"/>
      <c r="I643" s="73"/>
      <c r="J643" s="73"/>
      <c r="K643" s="73"/>
      <c r="L643" s="73"/>
      <c r="M643" s="73"/>
      <c r="N643" s="89"/>
      <c r="O643" s="89"/>
      <c r="P643" s="73"/>
      <c r="Q643" s="73"/>
    </row>
    <row r="644" spans="1:17" ht="12.75" hidden="1">
      <c r="A644" s="73"/>
      <c r="B644" s="73"/>
      <c r="C644" s="73"/>
      <c r="D644" s="73"/>
      <c r="E644" s="73"/>
      <c r="F644" s="73"/>
      <c r="G644" s="73"/>
      <c r="H644" s="73"/>
      <c r="I644" s="73"/>
      <c r="J644" s="73"/>
      <c r="K644" s="73"/>
      <c r="L644" s="73"/>
      <c r="M644" s="73"/>
      <c r="N644" s="89"/>
      <c r="O644" s="89"/>
      <c r="P644" s="73"/>
      <c r="Q644" s="73"/>
    </row>
    <row r="645" spans="1:17" ht="13.5" hidden="1" thickBot="1">
      <c r="A645" s="81"/>
      <c r="B645" s="82" t="s">
        <v>445</v>
      </c>
      <c r="C645" s="81"/>
      <c r="D645" s="81"/>
      <c r="E645" s="81"/>
      <c r="F645" s="81"/>
      <c r="G645" s="156">
        <f>SUM(G629:G644)</f>
        <v>0</v>
      </c>
      <c r="H645" s="156">
        <f aca="true" t="shared" si="24" ref="H645:O645">SUM(H629:H644)</f>
        <v>0</v>
      </c>
      <c r="I645" s="156">
        <f t="shared" si="24"/>
        <v>0</v>
      </c>
      <c r="J645" s="156">
        <f t="shared" si="24"/>
        <v>0</v>
      </c>
      <c r="K645" s="156">
        <f t="shared" si="24"/>
        <v>0</v>
      </c>
      <c r="L645" s="156">
        <f t="shared" si="24"/>
        <v>0</v>
      </c>
      <c r="M645" s="156">
        <f t="shared" si="24"/>
        <v>0</v>
      </c>
      <c r="N645" s="784">
        <f t="shared" si="24"/>
        <v>0</v>
      </c>
      <c r="O645" s="784">
        <f t="shared" si="24"/>
        <v>0</v>
      </c>
      <c r="P645" s="81"/>
      <c r="Q645" s="81"/>
    </row>
    <row r="646" ht="12.75"/>
    <row r="647" spans="1:17" ht="12.75">
      <c r="A647" s="918" t="s">
        <v>420</v>
      </c>
      <c r="B647" s="918"/>
      <c r="C647" s="918"/>
      <c r="D647" s="918"/>
      <c r="E647" s="918"/>
      <c r="F647" s="918"/>
      <c r="G647" s="918"/>
      <c r="H647" s="918"/>
      <c r="I647" s="918"/>
      <c r="J647" s="918"/>
      <c r="K647" s="918"/>
      <c r="L647" s="918"/>
      <c r="M647" s="918"/>
      <c r="N647" s="918"/>
      <c r="O647" s="918"/>
      <c r="P647" s="918"/>
      <c r="Q647" s="918"/>
    </row>
    <row r="648" spans="1:20" s="39" customFormat="1" ht="16.5" thickBot="1">
      <c r="A648" s="891" t="s">
        <v>609</v>
      </c>
      <c r="B648" s="891"/>
      <c r="C648" s="891"/>
      <c r="D648" s="891"/>
      <c r="E648" s="891"/>
      <c r="F648" s="891"/>
      <c r="G648" s="891"/>
      <c r="H648" s="891"/>
      <c r="I648" s="891"/>
      <c r="J648" s="891"/>
      <c r="K648" s="891"/>
      <c r="L648" s="891"/>
      <c r="M648" s="891"/>
      <c r="N648" s="891"/>
      <c r="O648" s="891"/>
      <c r="P648" s="891"/>
      <c r="Q648" s="891"/>
      <c r="R648" s="184"/>
      <c r="S648" s="184"/>
      <c r="T648" s="184"/>
    </row>
    <row r="649" spans="3:20" s="39" customFormat="1" ht="13.5" thickBot="1">
      <c r="C649" s="38"/>
      <c r="D649" s="38"/>
      <c r="N649" s="755"/>
      <c r="O649" s="755"/>
      <c r="P649" s="892" t="s">
        <v>208</v>
      </c>
      <c r="Q649" s="893"/>
      <c r="R649" s="184"/>
      <c r="S649" s="184"/>
      <c r="T649" s="184"/>
    </row>
    <row r="650" spans="1:17" ht="12.75">
      <c r="A650" s="917" t="s">
        <v>76</v>
      </c>
      <c r="B650" s="917"/>
      <c r="C650" s="917"/>
      <c r="D650" s="917"/>
      <c r="E650" s="917"/>
      <c r="F650" s="917"/>
      <c r="P650" s="889" t="s">
        <v>74</v>
      </c>
      <c r="Q650" s="889"/>
    </row>
    <row r="651" spans="1:17" ht="12.75">
      <c r="A651" s="917" t="s">
        <v>77</v>
      </c>
      <c r="B651" s="890"/>
      <c r="C651" s="890"/>
      <c r="D651" s="890"/>
      <c r="E651" s="890"/>
      <c r="F651" s="890"/>
      <c r="L651" s="160"/>
      <c r="P651" s="890" t="s">
        <v>124</v>
      </c>
      <c r="Q651" s="890"/>
    </row>
    <row r="652" spans="1:16" ht="12.75">
      <c r="A652" s="917" t="s">
        <v>808</v>
      </c>
      <c r="B652" s="890"/>
      <c r="C652" s="890"/>
      <c r="D652" s="890"/>
      <c r="E652" s="890"/>
      <c r="F652" s="890"/>
      <c r="G652" s="38" t="s">
        <v>72</v>
      </c>
      <c r="I652" s="41">
        <v>39083</v>
      </c>
      <c r="P652" s="38" t="s">
        <v>123</v>
      </c>
    </row>
    <row r="653" ht="12.75"/>
    <row r="654" ht="13.5" thickBot="1"/>
    <row r="655" spans="1:17" ht="13.5" thickBot="1">
      <c r="A655" s="42" t="s">
        <v>424</v>
      </c>
      <c r="B655" s="43"/>
      <c r="C655" s="43" t="s">
        <v>559</v>
      </c>
      <c r="D655" s="43"/>
      <c r="E655" s="43"/>
      <c r="F655" s="45"/>
      <c r="G655" s="880" t="s">
        <v>425</v>
      </c>
      <c r="H655" s="881"/>
      <c r="I655" s="881"/>
      <c r="J655" s="881"/>
      <c r="K655" s="881"/>
      <c r="L655" s="881"/>
      <c r="M655" s="881"/>
      <c r="N655" s="881"/>
      <c r="O655" s="881"/>
      <c r="P655" s="880" t="s">
        <v>426</v>
      </c>
      <c r="Q655" s="882"/>
    </row>
    <row r="656" spans="1:17" ht="23.25" customHeight="1">
      <c r="A656" s="46" t="s">
        <v>422</v>
      </c>
      <c r="B656" s="47"/>
      <c r="C656" s="47" t="s">
        <v>809</v>
      </c>
      <c r="D656" s="47"/>
      <c r="E656" s="47"/>
      <c r="F656" s="49"/>
      <c r="G656" s="883" t="s">
        <v>54</v>
      </c>
      <c r="H656" s="884"/>
      <c r="I656" s="884"/>
      <c r="J656" s="884"/>
      <c r="K656" s="884"/>
      <c r="L656" s="884"/>
      <c r="M656" s="884"/>
      <c r="N656" s="884"/>
      <c r="O656" s="885"/>
      <c r="P656" s="165"/>
      <c r="Q656" s="157" t="s">
        <v>55</v>
      </c>
    </row>
    <row r="657" spans="1:17" ht="23.25" customHeight="1" thickBot="1">
      <c r="A657" s="51" t="s">
        <v>423</v>
      </c>
      <c r="B657" s="52"/>
      <c r="C657" s="52" t="s">
        <v>630</v>
      </c>
      <c r="D657" s="52"/>
      <c r="E657" s="52"/>
      <c r="F657" s="54"/>
      <c r="G657" s="886"/>
      <c r="H657" s="887"/>
      <c r="I657" s="887"/>
      <c r="J657" s="887"/>
      <c r="K657" s="887"/>
      <c r="L657" s="887"/>
      <c r="M657" s="887"/>
      <c r="N657" s="887"/>
      <c r="O657" s="888"/>
      <c r="P657" s="161"/>
      <c r="Q657" s="162"/>
    </row>
    <row r="658" spans="1:2" ht="13.5" thickBot="1">
      <c r="A658" s="38" t="s">
        <v>73</v>
      </c>
      <c r="B658" s="57"/>
    </row>
    <row r="659" spans="1:17" ht="12.75">
      <c r="A659" s="872" t="s">
        <v>431</v>
      </c>
      <c r="B659" s="873"/>
      <c r="C659" s="873"/>
      <c r="D659" s="873"/>
      <c r="E659" s="873"/>
      <c r="F659" s="874"/>
      <c r="G659" s="872" t="s">
        <v>427</v>
      </c>
      <c r="H659" s="873"/>
      <c r="I659" s="873"/>
      <c r="J659" s="873"/>
      <c r="K659" s="873"/>
      <c r="L659" s="873"/>
      <c r="M659" s="873"/>
      <c r="N659" s="873"/>
      <c r="O659" s="874"/>
      <c r="P659" s="875" t="s">
        <v>428</v>
      </c>
      <c r="Q659" s="874" t="s">
        <v>429</v>
      </c>
    </row>
    <row r="660" spans="1:17" ht="13.5" thickBot="1">
      <c r="A660" s="61"/>
      <c r="B660" s="62"/>
      <c r="C660" s="62"/>
      <c r="D660" s="62"/>
      <c r="E660" s="62"/>
      <c r="F660" s="64"/>
      <c r="G660" s="61"/>
      <c r="H660" s="62"/>
      <c r="I660" s="62"/>
      <c r="J660" s="62"/>
      <c r="K660" s="62"/>
      <c r="L660" s="62"/>
      <c r="M660" s="62"/>
      <c r="N660" s="756"/>
      <c r="O660" s="757"/>
      <c r="P660" s="876"/>
      <c r="Q660" s="877"/>
    </row>
    <row r="661" spans="1:17" ht="51.75" thickBot="1">
      <c r="A661" s="35" t="s">
        <v>430</v>
      </c>
      <c r="B661" s="90" t="s">
        <v>432</v>
      </c>
      <c r="C661" s="154" t="s">
        <v>433</v>
      </c>
      <c r="D661" s="138" t="s">
        <v>434</v>
      </c>
      <c r="E661" s="37" t="s">
        <v>435</v>
      </c>
      <c r="F661" s="36" t="s">
        <v>446</v>
      </c>
      <c r="G661" s="67" t="s">
        <v>436</v>
      </c>
      <c r="H661" s="68" t="s">
        <v>437</v>
      </c>
      <c r="I661" s="68" t="s">
        <v>438</v>
      </c>
      <c r="J661" s="68" t="s">
        <v>439</v>
      </c>
      <c r="K661" s="68" t="s">
        <v>440</v>
      </c>
      <c r="L661" s="68" t="s">
        <v>441</v>
      </c>
      <c r="M661" s="68" t="s">
        <v>442</v>
      </c>
      <c r="N661" s="758" t="s">
        <v>443</v>
      </c>
      <c r="O661" s="759" t="s">
        <v>444</v>
      </c>
      <c r="P661" s="900"/>
      <c r="Q661" s="901"/>
    </row>
    <row r="662" spans="1:17" ht="38.25">
      <c r="A662" s="105">
        <v>1</v>
      </c>
      <c r="B662" s="117" t="s">
        <v>310</v>
      </c>
      <c r="C662" s="249">
        <v>2500</v>
      </c>
      <c r="D662" s="249">
        <v>2500</v>
      </c>
      <c r="E662" s="93">
        <f>D662/C662</f>
        <v>1</v>
      </c>
      <c r="F662" s="71">
        <f>2500/2500</f>
        <v>1</v>
      </c>
      <c r="G662" s="107"/>
      <c r="H662" s="72">
        <v>3763.1</v>
      </c>
      <c r="I662" s="107"/>
      <c r="J662" s="107"/>
      <c r="K662" s="69"/>
      <c r="L662" s="69"/>
      <c r="M662" s="69"/>
      <c r="N662" s="760">
        <f>SUM(G662:M662)</f>
        <v>3763.1</v>
      </c>
      <c r="O662" s="760">
        <v>3763.1</v>
      </c>
      <c r="P662" s="353" t="s">
        <v>611</v>
      </c>
      <c r="Q662" s="116"/>
    </row>
    <row r="663" spans="1:17" ht="12.75">
      <c r="A663" s="73"/>
      <c r="B663" s="118"/>
      <c r="C663" s="111"/>
      <c r="D663" s="73"/>
      <c r="E663" s="73"/>
      <c r="F663" s="73"/>
      <c r="G663" s="73"/>
      <c r="H663" s="73"/>
      <c r="I663" s="73"/>
      <c r="J663" s="73"/>
      <c r="K663" s="73"/>
      <c r="L663" s="73"/>
      <c r="M663" s="73"/>
      <c r="N663" s="89"/>
      <c r="O663" s="89"/>
      <c r="P663" s="73"/>
      <c r="Q663" s="163"/>
    </row>
    <row r="664" spans="1:17" ht="12.75">
      <c r="A664" s="73"/>
      <c r="B664" s="118"/>
      <c r="C664" s="111"/>
      <c r="D664" s="73"/>
      <c r="E664" s="73"/>
      <c r="F664" s="73"/>
      <c r="G664" s="73"/>
      <c r="H664" s="73"/>
      <c r="I664" s="73"/>
      <c r="J664" s="73"/>
      <c r="K664" s="73"/>
      <c r="L664" s="73"/>
      <c r="M664" s="73"/>
      <c r="N664" s="89"/>
      <c r="O664" s="89"/>
      <c r="P664" s="73"/>
      <c r="Q664" s="73"/>
    </row>
    <row r="665" spans="1:17" ht="12.75">
      <c r="A665" s="73"/>
      <c r="B665" s="74"/>
      <c r="C665" s="111"/>
      <c r="D665" s="73"/>
      <c r="E665" s="73"/>
      <c r="F665" s="73"/>
      <c r="G665" s="73"/>
      <c r="H665" s="73"/>
      <c r="I665" s="73"/>
      <c r="J665" s="73"/>
      <c r="K665" s="73"/>
      <c r="L665" s="73"/>
      <c r="M665" s="73"/>
      <c r="N665" s="89"/>
      <c r="O665" s="89"/>
      <c r="P665" s="73"/>
      <c r="Q665" s="73"/>
    </row>
    <row r="666" spans="1:17" ht="12.75">
      <c r="A666" s="73"/>
      <c r="B666" s="74"/>
      <c r="C666" s="111"/>
      <c r="D666" s="73"/>
      <c r="E666" s="73"/>
      <c r="F666" s="73"/>
      <c r="G666" s="73"/>
      <c r="H666" s="73"/>
      <c r="I666" s="73"/>
      <c r="J666" s="73"/>
      <c r="K666" s="73"/>
      <c r="L666" s="73"/>
      <c r="M666" s="73"/>
      <c r="N666" s="89"/>
      <c r="O666" s="89"/>
      <c r="P666" s="73"/>
      <c r="Q666" s="73"/>
    </row>
    <row r="667" spans="1:17" ht="12.75">
      <c r="A667" s="73"/>
      <c r="B667" s="74"/>
      <c r="C667" s="111"/>
      <c r="D667" s="73"/>
      <c r="E667" s="73"/>
      <c r="F667" s="73"/>
      <c r="G667" s="73"/>
      <c r="H667" s="73"/>
      <c r="I667" s="73"/>
      <c r="J667" s="73"/>
      <c r="K667" s="73"/>
      <c r="L667" s="73"/>
      <c r="M667" s="73"/>
      <c r="N667" s="89"/>
      <c r="O667" s="89"/>
      <c r="P667" s="73"/>
      <c r="Q667" s="73"/>
    </row>
    <row r="668" spans="1:17" ht="12.75">
      <c r="A668" s="73"/>
      <c r="B668" s="74"/>
      <c r="C668" s="73"/>
      <c r="D668" s="73"/>
      <c r="E668" s="73"/>
      <c r="F668" s="73"/>
      <c r="G668" s="73"/>
      <c r="H668" s="73"/>
      <c r="I668" s="73"/>
      <c r="J668" s="73"/>
      <c r="K668" s="73"/>
      <c r="L668" s="73"/>
      <c r="M668" s="73"/>
      <c r="N668" s="89"/>
      <c r="O668" s="89"/>
      <c r="P668" s="73"/>
      <c r="Q668" s="73"/>
    </row>
    <row r="669" spans="1:17" ht="12.75">
      <c r="A669" s="73"/>
      <c r="B669" s="73"/>
      <c r="C669" s="73"/>
      <c r="D669" s="73"/>
      <c r="E669" s="73"/>
      <c r="F669" s="73"/>
      <c r="G669" s="73"/>
      <c r="H669" s="73"/>
      <c r="I669" s="73"/>
      <c r="J669" s="73"/>
      <c r="K669" s="73"/>
      <c r="L669" s="73"/>
      <c r="M669" s="73"/>
      <c r="N669" s="89"/>
      <c r="O669" s="89"/>
      <c r="P669" s="73"/>
      <c r="Q669" s="73"/>
    </row>
    <row r="670" spans="1:17" ht="12.75">
      <c r="A670" s="73"/>
      <c r="B670" s="73"/>
      <c r="C670" s="73"/>
      <c r="D670" s="73"/>
      <c r="E670" s="73"/>
      <c r="F670" s="73"/>
      <c r="G670" s="73"/>
      <c r="H670" s="73"/>
      <c r="I670" s="73"/>
      <c r="J670" s="73"/>
      <c r="K670" s="73"/>
      <c r="L670" s="73"/>
      <c r="M670" s="73"/>
      <c r="N670" s="89"/>
      <c r="O670" s="89"/>
      <c r="P670" s="73"/>
      <c r="Q670" s="73"/>
    </row>
    <row r="671" spans="1:17" ht="12.75">
      <c r="A671" s="73"/>
      <c r="B671" s="73"/>
      <c r="C671" s="73"/>
      <c r="D671" s="73"/>
      <c r="E671" s="73"/>
      <c r="F671" s="73"/>
      <c r="G671" s="73"/>
      <c r="H671" s="73"/>
      <c r="I671" s="73"/>
      <c r="J671" s="73"/>
      <c r="K671" s="73"/>
      <c r="L671" s="73"/>
      <c r="M671" s="73"/>
      <c r="N671" s="89"/>
      <c r="O671" s="89"/>
      <c r="P671" s="73"/>
      <c r="Q671" s="73"/>
    </row>
    <row r="672" spans="1:17" ht="12.75">
      <c r="A672" s="73"/>
      <c r="B672" s="73"/>
      <c r="C672" s="73"/>
      <c r="D672" s="73"/>
      <c r="E672" s="73"/>
      <c r="F672" s="73"/>
      <c r="G672" s="73"/>
      <c r="H672" s="73"/>
      <c r="I672" s="73"/>
      <c r="J672" s="73"/>
      <c r="K672" s="73"/>
      <c r="L672" s="73"/>
      <c r="M672" s="73"/>
      <c r="N672" s="89"/>
      <c r="O672" s="89"/>
      <c r="P672" s="73"/>
      <c r="Q672" s="73"/>
    </row>
    <row r="673" spans="1:17" ht="12.75">
      <c r="A673" s="73"/>
      <c r="B673" s="73"/>
      <c r="C673" s="73"/>
      <c r="D673" s="73"/>
      <c r="E673" s="73"/>
      <c r="F673" s="73"/>
      <c r="G673" s="73"/>
      <c r="H673" s="73"/>
      <c r="I673" s="73"/>
      <c r="J673" s="73"/>
      <c r="K673" s="73"/>
      <c r="L673" s="73"/>
      <c r="M673" s="73"/>
      <c r="N673" s="89"/>
      <c r="O673" s="89"/>
      <c r="P673" s="73"/>
      <c r="Q673" s="73"/>
    </row>
    <row r="674" spans="1:17" ht="12.75">
      <c r="A674" s="73"/>
      <c r="B674" s="73"/>
      <c r="C674" s="73"/>
      <c r="D674" s="73"/>
      <c r="E674" s="73"/>
      <c r="F674" s="73"/>
      <c r="G674" s="73"/>
      <c r="H674" s="73"/>
      <c r="I674" s="73"/>
      <c r="J674" s="73"/>
      <c r="K674" s="73"/>
      <c r="L674" s="73"/>
      <c r="M674" s="73"/>
      <c r="N674" s="89"/>
      <c r="O674" s="89"/>
      <c r="P674" s="73"/>
      <c r="Q674" s="73"/>
    </row>
    <row r="675" spans="1:17" ht="12.75">
      <c r="A675" s="73"/>
      <c r="B675" s="73"/>
      <c r="C675" s="73"/>
      <c r="D675" s="73"/>
      <c r="E675" s="73"/>
      <c r="F675" s="73"/>
      <c r="G675" s="73"/>
      <c r="H675" s="73"/>
      <c r="I675" s="73"/>
      <c r="J675" s="73"/>
      <c r="K675" s="73"/>
      <c r="L675" s="73"/>
      <c r="M675" s="73"/>
      <c r="N675" s="89"/>
      <c r="O675" s="89"/>
      <c r="P675" s="73"/>
      <c r="Q675" s="73"/>
    </row>
    <row r="676" spans="1:17" ht="12.75">
      <c r="A676" s="73"/>
      <c r="B676" s="73"/>
      <c r="C676" s="73"/>
      <c r="D676" s="73"/>
      <c r="E676" s="73"/>
      <c r="F676" s="73"/>
      <c r="G676" s="73"/>
      <c r="H676" s="73"/>
      <c r="I676" s="73"/>
      <c r="J676" s="73"/>
      <c r="K676" s="73"/>
      <c r="L676" s="73"/>
      <c r="M676" s="73"/>
      <c r="N676" s="89"/>
      <c r="O676" s="89"/>
      <c r="P676" s="73"/>
      <c r="Q676" s="73"/>
    </row>
    <row r="677" spans="1:17" ht="12.75">
      <c r="A677" s="73"/>
      <c r="B677" s="73"/>
      <c r="C677" s="73"/>
      <c r="D677" s="73"/>
      <c r="E677" s="73"/>
      <c r="F677" s="73"/>
      <c r="G677" s="73"/>
      <c r="H677" s="73"/>
      <c r="I677" s="73"/>
      <c r="J677" s="73"/>
      <c r="K677" s="73"/>
      <c r="L677" s="73"/>
      <c r="M677" s="73"/>
      <c r="N677" s="89"/>
      <c r="O677" s="89"/>
      <c r="P677" s="73"/>
      <c r="Q677" s="73"/>
    </row>
    <row r="678" spans="1:17" ht="13.5" thickBot="1">
      <c r="A678" s="81"/>
      <c r="B678" s="82" t="s">
        <v>445</v>
      </c>
      <c r="C678" s="81"/>
      <c r="D678" s="81"/>
      <c r="E678" s="81"/>
      <c r="F678" s="81"/>
      <c r="G678" s="82">
        <f>SUM(G662:G677)</f>
        <v>0</v>
      </c>
      <c r="H678" s="156">
        <f aca="true" t="shared" si="25" ref="H678:O678">SUM(H662:H677)</f>
        <v>3763.1</v>
      </c>
      <c r="I678" s="156">
        <f t="shared" si="25"/>
        <v>0</v>
      </c>
      <c r="J678" s="156">
        <f t="shared" si="25"/>
        <v>0</v>
      </c>
      <c r="K678" s="156">
        <f t="shared" si="25"/>
        <v>0</v>
      </c>
      <c r="L678" s="156">
        <f t="shared" si="25"/>
        <v>0</v>
      </c>
      <c r="M678" s="156">
        <f t="shared" si="25"/>
        <v>0</v>
      </c>
      <c r="N678" s="772">
        <f>SUM(N662:N677)</f>
        <v>3763.1</v>
      </c>
      <c r="O678" s="772">
        <f t="shared" si="25"/>
        <v>3763.1</v>
      </c>
      <c r="P678" s="81"/>
      <c r="Q678" s="81"/>
    </row>
    <row r="679" ht="12.75"/>
    <row r="680" spans="1:17" ht="12.75">
      <c r="A680" s="918" t="s">
        <v>420</v>
      </c>
      <c r="B680" s="918"/>
      <c r="C680" s="918"/>
      <c r="D680" s="918"/>
      <c r="E680" s="918"/>
      <c r="F680" s="918"/>
      <c r="G680" s="918"/>
      <c r="H680" s="918"/>
      <c r="I680" s="918"/>
      <c r="J680" s="918"/>
      <c r="K680" s="918"/>
      <c r="L680" s="918"/>
      <c r="M680" s="918"/>
      <c r="N680" s="918"/>
      <c r="O680" s="918"/>
      <c r="P680" s="918"/>
      <c r="Q680" s="918"/>
    </row>
    <row r="681" spans="1:20" s="39" customFormat="1" ht="16.5" thickBot="1">
      <c r="A681" s="891" t="s">
        <v>609</v>
      </c>
      <c r="B681" s="891"/>
      <c r="C681" s="891"/>
      <c r="D681" s="891"/>
      <c r="E681" s="891"/>
      <c r="F681" s="891"/>
      <c r="G681" s="891"/>
      <c r="H681" s="891"/>
      <c r="I681" s="891"/>
      <c r="J681" s="891"/>
      <c r="K681" s="891"/>
      <c r="L681" s="891"/>
      <c r="M681" s="891"/>
      <c r="N681" s="891"/>
      <c r="O681" s="891"/>
      <c r="P681" s="891"/>
      <c r="Q681" s="891"/>
      <c r="R681" s="184"/>
      <c r="S681" s="184"/>
      <c r="T681" s="184"/>
    </row>
    <row r="682" spans="3:20" s="39" customFormat="1" ht="13.5" thickBot="1">
      <c r="C682" s="38"/>
      <c r="D682" s="38"/>
      <c r="N682" s="755"/>
      <c r="O682" s="755"/>
      <c r="P682" s="919" t="s">
        <v>209</v>
      </c>
      <c r="Q682" s="920"/>
      <c r="R682" s="184"/>
      <c r="S682" s="184"/>
      <c r="T682" s="184"/>
    </row>
    <row r="683" spans="1:17" ht="12.75">
      <c r="A683" s="917" t="s">
        <v>76</v>
      </c>
      <c r="B683" s="917"/>
      <c r="C683" s="917"/>
      <c r="D683" s="917"/>
      <c r="E683" s="917"/>
      <c r="F683" s="917"/>
      <c r="P683" s="889" t="s">
        <v>74</v>
      </c>
      <c r="Q683" s="889"/>
    </row>
    <row r="684" spans="1:17" ht="12.75">
      <c r="A684" s="917" t="s">
        <v>77</v>
      </c>
      <c r="B684" s="890"/>
      <c r="C684" s="890"/>
      <c r="D684" s="890"/>
      <c r="E684" s="890"/>
      <c r="F684" s="890"/>
      <c r="L684" s="160"/>
      <c r="P684" s="890" t="s">
        <v>245</v>
      </c>
      <c r="Q684" s="890"/>
    </row>
    <row r="685" spans="1:16" ht="12.75">
      <c r="A685" s="917" t="s">
        <v>808</v>
      </c>
      <c r="B685" s="890"/>
      <c r="C685" s="890"/>
      <c r="D685" s="890"/>
      <c r="E685" s="890"/>
      <c r="F685" s="890"/>
      <c r="G685" s="38" t="s">
        <v>72</v>
      </c>
      <c r="I685" s="41">
        <v>39083</v>
      </c>
      <c r="P685" s="38" t="s">
        <v>246</v>
      </c>
    </row>
    <row r="686" ht="12.75"/>
    <row r="687" ht="13.5" thickBot="1"/>
    <row r="688" spans="1:17" ht="13.5" thickBot="1">
      <c r="A688" s="42" t="s">
        <v>424</v>
      </c>
      <c r="B688" s="43"/>
      <c r="C688" s="43" t="s">
        <v>559</v>
      </c>
      <c r="D688" s="43"/>
      <c r="E688" s="43"/>
      <c r="F688" s="45"/>
      <c r="G688" s="880" t="s">
        <v>425</v>
      </c>
      <c r="H688" s="881"/>
      <c r="I688" s="881"/>
      <c r="J688" s="881"/>
      <c r="K688" s="881"/>
      <c r="L688" s="881"/>
      <c r="M688" s="881"/>
      <c r="N688" s="881"/>
      <c r="O688" s="881"/>
      <c r="P688" s="880" t="s">
        <v>426</v>
      </c>
      <c r="Q688" s="882"/>
    </row>
    <row r="689" spans="1:17" ht="24" customHeight="1">
      <c r="A689" s="46" t="s">
        <v>422</v>
      </c>
      <c r="B689" s="47"/>
      <c r="C689" s="47" t="s">
        <v>809</v>
      </c>
      <c r="D689" s="47"/>
      <c r="E689" s="47"/>
      <c r="F689" s="49"/>
      <c r="G689" s="922" t="s">
        <v>56</v>
      </c>
      <c r="H689" s="923"/>
      <c r="I689" s="923"/>
      <c r="J689" s="923"/>
      <c r="K689" s="923"/>
      <c r="L689" s="923"/>
      <c r="M689" s="923"/>
      <c r="N689" s="923"/>
      <c r="O689" s="924"/>
      <c r="P689" s="165"/>
      <c r="Q689" s="157" t="s">
        <v>769</v>
      </c>
    </row>
    <row r="690" spans="1:17" ht="24" customHeight="1" thickBot="1">
      <c r="A690" s="51" t="s">
        <v>423</v>
      </c>
      <c r="B690" s="52"/>
      <c r="C690" s="52" t="s">
        <v>166</v>
      </c>
      <c r="D690" s="52"/>
      <c r="E690" s="52"/>
      <c r="F690" s="54"/>
      <c r="G690" s="925"/>
      <c r="H690" s="926"/>
      <c r="I690" s="926"/>
      <c r="J690" s="926"/>
      <c r="K690" s="926"/>
      <c r="L690" s="926"/>
      <c r="M690" s="926"/>
      <c r="N690" s="926"/>
      <c r="O690" s="927"/>
      <c r="P690" s="161"/>
      <c r="Q690" s="162"/>
    </row>
    <row r="691" spans="1:2" ht="13.5" thickBot="1">
      <c r="A691" s="38" t="s">
        <v>73</v>
      </c>
      <c r="B691" s="57"/>
    </row>
    <row r="692" spans="1:17" ht="12.75">
      <c r="A692" s="872" t="s">
        <v>431</v>
      </c>
      <c r="B692" s="873"/>
      <c r="C692" s="873"/>
      <c r="D692" s="873"/>
      <c r="E692" s="873"/>
      <c r="F692" s="874"/>
      <c r="G692" s="872" t="s">
        <v>427</v>
      </c>
      <c r="H692" s="873"/>
      <c r="I692" s="873"/>
      <c r="J692" s="873"/>
      <c r="K692" s="873"/>
      <c r="L692" s="873"/>
      <c r="M692" s="873"/>
      <c r="N692" s="873"/>
      <c r="O692" s="874"/>
      <c r="P692" s="875" t="s">
        <v>428</v>
      </c>
      <c r="Q692" s="874" t="s">
        <v>429</v>
      </c>
    </row>
    <row r="693" spans="1:17" ht="13.5" thickBot="1">
      <c r="A693" s="61"/>
      <c r="B693" s="62"/>
      <c r="C693" s="62"/>
      <c r="D693" s="62"/>
      <c r="E693" s="62"/>
      <c r="F693" s="64"/>
      <c r="G693" s="61"/>
      <c r="H693" s="62"/>
      <c r="I693" s="62"/>
      <c r="J693" s="62"/>
      <c r="K693" s="62"/>
      <c r="L693" s="62"/>
      <c r="M693" s="62"/>
      <c r="N693" s="756"/>
      <c r="O693" s="757"/>
      <c r="P693" s="876"/>
      <c r="Q693" s="877"/>
    </row>
    <row r="694" spans="1:17" ht="51.75" thickBot="1">
      <c r="A694" s="35" t="s">
        <v>430</v>
      </c>
      <c r="B694" s="90" t="s">
        <v>432</v>
      </c>
      <c r="C694" s="154" t="s">
        <v>433</v>
      </c>
      <c r="D694" s="138" t="s">
        <v>434</v>
      </c>
      <c r="E694" s="37" t="s">
        <v>435</v>
      </c>
      <c r="F694" s="36" t="s">
        <v>446</v>
      </c>
      <c r="G694" s="67" t="s">
        <v>436</v>
      </c>
      <c r="H694" s="68" t="s">
        <v>437</v>
      </c>
      <c r="I694" s="68" t="s">
        <v>438</v>
      </c>
      <c r="J694" s="68" t="s">
        <v>439</v>
      </c>
      <c r="K694" s="68" t="s">
        <v>440</v>
      </c>
      <c r="L694" s="68" t="s">
        <v>441</v>
      </c>
      <c r="M694" s="68" t="s">
        <v>442</v>
      </c>
      <c r="N694" s="758" t="s">
        <v>443</v>
      </c>
      <c r="O694" s="759" t="s">
        <v>444</v>
      </c>
      <c r="P694" s="900"/>
      <c r="Q694" s="901"/>
    </row>
    <row r="695" spans="1:17" ht="38.25">
      <c r="A695" s="105">
        <v>1</v>
      </c>
      <c r="B695" s="117" t="s">
        <v>613</v>
      </c>
      <c r="C695" s="249">
        <v>11770</v>
      </c>
      <c r="D695" s="249">
        <v>11770</v>
      </c>
      <c r="E695" s="93">
        <f>D695/C695</f>
        <v>1</v>
      </c>
      <c r="F695" s="71">
        <f>26177/24000</f>
        <v>1.0907083333333334</v>
      </c>
      <c r="G695" s="72">
        <v>8000</v>
      </c>
      <c r="H695" s="72"/>
      <c r="I695" s="107"/>
      <c r="J695" s="107"/>
      <c r="K695" s="69"/>
      <c r="L695" s="69"/>
      <c r="M695" s="69"/>
      <c r="N695" s="760">
        <f>G695+H695+I695+J695</f>
        <v>8000</v>
      </c>
      <c r="O695" s="760">
        <v>8000</v>
      </c>
      <c r="P695" s="353" t="s">
        <v>611</v>
      </c>
      <c r="Q695" s="116"/>
    </row>
    <row r="696" spans="1:17" ht="38.25">
      <c r="A696" s="115">
        <v>2</v>
      </c>
      <c r="B696" s="117" t="s">
        <v>234</v>
      </c>
      <c r="C696" s="164">
        <v>26750</v>
      </c>
      <c r="D696" s="164">
        <v>26750</v>
      </c>
      <c r="E696" s="75">
        <f>+D696/C696</f>
        <v>1</v>
      </c>
      <c r="F696" s="75">
        <f>26177/24000</f>
        <v>1.0907083333333334</v>
      </c>
      <c r="G696" s="76">
        <f>23000+14804.9</f>
        <v>37804.9</v>
      </c>
      <c r="H696" s="76">
        <f>10000+19589.44</f>
        <v>29589.44</v>
      </c>
      <c r="I696" s="119"/>
      <c r="J696" s="119">
        <f>364963.556+250000</f>
        <v>614963.556</v>
      </c>
      <c r="K696" s="116">
        <v>600</v>
      </c>
      <c r="L696" s="116"/>
      <c r="M696" s="116"/>
      <c r="N696" s="780">
        <f>G696+H696+I696+J696+K696</f>
        <v>682957.896</v>
      </c>
      <c r="O696" s="765">
        <f>374963.556-13.46+250000+47874.993-0.095</f>
        <v>672824.994</v>
      </c>
      <c r="P696" s="697" t="s">
        <v>611</v>
      </c>
      <c r="Q696" s="116"/>
    </row>
    <row r="697" spans="1:17" ht="38.25">
      <c r="A697" s="73">
        <v>3</v>
      </c>
      <c r="B697" s="118" t="s">
        <v>311</v>
      </c>
      <c r="C697" s="164">
        <v>1020</v>
      </c>
      <c r="D697" s="164">
        <v>1020</v>
      </c>
      <c r="E697" s="75">
        <f>+D697/C697</f>
        <v>1</v>
      </c>
      <c r="F697" s="75">
        <f>26177/24000</f>
        <v>1.0907083333333334</v>
      </c>
      <c r="G697" s="77">
        <v>3000</v>
      </c>
      <c r="H697" s="77"/>
      <c r="I697" s="95"/>
      <c r="J697" s="95"/>
      <c r="K697" s="73"/>
      <c r="L697" s="73"/>
      <c r="M697" s="73"/>
      <c r="N697" s="780">
        <f>G697+H697+I697+J697+K697</f>
        <v>3000</v>
      </c>
      <c r="O697" s="765">
        <v>3000</v>
      </c>
      <c r="P697" s="697" t="s">
        <v>611</v>
      </c>
      <c r="Q697" s="73"/>
    </row>
    <row r="698" spans="1:17" ht="38.25" hidden="1">
      <c r="A698" s="73">
        <v>4</v>
      </c>
      <c r="B698" s="74" t="s">
        <v>129</v>
      </c>
      <c r="C698" s="164">
        <v>1</v>
      </c>
      <c r="D698" s="164">
        <v>0</v>
      </c>
      <c r="E698" s="75">
        <f>+D698/C698</f>
        <v>0</v>
      </c>
      <c r="F698" s="75">
        <f>26177/24000</f>
        <v>1.0907083333333334</v>
      </c>
      <c r="G698" s="73"/>
      <c r="H698" s="76">
        <v>0</v>
      </c>
      <c r="I698" s="73"/>
      <c r="J698" s="73"/>
      <c r="K698" s="73"/>
      <c r="L698" s="73"/>
      <c r="M698" s="73"/>
      <c r="N698" s="78">
        <f>G698+H698+I698+J698</f>
        <v>0</v>
      </c>
      <c r="O698" s="767">
        <v>0</v>
      </c>
      <c r="P698" s="353" t="s">
        <v>371</v>
      </c>
      <c r="Q698" s="73"/>
    </row>
    <row r="699" spans="1:17" ht="38.25" hidden="1">
      <c r="A699" s="73">
        <v>5</v>
      </c>
      <c r="B699" s="74" t="s">
        <v>130</v>
      </c>
      <c r="C699" s="164">
        <v>1</v>
      </c>
      <c r="D699" s="164">
        <v>0</v>
      </c>
      <c r="E699" s="75">
        <f>+D699/C699</f>
        <v>0</v>
      </c>
      <c r="F699" s="75">
        <f>26177/24000</f>
        <v>1.0907083333333334</v>
      </c>
      <c r="G699" s="76">
        <v>0</v>
      </c>
      <c r="H699" s="76">
        <v>0</v>
      </c>
      <c r="I699" s="73"/>
      <c r="J699" s="73"/>
      <c r="K699" s="73"/>
      <c r="L699" s="73"/>
      <c r="M699" s="73"/>
      <c r="N699" s="78">
        <f>G699+H699+I699+J699</f>
        <v>0</v>
      </c>
      <c r="O699" s="767">
        <v>0</v>
      </c>
      <c r="P699" s="353" t="s">
        <v>371</v>
      </c>
      <c r="Q699" s="73"/>
    </row>
    <row r="700" spans="1:17" ht="12.75">
      <c r="A700" s="73"/>
      <c r="B700" s="117"/>
      <c r="C700" s="73"/>
      <c r="D700" s="73"/>
      <c r="E700" s="73"/>
      <c r="F700" s="73"/>
      <c r="G700" s="73"/>
      <c r="H700" s="73"/>
      <c r="I700" s="73"/>
      <c r="J700" s="73"/>
      <c r="K700" s="73"/>
      <c r="L700" s="73"/>
      <c r="M700" s="73"/>
      <c r="N700" s="89"/>
      <c r="O700" s="89"/>
      <c r="P700" s="73"/>
      <c r="Q700" s="73"/>
    </row>
    <row r="701" spans="1:17" ht="12.75">
      <c r="A701" s="73"/>
      <c r="B701" s="73"/>
      <c r="C701" s="73"/>
      <c r="D701" s="73"/>
      <c r="E701" s="73"/>
      <c r="F701" s="73"/>
      <c r="G701" s="73"/>
      <c r="H701" s="73"/>
      <c r="I701" s="73"/>
      <c r="J701" s="73"/>
      <c r="K701" s="73"/>
      <c r="L701" s="73"/>
      <c r="M701" s="73"/>
      <c r="N701" s="89"/>
      <c r="O701" s="89"/>
      <c r="P701" s="73"/>
      <c r="Q701" s="73"/>
    </row>
    <row r="702" spans="1:17" ht="12.75">
      <c r="A702" s="73"/>
      <c r="B702" s="73"/>
      <c r="C702" s="73"/>
      <c r="D702" s="73"/>
      <c r="E702" s="73"/>
      <c r="F702" s="73"/>
      <c r="G702" s="73"/>
      <c r="H702" s="73"/>
      <c r="I702" s="73"/>
      <c r="J702" s="73"/>
      <c r="K702" s="73"/>
      <c r="L702" s="73"/>
      <c r="M702" s="73"/>
      <c r="N702" s="89"/>
      <c r="O702" s="89"/>
      <c r="P702" s="73"/>
      <c r="Q702" s="73"/>
    </row>
    <row r="703" spans="1:17" ht="12.75">
      <c r="A703" s="73"/>
      <c r="B703" s="73"/>
      <c r="C703" s="73"/>
      <c r="D703" s="73"/>
      <c r="E703" s="73"/>
      <c r="F703" s="73"/>
      <c r="G703" s="73"/>
      <c r="H703" s="73"/>
      <c r="I703" s="73"/>
      <c r="J703" s="73"/>
      <c r="K703" s="73"/>
      <c r="L703" s="73"/>
      <c r="M703" s="73"/>
      <c r="N703" s="89"/>
      <c r="O703" s="89"/>
      <c r="P703" s="73"/>
      <c r="Q703" s="73"/>
    </row>
    <row r="704" spans="1:17" ht="12.75">
      <c r="A704" s="73"/>
      <c r="B704" s="73"/>
      <c r="C704" s="73"/>
      <c r="D704" s="73"/>
      <c r="E704" s="73"/>
      <c r="F704" s="73"/>
      <c r="G704" s="73"/>
      <c r="H704" s="73"/>
      <c r="I704" s="73"/>
      <c r="J704" s="73"/>
      <c r="K704" s="73"/>
      <c r="L704" s="73"/>
      <c r="M704" s="73"/>
      <c r="N704" s="89"/>
      <c r="O704" s="89"/>
      <c r="P704" s="73"/>
      <c r="Q704" s="73"/>
    </row>
    <row r="705" spans="1:17" ht="12.75">
      <c r="A705" s="73"/>
      <c r="B705" s="73"/>
      <c r="C705" s="73"/>
      <c r="D705" s="73"/>
      <c r="E705" s="73"/>
      <c r="F705" s="73"/>
      <c r="G705" s="73"/>
      <c r="H705" s="73"/>
      <c r="I705" s="73"/>
      <c r="J705" s="73"/>
      <c r="K705" s="73"/>
      <c r="L705" s="73"/>
      <c r="M705" s="73"/>
      <c r="N705" s="89"/>
      <c r="O705" s="89"/>
      <c r="P705" s="73"/>
      <c r="Q705" s="73"/>
    </row>
    <row r="706" spans="1:17" ht="12.75">
      <c r="A706" s="73"/>
      <c r="B706" s="73"/>
      <c r="C706" s="73"/>
      <c r="D706" s="73"/>
      <c r="E706" s="73"/>
      <c r="F706" s="73"/>
      <c r="G706" s="73"/>
      <c r="H706" s="73"/>
      <c r="I706" s="73"/>
      <c r="J706" s="73"/>
      <c r="K706" s="73"/>
      <c r="L706" s="73"/>
      <c r="M706" s="73"/>
      <c r="N706" s="89"/>
      <c r="O706" s="89"/>
      <c r="P706" s="73"/>
      <c r="Q706" s="73"/>
    </row>
    <row r="707" spans="1:17" ht="12.75">
      <c r="A707" s="73"/>
      <c r="B707" s="73"/>
      <c r="C707" s="73"/>
      <c r="D707" s="73"/>
      <c r="E707" s="73"/>
      <c r="F707" s="73"/>
      <c r="G707" s="73"/>
      <c r="H707" s="73"/>
      <c r="I707" s="73"/>
      <c r="J707" s="73"/>
      <c r="K707" s="73"/>
      <c r="L707" s="73"/>
      <c r="M707" s="73"/>
      <c r="N707" s="89"/>
      <c r="O707" s="89"/>
      <c r="P707" s="73"/>
      <c r="Q707" s="73"/>
    </row>
    <row r="708" spans="1:17" ht="12.75">
      <c r="A708" s="73"/>
      <c r="B708" s="73"/>
      <c r="C708" s="73"/>
      <c r="D708" s="73"/>
      <c r="E708" s="73"/>
      <c r="F708" s="73"/>
      <c r="G708" s="73"/>
      <c r="H708" s="73"/>
      <c r="I708" s="73"/>
      <c r="J708" s="73"/>
      <c r="K708" s="73"/>
      <c r="L708" s="73"/>
      <c r="M708" s="73"/>
      <c r="N708" s="89"/>
      <c r="O708" s="89"/>
      <c r="P708" s="73"/>
      <c r="Q708" s="73"/>
    </row>
    <row r="709" spans="1:20" ht="13.5" thickBot="1">
      <c r="A709" s="81"/>
      <c r="B709" s="82" t="s">
        <v>445</v>
      </c>
      <c r="C709" s="81"/>
      <c r="D709" s="81"/>
      <c r="E709" s="81"/>
      <c r="F709" s="81"/>
      <c r="G709" s="84">
        <f>SUM(G695:G708)</f>
        <v>48804.9</v>
      </c>
      <c r="H709" s="84">
        <f aca="true" t="shared" si="26" ref="H709:M709">SUM(H695:H708)</f>
        <v>29589.44</v>
      </c>
      <c r="I709" s="84">
        <f t="shared" si="26"/>
        <v>0</v>
      </c>
      <c r="J709" s="84">
        <f t="shared" si="26"/>
        <v>614963.556</v>
      </c>
      <c r="K709" s="84">
        <f t="shared" si="26"/>
        <v>600</v>
      </c>
      <c r="L709" s="84">
        <f t="shared" si="26"/>
        <v>0</v>
      </c>
      <c r="M709" s="84">
        <f t="shared" si="26"/>
        <v>0</v>
      </c>
      <c r="N709" s="762">
        <f>SUM(N695:N708)</f>
        <v>693957.896</v>
      </c>
      <c r="O709" s="762">
        <f>SUM(O695:O708)</f>
        <v>683824.994</v>
      </c>
      <c r="P709" s="81"/>
      <c r="Q709" s="81"/>
      <c r="R709" s="153">
        <f>+N579+N612+N678+N709</f>
        <v>709220.911</v>
      </c>
      <c r="S709" s="153">
        <f>+O579+O612+O678+O709</f>
        <v>699084.708</v>
      </c>
      <c r="T709" s="153">
        <f>+R709-S709</f>
        <v>10136.20299999998</v>
      </c>
    </row>
    <row r="710" ht="12.75">
      <c r="S710" s="153" t="e">
        <f>+'Resumen presupuesto ejecutado'!#REF!/1000</f>
        <v>#REF!</v>
      </c>
    </row>
    <row r="711" spans="1:19" ht="12.75">
      <c r="A711" s="918" t="s">
        <v>420</v>
      </c>
      <c r="B711" s="918"/>
      <c r="C711" s="918"/>
      <c r="D711" s="918"/>
      <c r="E711" s="918"/>
      <c r="F711" s="918"/>
      <c r="G711" s="918"/>
      <c r="H711" s="918"/>
      <c r="I711" s="918"/>
      <c r="J711" s="918"/>
      <c r="K711" s="918"/>
      <c r="L711" s="918"/>
      <c r="M711" s="918"/>
      <c r="N711" s="918"/>
      <c r="O711" s="918"/>
      <c r="P711" s="918"/>
      <c r="Q711" s="918"/>
      <c r="S711" s="153" t="e">
        <f>+S709-S710</f>
        <v>#REF!</v>
      </c>
    </row>
    <row r="712" spans="1:20" s="39" customFormat="1" ht="16.5" thickBot="1">
      <c r="A712" s="891" t="s">
        <v>609</v>
      </c>
      <c r="B712" s="891"/>
      <c r="C712" s="891"/>
      <c r="D712" s="891"/>
      <c r="E712" s="891"/>
      <c r="F712" s="891"/>
      <c r="G712" s="891"/>
      <c r="H712" s="891"/>
      <c r="I712" s="891"/>
      <c r="J712" s="891"/>
      <c r="K712" s="891"/>
      <c r="L712" s="891"/>
      <c r="M712" s="891"/>
      <c r="N712" s="891"/>
      <c r="O712" s="891"/>
      <c r="P712" s="891"/>
      <c r="Q712" s="891"/>
      <c r="R712" s="184"/>
      <c r="S712" s="184"/>
      <c r="T712" s="184"/>
    </row>
    <row r="713" spans="3:20" s="39" customFormat="1" ht="13.5" thickBot="1">
      <c r="C713" s="38"/>
      <c r="D713" s="38"/>
      <c r="N713" s="755"/>
      <c r="O713" s="755"/>
      <c r="P713" s="919" t="s">
        <v>210</v>
      </c>
      <c r="Q713" s="920"/>
      <c r="R713" s="184"/>
      <c r="S713" s="184"/>
      <c r="T713" s="184"/>
    </row>
    <row r="714" spans="1:17" ht="12.75">
      <c r="A714" s="917" t="s">
        <v>76</v>
      </c>
      <c r="B714" s="917"/>
      <c r="C714" s="917"/>
      <c r="D714" s="917"/>
      <c r="E714" s="917"/>
      <c r="F714" s="917"/>
      <c r="P714" s="889" t="s">
        <v>74</v>
      </c>
      <c r="Q714" s="889"/>
    </row>
    <row r="715" spans="1:17" ht="12.75">
      <c r="A715" s="917" t="s">
        <v>77</v>
      </c>
      <c r="B715" s="890"/>
      <c r="C715" s="890"/>
      <c r="D715" s="890"/>
      <c r="E715" s="890"/>
      <c r="F715" s="890"/>
      <c r="L715" s="160"/>
      <c r="P715" s="890" t="s">
        <v>124</v>
      </c>
      <c r="Q715" s="890"/>
    </row>
    <row r="716" spans="1:16" ht="12.75">
      <c r="A716" s="917" t="s">
        <v>808</v>
      </c>
      <c r="B716" s="890"/>
      <c r="C716" s="890"/>
      <c r="D716" s="890"/>
      <c r="E716" s="890"/>
      <c r="F716" s="890"/>
      <c r="G716" s="38" t="s">
        <v>72</v>
      </c>
      <c r="I716" s="41">
        <v>39083</v>
      </c>
      <c r="P716" s="38" t="s">
        <v>123</v>
      </c>
    </row>
    <row r="717" ht="12.75"/>
    <row r="718" ht="13.5" thickBot="1"/>
    <row r="719" spans="1:17" ht="13.5" thickBot="1">
      <c r="A719" s="97" t="s">
        <v>424</v>
      </c>
      <c r="B719" s="98"/>
      <c r="C719" s="98" t="s">
        <v>559</v>
      </c>
      <c r="D719" s="98"/>
      <c r="E719" s="98"/>
      <c r="F719" s="100"/>
      <c r="G719" s="880" t="s">
        <v>425</v>
      </c>
      <c r="H719" s="881"/>
      <c r="I719" s="881"/>
      <c r="J719" s="881"/>
      <c r="K719" s="881"/>
      <c r="L719" s="881"/>
      <c r="M719" s="881"/>
      <c r="N719" s="881"/>
      <c r="O719" s="882"/>
      <c r="P719" s="880" t="s">
        <v>426</v>
      </c>
      <c r="Q719" s="882"/>
    </row>
    <row r="720" spans="1:17" ht="13.5" thickBot="1">
      <c r="A720" s="101" t="s">
        <v>422</v>
      </c>
      <c r="B720" s="102"/>
      <c r="C720" s="102" t="s">
        <v>693</v>
      </c>
      <c r="D720" s="102"/>
      <c r="E720" s="102"/>
      <c r="F720" s="104"/>
      <c r="G720" s="922" t="s">
        <v>110</v>
      </c>
      <c r="H720" s="923"/>
      <c r="I720" s="923"/>
      <c r="J720" s="923"/>
      <c r="K720" s="923"/>
      <c r="L720" s="923"/>
      <c r="M720" s="923"/>
      <c r="N720" s="923"/>
      <c r="O720" s="924"/>
      <c r="P720" s="166"/>
      <c r="Q720" s="166" t="s">
        <v>233</v>
      </c>
    </row>
    <row r="721" spans="1:17" ht="13.5" thickBot="1">
      <c r="A721" s="51" t="s">
        <v>423</v>
      </c>
      <c r="B721" s="52"/>
      <c r="C721" s="52" t="s">
        <v>230</v>
      </c>
      <c r="D721" s="52"/>
      <c r="E721" s="52"/>
      <c r="F721" s="54"/>
      <c r="G721" s="925"/>
      <c r="H721" s="926"/>
      <c r="I721" s="926"/>
      <c r="J721" s="926"/>
      <c r="K721" s="926"/>
      <c r="L721" s="926"/>
      <c r="M721" s="926"/>
      <c r="N721" s="926"/>
      <c r="O721" s="927"/>
      <c r="P721" s="161"/>
      <c r="Q721" s="162"/>
    </row>
    <row r="722" spans="1:2" ht="13.5" thickBot="1">
      <c r="A722" s="38" t="s">
        <v>73</v>
      </c>
      <c r="B722" s="57"/>
    </row>
    <row r="723" spans="1:17" ht="12.75">
      <c r="A723" s="872" t="s">
        <v>431</v>
      </c>
      <c r="B723" s="873"/>
      <c r="C723" s="873"/>
      <c r="D723" s="873"/>
      <c r="E723" s="873"/>
      <c r="F723" s="874"/>
      <c r="G723" s="872" t="s">
        <v>427</v>
      </c>
      <c r="H723" s="873"/>
      <c r="I723" s="873"/>
      <c r="J723" s="873"/>
      <c r="K723" s="873"/>
      <c r="L723" s="873"/>
      <c r="M723" s="873"/>
      <c r="N723" s="873"/>
      <c r="O723" s="874"/>
      <c r="P723" s="875" t="s">
        <v>428</v>
      </c>
      <c r="Q723" s="874" t="s">
        <v>429</v>
      </c>
    </row>
    <row r="724" spans="1:17" ht="13.5" thickBot="1">
      <c r="A724" s="61"/>
      <c r="B724" s="62"/>
      <c r="C724" s="62"/>
      <c r="D724" s="62"/>
      <c r="E724" s="62"/>
      <c r="F724" s="64"/>
      <c r="G724" s="61"/>
      <c r="H724" s="62"/>
      <c r="I724" s="62"/>
      <c r="J724" s="62"/>
      <c r="K724" s="62"/>
      <c r="L724" s="62"/>
      <c r="M724" s="62"/>
      <c r="N724" s="756"/>
      <c r="O724" s="757"/>
      <c r="P724" s="876"/>
      <c r="Q724" s="877"/>
    </row>
    <row r="725" spans="1:17" ht="51.75" thickBot="1">
      <c r="A725" s="141" t="s">
        <v>430</v>
      </c>
      <c r="B725" s="90" t="s">
        <v>432</v>
      </c>
      <c r="C725" s="247" t="s">
        <v>433</v>
      </c>
      <c r="D725" s="143" t="s">
        <v>434</v>
      </c>
      <c r="E725" s="144" t="s">
        <v>435</v>
      </c>
      <c r="F725" s="145" t="s">
        <v>446</v>
      </c>
      <c r="G725" s="146" t="s">
        <v>436</v>
      </c>
      <c r="H725" s="147" t="s">
        <v>437</v>
      </c>
      <c r="I725" s="147" t="s">
        <v>438</v>
      </c>
      <c r="J725" s="147" t="s">
        <v>439</v>
      </c>
      <c r="K725" s="147" t="s">
        <v>440</v>
      </c>
      <c r="L725" s="147" t="s">
        <v>441</v>
      </c>
      <c r="M725" s="147" t="s">
        <v>442</v>
      </c>
      <c r="N725" s="779" t="s">
        <v>443</v>
      </c>
      <c r="O725" s="774" t="s">
        <v>444</v>
      </c>
      <c r="P725" s="900"/>
      <c r="Q725" s="901"/>
    </row>
    <row r="726" spans="1:17" ht="78.75">
      <c r="A726" s="116">
        <v>1</v>
      </c>
      <c r="B726" s="122" t="s">
        <v>42</v>
      </c>
      <c r="C726" s="334">
        <v>180</v>
      </c>
      <c r="D726" s="334">
        <v>180</v>
      </c>
      <c r="E726" s="149">
        <f>D726/C726</f>
        <v>1</v>
      </c>
      <c r="F726" s="149">
        <f>450/438</f>
        <v>1.0273972602739727</v>
      </c>
      <c r="G726" s="119">
        <v>44000</v>
      </c>
      <c r="H726" s="119">
        <f>44349.632+22833.145+26596.21</f>
        <v>93778.987</v>
      </c>
      <c r="I726" s="119">
        <f>520500</f>
        <v>520500</v>
      </c>
      <c r="J726" s="119"/>
      <c r="K726" s="116"/>
      <c r="L726" s="116"/>
      <c r="M726" s="116"/>
      <c r="N726" s="776">
        <f>G726+H726+I726+J726</f>
        <v>658278.987</v>
      </c>
      <c r="O726" s="776">
        <f>0+7703.856+15164.589</f>
        <v>22868.445</v>
      </c>
      <c r="P726" s="368" t="s">
        <v>367</v>
      </c>
      <c r="Q726" s="357" t="s">
        <v>742</v>
      </c>
    </row>
    <row r="727" spans="1:17" ht="82.5" customHeight="1">
      <c r="A727" s="73">
        <v>2</v>
      </c>
      <c r="B727" s="705" t="s">
        <v>619</v>
      </c>
      <c r="C727" s="111">
        <v>80</v>
      </c>
      <c r="D727" s="111">
        <v>90</v>
      </c>
      <c r="E727" s="75">
        <f>D727/C727</f>
        <v>1.125</v>
      </c>
      <c r="F727" s="75">
        <f>450/438</f>
        <v>1.0273972602739727</v>
      </c>
      <c r="G727" s="95">
        <v>29000</v>
      </c>
      <c r="H727" s="119">
        <v>2000</v>
      </c>
      <c r="I727" s="119"/>
      <c r="J727" s="119"/>
      <c r="K727" s="73"/>
      <c r="L727" s="73"/>
      <c r="M727" s="73"/>
      <c r="N727" s="776">
        <f>G727+H727+I727+J727</f>
        <v>31000</v>
      </c>
      <c r="O727" s="765">
        <f>28995.196+1988</f>
        <v>30983.196</v>
      </c>
      <c r="P727" s="369" t="s">
        <v>367</v>
      </c>
      <c r="Q727" s="313"/>
    </row>
    <row r="728" spans="1:17" ht="38.25">
      <c r="A728" s="73">
        <v>3</v>
      </c>
      <c r="B728" s="74" t="s">
        <v>235</v>
      </c>
      <c r="C728" s="111">
        <v>5</v>
      </c>
      <c r="D728" s="111">
        <v>5</v>
      </c>
      <c r="E728" s="75">
        <f>D728/C728</f>
        <v>1</v>
      </c>
      <c r="F728" s="75">
        <f>450/438</f>
        <v>1.0273972602739727</v>
      </c>
      <c r="G728" s="119">
        <v>5000</v>
      </c>
      <c r="H728" s="119"/>
      <c r="I728" s="119"/>
      <c r="J728" s="119"/>
      <c r="K728" s="73"/>
      <c r="L728" s="73"/>
      <c r="M728" s="73"/>
      <c r="N728" s="776">
        <f>G728+H728+I728+J728</f>
        <v>5000</v>
      </c>
      <c r="O728" s="765">
        <v>5000</v>
      </c>
      <c r="P728" s="353" t="s">
        <v>371</v>
      </c>
      <c r="Q728" s="313"/>
    </row>
    <row r="729" spans="1:17" ht="63.75">
      <c r="A729" s="73">
        <v>4</v>
      </c>
      <c r="B729" s="74" t="s">
        <v>770</v>
      </c>
      <c r="C729" s="111">
        <v>94</v>
      </c>
      <c r="D729" s="111">
        <v>94</v>
      </c>
      <c r="E729" s="75">
        <f>D729/C729</f>
        <v>1</v>
      </c>
      <c r="F729" s="75">
        <f>450/438</f>
        <v>1.0273972602739727</v>
      </c>
      <c r="G729" s="151">
        <f>37642.272+2367+3000+3050+10000+6950</f>
        <v>63009.272</v>
      </c>
      <c r="H729" s="95">
        <f>24306.238+1000</f>
        <v>25306.238</v>
      </c>
      <c r="I729" s="151">
        <f>82172.816+71894.503+49177.5</f>
        <v>203244.81900000002</v>
      </c>
      <c r="J729" s="73"/>
      <c r="K729" s="73"/>
      <c r="L729" s="73"/>
      <c r="M729" s="73"/>
      <c r="N729" s="776">
        <f>G729+H729+I729+J729</f>
        <v>291560.329</v>
      </c>
      <c r="O729" s="765">
        <f>40009.272-0.3+2999.75+37356.238+82172.816+71874.24+49177.495+7947.76</f>
        <v>291537.271</v>
      </c>
      <c r="P729" s="369" t="s">
        <v>367</v>
      </c>
      <c r="Q729" s="313"/>
    </row>
    <row r="730" spans="1:17" ht="63.75">
      <c r="A730" s="73">
        <v>5</v>
      </c>
      <c r="B730" s="74" t="s">
        <v>618</v>
      </c>
      <c r="C730" s="111">
        <v>10</v>
      </c>
      <c r="D730" s="111">
        <v>10</v>
      </c>
      <c r="E730" s="75">
        <f>D730/C730</f>
        <v>1</v>
      </c>
      <c r="F730" s="75">
        <f>450/438</f>
        <v>1.0273972602739727</v>
      </c>
      <c r="G730" s="119">
        <v>2000</v>
      </c>
      <c r="H730" s="95">
        <f>1000+2000+2500</f>
        <v>5500</v>
      </c>
      <c r="I730" s="73"/>
      <c r="J730" s="73"/>
      <c r="K730" s="73"/>
      <c r="L730" s="73"/>
      <c r="M730" s="73"/>
      <c r="N730" s="776">
        <f>G730+H730+I730+J730</f>
        <v>7500</v>
      </c>
      <c r="O730" s="761">
        <f>3000+871+2107</f>
        <v>5978</v>
      </c>
      <c r="P730" s="369" t="s">
        <v>367</v>
      </c>
      <c r="Q730" s="73"/>
    </row>
    <row r="731" spans="1:17" ht="12.75">
      <c r="A731" s="73"/>
      <c r="B731" s="73"/>
      <c r="C731" s="73"/>
      <c r="D731" s="73"/>
      <c r="E731" s="73"/>
      <c r="F731" s="73"/>
      <c r="G731" s="73"/>
      <c r="H731" s="73"/>
      <c r="I731" s="73"/>
      <c r="J731" s="73"/>
      <c r="K731" s="73"/>
      <c r="L731" s="73"/>
      <c r="M731" s="73"/>
      <c r="N731" s="89"/>
      <c r="O731" s="89"/>
      <c r="P731" s="73"/>
      <c r="Q731" s="73"/>
    </row>
    <row r="732" spans="1:17" ht="12.75">
      <c r="A732" s="73"/>
      <c r="B732" s="73"/>
      <c r="C732" s="73"/>
      <c r="D732" s="73"/>
      <c r="E732" s="73"/>
      <c r="F732" s="73"/>
      <c r="G732" s="73"/>
      <c r="H732" s="73"/>
      <c r="I732" s="73"/>
      <c r="J732" s="73"/>
      <c r="K732" s="73"/>
      <c r="L732" s="73"/>
      <c r="M732" s="73"/>
      <c r="N732" s="89"/>
      <c r="O732" s="89"/>
      <c r="P732" s="73"/>
      <c r="Q732" s="73"/>
    </row>
    <row r="733" spans="1:17" ht="12.75">
      <c r="A733" s="73"/>
      <c r="B733" s="73"/>
      <c r="C733" s="73"/>
      <c r="D733" s="73"/>
      <c r="E733" s="73"/>
      <c r="F733" s="73"/>
      <c r="G733" s="73"/>
      <c r="H733" s="73"/>
      <c r="I733" s="73"/>
      <c r="J733" s="73"/>
      <c r="K733" s="73"/>
      <c r="L733" s="73"/>
      <c r="M733" s="73"/>
      <c r="N733" s="89"/>
      <c r="O733" s="89"/>
      <c r="P733" s="73"/>
      <c r="Q733" s="73"/>
    </row>
    <row r="734" spans="1:17" ht="13.5" thickBot="1">
      <c r="A734" s="81"/>
      <c r="B734" s="82" t="s">
        <v>445</v>
      </c>
      <c r="C734" s="81"/>
      <c r="D734" s="81"/>
      <c r="E734" s="81"/>
      <c r="F734" s="81"/>
      <c r="G734" s="120">
        <f aca="true" t="shared" si="27" ref="G734:M734">SUM(G726:G733)</f>
        <v>143009.272</v>
      </c>
      <c r="H734" s="120">
        <f t="shared" si="27"/>
        <v>126585.22499999999</v>
      </c>
      <c r="I734" s="120">
        <f t="shared" si="27"/>
        <v>723744.819</v>
      </c>
      <c r="J734" s="120">
        <f t="shared" si="27"/>
        <v>0</v>
      </c>
      <c r="K734" s="120">
        <f t="shared" si="27"/>
        <v>0</v>
      </c>
      <c r="L734" s="120">
        <f t="shared" si="27"/>
        <v>0</v>
      </c>
      <c r="M734" s="120">
        <f t="shared" si="27"/>
        <v>0</v>
      </c>
      <c r="N734" s="762">
        <f>SUM(N726:N733)</f>
        <v>993339.316</v>
      </c>
      <c r="O734" s="762">
        <f>SUM(O726:O733)</f>
        <v>356366.912</v>
      </c>
      <c r="P734" s="81"/>
      <c r="Q734" s="81"/>
    </row>
    <row r="735" ht="12.75">
      <c r="P735" s="153"/>
    </row>
    <row r="736" spans="1:17" ht="12.75">
      <c r="A736" s="918" t="s">
        <v>420</v>
      </c>
      <c r="B736" s="918"/>
      <c r="C736" s="918"/>
      <c r="D736" s="918"/>
      <c r="E736" s="918"/>
      <c r="F736" s="918"/>
      <c r="G736" s="918"/>
      <c r="H736" s="918"/>
      <c r="I736" s="918"/>
      <c r="J736" s="918"/>
      <c r="K736" s="918"/>
      <c r="L736" s="918"/>
      <c r="M736" s="918"/>
      <c r="N736" s="918"/>
      <c r="O736" s="918"/>
      <c r="P736" s="918"/>
      <c r="Q736" s="918"/>
    </row>
    <row r="737" spans="1:20" s="39" customFormat="1" ht="16.5" thickBot="1">
      <c r="A737" s="891" t="s">
        <v>609</v>
      </c>
      <c r="B737" s="891"/>
      <c r="C737" s="891"/>
      <c r="D737" s="891"/>
      <c r="E737" s="891"/>
      <c r="F737" s="891"/>
      <c r="G737" s="891"/>
      <c r="H737" s="891"/>
      <c r="I737" s="891"/>
      <c r="J737" s="891"/>
      <c r="K737" s="891"/>
      <c r="L737" s="891"/>
      <c r="M737" s="891"/>
      <c r="N737" s="891"/>
      <c r="O737" s="891"/>
      <c r="P737" s="891"/>
      <c r="Q737" s="891"/>
      <c r="R737" s="184"/>
      <c r="S737" s="184"/>
      <c r="T737" s="184"/>
    </row>
    <row r="738" spans="3:20" s="39" customFormat="1" ht="13.5" thickBot="1">
      <c r="C738" s="38"/>
      <c r="D738" s="38"/>
      <c r="N738" s="755"/>
      <c r="O738" s="755"/>
      <c r="P738" s="919" t="s">
        <v>211</v>
      </c>
      <c r="Q738" s="920"/>
      <c r="R738" s="184"/>
      <c r="S738" s="184"/>
      <c r="T738" s="184"/>
    </row>
    <row r="739" spans="1:17" ht="12.75">
      <c r="A739" s="917" t="s">
        <v>76</v>
      </c>
      <c r="B739" s="917"/>
      <c r="C739" s="917"/>
      <c r="D739" s="917"/>
      <c r="E739" s="917"/>
      <c r="F739" s="917"/>
      <c r="P739" s="889" t="s">
        <v>74</v>
      </c>
      <c r="Q739" s="889"/>
    </row>
    <row r="740" spans="1:17" ht="12.75">
      <c r="A740" s="917" t="s">
        <v>77</v>
      </c>
      <c r="B740" s="890"/>
      <c r="C740" s="890"/>
      <c r="D740" s="890"/>
      <c r="E740" s="890"/>
      <c r="F740" s="890"/>
      <c r="L740" s="160"/>
      <c r="P740" s="890" t="s">
        <v>124</v>
      </c>
      <c r="Q740" s="890"/>
    </row>
    <row r="741" spans="1:16" ht="12.75">
      <c r="A741" s="917" t="s">
        <v>808</v>
      </c>
      <c r="B741" s="890"/>
      <c r="C741" s="890"/>
      <c r="D741" s="890"/>
      <c r="E741" s="890"/>
      <c r="F741" s="890"/>
      <c r="G741" s="38" t="s">
        <v>72</v>
      </c>
      <c r="I741" s="41">
        <v>39083</v>
      </c>
      <c r="P741" s="38" t="s">
        <v>123</v>
      </c>
    </row>
    <row r="742" ht="12.75"/>
    <row r="743" ht="13.5" thickBot="1"/>
    <row r="744" spans="1:17" ht="13.5" thickBot="1">
      <c r="A744" s="97" t="s">
        <v>424</v>
      </c>
      <c r="B744" s="98"/>
      <c r="C744" s="98" t="s">
        <v>559</v>
      </c>
      <c r="D744" s="98"/>
      <c r="E744" s="98"/>
      <c r="F744" s="100"/>
      <c r="G744" s="880" t="s">
        <v>425</v>
      </c>
      <c r="H744" s="881"/>
      <c r="I744" s="881"/>
      <c r="J744" s="881"/>
      <c r="K744" s="881"/>
      <c r="L744" s="881"/>
      <c r="M744" s="881"/>
      <c r="N744" s="881"/>
      <c r="O744" s="881"/>
      <c r="P744" s="880" t="s">
        <v>426</v>
      </c>
      <c r="Q744" s="882"/>
    </row>
    <row r="745" spans="1:17" ht="33.75" customHeight="1">
      <c r="A745" s="101" t="s">
        <v>422</v>
      </c>
      <c r="B745" s="102"/>
      <c r="C745" s="102" t="s">
        <v>693</v>
      </c>
      <c r="D745" s="102"/>
      <c r="E745" s="102"/>
      <c r="F745" s="104"/>
      <c r="G745" s="883" t="s">
        <v>462</v>
      </c>
      <c r="H745" s="884"/>
      <c r="I745" s="884"/>
      <c r="J745" s="884"/>
      <c r="K745" s="884"/>
      <c r="L745" s="884"/>
      <c r="M745" s="884"/>
      <c r="N745" s="884"/>
      <c r="O745" s="884"/>
      <c r="P745" s="165"/>
      <c r="Q745" s="157" t="s">
        <v>244</v>
      </c>
    </row>
    <row r="746" spans="1:17" ht="23.25" customHeight="1" thickBot="1">
      <c r="A746" s="51" t="s">
        <v>423</v>
      </c>
      <c r="B746" s="52"/>
      <c r="C746" s="52" t="s">
        <v>216</v>
      </c>
      <c r="D746" s="52"/>
      <c r="E746" s="52"/>
      <c r="F746" s="54"/>
      <c r="G746" s="886"/>
      <c r="H746" s="887"/>
      <c r="I746" s="887"/>
      <c r="J746" s="887"/>
      <c r="K746" s="887"/>
      <c r="L746" s="887"/>
      <c r="M746" s="887"/>
      <c r="N746" s="887"/>
      <c r="O746" s="887"/>
      <c r="P746" s="161"/>
      <c r="Q746" s="162"/>
    </row>
    <row r="747" spans="1:2" ht="13.5" thickBot="1">
      <c r="A747" s="38" t="s">
        <v>73</v>
      </c>
      <c r="B747" s="57"/>
    </row>
    <row r="748" spans="1:17" ht="12.75">
      <c r="A748" s="872" t="s">
        <v>431</v>
      </c>
      <c r="B748" s="873"/>
      <c r="C748" s="873"/>
      <c r="D748" s="873"/>
      <c r="E748" s="873"/>
      <c r="F748" s="874"/>
      <c r="G748" s="872" t="s">
        <v>427</v>
      </c>
      <c r="H748" s="873"/>
      <c r="I748" s="873"/>
      <c r="J748" s="873"/>
      <c r="K748" s="873"/>
      <c r="L748" s="873"/>
      <c r="M748" s="873"/>
      <c r="N748" s="873"/>
      <c r="O748" s="874"/>
      <c r="P748" s="875" t="s">
        <v>428</v>
      </c>
      <c r="Q748" s="874" t="s">
        <v>429</v>
      </c>
    </row>
    <row r="749" spans="1:17" ht="13.5" thickBot="1">
      <c r="A749" s="61"/>
      <c r="B749" s="62"/>
      <c r="C749" s="62"/>
      <c r="D749" s="62"/>
      <c r="E749" s="62"/>
      <c r="F749" s="64"/>
      <c r="G749" s="61"/>
      <c r="H749" s="62"/>
      <c r="I749" s="62"/>
      <c r="J749" s="62"/>
      <c r="K749" s="62"/>
      <c r="L749" s="62"/>
      <c r="M749" s="62"/>
      <c r="N749" s="756"/>
      <c r="O749" s="757"/>
      <c r="P749" s="876"/>
      <c r="Q749" s="877"/>
    </row>
    <row r="750" spans="1:17" ht="51.75" thickBot="1">
      <c r="A750" s="35" t="s">
        <v>430</v>
      </c>
      <c r="B750" s="90" t="s">
        <v>432</v>
      </c>
      <c r="C750" s="154" t="s">
        <v>433</v>
      </c>
      <c r="D750" s="138" t="s">
        <v>434</v>
      </c>
      <c r="E750" s="37" t="s">
        <v>435</v>
      </c>
      <c r="F750" s="36" t="s">
        <v>446</v>
      </c>
      <c r="G750" s="67" t="s">
        <v>436</v>
      </c>
      <c r="H750" s="68" t="s">
        <v>437</v>
      </c>
      <c r="I750" s="68" t="s">
        <v>438</v>
      </c>
      <c r="J750" s="68" t="s">
        <v>439</v>
      </c>
      <c r="K750" s="68" t="s">
        <v>440</v>
      </c>
      <c r="L750" s="68" t="s">
        <v>441</v>
      </c>
      <c r="M750" s="68" t="s">
        <v>442</v>
      </c>
      <c r="N750" s="758" t="s">
        <v>443</v>
      </c>
      <c r="O750" s="759" t="s">
        <v>444</v>
      </c>
      <c r="P750" s="876"/>
      <c r="Q750" s="877"/>
    </row>
    <row r="751" spans="1:17" ht="42.75" customHeight="1">
      <c r="A751" s="105">
        <v>1</v>
      </c>
      <c r="B751" s="123" t="s">
        <v>771</v>
      </c>
      <c r="C751" s="249">
        <v>11770</v>
      </c>
      <c r="D751" s="249">
        <v>11770</v>
      </c>
      <c r="E751" s="93">
        <f>D751/C751</f>
        <v>1</v>
      </c>
      <c r="F751" s="71">
        <f>11793/540</f>
        <v>21.83888888888889</v>
      </c>
      <c r="G751" s="159">
        <v>5357.728</v>
      </c>
      <c r="H751" s="69"/>
      <c r="I751" s="159"/>
      <c r="J751" s="159"/>
      <c r="K751" s="69"/>
      <c r="L751" s="69"/>
      <c r="M751" s="69"/>
      <c r="N751" s="777">
        <f>G751+I751+J751</f>
        <v>5357.728</v>
      </c>
      <c r="O751" s="777">
        <v>5357.728</v>
      </c>
      <c r="P751" s="347" t="s">
        <v>372</v>
      </c>
      <c r="Q751" s="69"/>
    </row>
    <row r="752" spans="1:17" ht="50.25" customHeight="1">
      <c r="A752" s="73"/>
      <c r="B752" s="74"/>
      <c r="C752" s="111"/>
      <c r="D752" s="111"/>
      <c r="E752" s="75"/>
      <c r="F752" s="73"/>
      <c r="G752" s="151"/>
      <c r="H752" s="73"/>
      <c r="I752" s="73"/>
      <c r="J752" s="73"/>
      <c r="K752" s="73"/>
      <c r="L752" s="73"/>
      <c r="M752" s="73"/>
      <c r="N752" s="767"/>
      <c r="O752" s="767"/>
      <c r="P752" s="73"/>
      <c r="Q752" s="163"/>
    </row>
    <row r="753" spans="1:17" ht="12.75">
      <c r="A753" s="73"/>
      <c r="B753" s="123"/>
      <c r="C753" s="111"/>
      <c r="D753" s="73"/>
      <c r="E753" s="73"/>
      <c r="F753" s="73"/>
      <c r="G753" s="73"/>
      <c r="H753" s="73"/>
      <c r="I753" s="73"/>
      <c r="J753" s="73"/>
      <c r="K753" s="73"/>
      <c r="L753" s="73"/>
      <c r="M753" s="73"/>
      <c r="N753" s="89"/>
      <c r="O753" s="89"/>
      <c r="P753" s="73"/>
      <c r="Q753" s="73"/>
    </row>
    <row r="754" spans="1:17" ht="12.75">
      <c r="A754" s="73"/>
      <c r="B754" s="74"/>
      <c r="C754" s="111"/>
      <c r="D754" s="73"/>
      <c r="E754" s="73"/>
      <c r="F754" s="73"/>
      <c r="G754" s="73"/>
      <c r="H754" s="73"/>
      <c r="I754" s="73"/>
      <c r="J754" s="73"/>
      <c r="K754" s="73"/>
      <c r="L754" s="73"/>
      <c r="M754" s="73"/>
      <c r="N754" s="89"/>
      <c r="O754" s="89"/>
      <c r="P754" s="73"/>
      <c r="Q754" s="73"/>
    </row>
    <row r="755" spans="1:17" ht="12.75">
      <c r="A755" s="73"/>
      <c r="B755" s="74"/>
      <c r="C755" s="111"/>
      <c r="D755" s="73"/>
      <c r="E755" s="73"/>
      <c r="F755" s="73"/>
      <c r="G755" s="73"/>
      <c r="H755" s="73"/>
      <c r="I755" s="73"/>
      <c r="J755" s="73"/>
      <c r="K755" s="73"/>
      <c r="L755" s="73"/>
      <c r="M755" s="73"/>
      <c r="N755" s="89"/>
      <c r="O755" s="89"/>
      <c r="P755" s="73"/>
      <c r="Q755" s="73"/>
    </row>
    <row r="756" spans="1:17" ht="12.75">
      <c r="A756" s="73"/>
      <c r="B756" s="74"/>
      <c r="C756" s="111"/>
      <c r="D756" s="73"/>
      <c r="E756" s="73"/>
      <c r="F756" s="73"/>
      <c r="G756" s="73"/>
      <c r="H756" s="73"/>
      <c r="I756" s="73"/>
      <c r="J756" s="73"/>
      <c r="K756" s="73"/>
      <c r="L756" s="73"/>
      <c r="M756" s="73"/>
      <c r="N756" s="89"/>
      <c r="O756" s="89"/>
      <c r="P756" s="73"/>
      <c r="Q756" s="73"/>
    </row>
    <row r="757" spans="1:17" ht="12.75">
      <c r="A757" s="73"/>
      <c r="B757" s="74"/>
      <c r="C757" s="73"/>
      <c r="D757" s="73"/>
      <c r="E757" s="73"/>
      <c r="F757" s="73"/>
      <c r="G757" s="73"/>
      <c r="H757" s="73"/>
      <c r="I757" s="73"/>
      <c r="J757" s="73"/>
      <c r="K757" s="73"/>
      <c r="L757" s="73"/>
      <c r="M757" s="73"/>
      <c r="N757" s="89"/>
      <c r="O757" s="89"/>
      <c r="P757" s="73"/>
      <c r="Q757" s="73"/>
    </row>
    <row r="758" spans="1:17" ht="12.75">
      <c r="A758" s="73"/>
      <c r="B758" s="73"/>
      <c r="C758" s="73"/>
      <c r="D758" s="73"/>
      <c r="E758" s="73"/>
      <c r="F758" s="73"/>
      <c r="G758" s="73"/>
      <c r="H758" s="73"/>
      <c r="I758" s="73"/>
      <c r="J758" s="73"/>
      <c r="K758" s="73"/>
      <c r="L758" s="73"/>
      <c r="M758" s="73"/>
      <c r="N758" s="89"/>
      <c r="O758" s="89"/>
      <c r="P758" s="73"/>
      <c r="Q758" s="73"/>
    </row>
    <row r="759" spans="1:17" ht="12.75">
      <c r="A759" s="73"/>
      <c r="B759" s="73"/>
      <c r="C759" s="73"/>
      <c r="D759" s="73"/>
      <c r="E759" s="73"/>
      <c r="F759" s="73"/>
      <c r="G759" s="73"/>
      <c r="H759" s="73"/>
      <c r="I759" s="73"/>
      <c r="J759" s="73"/>
      <c r="K759" s="73"/>
      <c r="L759" s="73"/>
      <c r="M759" s="73"/>
      <c r="N759" s="89"/>
      <c r="O759" s="89"/>
      <c r="P759" s="73"/>
      <c r="Q759" s="73"/>
    </row>
    <row r="760" spans="1:17" ht="12.75">
      <c r="A760" s="73"/>
      <c r="B760" s="73"/>
      <c r="C760" s="73"/>
      <c r="D760" s="73"/>
      <c r="E760" s="73"/>
      <c r="F760" s="73"/>
      <c r="G760" s="73"/>
      <c r="H760" s="73"/>
      <c r="I760" s="73"/>
      <c r="J760" s="73"/>
      <c r="K760" s="73"/>
      <c r="L760" s="73"/>
      <c r="M760" s="73"/>
      <c r="N760" s="89"/>
      <c r="O760" s="89"/>
      <c r="P760" s="73"/>
      <c r="Q760" s="73"/>
    </row>
    <row r="761" spans="1:17" ht="12.75">
      <c r="A761" s="73"/>
      <c r="B761" s="73"/>
      <c r="C761" s="73"/>
      <c r="D761" s="73"/>
      <c r="E761" s="73"/>
      <c r="F761" s="73"/>
      <c r="G761" s="73"/>
      <c r="H761" s="73"/>
      <c r="I761" s="73"/>
      <c r="J761" s="73"/>
      <c r="K761" s="73"/>
      <c r="L761" s="73"/>
      <c r="M761" s="73"/>
      <c r="N761" s="89"/>
      <c r="O761" s="89"/>
      <c r="P761" s="73"/>
      <c r="Q761" s="73"/>
    </row>
    <row r="762" spans="1:17" ht="12.75">
      <c r="A762" s="73"/>
      <c r="B762" s="73"/>
      <c r="C762" s="73"/>
      <c r="D762" s="73"/>
      <c r="E762" s="73"/>
      <c r="F762" s="73"/>
      <c r="G762" s="73"/>
      <c r="H762" s="73"/>
      <c r="I762" s="73"/>
      <c r="J762" s="73"/>
      <c r="K762" s="73"/>
      <c r="L762" s="73"/>
      <c r="M762" s="73"/>
      <c r="N762" s="89"/>
      <c r="O762" s="89"/>
      <c r="P762" s="73"/>
      <c r="Q762" s="73"/>
    </row>
    <row r="763" spans="1:17" ht="12.75">
      <c r="A763" s="73"/>
      <c r="B763" s="73"/>
      <c r="C763" s="73"/>
      <c r="D763" s="73"/>
      <c r="E763" s="73"/>
      <c r="F763" s="73"/>
      <c r="G763" s="73"/>
      <c r="H763" s="73"/>
      <c r="I763" s="73"/>
      <c r="J763" s="73"/>
      <c r="K763" s="73"/>
      <c r="L763" s="73"/>
      <c r="M763" s="73"/>
      <c r="N763" s="89"/>
      <c r="O763" s="89"/>
      <c r="P763" s="73"/>
      <c r="Q763" s="73"/>
    </row>
    <row r="764" spans="1:17" ht="12.75">
      <c r="A764" s="73"/>
      <c r="B764" s="73"/>
      <c r="C764" s="73"/>
      <c r="D764" s="73"/>
      <c r="E764" s="73"/>
      <c r="F764" s="73"/>
      <c r="G764" s="73"/>
      <c r="H764" s="73"/>
      <c r="I764" s="73"/>
      <c r="J764" s="73"/>
      <c r="K764" s="73"/>
      <c r="L764" s="73"/>
      <c r="M764" s="73"/>
      <c r="N764" s="89"/>
      <c r="O764" s="89"/>
      <c r="P764" s="73"/>
      <c r="Q764" s="73"/>
    </row>
    <row r="765" spans="1:17" ht="12.75">
      <c r="A765" s="73"/>
      <c r="B765" s="73"/>
      <c r="C765" s="73"/>
      <c r="D765" s="73"/>
      <c r="E765" s="73"/>
      <c r="F765" s="73"/>
      <c r="G765" s="73"/>
      <c r="H765" s="73"/>
      <c r="I765" s="73"/>
      <c r="J765" s="73"/>
      <c r="K765" s="73"/>
      <c r="L765" s="73"/>
      <c r="M765" s="73"/>
      <c r="N765" s="89"/>
      <c r="O765" s="89"/>
      <c r="P765" s="73"/>
      <c r="Q765" s="73"/>
    </row>
    <row r="766" spans="1:17" ht="12.75">
      <c r="A766" s="73"/>
      <c r="B766" s="73"/>
      <c r="C766" s="73"/>
      <c r="D766" s="73"/>
      <c r="E766" s="73"/>
      <c r="F766" s="73"/>
      <c r="G766" s="73"/>
      <c r="H766" s="73"/>
      <c r="I766" s="73"/>
      <c r="J766" s="73"/>
      <c r="K766" s="73"/>
      <c r="L766" s="73"/>
      <c r="M766" s="73"/>
      <c r="N766" s="89"/>
      <c r="O766" s="89"/>
      <c r="P766" s="73"/>
      <c r="Q766" s="73"/>
    </row>
    <row r="767" spans="1:19" ht="13.5" thickBot="1">
      <c r="A767" s="81"/>
      <c r="B767" s="82" t="s">
        <v>445</v>
      </c>
      <c r="C767" s="81"/>
      <c r="D767" s="81"/>
      <c r="E767" s="81"/>
      <c r="F767" s="81"/>
      <c r="G767" s="152">
        <f>SUM(G751:G766)</f>
        <v>5357.728</v>
      </c>
      <c r="H767" s="152">
        <f aca="true" t="shared" si="28" ref="H767:O767">SUM(H751:H766)</f>
        <v>0</v>
      </c>
      <c r="I767" s="152">
        <f t="shared" si="28"/>
        <v>0</v>
      </c>
      <c r="J767" s="152">
        <f t="shared" si="28"/>
        <v>0</v>
      </c>
      <c r="K767" s="152">
        <f t="shared" si="28"/>
        <v>0</v>
      </c>
      <c r="L767" s="152">
        <f t="shared" si="28"/>
        <v>0</v>
      </c>
      <c r="M767" s="152">
        <f t="shared" si="28"/>
        <v>0</v>
      </c>
      <c r="N767" s="762">
        <f>SUM(N751:N766)</f>
        <v>5357.728</v>
      </c>
      <c r="O767" s="762">
        <f t="shared" si="28"/>
        <v>5357.728</v>
      </c>
      <c r="P767" s="81"/>
      <c r="Q767" s="81"/>
      <c r="R767" s="153">
        <f>+N767+N734</f>
        <v>998697.044</v>
      </c>
      <c r="S767" s="153">
        <f>+O767+O734</f>
        <v>361724.64</v>
      </c>
    </row>
    <row r="768" ht="12.75" hidden="1"/>
    <row r="769" spans="1:17" ht="12.75" hidden="1">
      <c r="A769" s="918" t="s">
        <v>420</v>
      </c>
      <c r="B769" s="918"/>
      <c r="C769" s="918"/>
      <c r="D769" s="918"/>
      <c r="E769" s="918"/>
      <c r="F769" s="918"/>
      <c r="G769" s="918"/>
      <c r="H769" s="918"/>
      <c r="I769" s="918"/>
      <c r="J769" s="918"/>
      <c r="K769" s="918"/>
      <c r="L769" s="918"/>
      <c r="M769" s="918"/>
      <c r="N769" s="918"/>
      <c r="O769" s="918"/>
      <c r="P769" s="918"/>
      <c r="Q769" s="918"/>
    </row>
    <row r="770" spans="1:20" s="39" customFormat="1" ht="16.5" hidden="1" thickBot="1">
      <c r="A770" s="891" t="s">
        <v>629</v>
      </c>
      <c r="B770" s="891"/>
      <c r="C770" s="891"/>
      <c r="D770" s="891"/>
      <c r="E770" s="891"/>
      <c r="F770" s="891"/>
      <c r="G770" s="891"/>
      <c r="H770" s="891"/>
      <c r="I770" s="891"/>
      <c r="J770" s="891"/>
      <c r="K770" s="891"/>
      <c r="L770" s="891"/>
      <c r="M770" s="891"/>
      <c r="N770" s="891"/>
      <c r="O770" s="891"/>
      <c r="P770" s="891"/>
      <c r="Q770" s="891"/>
      <c r="R770" s="184"/>
      <c r="S770" s="184"/>
      <c r="T770" s="184"/>
    </row>
    <row r="771" spans="3:20" s="39" customFormat="1" ht="13.5" hidden="1" thickBot="1">
      <c r="C771" s="38"/>
      <c r="D771" s="38"/>
      <c r="N771" s="755"/>
      <c r="O771" s="755"/>
      <c r="P771" s="919" t="s">
        <v>689</v>
      </c>
      <c r="Q771" s="920"/>
      <c r="R771" s="184"/>
      <c r="S771" s="184"/>
      <c r="T771" s="184"/>
    </row>
    <row r="772" spans="1:17" ht="12.75" hidden="1">
      <c r="A772" s="917" t="s">
        <v>76</v>
      </c>
      <c r="B772" s="917"/>
      <c r="C772" s="917"/>
      <c r="D772" s="917"/>
      <c r="E772" s="917"/>
      <c r="F772" s="917"/>
      <c r="P772" s="889" t="s">
        <v>74</v>
      </c>
      <c r="Q772" s="889"/>
    </row>
    <row r="773" spans="1:17" ht="12.75" hidden="1">
      <c r="A773" s="917" t="s">
        <v>77</v>
      </c>
      <c r="B773" s="890"/>
      <c r="C773" s="890"/>
      <c r="D773" s="890"/>
      <c r="E773" s="890"/>
      <c r="F773" s="890"/>
      <c r="L773" s="160"/>
      <c r="P773" s="890" t="s">
        <v>245</v>
      </c>
      <c r="Q773" s="890"/>
    </row>
    <row r="774" spans="1:16" ht="12.75" hidden="1">
      <c r="A774" s="917" t="s">
        <v>808</v>
      </c>
      <c r="B774" s="890"/>
      <c r="C774" s="890"/>
      <c r="D774" s="890"/>
      <c r="E774" s="890"/>
      <c r="F774" s="890"/>
      <c r="G774" s="38" t="s">
        <v>72</v>
      </c>
      <c r="I774" s="41">
        <v>38534</v>
      </c>
      <c r="P774" s="38" t="s">
        <v>246</v>
      </c>
    </row>
    <row r="775" ht="12.75" hidden="1"/>
    <row r="776" ht="13.5" hidden="1" thickBot="1"/>
    <row r="777" spans="1:17" ht="13.5" hidden="1" thickBot="1">
      <c r="A777" s="97" t="s">
        <v>424</v>
      </c>
      <c r="B777" s="98"/>
      <c r="C777" s="98" t="s">
        <v>559</v>
      </c>
      <c r="D777" s="98"/>
      <c r="E777" s="98"/>
      <c r="F777" s="100"/>
      <c r="G777" s="880" t="s">
        <v>425</v>
      </c>
      <c r="H777" s="881"/>
      <c r="I777" s="881"/>
      <c r="J777" s="881"/>
      <c r="K777" s="881"/>
      <c r="L777" s="881"/>
      <c r="M777" s="881"/>
      <c r="N777" s="881"/>
      <c r="O777" s="881"/>
      <c r="P777" s="880" t="s">
        <v>426</v>
      </c>
      <c r="Q777" s="882"/>
    </row>
    <row r="778" spans="1:17" ht="26.25" customHeight="1" hidden="1">
      <c r="A778" s="101" t="s">
        <v>422</v>
      </c>
      <c r="B778" s="102"/>
      <c r="C778" s="102" t="s">
        <v>693</v>
      </c>
      <c r="D778" s="102"/>
      <c r="E778" s="102"/>
      <c r="F778" s="104"/>
      <c r="G778" s="902" t="s">
        <v>51</v>
      </c>
      <c r="H778" s="903"/>
      <c r="I778" s="903"/>
      <c r="J778" s="903"/>
      <c r="K778" s="903"/>
      <c r="L778" s="903"/>
      <c r="M778" s="903"/>
      <c r="N778" s="903"/>
      <c r="O778" s="904"/>
      <c r="P778" s="165"/>
      <c r="Q778" s="157" t="s">
        <v>52</v>
      </c>
    </row>
    <row r="779" spans="1:17" ht="13.5" hidden="1" thickBot="1">
      <c r="A779" s="51" t="s">
        <v>423</v>
      </c>
      <c r="B779" s="52"/>
      <c r="C779" s="52" t="s">
        <v>690</v>
      </c>
      <c r="D779" s="52"/>
      <c r="E779" s="52"/>
      <c r="F779" s="54"/>
      <c r="G779" s="905"/>
      <c r="H779" s="906"/>
      <c r="I779" s="906"/>
      <c r="J779" s="906"/>
      <c r="K779" s="906"/>
      <c r="L779" s="906"/>
      <c r="M779" s="906"/>
      <c r="N779" s="906"/>
      <c r="O779" s="907"/>
      <c r="P779" s="161"/>
      <c r="Q779" s="162"/>
    </row>
    <row r="780" spans="1:2" ht="13.5" hidden="1" thickBot="1">
      <c r="A780" s="38" t="s">
        <v>73</v>
      </c>
      <c r="B780" s="57"/>
    </row>
    <row r="781" spans="1:17" ht="12.75" hidden="1">
      <c r="A781" s="872" t="s">
        <v>431</v>
      </c>
      <c r="B781" s="873"/>
      <c r="C781" s="873"/>
      <c r="D781" s="873"/>
      <c r="E781" s="873"/>
      <c r="F781" s="874"/>
      <c r="G781" s="872" t="s">
        <v>427</v>
      </c>
      <c r="H781" s="873"/>
      <c r="I781" s="873"/>
      <c r="J781" s="873"/>
      <c r="K781" s="873"/>
      <c r="L781" s="873"/>
      <c r="M781" s="873"/>
      <c r="N781" s="873"/>
      <c r="O781" s="874"/>
      <c r="P781" s="875" t="s">
        <v>428</v>
      </c>
      <c r="Q781" s="874" t="s">
        <v>429</v>
      </c>
    </row>
    <row r="782" spans="1:17" ht="13.5" hidden="1" thickBot="1">
      <c r="A782" s="61"/>
      <c r="B782" s="62"/>
      <c r="C782" s="62"/>
      <c r="D782" s="62"/>
      <c r="E782" s="62"/>
      <c r="F782" s="64"/>
      <c r="G782" s="61"/>
      <c r="H782" s="62"/>
      <c r="I782" s="62"/>
      <c r="J782" s="62"/>
      <c r="K782" s="62"/>
      <c r="L782" s="62"/>
      <c r="M782" s="62"/>
      <c r="N782" s="756"/>
      <c r="O782" s="757"/>
      <c r="P782" s="876"/>
      <c r="Q782" s="877"/>
    </row>
    <row r="783" spans="1:17" ht="52.5" hidden="1" thickBot="1">
      <c r="A783" s="35" t="s">
        <v>430</v>
      </c>
      <c r="B783" s="90" t="s">
        <v>432</v>
      </c>
      <c r="C783" s="142" t="s">
        <v>433</v>
      </c>
      <c r="D783" s="143" t="s">
        <v>434</v>
      </c>
      <c r="E783" s="144" t="s">
        <v>435</v>
      </c>
      <c r="F783" s="145" t="s">
        <v>446</v>
      </c>
      <c r="G783" s="113" t="s">
        <v>436</v>
      </c>
      <c r="H783" s="167" t="s">
        <v>437</v>
      </c>
      <c r="I783" s="147" t="s">
        <v>438</v>
      </c>
      <c r="J783" s="147" t="s">
        <v>439</v>
      </c>
      <c r="K783" s="147" t="s">
        <v>440</v>
      </c>
      <c r="L783" s="147" t="s">
        <v>441</v>
      </c>
      <c r="M783" s="147" t="s">
        <v>442</v>
      </c>
      <c r="N783" s="763" t="s">
        <v>443</v>
      </c>
      <c r="O783" s="764" t="s">
        <v>444</v>
      </c>
      <c r="P783" s="876"/>
      <c r="Q783" s="877"/>
    </row>
    <row r="784" spans="1:17" ht="81.75" customHeight="1" hidden="1">
      <c r="A784" s="73">
        <v>2</v>
      </c>
      <c r="B784" s="123" t="s">
        <v>600</v>
      </c>
      <c r="C784" s="111">
        <v>400</v>
      </c>
      <c r="D784" s="111">
        <v>360</v>
      </c>
      <c r="E784" s="75">
        <f>+D784/C784</f>
        <v>0.9</v>
      </c>
      <c r="F784" s="75">
        <f>1/4</f>
        <v>0.25</v>
      </c>
      <c r="G784" s="76"/>
      <c r="H784" s="116"/>
      <c r="I784" s="119"/>
      <c r="J784" s="119"/>
      <c r="K784" s="116"/>
      <c r="L784" s="116"/>
      <c r="M784" s="116"/>
      <c r="N784" s="771">
        <f>G784+I784+J784</f>
        <v>0</v>
      </c>
      <c r="O784" s="771">
        <v>0</v>
      </c>
      <c r="P784" s="73"/>
      <c r="Q784" s="163"/>
    </row>
    <row r="785" spans="1:17" ht="25.5" hidden="1">
      <c r="A785" s="73"/>
      <c r="B785" s="118" t="s">
        <v>249</v>
      </c>
      <c r="C785" s="111">
        <v>0</v>
      </c>
      <c r="D785" s="111">
        <v>0</v>
      </c>
      <c r="E785" s="75">
        <v>0</v>
      </c>
      <c r="F785" s="75">
        <v>0.25</v>
      </c>
      <c r="G785" s="77"/>
      <c r="H785" s="73"/>
      <c r="I785" s="95"/>
      <c r="J785" s="95"/>
      <c r="K785" s="73"/>
      <c r="L785" s="73"/>
      <c r="M785" s="73"/>
      <c r="N785" s="767">
        <f>G785+I785+J785</f>
        <v>0</v>
      </c>
      <c r="O785" s="767">
        <v>0</v>
      </c>
      <c r="P785" s="73"/>
      <c r="Q785" s="73"/>
    </row>
    <row r="786" spans="1:17" ht="25.5" hidden="1">
      <c r="A786" s="73"/>
      <c r="B786" s="74" t="s">
        <v>601</v>
      </c>
      <c r="C786" s="111">
        <v>0</v>
      </c>
      <c r="D786" s="111">
        <v>0</v>
      </c>
      <c r="E786" s="75">
        <v>0</v>
      </c>
      <c r="F786" s="75">
        <v>0.25</v>
      </c>
      <c r="G786" s="76"/>
      <c r="H786" s="116"/>
      <c r="I786" s="119"/>
      <c r="J786" s="119"/>
      <c r="K786" s="73"/>
      <c r="L786" s="73"/>
      <c r="M786" s="73"/>
      <c r="N786" s="767">
        <f>G786+I786+J786</f>
        <v>0</v>
      </c>
      <c r="O786" s="767">
        <v>0</v>
      </c>
      <c r="P786" s="73"/>
      <c r="Q786" s="73"/>
    </row>
    <row r="787" spans="1:17" ht="38.25" hidden="1">
      <c r="A787" s="73"/>
      <c r="B787" s="74" t="s">
        <v>120</v>
      </c>
      <c r="C787" s="111">
        <v>0</v>
      </c>
      <c r="D787" s="111">
        <v>0</v>
      </c>
      <c r="E787" s="75">
        <v>0</v>
      </c>
      <c r="F787" s="75">
        <v>0.25</v>
      </c>
      <c r="G787" s="76"/>
      <c r="H787" s="116"/>
      <c r="I787" s="119"/>
      <c r="J787" s="119"/>
      <c r="K787" s="73"/>
      <c r="L787" s="73"/>
      <c r="M787" s="73"/>
      <c r="N787" s="767">
        <f>G787+I787+J787</f>
        <v>0</v>
      </c>
      <c r="O787" s="767">
        <v>0</v>
      </c>
      <c r="P787" s="73"/>
      <c r="Q787" s="73"/>
    </row>
    <row r="788" spans="1:17" ht="12.75" hidden="1">
      <c r="A788" s="73"/>
      <c r="B788" s="74"/>
      <c r="C788" s="111"/>
      <c r="D788" s="73"/>
      <c r="E788" s="73"/>
      <c r="F788" s="73"/>
      <c r="G788" s="73"/>
      <c r="H788" s="73"/>
      <c r="I788" s="73"/>
      <c r="J788" s="73"/>
      <c r="K788" s="73"/>
      <c r="L788" s="73"/>
      <c r="M788" s="73"/>
      <c r="N788" s="89"/>
      <c r="O788" s="89"/>
      <c r="P788" s="73"/>
      <c r="Q788" s="73"/>
    </row>
    <row r="789" spans="1:17" ht="12.75" hidden="1">
      <c r="A789" s="73"/>
      <c r="B789" s="74"/>
      <c r="C789" s="73"/>
      <c r="D789" s="73"/>
      <c r="E789" s="73"/>
      <c r="F789" s="73"/>
      <c r="G789" s="73"/>
      <c r="H789" s="73"/>
      <c r="I789" s="73"/>
      <c r="J789" s="73"/>
      <c r="K789" s="73"/>
      <c r="L789" s="73"/>
      <c r="M789" s="73"/>
      <c r="N789" s="89"/>
      <c r="O789" s="89"/>
      <c r="P789" s="73"/>
      <c r="Q789" s="73"/>
    </row>
    <row r="790" spans="1:17" ht="12.75" hidden="1">
      <c r="A790" s="73"/>
      <c r="B790" s="73"/>
      <c r="C790" s="73"/>
      <c r="D790" s="73"/>
      <c r="E790" s="73"/>
      <c r="F790" s="73"/>
      <c r="G790" s="73"/>
      <c r="H790" s="73"/>
      <c r="I790" s="73"/>
      <c r="J790" s="73"/>
      <c r="K790" s="73"/>
      <c r="L790" s="73"/>
      <c r="M790" s="73"/>
      <c r="N790" s="89"/>
      <c r="O790" s="89"/>
      <c r="P790" s="73"/>
      <c r="Q790" s="73"/>
    </row>
    <row r="791" spans="1:17" ht="12.75" hidden="1">
      <c r="A791" s="73"/>
      <c r="B791" s="73"/>
      <c r="C791" s="73"/>
      <c r="D791" s="73"/>
      <c r="E791" s="73"/>
      <c r="F791" s="73"/>
      <c r="G791" s="73"/>
      <c r="H791" s="73"/>
      <c r="I791" s="73"/>
      <c r="J791" s="73"/>
      <c r="K791" s="73"/>
      <c r="L791" s="73"/>
      <c r="M791" s="73"/>
      <c r="N791" s="89"/>
      <c r="O791" s="89"/>
      <c r="P791" s="73"/>
      <c r="Q791" s="73"/>
    </row>
    <row r="792" spans="1:17" ht="12.75" hidden="1">
      <c r="A792" s="73"/>
      <c r="B792" s="73"/>
      <c r="C792" s="73"/>
      <c r="D792" s="73"/>
      <c r="E792" s="73"/>
      <c r="F792" s="73"/>
      <c r="G792" s="73"/>
      <c r="H792" s="73"/>
      <c r="I792" s="73"/>
      <c r="J792" s="73"/>
      <c r="K792" s="73"/>
      <c r="L792" s="73"/>
      <c r="M792" s="73"/>
      <c r="N792" s="89"/>
      <c r="O792" s="89"/>
      <c r="P792" s="73"/>
      <c r="Q792" s="73"/>
    </row>
    <row r="793" spans="1:17" ht="12.75" hidden="1">
      <c r="A793" s="73"/>
      <c r="B793" s="73"/>
      <c r="C793" s="73"/>
      <c r="D793" s="73"/>
      <c r="E793" s="73"/>
      <c r="F793" s="73"/>
      <c r="G793" s="73"/>
      <c r="H793" s="73"/>
      <c r="I793" s="73"/>
      <c r="J793" s="73"/>
      <c r="K793" s="73"/>
      <c r="L793" s="73"/>
      <c r="M793" s="73"/>
      <c r="N793" s="89"/>
      <c r="O793" s="89"/>
      <c r="P793" s="73"/>
      <c r="Q793" s="73"/>
    </row>
    <row r="794" spans="1:17" ht="12.75" hidden="1">
      <c r="A794" s="73"/>
      <c r="B794" s="73"/>
      <c r="C794" s="73"/>
      <c r="D794" s="73"/>
      <c r="E794" s="73"/>
      <c r="F794" s="73"/>
      <c r="G794" s="73"/>
      <c r="H794" s="73"/>
      <c r="I794" s="73"/>
      <c r="J794" s="73"/>
      <c r="K794" s="73"/>
      <c r="L794" s="73"/>
      <c r="M794" s="73"/>
      <c r="N794" s="89"/>
      <c r="O794" s="89"/>
      <c r="P794" s="73"/>
      <c r="Q794" s="73"/>
    </row>
    <row r="795" spans="1:17" ht="12.75" hidden="1">
      <c r="A795" s="73"/>
      <c r="B795" s="73"/>
      <c r="C795" s="73"/>
      <c r="D795" s="73"/>
      <c r="E795" s="73"/>
      <c r="F795" s="73"/>
      <c r="G795" s="73"/>
      <c r="H795" s="73"/>
      <c r="I795" s="73"/>
      <c r="J795" s="73"/>
      <c r="K795" s="73"/>
      <c r="L795" s="73"/>
      <c r="M795" s="73"/>
      <c r="N795" s="89"/>
      <c r="O795" s="89"/>
      <c r="P795" s="73"/>
      <c r="Q795" s="73"/>
    </row>
    <row r="796" spans="1:17" ht="12.75" hidden="1">
      <c r="A796" s="73"/>
      <c r="B796" s="73"/>
      <c r="C796" s="73"/>
      <c r="D796" s="73"/>
      <c r="E796" s="73"/>
      <c r="F796" s="73"/>
      <c r="G796" s="73"/>
      <c r="H796" s="73"/>
      <c r="I796" s="73"/>
      <c r="J796" s="73"/>
      <c r="K796" s="73"/>
      <c r="L796" s="73"/>
      <c r="M796" s="73"/>
      <c r="N796" s="89"/>
      <c r="O796" s="89"/>
      <c r="P796" s="73"/>
      <c r="Q796" s="73"/>
    </row>
    <row r="797" spans="1:17" ht="12.75" hidden="1">
      <c r="A797" s="73"/>
      <c r="B797" s="73"/>
      <c r="C797" s="73"/>
      <c r="D797" s="73"/>
      <c r="E797" s="73"/>
      <c r="F797" s="73"/>
      <c r="G797" s="73"/>
      <c r="H797" s="73"/>
      <c r="I797" s="73"/>
      <c r="J797" s="73"/>
      <c r="K797" s="73"/>
      <c r="L797" s="73"/>
      <c r="M797" s="73"/>
      <c r="N797" s="89"/>
      <c r="O797" s="89"/>
      <c r="P797" s="73"/>
      <c r="Q797" s="73"/>
    </row>
    <row r="798" spans="1:17" ht="12.75" hidden="1">
      <c r="A798" s="73"/>
      <c r="B798" s="73"/>
      <c r="C798" s="73"/>
      <c r="D798" s="73"/>
      <c r="E798" s="73"/>
      <c r="F798" s="73"/>
      <c r="G798" s="73"/>
      <c r="H798" s="73"/>
      <c r="I798" s="73"/>
      <c r="J798" s="73"/>
      <c r="K798" s="73"/>
      <c r="L798" s="73"/>
      <c r="M798" s="73"/>
      <c r="N798" s="89"/>
      <c r="O798" s="89"/>
      <c r="P798" s="73"/>
      <c r="Q798" s="73"/>
    </row>
    <row r="799" spans="1:17" ht="13.5" hidden="1" thickBot="1">
      <c r="A799" s="81"/>
      <c r="B799" s="82" t="s">
        <v>445</v>
      </c>
      <c r="C799" s="81"/>
      <c r="D799" s="81"/>
      <c r="E799" s="81"/>
      <c r="F799" s="81"/>
      <c r="G799" s="84">
        <f aca="true" t="shared" si="29" ref="G799:O799">SUM(G784:G798)</f>
        <v>0</v>
      </c>
      <c r="H799" s="84">
        <f t="shared" si="29"/>
        <v>0</v>
      </c>
      <c r="I799" s="84">
        <f t="shared" si="29"/>
        <v>0</v>
      </c>
      <c r="J799" s="84">
        <f t="shared" si="29"/>
        <v>0</v>
      </c>
      <c r="K799" s="84">
        <f t="shared" si="29"/>
        <v>0</v>
      </c>
      <c r="L799" s="84">
        <f t="shared" si="29"/>
        <v>0</v>
      </c>
      <c r="M799" s="84">
        <f t="shared" si="29"/>
        <v>0</v>
      </c>
      <c r="N799" s="84">
        <f t="shared" si="29"/>
        <v>0</v>
      </c>
      <c r="O799" s="84">
        <f t="shared" si="29"/>
        <v>0</v>
      </c>
      <c r="P799" s="81"/>
      <c r="Q799" s="81"/>
    </row>
    <row r="800" ht="12.75">
      <c r="S800" s="153" t="e">
        <f>(+'Resumen presupuesto ejecutado'!#REF!+'Resumen presupuesto ejecutado'!#REF!)/1000</f>
        <v>#REF!</v>
      </c>
    </row>
    <row r="801" spans="1:19" ht="12.75">
      <c r="A801" s="918" t="s">
        <v>420</v>
      </c>
      <c r="B801" s="918"/>
      <c r="C801" s="918"/>
      <c r="D801" s="918"/>
      <c r="E801" s="918"/>
      <c r="F801" s="918"/>
      <c r="G801" s="918"/>
      <c r="H801" s="918"/>
      <c r="I801" s="918"/>
      <c r="J801" s="918"/>
      <c r="K801" s="918"/>
      <c r="L801" s="918"/>
      <c r="M801" s="918"/>
      <c r="N801" s="918"/>
      <c r="O801" s="918"/>
      <c r="P801" s="918"/>
      <c r="Q801" s="918"/>
      <c r="S801" s="153" t="e">
        <f>+S767-S800</f>
        <v>#REF!</v>
      </c>
    </row>
    <row r="802" spans="1:20" s="39" customFormat="1" ht="16.5" thickBot="1">
      <c r="A802" s="891" t="s">
        <v>609</v>
      </c>
      <c r="B802" s="891"/>
      <c r="C802" s="891"/>
      <c r="D802" s="891"/>
      <c r="E802" s="891"/>
      <c r="F802" s="891"/>
      <c r="G802" s="891"/>
      <c r="H802" s="891"/>
      <c r="I802" s="891"/>
      <c r="J802" s="891"/>
      <c r="K802" s="891"/>
      <c r="L802" s="891"/>
      <c r="M802" s="891"/>
      <c r="N802" s="891"/>
      <c r="O802" s="891"/>
      <c r="P802" s="891"/>
      <c r="Q802" s="891"/>
      <c r="R802" s="184"/>
      <c r="S802" s="184"/>
      <c r="T802" s="184"/>
    </row>
    <row r="803" spans="3:20" s="39" customFormat="1" ht="13.5" thickBot="1">
      <c r="C803" s="38"/>
      <c r="D803" s="38"/>
      <c r="N803" s="755"/>
      <c r="O803" s="755"/>
      <c r="P803" s="919" t="s">
        <v>212</v>
      </c>
      <c r="Q803" s="920"/>
      <c r="R803" s="184"/>
      <c r="S803" s="184"/>
      <c r="T803" s="184"/>
    </row>
    <row r="804" spans="1:17" ht="12.75">
      <c r="A804" s="917" t="s">
        <v>76</v>
      </c>
      <c r="B804" s="917"/>
      <c r="C804" s="917"/>
      <c r="D804" s="917"/>
      <c r="E804" s="917"/>
      <c r="F804" s="917"/>
      <c r="P804" s="889" t="s">
        <v>74</v>
      </c>
      <c r="Q804" s="889"/>
    </row>
    <row r="805" spans="1:17" ht="12.75">
      <c r="A805" s="917" t="s">
        <v>77</v>
      </c>
      <c r="B805" s="890"/>
      <c r="C805" s="890"/>
      <c r="D805" s="890"/>
      <c r="E805" s="890"/>
      <c r="F805" s="890"/>
      <c r="L805" s="160"/>
      <c r="P805" s="890" t="s">
        <v>245</v>
      </c>
      <c r="Q805" s="890"/>
    </row>
    <row r="806" spans="1:16" ht="12.75">
      <c r="A806" s="917" t="s">
        <v>808</v>
      </c>
      <c r="B806" s="890"/>
      <c r="C806" s="890"/>
      <c r="D806" s="890"/>
      <c r="E806" s="890"/>
      <c r="F806" s="890"/>
      <c r="G806" s="38" t="s">
        <v>72</v>
      </c>
      <c r="I806" s="41">
        <v>39083</v>
      </c>
      <c r="P806" s="38" t="s">
        <v>246</v>
      </c>
    </row>
    <row r="808" ht="13.5" thickBot="1"/>
    <row r="809" spans="1:17" ht="13.5" thickBot="1">
      <c r="A809" s="97" t="s">
        <v>424</v>
      </c>
      <c r="B809" s="98"/>
      <c r="C809" s="98" t="s">
        <v>559</v>
      </c>
      <c r="D809" s="98"/>
      <c r="E809" s="98"/>
      <c r="F809" s="100"/>
      <c r="G809" s="880" t="s">
        <v>425</v>
      </c>
      <c r="H809" s="881"/>
      <c r="I809" s="881"/>
      <c r="J809" s="881"/>
      <c r="K809" s="881"/>
      <c r="L809" s="881"/>
      <c r="M809" s="881"/>
      <c r="N809" s="881"/>
      <c r="O809" s="881"/>
      <c r="P809" s="880" t="s">
        <v>426</v>
      </c>
      <c r="Q809" s="882"/>
    </row>
    <row r="810" spans="1:17" ht="29.25" customHeight="1">
      <c r="A810" s="101" t="s">
        <v>422</v>
      </c>
      <c r="B810" s="102"/>
      <c r="C810" s="102" t="s">
        <v>693</v>
      </c>
      <c r="D810" s="102"/>
      <c r="E810" s="102"/>
      <c r="F810" s="104"/>
      <c r="G810" s="921" t="s">
        <v>33</v>
      </c>
      <c r="H810" s="903"/>
      <c r="I810" s="903"/>
      <c r="J810" s="903"/>
      <c r="K810" s="903"/>
      <c r="L810" s="903"/>
      <c r="M810" s="903"/>
      <c r="N810" s="903"/>
      <c r="O810" s="904"/>
      <c r="P810" s="165"/>
      <c r="Q810" s="157"/>
    </row>
    <row r="811" spans="1:17" ht="29.25" customHeight="1" thickBot="1">
      <c r="A811" s="51" t="s">
        <v>423</v>
      </c>
      <c r="B811" s="52"/>
      <c r="C811" s="52" t="s">
        <v>692</v>
      </c>
      <c r="D811" s="52"/>
      <c r="E811" s="52"/>
      <c r="F811" s="54"/>
      <c r="G811" s="905"/>
      <c r="H811" s="906"/>
      <c r="I811" s="906"/>
      <c r="J811" s="906"/>
      <c r="K811" s="906"/>
      <c r="L811" s="906"/>
      <c r="M811" s="906"/>
      <c r="N811" s="906"/>
      <c r="O811" s="907"/>
      <c r="P811" s="161"/>
      <c r="Q811" s="162" t="s">
        <v>247</v>
      </c>
    </row>
    <row r="812" spans="1:2" ht="13.5" thickBot="1">
      <c r="A812" s="38" t="s">
        <v>73</v>
      </c>
      <c r="B812" s="57"/>
    </row>
    <row r="813" spans="1:17" ht="12.75">
      <c r="A813" s="872" t="s">
        <v>431</v>
      </c>
      <c r="B813" s="873"/>
      <c r="C813" s="873"/>
      <c r="D813" s="873"/>
      <c r="E813" s="873"/>
      <c r="F813" s="874"/>
      <c r="G813" s="872" t="s">
        <v>427</v>
      </c>
      <c r="H813" s="873"/>
      <c r="I813" s="873"/>
      <c r="J813" s="873"/>
      <c r="K813" s="873"/>
      <c r="L813" s="873"/>
      <c r="M813" s="873"/>
      <c r="N813" s="873"/>
      <c r="O813" s="874"/>
      <c r="P813" s="875" t="s">
        <v>428</v>
      </c>
      <c r="Q813" s="874" t="s">
        <v>429</v>
      </c>
    </row>
    <row r="814" spans="1:17" ht="13.5" thickBot="1">
      <c r="A814" s="61"/>
      <c r="B814" s="62"/>
      <c r="C814" s="62"/>
      <c r="D814" s="62"/>
      <c r="E814" s="62"/>
      <c r="F814" s="64"/>
      <c r="G814" s="61"/>
      <c r="H814" s="62"/>
      <c r="I814" s="62"/>
      <c r="J814" s="62"/>
      <c r="K814" s="62"/>
      <c r="L814" s="62"/>
      <c r="M814" s="62"/>
      <c r="N814" s="756"/>
      <c r="O814" s="757"/>
      <c r="P814" s="876"/>
      <c r="Q814" s="877"/>
    </row>
    <row r="815" spans="1:17" ht="52.5" thickBot="1">
      <c r="A815" s="141" t="s">
        <v>430</v>
      </c>
      <c r="B815" s="90" t="s">
        <v>432</v>
      </c>
      <c r="C815" s="247" t="s">
        <v>433</v>
      </c>
      <c r="D815" s="143" t="s">
        <v>434</v>
      </c>
      <c r="E815" s="144" t="s">
        <v>435</v>
      </c>
      <c r="F815" s="145" t="s">
        <v>446</v>
      </c>
      <c r="G815" s="146" t="s">
        <v>436</v>
      </c>
      <c r="H815" s="147" t="s">
        <v>437</v>
      </c>
      <c r="I815" s="147" t="s">
        <v>438</v>
      </c>
      <c r="J815" s="147" t="s">
        <v>439</v>
      </c>
      <c r="K815" s="147" t="s">
        <v>440</v>
      </c>
      <c r="L815" s="147" t="s">
        <v>441</v>
      </c>
      <c r="M815" s="147" t="s">
        <v>442</v>
      </c>
      <c r="N815" s="763" t="s">
        <v>443</v>
      </c>
      <c r="O815" s="764" t="s">
        <v>444</v>
      </c>
      <c r="P815" s="900"/>
      <c r="Q815" s="901"/>
    </row>
    <row r="816" spans="1:17" ht="38.25">
      <c r="A816" s="115">
        <v>1</v>
      </c>
      <c r="B816" s="106" t="s">
        <v>602</v>
      </c>
      <c r="C816" s="335">
        <v>2200</v>
      </c>
      <c r="D816" s="335">
        <v>2200</v>
      </c>
      <c r="E816" s="328">
        <f>D816/C816</f>
        <v>1</v>
      </c>
      <c r="F816" s="149">
        <f>1025/438</f>
        <v>2.3401826484018264</v>
      </c>
      <c r="G816" s="119">
        <f>5275.085+12591.976</f>
        <v>17867.061</v>
      </c>
      <c r="H816" s="119">
        <v>14884.448</v>
      </c>
      <c r="I816" s="119"/>
      <c r="J816" s="119"/>
      <c r="K816" s="119">
        <v>6150.093</v>
      </c>
      <c r="L816" s="119"/>
      <c r="M816" s="119"/>
      <c r="N816" s="776">
        <f>G816+H816+I816+J816+K816</f>
        <v>38901.602</v>
      </c>
      <c r="O816" s="776">
        <v>30999.224</v>
      </c>
      <c r="P816" s="353" t="s">
        <v>611</v>
      </c>
      <c r="Q816" s="116"/>
    </row>
    <row r="817" spans="1:17" ht="39.75" customHeight="1">
      <c r="A817" s="73">
        <v>2</v>
      </c>
      <c r="B817" s="109" t="s">
        <v>312</v>
      </c>
      <c r="C817" s="111">
        <f>15*6</f>
        <v>90</v>
      </c>
      <c r="D817" s="111">
        <v>90</v>
      </c>
      <c r="E817" s="88">
        <f>D817/C817</f>
        <v>1</v>
      </c>
      <c r="F817" s="75">
        <f>1025/438</f>
        <v>2.3401826484018264</v>
      </c>
      <c r="G817" s="95">
        <v>858.35</v>
      </c>
      <c r="H817" s="95">
        <f>643.65+2000</f>
        <v>2643.65</v>
      </c>
      <c r="I817" s="95"/>
      <c r="J817" s="95"/>
      <c r="K817" s="95"/>
      <c r="L817" s="95"/>
      <c r="M817" s="95"/>
      <c r="N817" s="765">
        <f>G817+H817+I817+J817</f>
        <v>3502</v>
      </c>
      <c r="O817" s="765">
        <v>2131.19</v>
      </c>
      <c r="P817" s="697" t="s">
        <v>611</v>
      </c>
      <c r="Q817" s="163"/>
    </row>
    <row r="818" spans="1:17" ht="38.25">
      <c r="A818" s="73">
        <v>3</v>
      </c>
      <c r="B818" s="109" t="s">
        <v>266</v>
      </c>
      <c r="C818" s="111">
        <f>78*5</f>
        <v>390</v>
      </c>
      <c r="D818" s="111">
        <v>390</v>
      </c>
      <c r="E818" s="88">
        <f>D818/C818</f>
        <v>1</v>
      </c>
      <c r="F818" s="75">
        <f>1025/438</f>
        <v>2.3401826484018264</v>
      </c>
      <c r="G818" s="95">
        <v>9967.036</v>
      </c>
      <c r="H818" s="95">
        <v>2000</v>
      </c>
      <c r="I818" s="73"/>
      <c r="J818" s="73"/>
      <c r="K818" s="73"/>
      <c r="L818" s="73"/>
      <c r="M818" s="73"/>
      <c r="N818" s="776">
        <f>G818+H818+I818+J818</f>
        <v>11967.036</v>
      </c>
      <c r="O818" s="765">
        <v>9967.036</v>
      </c>
      <c r="P818" s="697" t="s">
        <v>611</v>
      </c>
      <c r="Q818" s="73"/>
    </row>
    <row r="819" spans="1:17" ht="12.75">
      <c r="A819" s="73"/>
      <c r="B819" s="74"/>
      <c r="C819" s="111"/>
      <c r="D819" s="73"/>
      <c r="E819" s="73"/>
      <c r="F819" s="73"/>
      <c r="G819" s="73"/>
      <c r="H819" s="73"/>
      <c r="I819" s="73"/>
      <c r="J819" s="73"/>
      <c r="K819" s="73"/>
      <c r="L819" s="73"/>
      <c r="M819" s="73"/>
      <c r="N819" s="89"/>
      <c r="O819" s="89"/>
      <c r="P819" s="73"/>
      <c r="Q819" s="73"/>
    </row>
    <row r="820" spans="1:17" ht="12.75">
      <c r="A820" s="73"/>
      <c r="B820" s="74"/>
      <c r="C820" s="111"/>
      <c r="D820" s="140"/>
      <c r="E820" s="73"/>
      <c r="F820" s="73"/>
      <c r="G820" s="73"/>
      <c r="H820" s="73"/>
      <c r="I820" s="110"/>
      <c r="J820" s="73"/>
      <c r="K820" s="73"/>
      <c r="L820" s="73"/>
      <c r="M820" s="73"/>
      <c r="N820" s="89"/>
      <c r="O820" s="89"/>
      <c r="P820" s="73"/>
      <c r="Q820" s="73"/>
    </row>
    <row r="821" spans="1:17" ht="12.75">
      <c r="A821" s="73"/>
      <c r="B821" s="74"/>
      <c r="C821" s="73"/>
      <c r="D821" s="73"/>
      <c r="E821" s="73"/>
      <c r="F821" s="73"/>
      <c r="G821" s="73"/>
      <c r="H821" s="73"/>
      <c r="I821" s="73"/>
      <c r="J821" s="73"/>
      <c r="K821" s="73"/>
      <c r="L821" s="73"/>
      <c r="M821" s="73"/>
      <c r="N821" s="89"/>
      <c r="O821" s="89"/>
      <c r="P821" s="73"/>
      <c r="Q821" s="73"/>
    </row>
    <row r="822" spans="1:17" ht="12.75">
      <c r="A822" s="73"/>
      <c r="B822" s="73"/>
      <c r="C822" s="73"/>
      <c r="D822" s="73"/>
      <c r="E822" s="73"/>
      <c r="F822" s="73"/>
      <c r="G822" s="73"/>
      <c r="H822" s="73"/>
      <c r="I822" s="73"/>
      <c r="J822" s="73"/>
      <c r="K822" s="73"/>
      <c r="L822" s="73"/>
      <c r="M822" s="73"/>
      <c r="N822" s="89"/>
      <c r="O822" s="89"/>
      <c r="P822" s="73"/>
      <c r="Q822" s="73"/>
    </row>
    <row r="823" spans="1:17" ht="12.75">
      <c r="A823" s="73"/>
      <c r="B823" s="73"/>
      <c r="C823" s="73"/>
      <c r="D823" s="73"/>
      <c r="E823" s="73"/>
      <c r="F823" s="73"/>
      <c r="G823" s="73"/>
      <c r="H823" s="73"/>
      <c r="I823" s="73"/>
      <c r="J823" s="73"/>
      <c r="K823" s="73"/>
      <c r="L823" s="73"/>
      <c r="M823" s="73"/>
      <c r="N823" s="89"/>
      <c r="O823" s="89"/>
      <c r="P823" s="73"/>
      <c r="Q823" s="73"/>
    </row>
    <row r="824" spans="1:17" ht="12.75">
      <c r="A824" s="73"/>
      <c r="B824" s="73"/>
      <c r="C824" s="73"/>
      <c r="D824" s="73"/>
      <c r="E824" s="73"/>
      <c r="F824" s="73"/>
      <c r="G824" s="73"/>
      <c r="H824" s="73"/>
      <c r="I824" s="73"/>
      <c r="J824" s="73"/>
      <c r="K824" s="73"/>
      <c r="L824" s="73"/>
      <c r="M824" s="73"/>
      <c r="N824" s="89"/>
      <c r="O824" s="89"/>
      <c r="P824" s="73"/>
      <c r="Q824" s="73"/>
    </row>
    <row r="825" spans="1:17" ht="12.75">
      <c r="A825" s="73"/>
      <c r="B825" s="73"/>
      <c r="C825" s="73"/>
      <c r="D825" s="73"/>
      <c r="E825" s="73"/>
      <c r="F825" s="73"/>
      <c r="G825" s="73"/>
      <c r="H825" s="73"/>
      <c r="I825" s="73"/>
      <c r="J825" s="73"/>
      <c r="K825" s="73"/>
      <c r="L825" s="73"/>
      <c r="M825" s="73"/>
      <c r="N825" s="89"/>
      <c r="O825" s="89"/>
      <c r="P825" s="73"/>
      <c r="Q825" s="73"/>
    </row>
    <row r="826" spans="1:17" ht="12.75">
      <c r="A826" s="73"/>
      <c r="B826" s="73"/>
      <c r="C826" s="73"/>
      <c r="D826" s="73"/>
      <c r="E826" s="73"/>
      <c r="F826" s="73"/>
      <c r="G826" s="73"/>
      <c r="H826" s="73"/>
      <c r="I826" s="73"/>
      <c r="J826" s="73"/>
      <c r="K826" s="73"/>
      <c r="L826" s="73"/>
      <c r="M826" s="73"/>
      <c r="N826" s="89"/>
      <c r="O826" s="89"/>
      <c r="P826" s="73"/>
      <c r="Q826" s="73"/>
    </row>
    <row r="827" spans="1:17" ht="12.75">
      <c r="A827" s="73"/>
      <c r="B827" s="73"/>
      <c r="C827" s="73"/>
      <c r="D827" s="73"/>
      <c r="E827" s="73"/>
      <c r="F827" s="73"/>
      <c r="G827" s="73"/>
      <c r="H827" s="73"/>
      <c r="I827" s="73"/>
      <c r="J827" s="73"/>
      <c r="K827" s="73"/>
      <c r="L827" s="73"/>
      <c r="M827" s="73"/>
      <c r="N827" s="89"/>
      <c r="O827" s="89"/>
      <c r="P827" s="73"/>
      <c r="Q827" s="73"/>
    </row>
    <row r="828" spans="1:17" ht="12.75">
      <c r="A828" s="73"/>
      <c r="B828" s="73"/>
      <c r="C828" s="73"/>
      <c r="D828" s="73"/>
      <c r="E828" s="73"/>
      <c r="F828" s="73"/>
      <c r="G828" s="73"/>
      <c r="H828" s="73"/>
      <c r="I828" s="73"/>
      <c r="J828" s="73"/>
      <c r="K828" s="73"/>
      <c r="L828" s="73"/>
      <c r="M828" s="73"/>
      <c r="N828" s="89"/>
      <c r="O828" s="89"/>
      <c r="P828" s="73"/>
      <c r="Q828" s="73"/>
    </row>
    <row r="829" spans="1:17" ht="12.75">
      <c r="A829" s="73"/>
      <c r="B829" s="73"/>
      <c r="C829" s="73"/>
      <c r="D829" s="73"/>
      <c r="E829" s="73"/>
      <c r="F829" s="73"/>
      <c r="G829" s="73"/>
      <c r="H829" s="73"/>
      <c r="I829" s="73"/>
      <c r="J829" s="73"/>
      <c r="K829" s="73"/>
      <c r="L829" s="73"/>
      <c r="M829" s="73"/>
      <c r="N829" s="89"/>
      <c r="O829" s="89"/>
      <c r="P829" s="73"/>
      <c r="Q829" s="73"/>
    </row>
    <row r="830" spans="1:17" ht="12.75">
      <c r="A830" s="73"/>
      <c r="B830" s="73"/>
      <c r="C830" s="73"/>
      <c r="D830" s="73"/>
      <c r="E830" s="73"/>
      <c r="F830" s="73"/>
      <c r="G830" s="73"/>
      <c r="H830" s="73"/>
      <c r="I830" s="73"/>
      <c r="J830" s="73"/>
      <c r="K830" s="73"/>
      <c r="L830" s="73"/>
      <c r="M830" s="73"/>
      <c r="N830" s="89"/>
      <c r="O830" s="89"/>
      <c r="P830" s="73"/>
      <c r="Q830" s="73"/>
    </row>
    <row r="831" spans="1:20" ht="13.5" thickBot="1">
      <c r="A831" s="81"/>
      <c r="B831" s="82" t="s">
        <v>445</v>
      </c>
      <c r="C831" s="81"/>
      <c r="D831" s="81"/>
      <c r="E831" s="81"/>
      <c r="F831" s="81"/>
      <c r="G831" s="120">
        <f>SUM(G816:G830)</f>
        <v>28692.447</v>
      </c>
      <c r="H831" s="120">
        <f aca="true" t="shared" si="30" ref="H831:M831">SUM(H816:H830)</f>
        <v>19528.098</v>
      </c>
      <c r="I831" s="120">
        <f t="shared" si="30"/>
        <v>0</v>
      </c>
      <c r="J831" s="120">
        <f t="shared" si="30"/>
        <v>0</v>
      </c>
      <c r="K831" s="120">
        <f t="shared" si="30"/>
        <v>6150.093</v>
      </c>
      <c r="L831" s="120">
        <f t="shared" si="30"/>
        <v>0</v>
      </c>
      <c r="M831" s="120">
        <f t="shared" si="30"/>
        <v>0</v>
      </c>
      <c r="N831" s="762">
        <f>SUM(N816:N830)</f>
        <v>54370.638</v>
      </c>
      <c r="O831" s="762">
        <f>SUM(O816:O830)</f>
        <v>43097.45</v>
      </c>
      <c r="P831" s="81"/>
      <c r="Q831" s="81"/>
      <c r="R831" s="153">
        <f>+N831</f>
        <v>54370.638</v>
      </c>
      <c r="S831" s="153">
        <f>+O831</f>
        <v>43097.45</v>
      </c>
      <c r="T831" s="153">
        <f>+R831-S831</f>
        <v>11273.188000000002</v>
      </c>
    </row>
    <row r="832" ht="12.75" hidden="1"/>
    <row r="833" spans="1:17" ht="12.75" hidden="1">
      <c r="A833" s="918" t="s">
        <v>420</v>
      </c>
      <c r="B833" s="918"/>
      <c r="C833" s="918"/>
      <c r="D833" s="918"/>
      <c r="E833" s="918"/>
      <c r="F833" s="918"/>
      <c r="G833" s="918"/>
      <c r="H833" s="918"/>
      <c r="I833" s="918"/>
      <c r="J833" s="918"/>
      <c r="K833" s="918"/>
      <c r="L833" s="918"/>
      <c r="M833" s="918"/>
      <c r="N833" s="918"/>
      <c r="O833" s="918"/>
      <c r="P833" s="918"/>
      <c r="Q833" s="918"/>
    </row>
    <row r="834" spans="1:20" s="39" customFormat="1" ht="16.5" hidden="1" thickBot="1">
      <c r="A834" s="891" t="s">
        <v>629</v>
      </c>
      <c r="B834" s="891"/>
      <c r="C834" s="891"/>
      <c r="D834" s="891"/>
      <c r="E834" s="891"/>
      <c r="F834" s="891"/>
      <c r="G834" s="891"/>
      <c r="H834" s="891"/>
      <c r="I834" s="891"/>
      <c r="J834" s="891"/>
      <c r="K834" s="891"/>
      <c r="L834" s="891"/>
      <c r="M834" s="891"/>
      <c r="N834" s="891"/>
      <c r="O834" s="891"/>
      <c r="P834" s="891"/>
      <c r="Q834" s="891"/>
      <c r="R834" s="184"/>
      <c r="S834" s="184"/>
      <c r="T834" s="184"/>
    </row>
    <row r="835" spans="3:20" s="39" customFormat="1" ht="13.5" hidden="1" thickBot="1">
      <c r="C835" s="38"/>
      <c r="D835" s="38"/>
      <c r="N835" s="755"/>
      <c r="O835" s="755"/>
      <c r="P835" s="919" t="s">
        <v>696</v>
      </c>
      <c r="Q835" s="920"/>
      <c r="R835" s="184"/>
      <c r="S835" s="184"/>
      <c r="T835" s="184"/>
    </row>
    <row r="836" spans="1:17" ht="12.75" hidden="1">
      <c r="A836" s="917" t="s">
        <v>76</v>
      </c>
      <c r="B836" s="917"/>
      <c r="C836" s="917"/>
      <c r="D836" s="917"/>
      <c r="E836" s="917"/>
      <c r="F836" s="917"/>
      <c r="P836" s="889" t="s">
        <v>74</v>
      </c>
      <c r="Q836" s="889"/>
    </row>
    <row r="837" spans="1:17" ht="12.75" hidden="1">
      <c r="A837" s="917" t="s">
        <v>77</v>
      </c>
      <c r="B837" s="890"/>
      <c r="C837" s="890"/>
      <c r="D837" s="890"/>
      <c r="E837" s="890"/>
      <c r="F837" s="890"/>
      <c r="L837" s="160"/>
      <c r="P837" s="890" t="s">
        <v>124</v>
      </c>
      <c r="Q837" s="890"/>
    </row>
    <row r="838" spans="1:16" ht="12.75" hidden="1">
      <c r="A838" s="917" t="s">
        <v>808</v>
      </c>
      <c r="B838" s="890"/>
      <c r="C838" s="890"/>
      <c r="D838" s="890"/>
      <c r="E838" s="890"/>
      <c r="F838" s="890"/>
      <c r="G838" s="38" t="s">
        <v>72</v>
      </c>
      <c r="I838" s="41">
        <v>38534</v>
      </c>
      <c r="P838" s="38" t="s">
        <v>123</v>
      </c>
    </row>
    <row r="839" ht="12.75" hidden="1"/>
    <row r="840" ht="13.5" hidden="1" thickBot="1"/>
    <row r="841" spans="1:17" ht="13.5" hidden="1" thickBot="1">
      <c r="A841" s="42" t="s">
        <v>424</v>
      </c>
      <c r="B841" s="43"/>
      <c r="C841" s="43" t="s">
        <v>559</v>
      </c>
      <c r="D841" s="43"/>
      <c r="E841" s="43"/>
      <c r="F841" s="45"/>
      <c r="G841" s="880" t="s">
        <v>425</v>
      </c>
      <c r="H841" s="881"/>
      <c r="I841" s="881"/>
      <c r="J841" s="881"/>
      <c r="K841" s="881"/>
      <c r="L841" s="881"/>
      <c r="M841" s="881"/>
      <c r="N841" s="881"/>
      <c r="O841" s="881"/>
      <c r="P841" s="880" t="s">
        <v>426</v>
      </c>
      <c r="Q841" s="882"/>
    </row>
    <row r="842" spans="1:17" ht="12.75" hidden="1">
      <c r="A842" s="46" t="s">
        <v>422</v>
      </c>
      <c r="B842" s="47"/>
      <c r="C842" s="47" t="s">
        <v>695</v>
      </c>
      <c r="D842" s="47"/>
      <c r="E842" s="47"/>
      <c r="F842" s="49"/>
      <c r="G842" s="883" t="s">
        <v>122</v>
      </c>
      <c r="H842" s="884"/>
      <c r="I842" s="884"/>
      <c r="J842" s="884"/>
      <c r="K842" s="884"/>
      <c r="L842" s="884"/>
      <c r="M842" s="884"/>
      <c r="N842" s="884"/>
      <c r="O842" s="885"/>
      <c r="P842" s="165"/>
      <c r="Q842" s="157" t="s">
        <v>121</v>
      </c>
    </row>
    <row r="843" spans="1:17" ht="13.5" hidden="1" thickBot="1">
      <c r="A843" s="51" t="s">
        <v>423</v>
      </c>
      <c r="B843" s="52"/>
      <c r="C843" s="52" t="s">
        <v>694</v>
      </c>
      <c r="D843" s="52"/>
      <c r="E843" s="52"/>
      <c r="F843" s="54"/>
      <c r="G843" s="886"/>
      <c r="H843" s="887"/>
      <c r="I843" s="887"/>
      <c r="J843" s="887"/>
      <c r="K843" s="887"/>
      <c r="L843" s="887"/>
      <c r="M843" s="887"/>
      <c r="N843" s="887"/>
      <c r="O843" s="888"/>
      <c r="P843" s="161"/>
      <c r="Q843" s="162"/>
    </row>
    <row r="844" spans="1:2" ht="13.5" hidden="1" thickBot="1">
      <c r="A844" s="38" t="s">
        <v>73</v>
      </c>
      <c r="B844" s="57"/>
    </row>
    <row r="845" spans="1:17" ht="12.75" hidden="1">
      <c r="A845" s="872" t="s">
        <v>431</v>
      </c>
      <c r="B845" s="873"/>
      <c r="C845" s="873"/>
      <c r="D845" s="873"/>
      <c r="E845" s="873"/>
      <c r="F845" s="874"/>
      <c r="G845" s="872" t="s">
        <v>427</v>
      </c>
      <c r="H845" s="873"/>
      <c r="I845" s="873"/>
      <c r="J845" s="873"/>
      <c r="K845" s="873"/>
      <c r="L845" s="873"/>
      <c r="M845" s="873"/>
      <c r="N845" s="873"/>
      <c r="O845" s="874"/>
      <c r="P845" s="875" t="s">
        <v>428</v>
      </c>
      <c r="Q845" s="874" t="s">
        <v>429</v>
      </c>
    </row>
    <row r="846" spans="1:17" ht="13.5" hidden="1" thickBot="1">
      <c r="A846" s="61"/>
      <c r="B846" s="62"/>
      <c r="C846" s="62"/>
      <c r="D846" s="62"/>
      <c r="E846" s="62"/>
      <c r="F846" s="64"/>
      <c r="G846" s="61"/>
      <c r="H846" s="62"/>
      <c r="I846" s="62"/>
      <c r="J846" s="62"/>
      <c r="K846" s="62"/>
      <c r="L846" s="62"/>
      <c r="M846" s="62"/>
      <c r="N846" s="756"/>
      <c r="O846" s="757"/>
      <c r="P846" s="876"/>
      <c r="Q846" s="877"/>
    </row>
    <row r="847" spans="1:17" ht="52.5" hidden="1" thickBot="1">
      <c r="A847" s="35" t="s">
        <v>430</v>
      </c>
      <c r="B847" s="90" t="s">
        <v>432</v>
      </c>
      <c r="C847" s="154" t="s">
        <v>433</v>
      </c>
      <c r="D847" s="138" t="s">
        <v>434</v>
      </c>
      <c r="E847" s="37" t="s">
        <v>435</v>
      </c>
      <c r="F847" s="36" t="s">
        <v>446</v>
      </c>
      <c r="G847" s="67" t="s">
        <v>436</v>
      </c>
      <c r="H847" s="68" t="s">
        <v>437</v>
      </c>
      <c r="I847" s="68" t="s">
        <v>438</v>
      </c>
      <c r="J847" s="68" t="s">
        <v>439</v>
      </c>
      <c r="K847" s="68" t="s">
        <v>440</v>
      </c>
      <c r="L847" s="68" t="s">
        <v>441</v>
      </c>
      <c r="M847" s="68" t="s">
        <v>442</v>
      </c>
      <c r="N847" s="773" t="s">
        <v>443</v>
      </c>
      <c r="O847" s="774" t="s">
        <v>444</v>
      </c>
      <c r="P847" s="876"/>
      <c r="Q847" s="877"/>
    </row>
    <row r="848" spans="1:17" ht="25.5" hidden="1">
      <c r="A848" s="105">
        <v>1</v>
      </c>
      <c r="B848" s="106" t="s">
        <v>806</v>
      </c>
      <c r="C848" s="155">
        <v>2</v>
      </c>
      <c r="D848" s="155">
        <v>0</v>
      </c>
      <c r="E848" s="93">
        <v>0</v>
      </c>
      <c r="F848" s="71">
        <f>120/225</f>
        <v>0.5333333333333333</v>
      </c>
      <c r="G848" s="72"/>
      <c r="H848" s="72"/>
      <c r="I848" s="72"/>
      <c r="J848" s="72"/>
      <c r="K848" s="69"/>
      <c r="L848" s="69"/>
      <c r="M848" s="72"/>
      <c r="N848" s="778">
        <f>G848+H848+J848+M848</f>
        <v>0</v>
      </c>
      <c r="O848" s="785">
        <v>0</v>
      </c>
      <c r="P848" s="69"/>
      <c r="Q848" s="69"/>
    </row>
    <row r="849" spans="1:17" ht="12.75" hidden="1">
      <c r="A849" s="73"/>
      <c r="B849" s="74"/>
      <c r="C849" s="111"/>
      <c r="D849" s="73"/>
      <c r="E849" s="73"/>
      <c r="F849" s="73"/>
      <c r="G849" s="73"/>
      <c r="H849" s="73"/>
      <c r="I849" s="73"/>
      <c r="J849" s="73"/>
      <c r="K849" s="73"/>
      <c r="L849" s="73"/>
      <c r="M849" s="73"/>
      <c r="N849" s="89"/>
      <c r="O849" s="89"/>
      <c r="P849" s="73"/>
      <c r="Q849" s="163"/>
    </row>
    <row r="850" spans="1:17" ht="12.75" hidden="1">
      <c r="A850" s="73"/>
      <c r="B850" s="118"/>
      <c r="C850" s="111"/>
      <c r="D850" s="73"/>
      <c r="E850" s="73"/>
      <c r="F850" s="73"/>
      <c r="G850" s="73"/>
      <c r="H850" s="73"/>
      <c r="I850" s="73"/>
      <c r="J850" s="73"/>
      <c r="K850" s="73"/>
      <c r="L850" s="73"/>
      <c r="M850" s="73"/>
      <c r="N850" s="89"/>
      <c r="O850" s="89"/>
      <c r="P850" s="73"/>
      <c r="Q850" s="73"/>
    </row>
    <row r="851" spans="1:17" ht="12.75" hidden="1">
      <c r="A851" s="73"/>
      <c r="B851" s="74"/>
      <c r="C851" s="111"/>
      <c r="D851" s="73"/>
      <c r="E851" s="73"/>
      <c r="F851" s="73"/>
      <c r="G851" s="73"/>
      <c r="H851" s="73"/>
      <c r="I851" s="73"/>
      <c r="J851" s="73"/>
      <c r="K851" s="73"/>
      <c r="L851" s="73"/>
      <c r="M851" s="73"/>
      <c r="N851" s="89"/>
      <c r="O851" s="89"/>
      <c r="P851" s="73"/>
      <c r="Q851" s="73"/>
    </row>
    <row r="852" spans="1:17" ht="12.75" hidden="1">
      <c r="A852" s="73"/>
      <c r="B852" s="74"/>
      <c r="C852" s="111"/>
      <c r="D852" s="73"/>
      <c r="E852" s="73"/>
      <c r="F852" s="73"/>
      <c r="G852" s="73"/>
      <c r="H852" s="73"/>
      <c r="I852" s="73"/>
      <c r="J852" s="73"/>
      <c r="K852" s="73"/>
      <c r="L852" s="73"/>
      <c r="M852" s="73"/>
      <c r="N852" s="89"/>
      <c r="O852" s="89"/>
      <c r="P852" s="73"/>
      <c r="Q852" s="73"/>
    </row>
    <row r="853" spans="1:17" ht="12.75" hidden="1">
      <c r="A853" s="73"/>
      <c r="B853" s="74"/>
      <c r="C853" s="111"/>
      <c r="D853" s="73"/>
      <c r="E853" s="73"/>
      <c r="F853" s="73"/>
      <c r="G853" s="73"/>
      <c r="H853" s="73"/>
      <c r="I853" s="73"/>
      <c r="J853" s="73"/>
      <c r="K853" s="73"/>
      <c r="L853" s="73"/>
      <c r="M853" s="73"/>
      <c r="N853" s="89"/>
      <c r="O853" s="89"/>
      <c r="P853" s="73"/>
      <c r="Q853" s="73"/>
    </row>
    <row r="854" spans="1:17" ht="12.75" hidden="1">
      <c r="A854" s="73"/>
      <c r="B854" s="74"/>
      <c r="C854" s="73"/>
      <c r="D854" s="73"/>
      <c r="E854" s="73"/>
      <c r="F854" s="73"/>
      <c r="G854" s="73"/>
      <c r="H854" s="73"/>
      <c r="I854" s="73"/>
      <c r="J854" s="73"/>
      <c r="K854" s="73"/>
      <c r="L854" s="73"/>
      <c r="M854" s="73"/>
      <c r="N854" s="89"/>
      <c r="O854" s="89"/>
      <c r="P854" s="73"/>
      <c r="Q854" s="73"/>
    </row>
    <row r="855" spans="1:17" ht="12.75" hidden="1">
      <c r="A855" s="73"/>
      <c r="B855" s="73"/>
      <c r="C855" s="73"/>
      <c r="D855" s="73"/>
      <c r="E855" s="73"/>
      <c r="F855" s="73"/>
      <c r="G855" s="73"/>
      <c r="H855" s="73"/>
      <c r="I855" s="73"/>
      <c r="J855" s="73"/>
      <c r="K855" s="73"/>
      <c r="L855" s="73"/>
      <c r="M855" s="73"/>
      <c r="N855" s="89"/>
      <c r="O855" s="89"/>
      <c r="P855" s="73"/>
      <c r="Q855" s="73"/>
    </row>
    <row r="856" spans="1:17" ht="12.75" hidden="1">
      <c r="A856" s="73"/>
      <c r="B856" s="73"/>
      <c r="C856" s="73"/>
      <c r="D856" s="73"/>
      <c r="E856" s="73"/>
      <c r="F856" s="73"/>
      <c r="G856" s="73"/>
      <c r="H856" s="73"/>
      <c r="I856" s="73"/>
      <c r="J856" s="73"/>
      <c r="K856" s="73"/>
      <c r="L856" s="73"/>
      <c r="M856" s="73"/>
      <c r="N856" s="89"/>
      <c r="O856" s="89"/>
      <c r="P856" s="73"/>
      <c r="Q856" s="73"/>
    </row>
    <row r="857" spans="1:17" ht="12.75" hidden="1">
      <c r="A857" s="73"/>
      <c r="B857" s="73"/>
      <c r="C857" s="73"/>
      <c r="D857" s="73"/>
      <c r="E857" s="73"/>
      <c r="F857" s="73"/>
      <c r="G857" s="73"/>
      <c r="H857" s="73"/>
      <c r="I857" s="73"/>
      <c r="J857" s="73"/>
      <c r="K857" s="73"/>
      <c r="L857" s="73"/>
      <c r="M857" s="73"/>
      <c r="N857" s="89"/>
      <c r="O857" s="89"/>
      <c r="P857" s="73"/>
      <c r="Q857" s="73"/>
    </row>
    <row r="858" spans="1:17" ht="12.75" hidden="1">
      <c r="A858" s="73"/>
      <c r="B858" s="73"/>
      <c r="C858" s="73"/>
      <c r="D858" s="73"/>
      <c r="E858" s="73"/>
      <c r="F858" s="73"/>
      <c r="G858" s="73"/>
      <c r="H858" s="73"/>
      <c r="I858" s="73"/>
      <c r="J858" s="73"/>
      <c r="K858" s="73"/>
      <c r="L858" s="73"/>
      <c r="M858" s="73"/>
      <c r="N858" s="89"/>
      <c r="O858" s="89"/>
      <c r="P858" s="73"/>
      <c r="Q858" s="73"/>
    </row>
    <row r="859" spans="1:17" ht="12.75" hidden="1">
      <c r="A859" s="73"/>
      <c r="B859" s="73"/>
      <c r="C859" s="73"/>
      <c r="D859" s="73"/>
      <c r="E859" s="73"/>
      <c r="F859" s="73"/>
      <c r="G859" s="73"/>
      <c r="H859" s="73"/>
      <c r="I859" s="73"/>
      <c r="J859" s="73"/>
      <c r="K859" s="73"/>
      <c r="L859" s="73"/>
      <c r="M859" s="73"/>
      <c r="N859" s="89"/>
      <c r="O859" s="89"/>
      <c r="P859" s="73"/>
      <c r="Q859" s="73"/>
    </row>
    <row r="860" spans="1:17" ht="12.75" hidden="1">
      <c r="A860" s="73"/>
      <c r="B860" s="73"/>
      <c r="C860" s="73"/>
      <c r="D860" s="73"/>
      <c r="E860" s="73"/>
      <c r="F860" s="73"/>
      <c r="G860" s="73"/>
      <c r="H860" s="73"/>
      <c r="I860" s="73"/>
      <c r="J860" s="73"/>
      <c r="K860" s="73"/>
      <c r="L860" s="73"/>
      <c r="M860" s="73"/>
      <c r="N860" s="89"/>
      <c r="O860" s="89"/>
      <c r="P860" s="73"/>
      <c r="Q860" s="73"/>
    </row>
    <row r="861" spans="1:17" ht="12.75" hidden="1">
      <c r="A861" s="73"/>
      <c r="B861" s="73"/>
      <c r="C861" s="73"/>
      <c r="D861" s="73"/>
      <c r="E861" s="73"/>
      <c r="F861" s="73"/>
      <c r="G861" s="73"/>
      <c r="H861" s="73"/>
      <c r="I861" s="73"/>
      <c r="J861" s="73"/>
      <c r="K861" s="73"/>
      <c r="L861" s="73"/>
      <c r="M861" s="73"/>
      <c r="N861" s="89"/>
      <c r="O861" s="89"/>
      <c r="P861" s="73"/>
      <c r="Q861" s="73"/>
    </row>
    <row r="862" spans="1:17" ht="12.75" hidden="1">
      <c r="A862" s="73"/>
      <c r="B862" s="73"/>
      <c r="C862" s="73"/>
      <c r="D862" s="73"/>
      <c r="E862" s="73"/>
      <c r="F862" s="73"/>
      <c r="G862" s="73"/>
      <c r="H862" s="73"/>
      <c r="I862" s="73"/>
      <c r="J862" s="73"/>
      <c r="K862" s="73"/>
      <c r="L862" s="73"/>
      <c r="M862" s="73"/>
      <c r="N862" s="89"/>
      <c r="O862" s="89"/>
      <c r="P862" s="73"/>
      <c r="Q862" s="73"/>
    </row>
    <row r="863" spans="1:17" ht="12.75" hidden="1">
      <c r="A863" s="73"/>
      <c r="B863" s="73"/>
      <c r="C863" s="73"/>
      <c r="D863" s="73"/>
      <c r="E863" s="73"/>
      <c r="F863" s="73"/>
      <c r="G863" s="73"/>
      <c r="H863" s="73"/>
      <c r="I863" s="73"/>
      <c r="J863" s="73"/>
      <c r="K863" s="73"/>
      <c r="L863" s="73"/>
      <c r="M863" s="73"/>
      <c r="N863" s="89"/>
      <c r="O863" s="89"/>
      <c r="P863" s="73"/>
      <c r="Q863" s="73"/>
    </row>
    <row r="864" spans="1:17" ht="13.5" hidden="1" thickBot="1">
      <c r="A864" s="81"/>
      <c r="B864" s="82" t="s">
        <v>445</v>
      </c>
      <c r="C864" s="81"/>
      <c r="D864" s="81"/>
      <c r="E864" s="81"/>
      <c r="F864" s="81"/>
      <c r="G864" s="84">
        <f>SUM(G848:G863)</f>
        <v>0</v>
      </c>
      <c r="H864" s="84">
        <f aca="true" t="shared" si="31" ref="H864:O864">SUM(H848:H863)</f>
        <v>0</v>
      </c>
      <c r="I864" s="84">
        <f t="shared" si="31"/>
        <v>0</v>
      </c>
      <c r="J864" s="84">
        <f t="shared" si="31"/>
        <v>0</v>
      </c>
      <c r="K864" s="84">
        <f t="shared" si="31"/>
        <v>0</v>
      </c>
      <c r="L864" s="84">
        <f t="shared" si="31"/>
        <v>0</v>
      </c>
      <c r="M864" s="84">
        <f t="shared" si="31"/>
        <v>0</v>
      </c>
      <c r="N864" s="84">
        <f t="shared" si="31"/>
        <v>0</v>
      </c>
      <c r="O864" s="84">
        <f t="shared" si="31"/>
        <v>0</v>
      </c>
      <c r="P864" s="81"/>
      <c r="Q864" s="81"/>
    </row>
    <row r="865" ht="12.75">
      <c r="S865" s="153" t="e">
        <f>+'Resumen presupuesto ejecutado'!#REF!/1000</f>
        <v>#REF!</v>
      </c>
    </row>
    <row r="866" spans="1:19" ht="12.75">
      <c r="A866" s="918" t="s">
        <v>420</v>
      </c>
      <c r="B866" s="918"/>
      <c r="C866" s="918"/>
      <c r="D866" s="918"/>
      <c r="E866" s="918"/>
      <c r="F866" s="918"/>
      <c r="G866" s="918"/>
      <c r="H866" s="918"/>
      <c r="I866" s="918"/>
      <c r="J866" s="918"/>
      <c r="K866" s="918"/>
      <c r="L866" s="918"/>
      <c r="M866" s="918"/>
      <c r="N866" s="918"/>
      <c r="O866" s="918"/>
      <c r="P866" s="918"/>
      <c r="Q866" s="918"/>
      <c r="S866" s="153" t="e">
        <f>+S831-S865</f>
        <v>#REF!</v>
      </c>
    </row>
    <row r="867" spans="1:20" s="39" customFormat="1" ht="16.5" thickBot="1">
      <c r="A867" s="891" t="s">
        <v>609</v>
      </c>
      <c r="B867" s="891"/>
      <c r="C867" s="891"/>
      <c r="D867" s="891"/>
      <c r="E867" s="891"/>
      <c r="F867" s="891"/>
      <c r="G867" s="891"/>
      <c r="H867" s="891"/>
      <c r="I867" s="891"/>
      <c r="J867" s="891"/>
      <c r="K867" s="891"/>
      <c r="L867" s="891"/>
      <c r="M867" s="891"/>
      <c r="N867" s="891"/>
      <c r="O867" s="891"/>
      <c r="P867" s="891"/>
      <c r="Q867" s="891"/>
      <c r="R867" s="184"/>
      <c r="S867" s="184"/>
      <c r="T867" s="184"/>
    </row>
    <row r="868" spans="3:20" s="39" customFormat="1" ht="13.5" thickBot="1">
      <c r="C868" s="38"/>
      <c r="D868" s="38"/>
      <c r="N868" s="755"/>
      <c r="O868" s="755"/>
      <c r="P868" s="919" t="s">
        <v>213</v>
      </c>
      <c r="Q868" s="920"/>
      <c r="R868" s="184"/>
      <c r="S868" s="184"/>
      <c r="T868" s="184"/>
    </row>
    <row r="869" spans="1:17" ht="12.75">
      <c r="A869" s="917" t="s">
        <v>76</v>
      </c>
      <c r="B869" s="917"/>
      <c r="C869" s="917"/>
      <c r="D869" s="917"/>
      <c r="E869" s="917"/>
      <c r="F869" s="917"/>
      <c r="P869" s="889" t="s">
        <v>74</v>
      </c>
      <c r="Q869" s="889"/>
    </row>
    <row r="870" spans="1:17" ht="12.75">
      <c r="A870" s="917" t="s">
        <v>77</v>
      </c>
      <c r="B870" s="890"/>
      <c r="C870" s="890"/>
      <c r="D870" s="890"/>
      <c r="E870" s="890"/>
      <c r="F870" s="890"/>
      <c r="L870" s="160"/>
      <c r="P870" s="890" t="s">
        <v>124</v>
      </c>
      <c r="Q870" s="890"/>
    </row>
    <row r="871" spans="1:16" ht="12.75">
      <c r="A871" s="917" t="s">
        <v>808</v>
      </c>
      <c r="B871" s="890"/>
      <c r="C871" s="890"/>
      <c r="D871" s="890"/>
      <c r="E871" s="890"/>
      <c r="F871" s="890"/>
      <c r="G871" s="38" t="s">
        <v>72</v>
      </c>
      <c r="I871" s="41">
        <v>39083</v>
      </c>
      <c r="P871" s="38" t="s">
        <v>123</v>
      </c>
    </row>
    <row r="873" ht="13.5" thickBot="1"/>
    <row r="874" spans="1:17" ht="13.5" thickBot="1">
      <c r="A874" s="97" t="s">
        <v>424</v>
      </c>
      <c r="B874" s="98"/>
      <c r="C874" s="98" t="s">
        <v>559</v>
      </c>
      <c r="D874" s="98"/>
      <c r="E874" s="98"/>
      <c r="F874" s="100"/>
      <c r="G874" s="880" t="s">
        <v>425</v>
      </c>
      <c r="H874" s="881"/>
      <c r="I874" s="881"/>
      <c r="J874" s="881"/>
      <c r="K874" s="881"/>
      <c r="L874" s="881"/>
      <c r="M874" s="881"/>
      <c r="N874" s="881"/>
      <c r="O874" s="881"/>
      <c r="P874" s="880" t="s">
        <v>426</v>
      </c>
      <c r="Q874" s="882"/>
    </row>
    <row r="875" spans="1:17" ht="21.75" customHeight="1">
      <c r="A875" s="101" t="s">
        <v>422</v>
      </c>
      <c r="B875" s="102"/>
      <c r="C875" s="102" t="s">
        <v>697</v>
      </c>
      <c r="D875" s="102"/>
      <c r="E875" s="102"/>
      <c r="F875" s="104"/>
      <c r="G875" s="883" t="s">
        <v>34</v>
      </c>
      <c r="H875" s="884"/>
      <c r="I875" s="884"/>
      <c r="J875" s="884"/>
      <c r="K875" s="884"/>
      <c r="L875" s="884"/>
      <c r="M875" s="884"/>
      <c r="N875" s="884"/>
      <c r="O875" s="885"/>
      <c r="P875" s="165"/>
      <c r="Q875" s="157" t="s">
        <v>701</v>
      </c>
    </row>
    <row r="876" spans="1:17" ht="21.75" customHeight="1" thickBot="1">
      <c r="A876" s="51" t="s">
        <v>423</v>
      </c>
      <c r="B876" s="52"/>
      <c r="C876" s="52" t="s">
        <v>698</v>
      </c>
      <c r="D876" s="52"/>
      <c r="E876" s="52"/>
      <c r="F876" s="54"/>
      <c r="G876" s="886"/>
      <c r="H876" s="887"/>
      <c r="I876" s="887"/>
      <c r="J876" s="887"/>
      <c r="K876" s="887"/>
      <c r="L876" s="887"/>
      <c r="M876" s="887"/>
      <c r="N876" s="887"/>
      <c r="O876" s="888"/>
      <c r="P876" s="161"/>
      <c r="Q876" s="162"/>
    </row>
    <row r="877" spans="1:2" ht="13.5" thickBot="1">
      <c r="A877" s="38" t="s">
        <v>73</v>
      </c>
      <c r="B877" s="57"/>
    </row>
    <row r="878" spans="1:17" ht="12.75">
      <c r="A878" s="872" t="s">
        <v>431</v>
      </c>
      <c r="B878" s="873"/>
      <c r="C878" s="873"/>
      <c r="D878" s="873"/>
      <c r="E878" s="873"/>
      <c r="F878" s="874"/>
      <c r="G878" s="872" t="s">
        <v>427</v>
      </c>
      <c r="H878" s="873"/>
      <c r="I878" s="873"/>
      <c r="J878" s="873"/>
      <c r="K878" s="873"/>
      <c r="L878" s="873"/>
      <c r="M878" s="873"/>
      <c r="N878" s="873"/>
      <c r="O878" s="874"/>
      <c r="P878" s="875" t="s">
        <v>428</v>
      </c>
      <c r="Q878" s="874" t="s">
        <v>429</v>
      </c>
    </row>
    <row r="879" spans="1:17" ht="13.5" thickBot="1">
      <c r="A879" s="61"/>
      <c r="B879" s="62"/>
      <c r="C879" s="62"/>
      <c r="D879" s="62"/>
      <c r="E879" s="62"/>
      <c r="F879" s="64"/>
      <c r="G879" s="61"/>
      <c r="H879" s="62"/>
      <c r="I879" s="62"/>
      <c r="J879" s="62"/>
      <c r="K879" s="62"/>
      <c r="L879" s="62"/>
      <c r="M879" s="62"/>
      <c r="N879" s="756"/>
      <c r="O879" s="757"/>
      <c r="P879" s="876"/>
      <c r="Q879" s="877"/>
    </row>
    <row r="880" spans="1:17" ht="52.5" thickBot="1">
      <c r="A880" s="35" t="s">
        <v>430</v>
      </c>
      <c r="B880" s="90" t="s">
        <v>432</v>
      </c>
      <c r="C880" s="142" t="s">
        <v>433</v>
      </c>
      <c r="D880" s="143" t="s">
        <v>434</v>
      </c>
      <c r="E880" s="144" t="s">
        <v>435</v>
      </c>
      <c r="F880" s="144" t="s">
        <v>446</v>
      </c>
      <c r="G880" s="67" t="s">
        <v>436</v>
      </c>
      <c r="H880" s="68" t="s">
        <v>437</v>
      </c>
      <c r="I880" s="68" t="s">
        <v>438</v>
      </c>
      <c r="J880" s="68" t="s">
        <v>439</v>
      </c>
      <c r="K880" s="68" t="s">
        <v>440</v>
      </c>
      <c r="L880" s="68" t="s">
        <v>441</v>
      </c>
      <c r="M880" s="68" t="s">
        <v>442</v>
      </c>
      <c r="N880" s="758" t="s">
        <v>443</v>
      </c>
      <c r="O880" s="759" t="s">
        <v>444</v>
      </c>
      <c r="P880" s="876"/>
      <c r="Q880" s="877"/>
    </row>
    <row r="881" spans="1:17" ht="70.5" customHeight="1">
      <c r="A881" s="105">
        <v>1</v>
      </c>
      <c r="B881" s="122" t="s">
        <v>131</v>
      </c>
      <c r="C881" s="249">
        <v>11770</v>
      </c>
      <c r="D881" s="335">
        <v>11770</v>
      </c>
      <c r="E881" s="328">
        <f>D881/C881</f>
        <v>1</v>
      </c>
      <c r="F881" s="149">
        <f>26177/25199</f>
        <v>1.0388110639311083</v>
      </c>
      <c r="G881" s="107">
        <f>33000*0.7</f>
        <v>23100</v>
      </c>
      <c r="H881" s="107"/>
      <c r="I881" s="72"/>
      <c r="J881" s="168"/>
      <c r="K881" s="72"/>
      <c r="L881" s="72"/>
      <c r="M881" s="107"/>
      <c r="N881" s="777">
        <f>G881+H881+I881+J881+M881</f>
        <v>23100</v>
      </c>
      <c r="O881" s="760">
        <f>30580.34*0.7</f>
        <v>21406.237999999998</v>
      </c>
      <c r="P881" s="347" t="s">
        <v>374</v>
      </c>
      <c r="Q881" s="69"/>
    </row>
    <row r="882" spans="1:17" ht="38.25">
      <c r="A882" s="73">
        <v>2</v>
      </c>
      <c r="B882" s="123" t="s">
        <v>132</v>
      </c>
      <c r="C882" s="111">
        <v>3</v>
      </c>
      <c r="D882" s="111">
        <v>3</v>
      </c>
      <c r="E882" s="75">
        <f>D882/C882</f>
        <v>1</v>
      </c>
      <c r="F882" s="75">
        <f>26177/25199</f>
        <v>1.0388110639311083</v>
      </c>
      <c r="G882" s="95">
        <f>33000*0.3</f>
        <v>9900</v>
      </c>
      <c r="H882" s="95"/>
      <c r="I882" s="169"/>
      <c r="K882" s="73"/>
      <c r="L882" s="73"/>
      <c r="M882" s="95"/>
      <c r="N882" s="765">
        <f aca="true" t="shared" si="32" ref="N882:N895">G882+H882+I882+J882+M882</f>
        <v>9900</v>
      </c>
      <c r="O882" s="765">
        <f>30580.34*0.3</f>
        <v>9174.101999999999</v>
      </c>
      <c r="P882" s="350" t="s">
        <v>374</v>
      </c>
      <c r="Q882" s="163"/>
    </row>
    <row r="883" spans="1:17" ht="42.75" customHeight="1">
      <c r="A883" s="73">
        <v>3</v>
      </c>
      <c r="B883" s="123" t="s">
        <v>134</v>
      </c>
      <c r="C883" s="164">
        <v>26750</v>
      </c>
      <c r="D883" s="164">
        <v>26750</v>
      </c>
      <c r="E883" s="75">
        <f>D883/C883</f>
        <v>1</v>
      </c>
      <c r="F883" s="75">
        <f aca="true" t="shared" si="33" ref="F883:F894">26177/25199</f>
        <v>1.0388110639311083</v>
      </c>
      <c r="G883" s="95"/>
      <c r="H883" s="95">
        <f>19500+29502.992+2883.656+1840.912</f>
        <v>53727.56</v>
      </c>
      <c r="I883" s="73"/>
      <c r="J883" s="174"/>
      <c r="K883" s="73"/>
      <c r="L883" s="73"/>
      <c r="M883" s="95"/>
      <c r="N883" s="776">
        <f t="shared" si="32"/>
        <v>53727.56</v>
      </c>
      <c r="O883" s="765">
        <v>40762.13</v>
      </c>
      <c r="P883" s="350" t="s">
        <v>374</v>
      </c>
      <c r="Q883" s="73"/>
    </row>
    <row r="884" spans="1:17" ht="25.5">
      <c r="A884" s="73">
        <v>4</v>
      </c>
      <c r="B884" s="123" t="s">
        <v>603</v>
      </c>
      <c r="C884" s="164">
        <v>15</v>
      </c>
      <c r="D884" s="164">
        <v>12</v>
      </c>
      <c r="E884" s="75">
        <f>D884/C884</f>
        <v>0.8</v>
      </c>
      <c r="F884" s="75">
        <f t="shared" si="33"/>
        <v>1.0388110639311083</v>
      </c>
      <c r="G884" s="95">
        <f>1000+20000</f>
        <v>21000</v>
      </c>
      <c r="H884" s="95"/>
      <c r="I884" s="73"/>
      <c r="J884" s="170"/>
      <c r="K884" s="73"/>
      <c r="L884" s="73"/>
      <c r="M884" s="95"/>
      <c r="N884" s="765">
        <f t="shared" si="32"/>
        <v>21000</v>
      </c>
      <c r="O884" s="765">
        <f>0+20000</f>
        <v>20000</v>
      </c>
      <c r="P884" s="350" t="s">
        <v>374</v>
      </c>
      <c r="Q884" s="73"/>
    </row>
    <row r="885" spans="1:17" ht="57" customHeight="1">
      <c r="A885" s="73">
        <v>5</v>
      </c>
      <c r="B885" s="123" t="s">
        <v>135</v>
      </c>
      <c r="C885" s="164">
        <v>3500</v>
      </c>
      <c r="D885" s="164">
        <v>3500</v>
      </c>
      <c r="E885" s="75">
        <v>0</v>
      </c>
      <c r="F885" s="75">
        <f t="shared" si="33"/>
        <v>1.0388110639311083</v>
      </c>
      <c r="G885" s="95"/>
      <c r="H885" s="95">
        <v>500</v>
      </c>
      <c r="I885" s="73"/>
      <c r="J885" s="170"/>
      <c r="K885" s="73"/>
      <c r="L885" s="73"/>
      <c r="M885" s="95"/>
      <c r="N885" s="776">
        <f t="shared" si="32"/>
        <v>500</v>
      </c>
      <c r="O885" s="765">
        <v>0</v>
      </c>
      <c r="P885" s="350" t="s">
        <v>374</v>
      </c>
      <c r="Q885" s="313" t="s">
        <v>136</v>
      </c>
    </row>
    <row r="886" spans="1:17" ht="42.75" customHeight="1">
      <c r="A886" s="73">
        <v>6</v>
      </c>
      <c r="B886" s="123" t="s">
        <v>137</v>
      </c>
      <c r="C886" s="164">
        <v>6</v>
      </c>
      <c r="D886" s="164">
        <v>6</v>
      </c>
      <c r="E886" s="75">
        <f>D886/C886</f>
        <v>1</v>
      </c>
      <c r="F886" s="75">
        <f t="shared" si="33"/>
        <v>1.0388110639311083</v>
      </c>
      <c r="G886" s="95"/>
      <c r="H886" s="95"/>
      <c r="I886" s="73"/>
      <c r="J886" s="170"/>
      <c r="K886" s="73"/>
      <c r="L886" s="73"/>
      <c r="M886" s="95"/>
      <c r="N886" s="771">
        <f t="shared" si="32"/>
        <v>0</v>
      </c>
      <c r="O886" s="767"/>
      <c r="P886" s="350" t="s">
        <v>374</v>
      </c>
      <c r="Q886" s="73"/>
    </row>
    <row r="887" spans="1:17" ht="38.25">
      <c r="A887" s="73">
        <v>7</v>
      </c>
      <c r="B887" s="123" t="s">
        <v>807</v>
      </c>
      <c r="C887" s="164">
        <v>6</v>
      </c>
      <c r="D887" s="164">
        <v>6</v>
      </c>
      <c r="E887" s="75">
        <f>D887/C887</f>
        <v>1</v>
      </c>
      <c r="F887" s="75">
        <f t="shared" si="33"/>
        <v>1.0388110639311083</v>
      </c>
      <c r="G887" s="95"/>
      <c r="H887" s="95"/>
      <c r="I887" s="73"/>
      <c r="J887" s="170"/>
      <c r="K887" s="73"/>
      <c r="L887" s="73"/>
      <c r="M887" s="95"/>
      <c r="N887" s="771">
        <f t="shared" si="32"/>
        <v>0</v>
      </c>
      <c r="O887" s="767"/>
      <c r="P887" s="350" t="s">
        <v>374</v>
      </c>
      <c r="Q887" s="73"/>
    </row>
    <row r="888" spans="1:17" ht="42" customHeight="1">
      <c r="A888" s="73">
        <v>8</v>
      </c>
      <c r="B888" s="171" t="s">
        <v>133</v>
      </c>
      <c r="C888" s="164">
        <v>10</v>
      </c>
      <c r="D888" s="164">
        <v>8</v>
      </c>
      <c r="E888" s="75">
        <v>0</v>
      </c>
      <c r="F888" s="75">
        <f t="shared" si="33"/>
        <v>1.0388110639311083</v>
      </c>
      <c r="G888" s="95"/>
      <c r="H888" s="95"/>
      <c r="I888" s="73"/>
      <c r="J888" s="170"/>
      <c r="K888" s="73"/>
      <c r="L888" s="73"/>
      <c r="M888" s="95"/>
      <c r="N888" s="771">
        <f t="shared" si="32"/>
        <v>0</v>
      </c>
      <c r="O888" s="767"/>
      <c r="P888" s="350" t="s">
        <v>374</v>
      </c>
      <c r="Q888" s="73"/>
    </row>
    <row r="889" spans="1:17" ht="44.25" customHeight="1">
      <c r="A889" s="73">
        <v>9</v>
      </c>
      <c r="B889" s="171" t="s">
        <v>616</v>
      </c>
      <c r="C889" s="111">
        <v>15</v>
      </c>
      <c r="D889" s="111">
        <v>19</v>
      </c>
      <c r="E889" s="75">
        <f aca="true" t="shared" si="34" ref="E889:E894">D889/C889</f>
        <v>1.2666666666666666</v>
      </c>
      <c r="F889" s="75">
        <f t="shared" si="33"/>
        <v>1.0388110639311083</v>
      </c>
      <c r="G889" s="95">
        <v>16000</v>
      </c>
      <c r="H889" s="95"/>
      <c r="I889" s="73"/>
      <c r="J889" s="170"/>
      <c r="K889" s="73"/>
      <c r="L889" s="73"/>
      <c r="M889" s="95"/>
      <c r="N889" s="776">
        <f t="shared" si="32"/>
        <v>16000</v>
      </c>
      <c r="O889" s="765">
        <v>16000</v>
      </c>
      <c r="P889" s="350" t="s">
        <v>374</v>
      </c>
      <c r="Q889" s="73"/>
    </row>
    <row r="890" spans="1:17" ht="25.5">
      <c r="A890" s="73">
        <v>10</v>
      </c>
      <c r="B890" s="171" t="s">
        <v>604</v>
      </c>
      <c r="C890" s="111">
        <v>20</v>
      </c>
      <c r="D890" s="111">
        <v>35</v>
      </c>
      <c r="E890" s="75">
        <f t="shared" si="34"/>
        <v>1.75</v>
      </c>
      <c r="F890" s="75">
        <f t="shared" si="33"/>
        <v>1.0388110639311083</v>
      </c>
      <c r="G890" s="95"/>
      <c r="H890" s="95">
        <v>1000</v>
      </c>
      <c r="I890" s="73"/>
      <c r="J890" s="170"/>
      <c r="K890" s="73"/>
      <c r="L890" s="73"/>
      <c r="M890" s="95"/>
      <c r="N890" s="776">
        <f t="shared" si="32"/>
        <v>1000</v>
      </c>
      <c r="O890" s="765">
        <f>1000-620</f>
        <v>380</v>
      </c>
      <c r="P890" s="350" t="s">
        <v>374</v>
      </c>
      <c r="Q890" s="73"/>
    </row>
    <row r="891" spans="1:17" ht="41.25" customHeight="1">
      <c r="A891" s="73">
        <v>11</v>
      </c>
      <c r="B891" s="171" t="s">
        <v>139</v>
      </c>
      <c r="C891" s="111">
        <v>3000</v>
      </c>
      <c r="D891" s="111">
        <v>2500</v>
      </c>
      <c r="E891" s="75">
        <f t="shared" si="34"/>
        <v>0.8333333333333334</v>
      </c>
      <c r="F891" s="75">
        <f t="shared" si="33"/>
        <v>1.0388110639311083</v>
      </c>
      <c r="G891" s="73"/>
      <c r="H891" s="73"/>
      <c r="I891" s="73"/>
      <c r="J891" s="170"/>
      <c r="K891" s="73"/>
      <c r="L891" s="73"/>
      <c r="M891" s="73"/>
      <c r="N891" s="771">
        <f t="shared" si="32"/>
        <v>0</v>
      </c>
      <c r="O891" s="89"/>
      <c r="P891" s="350" t="s">
        <v>374</v>
      </c>
      <c r="Q891" s="73"/>
    </row>
    <row r="892" spans="1:17" ht="41.25" customHeight="1">
      <c r="A892" s="73">
        <v>12</v>
      </c>
      <c r="B892" s="171" t="s">
        <v>620</v>
      </c>
      <c r="C892" s="164">
        <v>26750</v>
      </c>
      <c r="D892" s="164">
        <v>26750</v>
      </c>
      <c r="E892" s="75">
        <f t="shared" si="34"/>
        <v>1</v>
      </c>
      <c r="F892" s="75">
        <f t="shared" si="33"/>
        <v>1.0388110639311083</v>
      </c>
      <c r="G892" s="73">
        <v>700</v>
      </c>
      <c r="H892" s="95">
        <v>17800</v>
      </c>
      <c r="I892" s="73"/>
      <c r="J892" s="170"/>
      <c r="K892" s="73"/>
      <c r="L892" s="73"/>
      <c r="M892" s="73"/>
      <c r="N892" s="776">
        <f t="shared" si="32"/>
        <v>18500</v>
      </c>
      <c r="O892" s="765">
        <v>18500</v>
      </c>
      <c r="P892" s="350" t="s">
        <v>374</v>
      </c>
      <c r="Q892" s="73"/>
    </row>
    <row r="893" spans="1:17" ht="42" customHeight="1">
      <c r="A893" s="73">
        <v>13</v>
      </c>
      <c r="B893" s="171" t="s">
        <v>313</v>
      </c>
      <c r="C893" s="111">
        <v>475</v>
      </c>
      <c r="D893" s="111">
        <v>475</v>
      </c>
      <c r="E893" s="75">
        <f t="shared" si="34"/>
        <v>1</v>
      </c>
      <c r="F893" s="75">
        <f t="shared" si="33"/>
        <v>1.0388110639311083</v>
      </c>
      <c r="G893" s="95"/>
      <c r="H893" s="95"/>
      <c r="I893" s="73"/>
      <c r="J893" s="170"/>
      <c r="K893" s="73"/>
      <c r="L893" s="73"/>
      <c r="M893" s="73"/>
      <c r="N893" s="771">
        <f t="shared" si="32"/>
        <v>0</v>
      </c>
      <c r="O893" s="767"/>
      <c r="P893" s="350" t="s">
        <v>374</v>
      </c>
      <c r="Q893" s="73"/>
    </row>
    <row r="894" spans="1:17" ht="40.5" customHeight="1">
      <c r="A894" s="73">
        <v>14</v>
      </c>
      <c r="B894" s="171" t="s">
        <v>621</v>
      </c>
      <c r="C894" s="164">
        <v>26750</v>
      </c>
      <c r="D894" s="164">
        <v>26750</v>
      </c>
      <c r="E894" s="75">
        <f t="shared" si="34"/>
        <v>1</v>
      </c>
      <c r="F894" s="75">
        <f t="shared" si="33"/>
        <v>1.0388110639311083</v>
      </c>
      <c r="G894" s="151">
        <f>19144.065+6633.603</f>
        <v>25777.667999999998</v>
      </c>
      <c r="H894" s="95"/>
      <c r="I894" s="73"/>
      <c r="J894" s="170"/>
      <c r="K894" s="73"/>
      <c r="L894" s="73"/>
      <c r="M894" s="73"/>
      <c r="N894" s="776">
        <f t="shared" si="32"/>
        <v>25777.667999999998</v>
      </c>
      <c r="O894" s="765">
        <f>19144.065+6625.401</f>
        <v>25769.466</v>
      </c>
      <c r="P894" s="350" t="s">
        <v>374</v>
      </c>
      <c r="Q894" s="73"/>
    </row>
    <row r="895" spans="1:17" ht="12.75">
      <c r="A895" s="73">
        <v>15</v>
      </c>
      <c r="B895" s="73" t="s">
        <v>617</v>
      </c>
      <c r="C895" s="73"/>
      <c r="D895" s="73"/>
      <c r="E895" s="73"/>
      <c r="F895" s="73"/>
      <c r="G895" s="151">
        <v>1000</v>
      </c>
      <c r="H895" s="151">
        <v>2000</v>
      </c>
      <c r="I895" s="73"/>
      <c r="J895" s="170"/>
      <c r="K895" s="73"/>
      <c r="L895" s="73"/>
      <c r="M895" s="73"/>
      <c r="N895" s="776">
        <f t="shared" si="32"/>
        <v>3000</v>
      </c>
      <c r="O895" s="761">
        <v>3000</v>
      </c>
      <c r="P895" s="350" t="s">
        <v>374</v>
      </c>
      <c r="Q895" s="73"/>
    </row>
    <row r="896" spans="1:19" ht="13.5" thickBot="1">
      <c r="A896" s="81"/>
      <c r="B896" s="82" t="s">
        <v>445</v>
      </c>
      <c r="C896" s="81"/>
      <c r="D896" s="81"/>
      <c r="E896" s="81"/>
      <c r="F896" s="81"/>
      <c r="G896" s="84">
        <f>SUM(G881:G895)</f>
        <v>97477.668</v>
      </c>
      <c r="H896" s="84">
        <f aca="true" t="shared" si="35" ref="H896:M896">SUM(H881:H895)</f>
        <v>75027.56</v>
      </c>
      <c r="I896" s="84">
        <f t="shared" si="35"/>
        <v>0</v>
      </c>
      <c r="J896" s="172">
        <f t="shared" si="35"/>
        <v>0</v>
      </c>
      <c r="K896" s="84">
        <f t="shared" si="35"/>
        <v>0</v>
      </c>
      <c r="L896" s="84">
        <f t="shared" si="35"/>
        <v>0</v>
      </c>
      <c r="M896" s="84">
        <f t="shared" si="35"/>
        <v>0</v>
      </c>
      <c r="N896" s="762">
        <f>SUM(N881:N895)</f>
        <v>172505.228</v>
      </c>
      <c r="O896" s="762">
        <f>SUM(O881:O895)</f>
        <v>154991.936</v>
      </c>
      <c r="P896" s="81"/>
      <c r="Q896" s="81"/>
      <c r="R896" s="153">
        <f>+N896</f>
        <v>172505.228</v>
      </c>
      <c r="S896" s="153">
        <f>+O896</f>
        <v>154991.936</v>
      </c>
    </row>
    <row r="897" ht="12.75">
      <c r="S897" s="153" t="e">
        <f>+'Resumen presupuesto ejecutado'!#REF!/1000</f>
        <v>#REF!</v>
      </c>
    </row>
    <row r="898" spans="1:19" ht="12.75">
      <c r="A898" s="918" t="s">
        <v>420</v>
      </c>
      <c r="B898" s="918"/>
      <c r="C898" s="918"/>
      <c r="D898" s="918"/>
      <c r="E898" s="918"/>
      <c r="F898" s="918"/>
      <c r="G898" s="918"/>
      <c r="H898" s="918"/>
      <c r="I898" s="918"/>
      <c r="J898" s="918"/>
      <c r="K898" s="918"/>
      <c r="L898" s="918"/>
      <c r="M898" s="918"/>
      <c r="N898" s="918"/>
      <c r="O898" s="918"/>
      <c r="P898" s="918"/>
      <c r="Q898" s="918"/>
      <c r="S898" s="153" t="e">
        <f>+S896-S897</f>
        <v>#REF!</v>
      </c>
    </row>
    <row r="899" spans="1:20" s="39" customFormat="1" ht="16.5" thickBot="1">
      <c r="A899" s="891" t="s">
        <v>609</v>
      </c>
      <c r="B899" s="891"/>
      <c r="C899" s="891"/>
      <c r="D899" s="891"/>
      <c r="E899" s="891"/>
      <c r="F899" s="891"/>
      <c r="G899" s="891"/>
      <c r="H899" s="891"/>
      <c r="I899" s="891"/>
      <c r="J899" s="891"/>
      <c r="K899" s="891"/>
      <c r="L899" s="891"/>
      <c r="M899" s="891"/>
      <c r="N899" s="891"/>
      <c r="O899" s="891"/>
      <c r="P899" s="891"/>
      <c r="Q899" s="891"/>
      <c r="R899" s="184"/>
      <c r="S899" s="184"/>
      <c r="T899" s="184"/>
    </row>
    <row r="900" spans="3:20" s="39" customFormat="1" ht="13.5" thickBot="1">
      <c r="C900" s="38"/>
      <c r="D900" s="38"/>
      <c r="N900" s="755"/>
      <c r="O900" s="755"/>
      <c r="P900" s="919" t="s">
        <v>214</v>
      </c>
      <c r="Q900" s="920"/>
      <c r="R900" s="184"/>
      <c r="S900" s="184"/>
      <c r="T900" s="184"/>
    </row>
    <row r="901" spans="1:17" ht="12.75">
      <c r="A901" s="917" t="s">
        <v>76</v>
      </c>
      <c r="B901" s="917"/>
      <c r="C901" s="917"/>
      <c r="D901" s="917"/>
      <c r="E901" s="917"/>
      <c r="F901" s="917"/>
      <c r="P901" s="889" t="s">
        <v>74</v>
      </c>
      <c r="Q901" s="889"/>
    </row>
    <row r="902" spans="1:17" ht="12.75">
      <c r="A902" s="917" t="s">
        <v>77</v>
      </c>
      <c r="B902" s="890"/>
      <c r="C902" s="890"/>
      <c r="D902" s="890"/>
      <c r="E902" s="890"/>
      <c r="F902" s="890"/>
      <c r="L902" s="160"/>
      <c r="P902" s="890" t="s">
        <v>124</v>
      </c>
      <c r="Q902" s="890"/>
    </row>
    <row r="903" spans="1:16" ht="12.75">
      <c r="A903" s="917" t="s">
        <v>808</v>
      </c>
      <c r="B903" s="890"/>
      <c r="C903" s="890"/>
      <c r="D903" s="890"/>
      <c r="E903" s="890"/>
      <c r="F903" s="890"/>
      <c r="G903" s="38" t="s">
        <v>72</v>
      </c>
      <c r="I903" s="41">
        <v>39083</v>
      </c>
      <c r="P903" s="38" t="s">
        <v>123</v>
      </c>
    </row>
    <row r="905" ht="13.5" thickBot="1"/>
    <row r="906" spans="1:17" ht="13.5" thickBot="1">
      <c r="A906" s="42" t="s">
        <v>424</v>
      </c>
      <c r="B906" s="43"/>
      <c r="C906" s="43" t="s">
        <v>559</v>
      </c>
      <c r="D906" s="43"/>
      <c r="E906" s="43"/>
      <c r="F906" s="45"/>
      <c r="G906" s="880" t="s">
        <v>425</v>
      </c>
      <c r="H906" s="881"/>
      <c r="I906" s="881"/>
      <c r="J906" s="881"/>
      <c r="K906" s="881"/>
      <c r="L906" s="881"/>
      <c r="M906" s="881"/>
      <c r="N906" s="881"/>
      <c r="O906" s="882"/>
      <c r="P906" s="880" t="s">
        <v>426</v>
      </c>
      <c r="Q906" s="882"/>
    </row>
    <row r="907" spans="1:17" ht="12.75">
      <c r="A907" s="46" t="s">
        <v>422</v>
      </c>
      <c r="B907" s="47"/>
      <c r="C907" s="47" t="s">
        <v>703</v>
      </c>
      <c r="D907" s="47"/>
      <c r="E907" s="47"/>
      <c r="F907" s="49"/>
      <c r="G907" s="883" t="s">
        <v>35</v>
      </c>
      <c r="H907" s="884"/>
      <c r="I907" s="884"/>
      <c r="J907" s="884"/>
      <c r="K907" s="884"/>
      <c r="L907" s="884"/>
      <c r="M907" s="884"/>
      <c r="N907" s="884"/>
      <c r="O907" s="885"/>
      <c r="P907" s="165"/>
      <c r="Q907" s="157" t="s">
        <v>701</v>
      </c>
    </row>
    <row r="908" spans="1:17" ht="13.5" thickBot="1">
      <c r="A908" s="51" t="s">
        <v>423</v>
      </c>
      <c r="B908" s="52"/>
      <c r="C908" s="52" t="s">
        <v>704</v>
      </c>
      <c r="D908" s="52"/>
      <c r="E908" s="52"/>
      <c r="F908" s="54"/>
      <c r="G908" s="886"/>
      <c r="H908" s="887"/>
      <c r="I908" s="887"/>
      <c r="J908" s="887"/>
      <c r="K908" s="887"/>
      <c r="L908" s="887"/>
      <c r="M908" s="887"/>
      <c r="N908" s="887"/>
      <c r="O908" s="888"/>
      <c r="P908" s="161"/>
      <c r="Q908" s="162"/>
    </row>
    <row r="909" spans="1:2" ht="20.25" customHeight="1" thickBot="1">
      <c r="A909" s="38" t="s">
        <v>73</v>
      </c>
      <c r="B909" s="57"/>
    </row>
    <row r="910" spans="1:17" ht="12.75">
      <c r="A910" s="872" t="s">
        <v>431</v>
      </c>
      <c r="B910" s="873"/>
      <c r="C910" s="873"/>
      <c r="D910" s="873"/>
      <c r="E910" s="873"/>
      <c r="F910" s="874"/>
      <c r="G910" s="872" t="s">
        <v>427</v>
      </c>
      <c r="H910" s="873"/>
      <c r="I910" s="873"/>
      <c r="J910" s="873"/>
      <c r="K910" s="873"/>
      <c r="L910" s="873"/>
      <c r="M910" s="873"/>
      <c r="N910" s="873"/>
      <c r="O910" s="874"/>
      <c r="P910" s="875" t="s">
        <v>428</v>
      </c>
      <c r="Q910" s="874" t="s">
        <v>429</v>
      </c>
    </row>
    <row r="911" spans="1:17" ht="13.5" thickBot="1">
      <c r="A911" s="61"/>
      <c r="B911" s="62"/>
      <c r="C911" s="62"/>
      <c r="D911" s="62"/>
      <c r="E911" s="62"/>
      <c r="F911" s="64"/>
      <c r="G911" s="61"/>
      <c r="H911" s="62"/>
      <c r="I911" s="62"/>
      <c r="J911" s="62"/>
      <c r="K911" s="62"/>
      <c r="L911" s="62"/>
      <c r="M911" s="62"/>
      <c r="N911" s="756"/>
      <c r="O911" s="757"/>
      <c r="P911" s="876"/>
      <c r="Q911" s="877"/>
    </row>
    <row r="912" spans="1:17" ht="52.5" thickBot="1">
      <c r="A912" s="35" t="s">
        <v>430</v>
      </c>
      <c r="B912" s="90" t="s">
        <v>432</v>
      </c>
      <c r="C912" s="142" t="s">
        <v>433</v>
      </c>
      <c r="D912" s="143" t="s">
        <v>434</v>
      </c>
      <c r="E912" s="144" t="s">
        <v>435</v>
      </c>
      <c r="F912" s="144" t="s">
        <v>446</v>
      </c>
      <c r="G912" s="67" t="s">
        <v>436</v>
      </c>
      <c r="H912" s="68" t="s">
        <v>437</v>
      </c>
      <c r="I912" s="68" t="s">
        <v>438</v>
      </c>
      <c r="J912" s="68" t="s">
        <v>439</v>
      </c>
      <c r="K912" s="68" t="s">
        <v>440</v>
      </c>
      <c r="L912" s="68" t="s">
        <v>441</v>
      </c>
      <c r="M912" s="112" t="s">
        <v>442</v>
      </c>
      <c r="N912" s="774" t="s">
        <v>443</v>
      </c>
      <c r="O912" s="774" t="s">
        <v>444</v>
      </c>
      <c r="P912" s="876"/>
      <c r="Q912" s="877"/>
    </row>
    <row r="913" spans="1:17" ht="25.5">
      <c r="A913" s="105">
        <v>1</v>
      </c>
      <c r="B913" s="92" t="s">
        <v>614</v>
      </c>
      <c r="C913" s="164">
        <v>26750</v>
      </c>
      <c r="D913" s="164">
        <v>26750</v>
      </c>
      <c r="E913" s="328">
        <f>D913/C913</f>
        <v>1</v>
      </c>
      <c r="F913" s="149">
        <f>26177/25199</f>
        <v>1.0388110639311083</v>
      </c>
      <c r="G913" s="107">
        <v>15000</v>
      </c>
      <c r="H913" s="107">
        <v>4000</v>
      </c>
      <c r="I913" s="69"/>
      <c r="J913" s="107"/>
      <c r="K913" s="69"/>
      <c r="L913" s="69"/>
      <c r="M913" s="69"/>
      <c r="N913" s="786">
        <f>G913+H913+J913</f>
        <v>19000</v>
      </c>
      <c r="O913" s="786">
        <f>18939-3</f>
        <v>18936</v>
      </c>
      <c r="P913" s="355" t="s">
        <v>375</v>
      </c>
      <c r="Q913" s="69"/>
    </row>
    <row r="914" spans="1:17" ht="51">
      <c r="A914" s="73">
        <v>2</v>
      </c>
      <c r="B914" s="74" t="s">
        <v>615</v>
      </c>
      <c r="C914" s="164">
        <v>26750</v>
      </c>
      <c r="D914" s="164">
        <v>26750</v>
      </c>
      <c r="E914" s="75">
        <f>+D914/C914</f>
        <v>1</v>
      </c>
      <c r="F914" s="75">
        <f>26177/25199</f>
        <v>1.0388110639311083</v>
      </c>
      <c r="G914" s="95">
        <v>10000</v>
      </c>
      <c r="H914" s="95"/>
      <c r="I914" s="73"/>
      <c r="J914" s="95"/>
      <c r="K914" s="73"/>
      <c r="L914" s="73"/>
      <c r="M914" s="73"/>
      <c r="N914" s="765">
        <f>G914+H914+J914</f>
        <v>10000</v>
      </c>
      <c r="O914" s="765">
        <v>10000</v>
      </c>
      <c r="P914" s="356" t="s">
        <v>375</v>
      </c>
      <c r="Q914" s="163"/>
    </row>
    <row r="915" spans="1:17" ht="38.25">
      <c r="A915" s="73">
        <v>3</v>
      </c>
      <c r="B915" s="74" t="s">
        <v>526</v>
      </c>
      <c r="C915" s="164">
        <v>1</v>
      </c>
      <c r="D915" s="164">
        <v>1</v>
      </c>
      <c r="E915" s="75">
        <v>0</v>
      </c>
      <c r="F915" s="75">
        <f>26177/25199</f>
        <v>1.0388110639311083</v>
      </c>
      <c r="G915" s="95">
        <v>28000</v>
      </c>
      <c r="H915" s="95"/>
      <c r="I915" s="73"/>
      <c r="J915" s="73"/>
      <c r="K915" s="151"/>
      <c r="L915" s="73"/>
      <c r="M915" s="73"/>
      <c r="N915" s="765">
        <f>SUM(G915:M915)</f>
        <v>28000</v>
      </c>
      <c r="O915" s="761">
        <v>28000</v>
      </c>
      <c r="P915" s="356" t="s">
        <v>375</v>
      </c>
      <c r="Q915" s="73"/>
    </row>
    <row r="916" spans="1:17" ht="12.75">
      <c r="A916" s="73"/>
      <c r="B916" s="74"/>
      <c r="C916" s="111"/>
      <c r="D916" s="73"/>
      <c r="E916" s="73"/>
      <c r="F916" s="73"/>
      <c r="G916" s="73"/>
      <c r="H916" s="73"/>
      <c r="I916" s="73"/>
      <c r="J916" s="73"/>
      <c r="K916" s="73"/>
      <c r="L916" s="73"/>
      <c r="M916" s="73"/>
      <c r="N916" s="89"/>
      <c r="O916" s="89"/>
      <c r="P916" s="73"/>
      <c r="Q916" s="73"/>
    </row>
    <row r="917" spans="1:17" ht="12.75">
      <c r="A917" s="73"/>
      <c r="B917" s="74"/>
      <c r="C917" s="111"/>
      <c r="D917" s="73"/>
      <c r="E917" s="73"/>
      <c r="F917" s="73"/>
      <c r="G917" s="73"/>
      <c r="H917" s="73"/>
      <c r="I917" s="73"/>
      <c r="J917" s="73"/>
      <c r="K917" s="73"/>
      <c r="L917" s="73"/>
      <c r="M917" s="73"/>
      <c r="N917" s="89"/>
      <c r="O917" s="89"/>
      <c r="P917" s="73"/>
      <c r="Q917" s="73"/>
    </row>
    <row r="918" spans="1:17" ht="12.75">
      <c r="A918" s="73"/>
      <c r="B918" s="74"/>
      <c r="C918" s="73"/>
      <c r="D918" s="73"/>
      <c r="E918" s="73"/>
      <c r="F918" s="73"/>
      <c r="G918" s="73"/>
      <c r="H918" s="73"/>
      <c r="I918" s="73"/>
      <c r="J918" s="73"/>
      <c r="K918" s="73"/>
      <c r="L918" s="73"/>
      <c r="M918" s="73"/>
      <c r="N918" s="89"/>
      <c r="O918" s="89"/>
      <c r="P918" s="73"/>
      <c r="Q918" s="73"/>
    </row>
    <row r="919" spans="1:17" ht="12.75">
      <c r="A919" s="73"/>
      <c r="B919" s="73"/>
      <c r="C919" s="73"/>
      <c r="D919" s="73"/>
      <c r="E919" s="73"/>
      <c r="F919" s="73"/>
      <c r="G919" s="73"/>
      <c r="H919" s="73"/>
      <c r="I919" s="73"/>
      <c r="J919" s="73"/>
      <c r="K919" s="73"/>
      <c r="L919" s="73"/>
      <c r="M919" s="73"/>
      <c r="N919" s="89"/>
      <c r="O919" s="89"/>
      <c r="P919" s="73"/>
      <c r="Q919" s="73"/>
    </row>
    <row r="920" spans="1:17" ht="12.75">
      <c r="A920" s="73"/>
      <c r="B920" s="73"/>
      <c r="C920" s="73"/>
      <c r="D920" s="73"/>
      <c r="E920" s="73"/>
      <c r="F920" s="73"/>
      <c r="G920" s="73"/>
      <c r="H920" s="73"/>
      <c r="I920" s="73"/>
      <c r="J920" s="73"/>
      <c r="K920" s="73"/>
      <c r="L920" s="73"/>
      <c r="M920" s="73"/>
      <c r="N920" s="89"/>
      <c r="O920" s="89"/>
      <c r="P920" s="73"/>
      <c r="Q920" s="73"/>
    </row>
    <row r="921" spans="1:23" ht="12.75">
      <c r="A921" s="73"/>
      <c r="B921" s="73"/>
      <c r="C921" s="73"/>
      <c r="D921" s="73"/>
      <c r="E921" s="73"/>
      <c r="F921" s="73"/>
      <c r="G921" s="73"/>
      <c r="H921" s="73"/>
      <c r="I921" s="73"/>
      <c r="J921" s="73"/>
      <c r="K921" s="73"/>
      <c r="L921" s="73"/>
      <c r="M921" s="73"/>
      <c r="N921" s="89"/>
      <c r="O921" s="89"/>
      <c r="P921" s="73"/>
      <c r="Q921" s="73"/>
      <c r="V921" s="96">
        <f>70000000/V924</f>
        <v>223.59859580081837</v>
      </c>
      <c r="W921" s="38">
        <f>+V921*6</f>
        <v>1341.5915748049101</v>
      </c>
    </row>
    <row r="922" spans="1:17" ht="12.75">
      <c r="A922" s="73"/>
      <c r="B922" s="73"/>
      <c r="C922" s="73"/>
      <c r="D922" s="73"/>
      <c r="E922" s="73"/>
      <c r="F922" s="73"/>
      <c r="G922" s="73"/>
      <c r="H922" s="73"/>
      <c r="I922" s="73"/>
      <c r="J922" s="73"/>
      <c r="K922" s="73"/>
      <c r="L922" s="73"/>
      <c r="M922" s="73"/>
      <c r="N922" s="89"/>
      <c r="O922" s="89"/>
      <c r="P922" s="73"/>
      <c r="Q922" s="73"/>
    </row>
    <row r="923" spans="1:17" ht="12.75">
      <c r="A923" s="73"/>
      <c r="B923" s="73"/>
      <c r="C923" s="73"/>
      <c r="D923" s="73"/>
      <c r="E923" s="73"/>
      <c r="F923" s="73"/>
      <c r="G923" s="73"/>
      <c r="H923" s="73"/>
      <c r="I923" s="73"/>
      <c r="J923" s="73"/>
      <c r="K923" s="73"/>
      <c r="L923" s="73"/>
      <c r="M923" s="73"/>
      <c r="N923" s="89"/>
      <c r="O923" s="89"/>
      <c r="P923" s="73"/>
      <c r="Q923" s="73"/>
    </row>
    <row r="924" spans="1:23" ht="12.75">
      <c r="A924" s="73"/>
      <c r="B924" s="73"/>
      <c r="C924" s="73"/>
      <c r="D924" s="73"/>
      <c r="E924" s="73"/>
      <c r="F924" s="73"/>
      <c r="G924" s="73"/>
      <c r="H924" s="73"/>
      <c r="I924" s="73"/>
      <c r="J924" s="73"/>
      <c r="K924" s="73"/>
      <c r="L924" s="73"/>
      <c r="M924" s="73"/>
      <c r="N924" s="89"/>
      <c r="O924" s="89"/>
      <c r="P924" s="73"/>
      <c r="Q924" s="73"/>
      <c r="V924" s="153">
        <v>313061</v>
      </c>
      <c r="W924" s="38" t="s">
        <v>789</v>
      </c>
    </row>
    <row r="925" spans="1:23" ht="12.75">
      <c r="A925" s="73"/>
      <c r="B925" s="73"/>
      <c r="C925" s="73"/>
      <c r="D925" s="73"/>
      <c r="E925" s="73"/>
      <c r="F925" s="73"/>
      <c r="G925" s="73"/>
      <c r="H925" s="73"/>
      <c r="I925" s="73"/>
      <c r="J925" s="73"/>
      <c r="K925" s="73"/>
      <c r="L925" s="73"/>
      <c r="M925" s="73"/>
      <c r="N925" s="89"/>
      <c r="O925" s="89"/>
      <c r="P925" s="73"/>
      <c r="Q925" s="73"/>
      <c r="V925" s="153">
        <v>530605</v>
      </c>
      <c r="W925" s="38" t="s">
        <v>789</v>
      </c>
    </row>
    <row r="926" spans="1:17" ht="12.75">
      <c r="A926" s="73"/>
      <c r="B926" s="73"/>
      <c r="C926" s="73"/>
      <c r="D926" s="73"/>
      <c r="E926" s="73"/>
      <c r="F926" s="73"/>
      <c r="G926" s="73"/>
      <c r="H926" s="73"/>
      <c r="I926" s="73"/>
      <c r="J926" s="73"/>
      <c r="K926" s="73"/>
      <c r="L926" s="73"/>
      <c r="M926" s="73"/>
      <c r="N926" s="89"/>
      <c r="O926" s="89"/>
      <c r="P926" s="73"/>
      <c r="Q926" s="73"/>
    </row>
    <row r="927" spans="1:17" ht="12.75">
      <c r="A927" s="73"/>
      <c r="B927" s="73"/>
      <c r="C927" s="73"/>
      <c r="D927" s="73"/>
      <c r="E927" s="73"/>
      <c r="F927" s="73"/>
      <c r="G927" s="73"/>
      <c r="H927" s="73"/>
      <c r="I927" s="73"/>
      <c r="J927" s="73"/>
      <c r="K927" s="73"/>
      <c r="L927" s="73"/>
      <c r="M927" s="73"/>
      <c r="N927" s="89"/>
      <c r="O927" s="89"/>
      <c r="P927" s="73"/>
      <c r="Q927" s="73"/>
    </row>
    <row r="928" spans="1:19" ht="13.5" thickBot="1">
      <c r="A928" s="81"/>
      <c r="B928" s="82" t="s">
        <v>445</v>
      </c>
      <c r="C928" s="81"/>
      <c r="D928" s="81"/>
      <c r="E928" s="81"/>
      <c r="F928" s="81"/>
      <c r="G928" s="120">
        <f aca="true" t="shared" si="36" ref="G928:M928">SUM(G913:G927)</f>
        <v>53000</v>
      </c>
      <c r="H928" s="120">
        <f t="shared" si="36"/>
        <v>4000</v>
      </c>
      <c r="I928" s="120">
        <f t="shared" si="36"/>
        <v>0</v>
      </c>
      <c r="J928" s="120">
        <f t="shared" si="36"/>
        <v>0</v>
      </c>
      <c r="K928" s="120">
        <f t="shared" si="36"/>
        <v>0</v>
      </c>
      <c r="L928" s="120">
        <f t="shared" si="36"/>
        <v>0</v>
      </c>
      <c r="M928" s="120">
        <f t="shared" si="36"/>
        <v>0</v>
      </c>
      <c r="N928" s="762">
        <f>SUM(N913:N927)</f>
        <v>57000</v>
      </c>
      <c r="O928" s="762">
        <f>SUM(O913:O927)</f>
        <v>56936</v>
      </c>
      <c r="P928" s="81"/>
      <c r="Q928" s="81"/>
      <c r="R928" s="153">
        <f>+N928</f>
        <v>57000</v>
      </c>
      <c r="S928" s="153">
        <f>+O928</f>
        <v>56936</v>
      </c>
    </row>
    <row r="929" spans="14:21" ht="12.75">
      <c r="N929" s="87">
        <f>+N33+N65+N96+N127+N160+N192+N225+N256+N289+N322+N354+N387+N420+N452+N483+N546+N579+N612+N678+N709+N734+N767+N831+N896+N928+N513</f>
        <v>5542158.197</v>
      </c>
      <c r="O929" s="87">
        <f>+O33+O65+O96+O127+O160+O192+O225+O256+O289+O322+O354+O387+O420+O452+O483+O546+O579+O612+O678+O709+O734+O767+O831+O896+O928+O513</f>
        <v>4750323.712</v>
      </c>
      <c r="S929" s="153" t="e">
        <f>+'Resumen presupuesto ejecutado'!#REF!/1000</f>
        <v>#REF!</v>
      </c>
      <c r="U929" s="96"/>
    </row>
    <row r="930" ht="12.75">
      <c r="S930" s="153" t="e">
        <f>+S928-S929</f>
        <v>#REF!</v>
      </c>
    </row>
    <row r="931" spans="14:15" ht="12.75">
      <c r="N931" s="87">
        <f>+N929+'Eje social'!N686+'Eje Economico'!N121</f>
        <v>12128129.170999998</v>
      </c>
      <c r="O931" s="87">
        <f>+O929+'Eje social'!O686+'Eje Economico'!O121</f>
        <v>10514694.9495</v>
      </c>
    </row>
    <row r="932" ht="12.75">
      <c r="J932" s="38" t="s">
        <v>303</v>
      </c>
    </row>
    <row r="933" spans="14:15" ht="12.75">
      <c r="N933" s="87">
        <f>+N931-N531</f>
        <v>11928129.350999998</v>
      </c>
      <c r="O933" s="87">
        <f>+O931-O531</f>
        <v>10314695.1295</v>
      </c>
    </row>
  </sheetData>
  <sheetProtection/>
  <mergeCells count="438">
    <mergeCell ref="A496:F496"/>
    <mergeCell ref="G496:O496"/>
    <mergeCell ref="P496:P498"/>
    <mergeCell ref="Q496:Q498"/>
    <mergeCell ref="A489:F489"/>
    <mergeCell ref="G492:O492"/>
    <mergeCell ref="P492:Q492"/>
    <mergeCell ref="G493:O494"/>
    <mergeCell ref="A487:F487"/>
    <mergeCell ref="P487:Q487"/>
    <mergeCell ref="A488:F488"/>
    <mergeCell ref="P488:Q488"/>
    <mergeCell ref="P299:Q299"/>
    <mergeCell ref="G300:O301"/>
    <mergeCell ref="A303:F303"/>
    <mergeCell ref="G303:O303"/>
    <mergeCell ref="P303:P305"/>
    <mergeCell ref="Q303:Q305"/>
    <mergeCell ref="A47:F47"/>
    <mergeCell ref="G47:O47"/>
    <mergeCell ref="P47:P49"/>
    <mergeCell ref="Q47:Q49"/>
    <mergeCell ref="G43:O43"/>
    <mergeCell ref="P43:Q43"/>
    <mergeCell ref="G44:O45"/>
    <mergeCell ref="C45:F45"/>
    <mergeCell ref="A2:Q2"/>
    <mergeCell ref="A3:Q3"/>
    <mergeCell ref="P4:Q4"/>
    <mergeCell ref="A40:F40"/>
    <mergeCell ref="A5:F5"/>
    <mergeCell ref="P5:Q5"/>
    <mergeCell ref="A6:F6"/>
    <mergeCell ref="P6:Q6"/>
    <mergeCell ref="A7:F7"/>
    <mergeCell ref="G10:O10"/>
    <mergeCell ref="P10:Q10"/>
    <mergeCell ref="G11:O12"/>
    <mergeCell ref="A14:F14"/>
    <mergeCell ref="G14:O14"/>
    <mergeCell ref="P14:P16"/>
    <mergeCell ref="Q14:Q16"/>
    <mergeCell ref="A67:Q67"/>
    <mergeCell ref="A68:Q68"/>
    <mergeCell ref="P69:Q69"/>
    <mergeCell ref="A70:F70"/>
    <mergeCell ref="P70:Q70"/>
    <mergeCell ref="A71:F71"/>
    <mergeCell ref="P71:Q71"/>
    <mergeCell ref="A72:F72"/>
    <mergeCell ref="G75:O75"/>
    <mergeCell ref="P75:Q75"/>
    <mergeCell ref="G76:O77"/>
    <mergeCell ref="A79:F79"/>
    <mergeCell ref="G79:O79"/>
    <mergeCell ref="P79:P81"/>
    <mergeCell ref="C77:F77"/>
    <mergeCell ref="Q79:Q81"/>
    <mergeCell ref="A98:Q98"/>
    <mergeCell ref="A99:Q99"/>
    <mergeCell ref="A35:Q35"/>
    <mergeCell ref="A36:Q36"/>
    <mergeCell ref="P37:Q37"/>
    <mergeCell ref="A38:F38"/>
    <mergeCell ref="P38:Q38"/>
    <mergeCell ref="A39:F39"/>
    <mergeCell ref="P39:Q39"/>
    <mergeCell ref="P100:Q100"/>
    <mergeCell ref="A101:F101"/>
    <mergeCell ref="P101:Q101"/>
    <mergeCell ref="A102:F102"/>
    <mergeCell ref="P102:Q102"/>
    <mergeCell ref="A103:F103"/>
    <mergeCell ref="G106:O106"/>
    <mergeCell ref="P106:Q106"/>
    <mergeCell ref="G107:O108"/>
    <mergeCell ref="A110:F110"/>
    <mergeCell ref="G110:O110"/>
    <mergeCell ref="P110:P112"/>
    <mergeCell ref="Q110:Q112"/>
    <mergeCell ref="A129:Q129"/>
    <mergeCell ref="A130:Q130"/>
    <mergeCell ref="P131:Q131"/>
    <mergeCell ref="A296:F296"/>
    <mergeCell ref="A132:F132"/>
    <mergeCell ref="P132:Q132"/>
    <mergeCell ref="A133:F133"/>
    <mergeCell ref="P133:Q133"/>
    <mergeCell ref="A134:F134"/>
    <mergeCell ref="G137:O137"/>
    <mergeCell ref="P137:Q137"/>
    <mergeCell ref="G138:O139"/>
    <mergeCell ref="A141:F141"/>
    <mergeCell ref="G141:O141"/>
    <mergeCell ref="P141:P143"/>
    <mergeCell ref="Q141:Q143"/>
    <mergeCell ref="A162:Q162"/>
    <mergeCell ref="A163:Q163"/>
    <mergeCell ref="P164:Q164"/>
    <mergeCell ref="A165:F165"/>
    <mergeCell ref="P165:Q165"/>
    <mergeCell ref="A166:F166"/>
    <mergeCell ref="P166:Q166"/>
    <mergeCell ref="A167:F167"/>
    <mergeCell ref="G170:O170"/>
    <mergeCell ref="P170:Q170"/>
    <mergeCell ref="G171:O172"/>
    <mergeCell ref="A174:F174"/>
    <mergeCell ref="G174:O174"/>
    <mergeCell ref="P174:P176"/>
    <mergeCell ref="Q174:Q176"/>
    <mergeCell ref="A194:Q194"/>
    <mergeCell ref="A195:Q195"/>
    <mergeCell ref="P295:Q295"/>
    <mergeCell ref="P196:Q196"/>
    <mergeCell ref="A197:F197"/>
    <mergeCell ref="P197:Q197"/>
    <mergeCell ref="A198:F198"/>
    <mergeCell ref="P198:Q198"/>
    <mergeCell ref="A199:F199"/>
    <mergeCell ref="G202:O202"/>
    <mergeCell ref="P202:Q202"/>
    <mergeCell ref="G203:O204"/>
    <mergeCell ref="A206:F206"/>
    <mergeCell ref="G206:O206"/>
    <mergeCell ref="P206:P208"/>
    <mergeCell ref="Q206:Q208"/>
    <mergeCell ref="C204:F204"/>
    <mergeCell ref="A227:Q227"/>
    <mergeCell ref="A228:Q228"/>
    <mergeCell ref="P229:Q229"/>
    <mergeCell ref="A230:F230"/>
    <mergeCell ref="P230:Q230"/>
    <mergeCell ref="A231:F231"/>
    <mergeCell ref="P231:Q231"/>
    <mergeCell ref="A232:F232"/>
    <mergeCell ref="G235:O235"/>
    <mergeCell ref="P235:Q235"/>
    <mergeCell ref="G236:O237"/>
    <mergeCell ref="A239:F239"/>
    <mergeCell ref="G239:O239"/>
    <mergeCell ref="P239:P241"/>
    <mergeCell ref="Q239:Q241"/>
    <mergeCell ref="A258:Q258"/>
    <mergeCell ref="A259:Q259"/>
    <mergeCell ref="P260:Q260"/>
    <mergeCell ref="A261:F261"/>
    <mergeCell ref="P261:Q261"/>
    <mergeCell ref="A262:F262"/>
    <mergeCell ref="P262:Q262"/>
    <mergeCell ref="A263:F263"/>
    <mergeCell ref="G266:O266"/>
    <mergeCell ref="P266:Q266"/>
    <mergeCell ref="G267:O268"/>
    <mergeCell ref="A270:F270"/>
    <mergeCell ref="G270:O270"/>
    <mergeCell ref="P270:P272"/>
    <mergeCell ref="Q270:Q272"/>
    <mergeCell ref="A324:Q324"/>
    <mergeCell ref="A325:Q325"/>
    <mergeCell ref="P326:Q326"/>
    <mergeCell ref="A291:Q291"/>
    <mergeCell ref="A292:Q292"/>
    <mergeCell ref="P293:Q293"/>
    <mergeCell ref="A294:F294"/>
    <mergeCell ref="P294:Q294"/>
    <mergeCell ref="A295:F295"/>
    <mergeCell ref="G299:O299"/>
    <mergeCell ref="A327:F327"/>
    <mergeCell ref="P327:Q327"/>
    <mergeCell ref="A328:F328"/>
    <mergeCell ref="P328:Q328"/>
    <mergeCell ref="A329:F329"/>
    <mergeCell ref="G332:O332"/>
    <mergeCell ref="P332:Q332"/>
    <mergeCell ref="G333:O334"/>
    <mergeCell ref="A356:Q356"/>
    <mergeCell ref="A357:Q357"/>
    <mergeCell ref="P358:Q358"/>
    <mergeCell ref="A336:F336"/>
    <mergeCell ref="G336:O336"/>
    <mergeCell ref="P336:P338"/>
    <mergeCell ref="Q336:Q338"/>
    <mergeCell ref="A359:F359"/>
    <mergeCell ref="P359:Q359"/>
    <mergeCell ref="A360:F360"/>
    <mergeCell ref="P360:Q360"/>
    <mergeCell ref="A361:F361"/>
    <mergeCell ref="G364:O364"/>
    <mergeCell ref="P364:Q364"/>
    <mergeCell ref="G365:O366"/>
    <mergeCell ref="A389:Q389"/>
    <mergeCell ref="A390:Q390"/>
    <mergeCell ref="P391:Q391"/>
    <mergeCell ref="A368:F368"/>
    <mergeCell ref="G368:O368"/>
    <mergeCell ref="P368:P370"/>
    <mergeCell ref="Q368:Q370"/>
    <mergeCell ref="A392:F392"/>
    <mergeCell ref="P392:Q392"/>
    <mergeCell ref="A393:F393"/>
    <mergeCell ref="P393:Q393"/>
    <mergeCell ref="A394:F394"/>
    <mergeCell ref="G397:O397"/>
    <mergeCell ref="P397:Q397"/>
    <mergeCell ref="G398:O399"/>
    <mergeCell ref="A401:F401"/>
    <mergeCell ref="G401:O401"/>
    <mergeCell ref="P401:P403"/>
    <mergeCell ref="Q401:Q403"/>
    <mergeCell ref="A422:Q422"/>
    <mergeCell ref="A423:Q423"/>
    <mergeCell ref="P424:Q424"/>
    <mergeCell ref="A425:F425"/>
    <mergeCell ref="P425:Q425"/>
    <mergeCell ref="A426:F426"/>
    <mergeCell ref="P426:Q426"/>
    <mergeCell ref="A427:F427"/>
    <mergeCell ref="G430:O430"/>
    <mergeCell ref="P430:Q430"/>
    <mergeCell ref="Q434:Q436"/>
    <mergeCell ref="A454:Q454"/>
    <mergeCell ref="A455:Q455"/>
    <mergeCell ref="G431:O432"/>
    <mergeCell ref="A434:F434"/>
    <mergeCell ref="G434:O434"/>
    <mergeCell ref="P434:P436"/>
    <mergeCell ref="P456:Q456"/>
    <mergeCell ref="A457:F457"/>
    <mergeCell ref="P457:Q457"/>
    <mergeCell ref="A458:F458"/>
    <mergeCell ref="P458:Q458"/>
    <mergeCell ref="A459:F459"/>
    <mergeCell ref="G462:O462"/>
    <mergeCell ref="P462:Q462"/>
    <mergeCell ref="G463:O464"/>
    <mergeCell ref="A516:Q516"/>
    <mergeCell ref="A517:Q517"/>
    <mergeCell ref="P518:Q518"/>
    <mergeCell ref="A466:F466"/>
    <mergeCell ref="G466:O466"/>
    <mergeCell ref="P466:P468"/>
    <mergeCell ref="Q466:Q468"/>
    <mergeCell ref="A484:Q484"/>
    <mergeCell ref="A485:Q485"/>
    <mergeCell ref="P486:Q486"/>
    <mergeCell ref="A519:F519"/>
    <mergeCell ref="P519:Q519"/>
    <mergeCell ref="A520:F520"/>
    <mergeCell ref="P520:Q520"/>
    <mergeCell ref="A521:F521"/>
    <mergeCell ref="G524:O524"/>
    <mergeCell ref="P524:Q524"/>
    <mergeCell ref="G525:O526"/>
    <mergeCell ref="A548:Q548"/>
    <mergeCell ref="A549:Q549"/>
    <mergeCell ref="P550:Q550"/>
    <mergeCell ref="A528:F528"/>
    <mergeCell ref="G528:O528"/>
    <mergeCell ref="P528:P530"/>
    <mergeCell ref="Q528:Q530"/>
    <mergeCell ref="A551:F551"/>
    <mergeCell ref="P551:Q551"/>
    <mergeCell ref="A552:F552"/>
    <mergeCell ref="P552:Q552"/>
    <mergeCell ref="A553:F553"/>
    <mergeCell ref="G556:O556"/>
    <mergeCell ref="P556:Q556"/>
    <mergeCell ref="G557:O558"/>
    <mergeCell ref="A581:Q581"/>
    <mergeCell ref="A582:Q582"/>
    <mergeCell ref="P583:Q583"/>
    <mergeCell ref="A560:F560"/>
    <mergeCell ref="G560:O560"/>
    <mergeCell ref="P560:P562"/>
    <mergeCell ref="Q560:Q562"/>
    <mergeCell ref="A584:F584"/>
    <mergeCell ref="P584:Q584"/>
    <mergeCell ref="A585:F585"/>
    <mergeCell ref="P585:Q585"/>
    <mergeCell ref="A586:F586"/>
    <mergeCell ref="G589:O589"/>
    <mergeCell ref="P589:Q589"/>
    <mergeCell ref="G590:O591"/>
    <mergeCell ref="A593:F593"/>
    <mergeCell ref="G593:O593"/>
    <mergeCell ref="P593:P595"/>
    <mergeCell ref="Q593:Q595"/>
    <mergeCell ref="A614:Q614"/>
    <mergeCell ref="A615:Q615"/>
    <mergeCell ref="P616:Q616"/>
    <mergeCell ref="A617:F617"/>
    <mergeCell ref="P617:Q617"/>
    <mergeCell ref="A618:F618"/>
    <mergeCell ref="P618:Q618"/>
    <mergeCell ref="A619:F619"/>
    <mergeCell ref="G622:O622"/>
    <mergeCell ref="P622:Q622"/>
    <mergeCell ref="Q626:Q628"/>
    <mergeCell ref="A647:Q647"/>
    <mergeCell ref="A648:Q648"/>
    <mergeCell ref="G623:O624"/>
    <mergeCell ref="A626:F626"/>
    <mergeCell ref="G626:O626"/>
    <mergeCell ref="P626:P628"/>
    <mergeCell ref="P649:Q649"/>
    <mergeCell ref="A650:F650"/>
    <mergeCell ref="P650:Q650"/>
    <mergeCell ref="A651:F651"/>
    <mergeCell ref="P651:Q651"/>
    <mergeCell ref="A652:F652"/>
    <mergeCell ref="G655:O655"/>
    <mergeCell ref="P655:Q655"/>
    <mergeCell ref="G656:O657"/>
    <mergeCell ref="A659:F659"/>
    <mergeCell ref="G659:O659"/>
    <mergeCell ref="P659:P661"/>
    <mergeCell ref="Q659:Q661"/>
    <mergeCell ref="A680:Q680"/>
    <mergeCell ref="A681:Q681"/>
    <mergeCell ref="P682:Q682"/>
    <mergeCell ref="A683:F683"/>
    <mergeCell ref="P683:Q683"/>
    <mergeCell ref="A684:F684"/>
    <mergeCell ref="P684:Q684"/>
    <mergeCell ref="A685:F685"/>
    <mergeCell ref="G688:O688"/>
    <mergeCell ref="P688:Q688"/>
    <mergeCell ref="G689:O690"/>
    <mergeCell ref="A692:F692"/>
    <mergeCell ref="G692:O692"/>
    <mergeCell ref="P692:P694"/>
    <mergeCell ref="Q692:Q694"/>
    <mergeCell ref="A711:Q711"/>
    <mergeCell ref="A712:Q712"/>
    <mergeCell ref="P713:Q713"/>
    <mergeCell ref="A714:F714"/>
    <mergeCell ref="P714:Q714"/>
    <mergeCell ref="A715:F715"/>
    <mergeCell ref="P715:Q715"/>
    <mergeCell ref="A716:F716"/>
    <mergeCell ref="G719:O719"/>
    <mergeCell ref="P719:Q719"/>
    <mergeCell ref="G720:O721"/>
    <mergeCell ref="A723:F723"/>
    <mergeCell ref="G723:O723"/>
    <mergeCell ref="P723:P725"/>
    <mergeCell ref="Q723:Q725"/>
    <mergeCell ref="A736:Q736"/>
    <mergeCell ref="A737:Q737"/>
    <mergeCell ref="P738:Q738"/>
    <mergeCell ref="A739:F739"/>
    <mergeCell ref="P739:Q739"/>
    <mergeCell ref="A740:F740"/>
    <mergeCell ref="P740:Q740"/>
    <mergeCell ref="A741:F741"/>
    <mergeCell ref="G744:O744"/>
    <mergeCell ref="P744:Q744"/>
    <mergeCell ref="G745:O746"/>
    <mergeCell ref="A748:F748"/>
    <mergeCell ref="G748:O748"/>
    <mergeCell ref="P748:P750"/>
    <mergeCell ref="Q748:Q750"/>
    <mergeCell ref="A769:Q769"/>
    <mergeCell ref="A770:Q770"/>
    <mergeCell ref="P771:Q771"/>
    <mergeCell ref="A772:F772"/>
    <mergeCell ref="P772:Q772"/>
    <mergeCell ref="A773:F773"/>
    <mergeCell ref="P773:Q773"/>
    <mergeCell ref="A774:F774"/>
    <mergeCell ref="G777:O777"/>
    <mergeCell ref="P777:Q777"/>
    <mergeCell ref="G778:O779"/>
    <mergeCell ref="A781:F781"/>
    <mergeCell ref="G781:O781"/>
    <mergeCell ref="P781:P783"/>
    <mergeCell ref="Q781:Q783"/>
    <mergeCell ref="A801:Q801"/>
    <mergeCell ref="A802:Q802"/>
    <mergeCell ref="P803:Q803"/>
    <mergeCell ref="A804:F804"/>
    <mergeCell ref="P804:Q804"/>
    <mergeCell ref="A805:F805"/>
    <mergeCell ref="P805:Q805"/>
    <mergeCell ref="A806:F806"/>
    <mergeCell ref="G809:O809"/>
    <mergeCell ref="P809:Q809"/>
    <mergeCell ref="Q813:Q815"/>
    <mergeCell ref="G810:O811"/>
    <mergeCell ref="A813:F813"/>
    <mergeCell ref="G813:O813"/>
    <mergeCell ref="P813:P815"/>
    <mergeCell ref="A833:Q833"/>
    <mergeCell ref="A834:Q834"/>
    <mergeCell ref="P835:Q835"/>
    <mergeCell ref="A836:F836"/>
    <mergeCell ref="P836:Q836"/>
    <mergeCell ref="A837:F837"/>
    <mergeCell ref="P837:Q837"/>
    <mergeCell ref="A838:F838"/>
    <mergeCell ref="G841:O841"/>
    <mergeCell ref="P841:Q841"/>
    <mergeCell ref="G842:O843"/>
    <mergeCell ref="A845:F845"/>
    <mergeCell ref="G845:O845"/>
    <mergeCell ref="P845:P847"/>
    <mergeCell ref="Q845:Q847"/>
    <mergeCell ref="A866:Q866"/>
    <mergeCell ref="A867:Q867"/>
    <mergeCell ref="P868:Q868"/>
    <mergeCell ref="A869:F869"/>
    <mergeCell ref="P869:Q869"/>
    <mergeCell ref="A870:F870"/>
    <mergeCell ref="P870:Q870"/>
    <mergeCell ref="A871:F871"/>
    <mergeCell ref="G874:O874"/>
    <mergeCell ref="P874:Q874"/>
    <mergeCell ref="G875:O876"/>
    <mergeCell ref="A898:Q898"/>
    <mergeCell ref="A899:Q899"/>
    <mergeCell ref="P900:Q900"/>
    <mergeCell ref="A878:F878"/>
    <mergeCell ref="G878:O878"/>
    <mergeCell ref="P878:P880"/>
    <mergeCell ref="Q878:Q880"/>
    <mergeCell ref="A901:F901"/>
    <mergeCell ref="P901:Q901"/>
    <mergeCell ref="A902:F902"/>
    <mergeCell ref="P902:Q902"/>
    <mergeCell ref="A903:F903"/>
    <mergeCell ref="G906:O906"/>
    <mergeCell ref="P906:Q906"/>
    <mergeCell ref="G907:O908"/>
    <mergeCell ref="A910:F910"/>
    <mergeCell ref="G910:O910"/>
    <mergeCell ref="P910:P912"/>
    <mergeCell ref="Q910:Q912"/>
  </mergeCells>
  <printOptions horizontalCentered="1" verticalCentered="1"/>
  <pageMargins left="1.1811023622047245" right="0.75" top="0.984251968503937" bottom="0.984251968503937" header="0" footer="0"/>
  <pageSetup horizontalDpi="300" verticalDpi="300" orientation="landscape" paperSize="5" scale="53" r:id="rId3"/>
  <rowBreaks count="28" manualBreakCount="28">
    <brk id="34" max="255" man="1"/>
    <brk id="65" max="255" man="1"/>
    <brk id="96" max="255" man="1"/>
    <brk id="127" max="255" man="1"/>
    <brk id="160" max="255" man="1"/>
    <brk id="192" max="255" man="1"/>
    <brk id="225" max="255" man="1"/>
    <brk id="256" max="255" man="1"/>
    <brk id="289" max="255" man="1"/>
    <brk id="322" max="255" man="1"/>
    <brk id="354" max="255" man="1"/>
    <brk id="387" max="255" man="1"/>
    <brk id="420" max="255" man="1"/>
    <brk id="452" max="255" man="1"/>
    <brk id="483" max="255" man="1"/>
    <brk id="515" max="16" man="1"/>
    <brk id="546" max="255" man="1"/>
    <brk id="579" max="255" man="1"/>
    <brk id="612" max="255" man="1"/>
    <brk id="645" max="255" man="1"/>
    <brk id="678" max="255" man="1"/>
    <brk id="709" max="255" man="1"/>
    <brk id="734" max="255" man="1"/>
    <brk id="767" max="255" man="1"/>
    <brk id="799" max="255" man="1"/>
    <brk id="831" max="255" man="1"/>
    <brk id="864" max="255" man="1"/>
    <brk id="89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Gobernación de Cundinamarca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gob2003admin</dc:creator>
  <cp:keywords/>
  <dc:description/>
  <cp:lastModifiedBy>Angela Maria</cp:lastModifiedBy>
  <cp:lastPrinted>2008-02-10T23:03:43Z</cp:lastPrinted>
  <dcterms:created xsi:type="dcterms:W3CDTF">2005-01-05T14:33:37Z</dcterms:created>
  <dcterms:modified xsi:type="dcterms:W3CDTF">2008-03-28T17:28:44Z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1897817936</vt:i4>
  </property>
  <property fmtid="{D5CDD505-2E9C-101B-9397-08002B2CF9AE}" pid="3" name="_EmailSubject">
    <vt:lpwstr>FORMATO PLAN ACCIÓN 2005.xls</vt:lpwstr>
  </property>
  <property fmtid="{D5CDD505-2E9C-101B-9397-08002B2CF9AE}" pid="4" name="_AuthorEmail">
    <vt:lpwstr>DMSUAREZ@cundinamarca.gov.co</vt:lpwstr>
  </property>
  <property fmtid="{D5CDD505-2E9C-101B-9397-08002B2CF9AE}" pid="5" name="_AuthorEmailDisplayName">
    <vt:lpwstr>MIREYA SUAREZ ARMERO</vt:lpwstr>
  </property>
  <property fmtid="{D5CDD505-2E9C-101B-9397-08002B2CF9AE}" pid="6" name="_ReviewingToolsShownOnce">
    <vt:lpwstr/>
  </property>
</Properties>
</file>