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0"/>
  </bookViews>
  <sheets>
    <sheet name="PLAN DE ACCION 2008" sheetId="1" r:id="rId1"/>
    <sheet name="AUTOEVALUACION PDM " sheetId="2" r:id="rId2"/>
  </sheets>
  <definedNames>
    <definedName name="_xlnm.Print_Area" localSheetId="1">'AUTOEVALUACION PDM '!$A$1:$BT$74</definedName>
    <definedName name="_xlnm.Print_Area" localSheetId="0">'PLAN DE ACCION 2008'!$A$1:$W$743</definedName>
    <definedName name="Excel_BuiltIn__FilterDatabase_1">#REF!</definedName>
    <definedName name="_xlnm.Print_Titles" localSheetId="1">'AUTOEVALUACION PDM '!$A:$U,'AUTOEVALUACION PDM '!$1:$3</definedName>
  </definedNames>
  <calcPr fullCalcOnLoad="1"/>
</workbook>
</file>

<file path=xl/comments2.xml><?xml version="1.0" encoding="utf-8"?>
<comments xmlns="http://schemas.openxmlformats.org/spreadsheetml/2006/main">
  <authors>
    <author>Windows</author>
  </authors>
  <commentList>
    <comment ref="Y54" authorId="0">
      <text>
        <r>
          <rPr>
            <b/>
            <sz val="8"/>
            <rFont val="Tahoma"/>
            <family val="0"/>
          </rPr>
          <t>Windows:</t>
        </r>
        <r>
          <rPr>
            <sz val="8"/>
            <rFont val="Tahoma"/>
            <family val="0"/>
          </rPr>
          <t xml:space="preserve">
</t>
        </r>
      </text>
    </comment>
  </commentList>
</comments>
</file>

<file path=xl/sharedStrings.xml><?xml version="1.0" encoding="utf-8"?>
<sst xmlns="http://schemas.openxmlformats.org/spreadsheetml/2006/main" count="2373" uniqueCount="600">
  <si>
    <t>EL DEPORTE INSUMO SALUDABLE DE LOS FOMEQUEÑOS</t>
  </si>
  <si>
    <t xml:space="preserve"> 5.CAPACITACIÓN DE 5 INSTRUCTORES EN TECNICAS Y PROCEDIMIENTOS EN DIFERENTES DISCIPLINAS DEPORTIVAS</t>
  </si>
  <si>
    <t xml:space="preserve">RECREACION PARA LA NIÑEZ Y LA JUVENTUD. </t>
  </si>
  <si>
    <t>JUNDEPORTES</t>
  </si>
  <si>
    <t xml:space="preserve">DEPORTE FORMATIVO. </t>
  </si>
  <si>
    <t xml:space="preserve">DEPORTE ESCOLAR </t>
  </si>
  <si>
    <t xml:space="preserve">DEPORTE PARA TODOS </t>
  </si>
  <si>
    <t>CAPACITACION TALENTO HUMANO .</t>
  </si>
  <si>
    <t xml:space="preserve">1. LLEGAR AL 90%  EL FORTALECIMIENTO DE LAS ESCUELAS DE FORMACION ARTISTICA Y CULTURAL CON DOCENTES  CAPACITADOS </t>
  </si>
  <si>
    <t xml:space="preserve">2. LOGRAR QUE EL 25% DE LA POBLACIÓN (3274)  SE INTEGREN EN LOS EVENTOS CULTURALES Y DE INVESTIGACION CULTURAL, LLEVAR NUESTRAS TRADICIONES Y NUESTRA IDENTIDAD A TRAVÉS DE LA PARTICIPACIÓN EN DIVERSOS EVENTOS CULTURALES.  </t>
  </si>
  <si>
    <t>3. REALIZACION DE 8 FESTIVALES DE LECTURA EN EL MUNICIPIO PARA PROMOVER LA LECTURA SANA</t>
  </si>
  <si>
    <t>4.  ACCESO DEL 50% DE LOS ALUMNOS  MATRICULADOS EN LAS INSTITUCIONES EDUCATIVAS A LOS SERVICIOS DE LA LUDO TECA COMO PARTE DE SU FORMACION INTEGRAL</t>
  </si>
  <si>
    <t xml:space="preserve">1. LLEGAR AL 60%  EL FORTALECIMIENTO DE LAS ESCUELAS DE FORMACION ARTISTICA Y CULTURAL CON DOCENTES  CAPACITADOS </t>
  </si>
  <si>
    <t xml:space="preserve">2. LOGRAR QUE EL 10% DE LA POBLACIÓN  SE INTEGREN EN LOS EVENTOS CULTURALES Y DE INVESTIGACION CULTURAL, LLEVAR NUESTRAS TRADICIONES Y NUESTRA IDENTIDAD A TRAVÉS DE LA PARTICIPACIÓN EN DIVERSOS EVENTOS CULTURALES.  </t>
  </si>
  <si>
    <t>3. REALIZACION DE 2 FESTIVALES DE LECTURA EN EL MUNICIPIO PARA PROMOVER LA LECTURA SANA</t>
  </si>
  <si>
    <t>4.  ACCESO DEL 20% DE LOS ALUMNOS  MATRICULADOS EN LAS INSTITUCIONES EDUCATIVAS A LOS SERVICIOS DE LA LUDO TECA COMO PARTE DE SU FORMACION INTEGRAL</t>
  </si>
  <si>
    <t xml:space="preserve">LA CULTURA ARRAIGO DE IDENTIDAD FOMEQUEÑA </t>
  </si>
  <si>
    <t xml:space="preserve">FORTALECIMIENTO ESCUELAS DE FORMACION ARTISTICA Y CULTURAL </t>
  </si>
  <si>
    <t>CULTURA</t>
  </si>
  <si>
    <t>CONVENIO INT 496 DE 2008 ESCUELAS DE FORMACION EN EJECUCION  NO SE EFECTUO NINGUN PAGO SE COMPROMETIO VL 6400</t>
  </si>
  <si>
    <t xml:space="preserve">PROMOCION , INVESTIGACION Y DIVULGACION CULTURAL </t>
  </si>
  <si>
    <t>CONVENIO INT 652 DE 2008 FESTIVAL CULTURAL  NO SE EFECTUO NINGUN PAGO SE COMPROMETIO VL 10000</t>
  </si>
  <si>
    <t xml:space="preserve">PROMOCION DE LA LECTURA </t>
  </si>
  <si>
    <t>EL JUEGO Y LA CULTURA ( LUDOTECA)</t>
  </si>
  <si>
    <t xml:space="preserve">1. CONDICIONES HABITACIONALES A 200 FAMILIAS DE ESTRATO UNO Y DOS DEL SISBEN EN EL MUNICIPIO </t>
  </si>
  <si>
    <t>2. DOTAR DE  VIVIENDA DIGNA A 300 FAMILIAS DE ESCASOS RECURSOS QUE ESTEN EN NIVELES UNO Y DOS DEL SISBEN</t>
  </si>
  <si>
    <t xml:space="preserve">1. CONDICIONES HABITACIONALES A 50 FAMILIAS DE ESTRATO UNO Y DOS DEL SISBEN EN EL MUNICIPIO </t>
  </si>
  <si>
    <t>VIVIENDA</t>
  </si>
  <si>
    <t xml:space="preserve">MEJORAMIENTO DE CONDICIONES HABITACIONALES </t>
  </si>
  <si>
    <t>PLANEACION</t>
  </si>
  <si>
    <t>CONVENIO  VIVIENDA  SALUDABLE (APOYO SISMO 24 DE MAYO 2008) CREPAD.</t>
  </si>
  <si>
    <t xml:space="preserve">PROMOCION Y CONSTRUCCION VIVIENDA NUEVA(VIVIENDA SALUDABLE) </t>
  </si>
  <si>
    <t>RECURSO COMPROMETIDOS PARA COFINANCIACION VIVIENDA  RURAL (APOYO SISMO 24 DE MAYO 2008) ADICIONALMENTE SE GESTIONA CON LA GOBERNACION LACONSTRUCCION DE 300 VIVIENDAS  PAR LAS FAMILIAS AFECTADAS POR EL SISMO.. APOYO EN CAMPO Y RECOLECCION DE DOCUMENTOS</t>
  </si>
  <si>
    <t>EJE DESARROLLO ECONOMICO Y COMPETITIVIDAD</t>
  </si>
  <si>
    <t>1.  600 USUARIOS ATENDIDOS CON EL MEJORAMIENTO DE PRODUCCION BOVINA Y AGRICOLA EN EL MUNICIPIO</t>
  </si>
  <si>
    <t>1.  150 USUARIOS ATENDIDOS CON EL MEJORAMIENTO DE PRODUCCION BOVINA Y AGRICOLA EN EL MUNICIPIO</t>
  </si>
  <si>
    <t xml:space="preserve">DESARROLLO AGROPECUARIO  , AGROINDUSTRIAL </t>
  </si>
  <si>
    <t>MEJORAMIENTO GENETICO Y SANIDAD ANIMAL Y PRODUCCION AGRICOLA</t>
  </si>
  <si>
    <t>MEJORAMIENTO SANITARIO PECUARIO Y AGRICOLA</t>
  </si>
  <si>
    <t>DESARROLLO ECONOMICO</t>
  </si>
  <si>
    <t xml:space="preserve">1. COBERTURA DEL 80% EN TECNICAS AGRICOLAS HE INCENTIVAR LA INVESTIGACION EN EL MUNICIPIO </t>
  </si>
  <si>
    <t>2.  ASESORIAS DADAS A 600 PRODUCTORES EN PROCESOS PRODUCTIVOS</t>
  </si>
  <si>
    <t xml:space="preserve">3.  FORTALECIMIENTO DE LOS DISTRITOS DE RIEGO EN UN 60% </t>
  </si>
  <si>
    <t xml:space="preserve">1. COBERTURA DEL 50% EN TECNICAS AGRICOLAS HE INCENTIVAR LA INVESTIGACION EN EL MUNICIPIO </t>
  </si>
  <si>
    <t>2.  ASESORIAS DADAS A 150 PRODUCTORES EN PROCESOS PRODUCTIVOS</t>
  </si>
  <si>
    <t xml:space="preserve">3.  FORTALECIMIENTO DE LOS DISTRITOS DE RIEGO EN UN 50% </t>
  </si>
  <si>
    <t>ASISTENCIA TECNICA</t>
  </si>
  <si>
    <t xml:space="preserve">INVESTIGACION TECNOLOGICA AGROPECUARIA </t>
  </si>
  <si>
    <t xml:space="preserve">OPTIMIZACION DE LOS PROCESOS PRODUCTIVOS  </t>
  </si>
  <si>
    <t>MANTENIMIENTO Y CONSTRUCCION DE DISTRITOS DE RIEGO</t>
  </si>
  <si>
    <t>COMERCIALIZACION</t>
  </si>
  <si>
    <t xml:space="preserve">FORTALECIMIENTO DEL COMERCIO AGROPECUARIO  </t>
  </si>
  <si>
    <t>CONVENIO ICA 056 DE 2004 GUIAS DE MOVILIZACION</t>
  </si>
  <si>
    <t xml:space="preserve">GESTION PARA LA FORMACION EMPRESARIAL </t>
  </si>
  <si>
    <t xml:space="preserve">FORTALECIMIENTO DE LA INFRAESTRUCTURA COMO MATADERO , PLAZA DE MERCADO  Y LA FERIA EXPOSICION </t>
  </si>
  <si>
    <t>1. MANTENIMIENTO DEL 80% LA RED VIAL URBANA DEL MUNICIPIO 2. PAVIMENTAR 1 KM DE LA RED VIAL DEL MUNICIPIO</t>
  </si>
  <si>
    <t>1. MANTENIMIENTO DEL 50% LA RED VIAL URBANA DEL MUNICIPIO 2. PAVIMENTAR 1 KM DE LA RED VIAL DEL MUNICIPIO</t>
  </si>
  <si>
    <t>VIAS Y COMUNICACIÓN</t>
  </si>
  <si>
    <t xml:space="preserve">RED VIAL URBANA </t>
  </si>
  <si>
    <t xml:space="preserve">MANTENIMIENTO Y PAVIMENTACION RED VIAL CASCO URBANO </t>
  </si>
  <si>
    <t>1. MANTENIMIENTO DEL  90% DE LAS VIAS RURALES DEL MUNICIPIO</t>
  </si>
  <si>
    <t>1. MANTENIMIENTO DEL  82,5% DE LAS VIAS RURALES DEL MUNICIPIO</t>
  </si>
  <si>
    <t>RED VIAL RURAL</t>
  </si>
  <si>
    <t xml:space="preserve">MEJORAMIENTO Y MANTENIMIENTO DE LA RED VIAL RURAL </t>
  </si>
  <si>
    <t>1. CREACIÓN DEL PLAN DE DESARROLLO MUNICIPAL TURISTICO</t>
  </si>
  <si>
    <t xml:space="preserve"> 2. PARTICIPACIÓN DEL  40% DE LA POBLACION DEL MUNICIPIO MEDIANTE CAMINATAS Y SALIDAS ECOLOGICAS </t>
  </si>
  <si>
    <t>3. REALIZACIÓN DE CONVENIOS PARA LA PROMOCIÓN Y FORMACIÓN  DEL TURISMO.</t>
  </si>
  <si>
    <t>TURISMO</t>
  </si>
  <si>
    <t xml:space="preserve">EL TURISMO PLATAFORMA DE DESARROLLO DEL FUTURO </t>
  </si>
  <si>
    <t xml:space="preserve">PLAN DE TURISMO MUNICIPAL </t>
  </si>
  <si>
    <t xml:space="preserve">GESTION Y PROMOCION DEL ECOTURISMO Y AGROTURISMO </t>
  </si>
  <si>
    <t xml:space="preserve">PROMOCION Y FORMACION DE ALIANZAS DE TURISMO </t>
  </si>
  <si>
    <t>EJE DE MEDIO AMBIENTE</t>
  </si>
  <si>
    <t xml:space="preserve">1. MANTENIMIENTO  Y PROTECCION DEL 90% LAS REDES DE ACUEDUCTO EXISTENTES EN EL MUNICIPIO. </t>
  </si>
  <si>
    <t xml:space="preserve">2. POTABILIZACION DEL 100% DE LA POBLACION DEL MUNICIPIO </t>
  </si>
  <si>
    <t xml:space="preserve">2. POTABILIZACION DEL 25% DE LA POBLACION DEL MUNICIPIO </t>
  </si>
  <si>
    <t xml:space="preserve">AGUA POTABLE Y SANEAMIENTO BASICO </t>
  </si>
  <si>
    <t xml:space="preserve">POTABILIZACION </t>
  </si>
  <si>
    <t xml:space="preserve">ADECUACION Y MANTENIMIENTO DE LA INFRAESTRUCTURA DE REDES DE ACUEDUCTO </t>
  </si>
  <si>
    <t>SERVICIOS PUBLICOS</t>
  </si>
  <si>
    <t>ADECUACION Y MANTENIMIENTO DE LA PLANTA DE TRATAMIENTO DE AGUA POTABLE.</t>
  </si>
  <si>
    <t xml:space="preserve">1.MANTENIMIENTO DEL 80 % LA RED DE ALCANTARILLADO DEL MUNICIPIO </t>
  </si>
  <si>
    <t>2. CUBRIMIENTO DEL 100% EL CASCO URBANO DEL MUNICIPIO EN ACUEDUCTO Y ALCANTARILLADO</t>
  </si>
  <si>
    <t>3. APOYO DEL 80 % PARA  EL TRATAMIENTO DE RESIDUOS SOLIDOS DEL MUNICIPIO</t>
  </si>
  <si>
    <t xml:space="preserve">1.MANTENIMIENTO DEL 50 % LA RED DE ALCANTARILLADO DEL MUNICIPIO </t>
  </si>
  <si>
    <t>2. CUBRIMIENTO DEL 70% EL CASCO URBANO DEL MUNICIPIO EN ACUEDUCTO Y ALCANTARILLADO</t>
  </si>
  <si>
    <t>3. APOYO DEL 70 % PARA  EL TRATAMIENTO DE RESIDUOS SOLIDOS DEL MUNICIPIO</t>
  </si>
  <si>
    <t>AGUAS RESIDUALES</t>
  </si>
  <si>
    <t xml:space="preserve">1. ADECUACION Y MANTENIMIENTO DE LA RED DE ACANTARILLADO </t>
  </si>
  <si>
    <t xml:space="preserve">2. PLAN MAESTRO DE ALCANTARILLADO Y ACUEDUCTO </t>
  </si>
  <si>
    <t xml:space="preserve">3. ACTUALIZACION DEL ALCANTARILLADO AGUAS NEGRAS Y LLUVIAS  </t>
  </si>
  <si>
    <t xml:space="preserve">1. SENSIBILIZACION DEL  90% DE LA POBLACION DEL CASCO URBANO Y CENTRO POBLADO LA UNION EN MANEJO ADECUADO DE RESIDUOS SOLIDOS. </t>
  </si>
  <si>
    <t>2. ADECUACION DEL 80% EN EQUIPOS HE INFRAESTRUCTURA PARA EL TRATAMIENTO DE RESIDUOS SOLIDOS DEL MUNICIPIO</t>
  </si>
  <si>
    <t xml:space="preserve">1. SENSIBILIZACION DEL  60% DE LA POBLACION DEL CASCO URBANO Y CENTRO POBLADO LA UNION EN MANEJO ADECUADO DE RESIDUOS SOLIDOS. </t>
  </si>
  <si>
    <t>2. ADECUACION DEL 65% EN EQUIPOS HE INFRAESTRUCTURA PARA EL TRATAMIENTO DE RESIDUOS SOLIDOS DEL MUNICIPIO</t>
  </si>
  <si>
    <t>3. APOYO DEL 65 % PARA  EL TRATAMIENTO DE RESIDUOS SOLIDOS DEL MUNICIPIO</t>
  </si>
  <si>
    <t>RESIDUOS SOLIDOS</t>
  </si>
  <si>
    <t xml:space="preserve">APLICACIÓN DEL PGIRS </t>
  </si>
  <si>
    <t xml:space="preserve">MODERNIZACION DE LA INFRAESTRUCTURA PARA EL TRATAMIENTO DE LOS RESIDUOS SOLIDOS </t>
  </si>
  <si>
    <t xml:space="preserve">APOYO INTEGRAL PARA EL TRATAMIENTO DE LOS RESIDUOS SOLIDOS </t>
  </si>
  <si>
    <t>1. REFORESTACION DE 40 Has LAS ZONAS DE PROTECCION DEL MUNICIPIO DE FOMEQUE</t>
  </si>
  <si>
    <t>2. PROTEGER EL 40% LAS CUENCAS HIDROGRAFICAS DEL MUNICIPIO DE FOMEQUE</t>
  </si>
  <si>
    <t>1. REFORESTACION DE 10 Has LAS ZONAS DE PROTECCION DEL MUNICIPIO DE FOMEQUE</t>
  </si>
  <si>
    <t>2. PROTEGER EL 5% LAS CUENCAS HIDROGRAFICAS DEL MUNICIPIO DE FOMEQUE</t>
  </si>
  <si>
    <t>PROTECCION Y RECUPERACION</t>
  </si>
  <si>
    <t>REFORESTACION , CONSERVACION Y PROTECCION</t>
  </si>
  <si>
    <t xml:space="preserve">REFORESTAR LAS RONDAS DE LOS RIOS Y QUEBRADAS Y LAS ZONAS DE PROTECCION DEL MUNICIPIO DE FOMEQUE </t>
  </si>
  <si>
    <t xml:space="preserve">PROTECCION DE CUENCAS HIDROGRAFICAS Y ESTABILIDAD DE LADERAS </t>
  </si>
  <si>
    <t>CONVENIO INTERADMINISTRATIVO 130 DE 2007 CON CORPOGUAVIO</t>
  </si>
  <si>
    <t>1. ADQUISICION DE 40 Has POR PARTE DEL MUNICIPIO PARA CONSERVAR Y PROTEGER LAS CUENCAS HIDRICAS Y SITIOS DE INTERES</t>
  </si>
  <si>
    <t>1. ADQUISICION DE 10 Has POR PARTE DEL MUNICIPIO PARA CONSERVAR Y PROTEGER LAS CUENCAS HIDRICAS Y SITIOS DE INTERES</t>
  </si>
  <si>
    <t>COMPRA DE PREDIOS</t>
  </si>
  <si>
    <t xml:space="preserve">PRESERVACION, ADQUISICION Y PROTECCION DE CUENCAS HIDRICA Y SITIOS DE INTERES  </t>
  </si>
  <si>
    <t xml:space="preserve">1. SENSIBILIZACION DEL 20% DE LA POBLACION EN PROGRAMAS DE EDUCACION AMBIENTAL </t>
  </si>
  <si>
    <t>2. CAPACITAR A 400 PRODUCTORES EN  PROGRAMAS Y PROYECTOS DE EDUCACION AMBIENTAL</t>
  </si>
  <si>
    <t xml:space="preserve">1. SENSIBILIZACION DEL 5% DE LA POBLACION EN PROGRAMAS DE EDUCACION AMBIENTAL </t>
  </si>
  <si>
    <t>2. CAPACITAR A 100 PRODUCTORES EN  PROGRAMAS Y PROYECTOS DE EDUCACION AMBIENTAL</t>
  </si>
  <si>
    <t>FORMACION AMBIENTAL</t>
  </si>
  <si>
    <t xml:space="preserve">LA FORMACION AMBIENTAL CULTURA  Y  ARAIGO DE LA IDENTIDAD  </t>
  </si>
  <si>
    <t xml:space="preserve">EDUCACION AMBIENTAL PARA LOS FOMEQUEÑOS </t>
  </si>
  <si>
    <t>CORPOGUAVIO</t>
  </si>
  <si>
    <t xml:space="preserve"> EDUCACION AMBIENTAL PARA EL PRODUCTOR </t>
  </si>
  <si>
    <t>DIMENSION INSTITUCIONAL</t>
  </si>
  <si>
    <t>1.  MODERNIZACION DE LOS PROCESOS ADMINISTRATIVOS Y DE GOBIERNO EN EL MUNICIPIO  EN EL 100%</t>
  </si>
  <si>
    <t xml:space="preserve">INCLUIDOS RECURSOS PROPUOS SECRETARIA DE SERVICIOS PUBLICOS DOMICILIARIOS </t>
  </si>
  <si>
    <t xml:space="preserve"> 2. ESTRUCTURACION DEL 100% DEL PERSONAL DE LA ADMINISTRACION MUNICIPAL DE ACUERDO A LA LEY 617 </t>
  </si>
  <si>
    <t>3. CAPACITACION DE LOS EMPLEADOS DEL MUNICIPIO EN UN 80% PARA HACER MAS EFICIENTE SU FUNCIÓN</t>
  </si>
  <si>
    <t>1.  MODERNIZACION DE LOS PROCESOS ADMINISTRATIVOS Y DE GOBIERNO EN EL MUNICIPIO  EN EL 70%</t>
  </si>
  <si>
    <t>3. CAPACITACION DE LOS EMPLEADOS DEL MUNICIPIO EN UN 65% PARA HACER MAS EFICIENTE SU FUNCIÓN</t>
  </si>
  <si>
    <t>DESARROLLO ADMINISTRATIVO</t>
  </si>
  <si>
    <t xml:space="preserve">DESARROLLO ADMINISTRATIVO E INSTITUCIONAL  </t>
  </si>
  <si>
    <t xml:space="preserve">MODERNIZACION Y GESTION DE CALIDAD DE LOS PROCESOS ADMINISTRATIVOS Y DE GOBIERNO </t>
  </si>
  <si>
    <t>ALCALDIA</t>
  </si>
  <si>
    <t>1. ACTUALIZACION DEL 100% EL EOT MUNICIPAL Y  LA ESTRATIFICACION RURAL Y URBANA DEL MUNICIPIO</t>
  </si>
  <si>
    <t>1. ACTUALIZACION DEL 100% EL EOT MUNICIPAL Y  LA ESTRATIFICACION RURAL Y URBANA DEL MUNICIPIO en un 70%</t>
  </si>
  <si>
    <t xml:space="preserve">ORDENAMIENTO  </t>
  </si>
  <si>
    <t xml:space="preserve">REVISION Y ACTUALIZACION DE INSTRUMENTOS DE ORDENAMIENTO TERRITORIAL </t>
  </si>
  <si>
    <t xml:space="preserve">1. CAMPAÑAS DE SENSIBILIZACION DEL 80% DE LA POBLACION DEL MUNICIPIO PARA EL USO Y MANEJO EFICIENTE DEL AGUA </t>
  </si>
  <si>
    <t xml:space="preserve">2. CUBRIMIENTO DEL 90% EN SERVICIOS PUBLICOS ( AGUA Y ENERGIA ELECTRICA) </t>
  </si>
  <si>
    <t xml:space="preserve">SERVICIOS PUBLICOS </t>
  </si>
  <si>
    <t xml:space="preserve">DESARROLLO DE POLITICAS EDUCATIVAS PARA EL MANEJO EFICIENTE DEL AGUA </t>
  </si>
  <si>
    <t xml:space="preserve">SOSTENIBILIDAD DEL AREA DE SERVICIOS PUBLICOS </t>
  </si>
  <si>
    <t>1. CUBRIMIENTO DEL 90% DE LA POBLACION MEDIDAS DE SEGURIDAD Y CONVIVENCIA CIVICA</t>
  </si>
  <si>
    <t xml:space="preserve"> 2. REDUCCION DEL 40% POR MEDIO DE PREVENCION Y CONTROL LA DELICUENCIA EN EL MUNICIPIO </t>
  </si>
  <si>
    <t>3. FORTALECIMIENTO DEL 90% EL CLOPAD EN ESTRATEGIAS Y CAPACITACIONES PARA MITIGAR RIESGOS Y DESASTRES</t>
  </si>
  <si>
    <t>1. CUBRIMIENTO DEL 50% DE LA POBLACION MEDIDAS DE SEGURIDAD Y CONVIVENCIA CIVICA</t>
  </si>
  <si>
    <t xml:space="preserve"> 2. REDUCCION DEL 60% POR MEDIO DE PREVENCION Y CONTROL LA DELICUENCIA EN EL MUNICIPIO </t>
  </si>
  <si>
    <t>3. FORTALECIMIENTO DEL 60% EL CLOPAD EN ESTRATEGIAS Y CAPACITACIONES PARA MITIGAR RIESGOS Y DESASTRES</t>
  </si>
  <si>
    <t>SEGURIDAD Y PREVENCION</t>
  </si>
  <si>
    <t xml:space="preserve">CONVIVENCIA Y SEGURIDAD CIUDADANA </t>
  </si>
  <si>
    <t xml:space="preserve"> FORMACION Y PROMOCION DE LA CONVIVIENCIA CIVICA </t>
  </si>
  <si>
    <t>SEC GOBIERNO</t>
  </si>
  <si>
    <t xml:space="preserve"> PREVENCION Y CONTROL DE DELINCUENCIA </t>
  </si>
  <si>
    <t xml:space="preserve"> ACTIVACION DEL CLOPAD</t>
  </si>
  <si>
    <t>CONVENIO INTERADMINISTRATIVO 002 DE 2008 (PREVENCION, ATENCION,MITIGACION Y CONTROL DE EMERGENCIAS EN EL DEPARTAMENTO DE CUNDINAMARCA VL 20000</t>
  </si>
  <si>
    <t>1. FORTALECIMIENTO DEL 90% EL CTP, EL CMDR Y POLITICA SOCIAL MEDIANTE CAPACITACIONES HE IMPLEMENTACIONES PARA EL BUEN DESARROLLO DEL MUNICIPIO</t>
  </si>
  <si>
    <t>PARTICIPACION CIUDADANA</t>
  </si>
  <si>
    <t>CONCEJOS PARTICIPATIVOS</t>
  </si>
  <si>
    <t xml:space="preserve">APOYO AL CONCEJO TERRITORIAL DE PLANEACION Y AL CONCEJO MUNICIPAL DE DESARROLLO RURAL Y POLITICA SOCIAL </t>
  </si>
  <si>
    <t xml:space="preserve">1. CAPACITACION DEL 20% DE LA POBLACION COMO VEEDORES DE LA COMUNIDAD </t>
  </si>
  <si>
    <t>2. CUBRIMIENTO DEL 20% DE LA POBLACION PARA LA PARTICIPACION COMO VEEDORES CIUDADANOS EN LOS PROYECTOS DE INVERSION DEL MUNICIPIO</t>
  </si>
  <si>
    <t xml:space="preserve">1. CAPACITACION DEL 10% DE LA POBLACION COMO VEEDORES DE LA COMUNIDAD </t>
  </si>
  <si>
    <t>VEEDURIAS CIUDADANAS</t>
  </si>
  <si>
    <t xml:space="preserve">FORMACION A LA CIUDADANIA </t>
  </si>
  <si>
    <t>CONFORMACION DE LAS VEEDURIAS CIUDADANAS</t>
  </si>
  <si>
    <t>1. MANTENIMIENTO Y ADECUACION DEL 90% LOS ESTABLECIMIENTOS EDUCATIVOS DEL MUNICIPIO</t>
  </si>
  <si>
    <t>1. MANTENIMIENTO Y ADECUACION DEL 40% LOS ESTABLECIMIENTOS EDUCATIVOS DEL MUNICIPIO</t>
  </si>
  <si>
    <t xml:space="preserve">INFRAESTRUCTURA  Y EQUIPAMENTO MUNICIPAL </t>
  </si>
  <si>
    <t xml:space="preserve">CONSTRUCCION , MANTENIMIENTO Y ADECUACION ESTABLECIMIENTOS EDUCATIVOS </t>
  </si>
  <si>
    <t xml:space="preserve">ADECUACION Y MANTENIMIENTO DE DE CADA UNO DE LOS ESTABLECIMIENTOS EDUCACTIVOS DEL MUNICIPIO </t>
  </si>
  <si>
    <t>1. CONSTRUCCION DE  POLIDEPORTIVOS EN EL MUNICIPIO PARA LA PRACTICA EFICIENTE DEL DEPORTE Y MANTENIMIENTO DEL 90%  LA INFRAESTRUCTURA DEPORTIVA DEL MUNICIPIO</t>
  </si>
  <si>
    <t>1. CONSTRUCCION DE  POLIDEPORTIVOS EN EL MUNICIPIO PARA LA PRACTICA EFICIENTE DEL DEPORTE Y MANTENIMIENTO DEL 60%  LA INFRAESTRUCTURA DEPORTIVA DEL MUNICIPIO</t>
  </si>
  <si>
    <t>MANTENIMIENTO Y ADECUACION DE ESCENARIOS DEPORTIVOS</t>
  </si>
  <si>
    <t xml:space="preserve">MANTENER Y CONSTRUIR LOS ESCENARIOS DEPORTIVOS DEL MUNICIPIO PARA LA PRACTICA EFICIENTE DEL DEPORTE </t>
  </si>
  <si>
    <t>1. ADECUACION DEL 80% LAS INTALACIONES MUNICIPALES DEL MUNICIPIO</t>
  </si>
  <si>
    <t xml:space="preserve">MANTENIMIENTO Y ADECUACION DE INSTALACIONES  MUNICIPALES </t>
  </si>
  <si>
    <t xml:space="preserve">MODERNIZACION Y ADECUACION DE LOS ESTABLECIMIENTOS PUBLICOS DEL MUNICIPIO </t>
  </si>
  <si>
    <t>1.CULMINACION DEL  90% LAS OBRAS INCONCLUSAS DEL MUNICIPIO</t>
  </si>
  <si>
    <t>1.CULMINACION DEL  60% LAS OBRAS INCONCLUSAS DEL MUNICIPIO</t>
  </si>
  <si>
    <t>CONTINUIDAD PARA EL DESARROLLO</t>
  </si>
  <si>
    <t xml:space="preserve">1. CULMINACION DE LAS OBRAS INCONCLUSAS DEL MUNICIPIO </t>
  </si>
  <si>
    <t>INVERSION EJECUTADA EN EL 2008</t>
  </si>
  <si>
    <t>INVERSION PROGRAMADA - P.D. M.-</t>
  </si>
  <si>
    <t>DIFERENCIA</t>
  </si>
  <si>
    <t>DEPENDENCIA RESPONSABLE</t>
  </si>
  <si>
    <t>INDICADOR</t>
  </si>
  <si>
    <t>RECURSOS ASIGNADOS EN EL CUATRENIO (MILES)</t>
  </si>
  <si>
    <t>% PROYECTADO</t>
  </si>
  <si>
    <t>AVANCE META FISICA</t>
  </si>
  <si>
    <t>NIVEL DE CUMPLIMIENTO EN EL AÑO (EFICACIA EN EL AÑO)</t>
  </si>
  <si>
    <t>NIVEL DE CUMPLIMIENTO EN EL AÑO SOBRE EL TOTAL DEL PLAN</t>
  </si>
  <si>
    <t>NIVEL DE CUMPLIMIENTO EN EL AÑO SOBRE EL TOTAL DEL PLAN, AJUSTADO AL 100% MÁXIMO</t>
  </si>
  <si>
    <t>META FISICA PROYECTADA</t>
  </si>
  <si>
    <t>CONTROL META FISICA PROYECTADA</t>
  </si>
  <si>
    <t>NIVEL DE CUMPLIMIENTO ACUMULADO (EFICACIA ACUMULADA)</t>
  </si>
  <si>
    <t>NIVEL DE CUMPLIMIENTO ACUMULADO AJUSTADO AL 100% MAXIMO (EFICACIA ACUMULADA AJUSTADA)</t>
  </si>
  <si>
    <t>PARTE ESTRATEGICA</t>
  </si>
  <si>
    <t>META ANUALIZADA  - RECURSOS</t>
  </si>
  <si>
    <t>OBJETIVOS ESTRATÉGICOS DEL PLAN</t>
  </si>
  <si>
    <t>INDICADORES</t>
  </si>
  <si>
    <t>VIGENCIA 2008</t>
  </si>
  <si>
    <t>VIGENCIA 2009</t>
  </si>
  <si>
    <t>VIGENCIA 2010</t>
  </si>
  <si>
    <t>VIGENCIA 2011</t>
  </si>
  <si>
    <t xml:space="preserve"> PROGRAMA </t>
  </si>
  <si>
    <t>META PRODUCTO (SUBPROGRAMAS)</t>
  </si>
  <si>
    <t>META DE IMPACTO</t>
  </si>
  <si>
    <t>META PRODUCTO CUATRO ANOS</t>
  </si>
  <si>
    <t>% PROGRAMA</t>
  </si>
  <si>
    <t>% METAS</t>
  </si>
  <si>
    <t>% METAS SUBPROGRAMAS</t>
  </si>
  <si>
    <t>% CORREGIDO CHECK</t>
  </si>
  <si>
    <t>% AL 100%</t>
  </si>
  <si>
    <t>PONDERADOR EDU, SALUD Y AGUAS</t>
  </si>
  <si>
    <t>% TOTAL PONDERADOR EDU , SALUD Y AGUAS</t>
  </si>
  <si>
    <t>DESCRIPCION DEL INDICADOR</t>
  </si>
  <si>
    <t>TIPO DE META ( R - M -I )</t>
  </si>
  <si>
    <t>RECURSOS ASIGNADOS Y/O PRESUPUESTADOS 2008 EN (MILES DE PESOS)</t>
  </si>
  <si>
    <t>RECURSOS EJECUTADOS EN EL 2008 EN (MILES DE PESOS)</t>
  </si>
  <si>
    <t xml:space="preserve">EJE SOCIAL </t>
  </si>
  <si>
    <t xml:space="preserve">PROTECCION SOCIAL </t>
  </si>
  <si>
    <t>ORGANIZAR DE MANERA EFECTIVA LA PROTECCION SOCIAL EL MUNICIPIO, DE TAL FORMA QUE LA ADMINISTRACIÓN LLEGUE A TODAS Y CADA UNA DE LAS VEREDAS POR MEDIO DE QUIENES INTEGRAN ESTE EQUIPO, LOGRANDO SUPLIR LAS NECESIDADES EXISTENTES</t>
  </si>
  <si>
    <t xml:space="preserve">FOMEQUE EN AMBIENTE SALUDABLE </t>
  </si>
  <si>
    <t xml:space="preserve">1. AMPLIACION Y MEJORAMIENTO Y COBERTURA Y CALIDAD DE SALUD  .  </t>
  </si>
  <si>
    <t xml:space="preserve">1. LOGRAR VINCULAR AL 5 % (450) DE LA POBLACION EN ESTRATO UNO Y DOS DEL SISBEN QUE NO SE ENCUENTRAN EN NINGUNA ARS  AL REGIMEN SUBSIDIADO </t>
  </si>
  <si>
    <t>% VINCULACION REGIMEN  SUBSIDIADO</t>
  </si>
  <si>
    <t>INCREMENTO</t>
  </si>
  <si>
    <t>2. SEGUIMIENTO Y CONTROL DE LOS PROCESOS DE SALUD</t>
  </si>
  <si>
    <t xml:space="preserve">2. LOGRAR QUE EL 50% DE LOS HABITANTES DEL MUNICIPIO (6548) TENGAN UN ADECUADO SERVICIO DE SALUD </t>
  </si>
  <si>
    <t>% DE HABITANTES CON ADECUADO SERVICIO DE SALUD</t>
  </si>
  <si>
    <t>3. ACOMPAÑAMIENTO Y ARTICULACION</t>
  </si>
  <si>
    <t>3. MEJORAR EN ACOMPAÑAMIENTO Y ARTICULACION EN UN 20% DE LOS HABITANTES DEL MUNICIPIO</t>
  </si>
  <si>
    <t>% HABITANTES CUBIERTOS</t>
  </si>
  <si>
    <t>4. PIC</t>
  </si>
  <si>
    <t>4. LOGRAR EL CUMPLIMIENTO DEL 100% DE LOS POAS PROPUESTOS PARA EL PIC MUNICIPAL</t>
  </si>
  <si>
    <t>% CUMPLIMIENTO POAS</t>
  </si>
  <si>
    <t>MANTENIMIENTO</t>
  </si>
  <si>
    <t xml:space="preserve">1.  FAMILIAS EN ACCION </t>
  </si>
  <si>
    <t xml:space="preserve">1. LOGRAR VINCULAR 50 FAMILIAS AL PROGRAMA DE FAMILIAS EN ACCION </t>
  </si>
  <si>
    <t>Nº FAMILIAS CUBIERTAS</t>
  </si>
  <si>
    <t xml:space="preserve">2. MADRES COMUNITARIAS. </t>
  </si>
  <si>
    <t xml:space="preserve">2. CAPACITAR HE INSTRUIR A 5 MADRES COMUNITARIAS COMO APOYO A LA NIÑEZ </t>
  </si>
  <si>
    <t>Nº CAPACITACIONES</t>
  </si>
  <si>
    <t>3. FAMI</t>
  </si>
  <si>
    <t>3. MEJORAR LA COBERTURA EN UN 5% A FAMI</t>
  </si>
  <si>
    <t>% COBERTURA</t>
  </si>
  <si>
    <t xml:space="preserve">1. APOYO A LA MUJER RURAL </t>
  </si>
  <si>
    <t>1. LOGRAR UNA COBERTURA DE LA POBLACIÓN VULNERABLE (NIÑOS,MADRES) DEL 20% (500) EN LOS PROGRAMAS DE PROTECCIÓN.</t>
  </si>
  <si>
    <t>% COBERTURA POBLACION VULNERABLE</t>
  </si>
  <si>
    <t xml:space="preserve">2. APOYO A LA POBLACION  ADULTO MAYOR </t>
  </si>
  <si>
    <t>2. LOGRAR UNA COBERTURA DE LA POBLACIÓN VULNERABLE ( ADULTOS MAYORES) DEL 20% (500) EN LOS PROGRAMAS DE PROTECCIÓN.</t>
  </si>
  <si>
    <t>%COBERTURA ADULTO MAYOR</t>
  </si>
  <si>
    <t xml:space="preserve">3.  APOYO A LA POBLACION DEZPLAZADA </t>
  </si>
  <si>
    <t>3. LOGRAR UNA COBERTURA DE LA POBLACIÓN VULNERABLE (DESPLAZADOS) DEL 20% (50) EN LOS PROGRAMAS DE PROTECCIÓN.</t>
  </si>
  <si>
    <t>%COBERTURA DESPLAZADOS</t>
  </si>
  <si>
    <t xml:space="preserve">4. APOYO A LA POBLACION EN CONDICIONES DE DISCAPACIDAD </t>
  </si>
  <si>
    <t>4. LOGRAR UNA COBERTURA DE LA POBLACIÓN VULNERABLE (NIÑOS,MADRES CABEZA DE FAMILIA, ADULTOS MAYORES Y DISCAPACITADOS) DEL 40% (500) EN LOS PROGRAMAS DE PROTECCIÓN.</t>
  </si>
  <si>
    <t>% COBERTURA DISCAPACITADOS</t>
  </si>
  <si>
    <t xml:space="preserve">1, CREACION DE LA COMISARIA DE FAMILIA </t>
  </si>
  <si>
    <t>1. CONTAR CON UN(A) COMISARI@ DE FAMILIA LA PROTECCION DE LA NIÑEZ, INFANCIA Y ADOLECENCIA</t>
  </si>
  <si>
    <t>COMISARI@ DE FAMILIA</t>
  </si>
  <si>
    <t xml:space="preserve">2. SOCIALIZACION DE LA LEY 1058 DE 2006 DE NIÑEZ, INFANCIA Y ADOLECENCIA. </t>
  </si>
  <si>
    <t>1. LOGRAR EN UN 95% CON AYUDA DE LA COMISARIA DE FAMILIA LA PROTECCION DE LA NIÑEZ, INFANCIA Y ADOLECENCIA</t>
  </si>
  <si>
    <t>% PROTECCION DE INFANCIA Y ADOLESCENCIA</t>
  </si>
  <si>
    <t xml:space="preserve">EDUCACION </t>
  </si>
  <si>
    <t>MEJORAR LA CALIDAD DE LA EDUCACIÓN PARA EL ALUMNO, PADRE DE FAMILIA Y DOCENTE;  BRINDANDOLE LAS HERRAMIENTAS NECESARIAS PARA INCENTIVAR SU ESPIRITU DE INVESTIGACION.</t>
  </si>
  <si>
    <t xml:space="preserve">1. FOMEQUE  UN MUNICIPIO INCLUYENTE Y FORMADOR </t>
  </si>
  <si>
    <t>1. MEJORAR LA FORMACION DE LOS ALUMNOS EN UN 20% PARA EL DESARROLLO ESCOLAR</t>
  </si>
  <si>
    <t xml:space="preserve">% FORMACION ALUMNOS </t>
  </si>
  <si>
    <t xml:space="preserve">2.  CAPACITACION DOCENTES </t>
  </si>
  <si>
    <t>2. CAPACITAR AL 70% DE LOS DOCENTES PARA MEJORAR LA PEDAGOGIA Y LA ENSEÑANZA Y MEJORAR LA EDUCACION</t>
  </si>
  <si>
    <t>% DOCENTES CAPACITADOS</t>
  </si>
  <si>
    <t>3. DOTACION DE AYUDAS DIDACTICAS</t>
  </si>
  <si>
    <t>3. DOTAR EL 100% DE LAS ESCUELAS DEL MUNICIPIO DE FOMEQUE CON  1 COMPUTADOR PARA EL DESARROLLO DE LA NIÑEZ</t>
  </si>
  <si>
    <t>% DOTACION</t>
  </si>
  <si>
    <t>1. APOYO CON TRANSPORTE ESCOLAR</t>
  </si>
  <si>
    <t xml:space="preserve">1. MEJORAR LA COBERTURA EN TRANSPORTE ESCOLAR EN UN 100% A LOS ESTUDIANTES DEL AREA RURAL </t>
  </si>
  <si>
    <t xml:space="preserve">% COBERTURA TRANSPORTE </t>
  </si>
  <si>
    <t xml:space="preserve"> 2.  PROMOCION  DEL ACCESO A LA EDUCACION SUPERIOR DE LOS FOMEQUEÑOS  </t>
  </si>
  <si>
    <t>2. INCENTIVAR CON BECAS A LOS 5 MEJORES ICFES DEL MUNICIPIO DE FOMEQUE</t>
  </si>
  <si>
    <t>Nº BECAS</t>
  </si>
  <si>
    <t xml:space="preserve">ALIMENTACION ESCOLAR </t>
  </si>
  <si>
    <t xml:space="preserve">1. MEJORAR LA COBERTURA DE LOS RESTAURANTES ESCOLARES  SUBSIDIANDO EL  PAGO DEL 50% DE LAS ECONOMAS DEL MUNICIPIO 2. MEJORAR EN UN 50%  LA IMPLEMENTACION Y DOTACION DE LOS RESTAURANTES ESCOLARES  </t>
  </si>
  <si>
    <t>% COBERTURA RESTAURANTES</t>
  </si>
  <si>
    <t xml:space="preserve">MEJORAR LA CALIDAD DE VIDA DE LOS FOMEQUEÑOS CON VIVIENDA DIGNA Y CON ESPACIOS PARA EL DEPORTE  Y LA CULTURA PARA EL DESARROLLO DE LA COMUNIDAD </t>
  </si>
  <si>
    <t xml:space="preserve">EL DEPORTE INSUMO SALUDABLE DE LOS FOMEQUEÑOS </t>
  </si>
  <si>
    <t xml:space="preserve">1. RECREACION PARA LA NIÑEZ Y LA JUVENTUD. </t>
  </si>
  <si>
    <t xml:space="preserve">1. REALIZAR   20 ACTIVIDADES DE RECREACION PARA LA NIÑEZ Y LA JUVENTUD COMO PARTE DEL DESARROLLO FISICO INTEGRAL </t>
  </si>
  <si>
    <t>Nº ACTIVIDADES RECREACION</t>
  </si>
  <si>
    <t xml:space="preserve">2. DEPORTE FORMATIVO. </t>
  </si>
  <si>
    <t xml:space="preserve">2. FORTALECER EN UN 50% LAS ESCUELAS DE FORMACION EN EL MUNICIPIO DE FOMEQUE </t>
  </si>
  <si>
    <t>% COBERTURA ESCUELAS</t>
  </si>
  <si>
    <t xml:space="preserve">3. DEPORTE ESCOLAR </t>
  </si>
  <si>
    <t xml:space="preserve">3. DOTAR EN UN 10% CON IMPLEMENTOS DEPORTIVOS LAS INSTITUCIONES EDUCATIVAS DEL MUNICIPIO  </t>
  </si>
  <si>
    <t>% DOTACION IMPLEMENTOS DEPORTIVOS</t>
  </si>
  <si>
    <t xml:space="preserve">4. DEPORTE PARA TODOS </t>
  </si>
  <si>
    <t xml:space="preserve">4. REALIZAR 5 CAMPEONATOS EN DIFERENTES DISCIPLINAS PARA LA INTEGRACION DE LOS HABITANTES DEL MUNICIPIO  </t>
  </si>
  <si>
    <t>Nª CAMPEONATOS</t>
  </si>
  <si>
    <t>5. CAPACITACION TALENTO HUMANO .</t>
  </si>
  <si>
    <t xml:space="preserve">5. REALIZAR CAPACITACIÓN A 5 INSTRUCTORES EN TECNICAS Y PROCEDIMIENTOS EN DIFERENTES DISCIPLINAS DEPORTIVAS </t>
  </si>
  <si>
    <t>Nº INSTRUCTORES CAPACITADOS</t>
  </si>
  <si>
    <t xml:space="preserve">1. FORTALECIMIENTO ESCUELAS DE FORMACION ARTISTICA Y CULTURAL </t>
  </si>
  <si>
    <t xml:space="preserve">1. LOGRAR EN UN 10%  EL FORTALECIMIENTO DE LAS ESCUELAS DE FORMACION ARTISTICA Y CULTURAL CON DOCENTES  CAPACITADOS </t>
  </si>
  <si>
    <t>% COBERTURA ESCUELAS CULTURA</t>
  </si>
  <si>
    <t xml:space="preserve">2. PROMOCION , INVESTIGACION Y DIVULGACION CULTURAL </t>
  </si>
  <si>
    <t xml:space="preserve">2. LOGRAR QUE EL 5% DE LA POBLACIÓN (450)  SE INTEGREN EN LOS EVENTOS CULTURALES Y DE INVESTIGACION CULTURAL </t>
  </si>
  <si>
    <t>ESTRUCTURAR LA ADMINISTRACION MUNICIPAL</t>
  </si>
  <si>
    <t xml:space="preserve"> FORMACION ADMINISTRATIVA</t>
  </si>
  <si>
    <t>RECURSOS ASIGNADOS Y/O PRESUPUESTADOS 2009 EN (MILES DE PESOS)</t>
  </si>
  <si>
    <t>RECURSOS EJECUTADOS EN EL 2009 EN (MILES DE PESOS)</t>
  </si>
  <si>
    <t>RECURSOS EJECUTADOS EN EL 2010 EN (MILES DE PESOS)</t>
  </si>
  <si>
    <t>RECURSOS ASIGNADOS Y/O PRESUPUESTADOS 2010 EN (MILES DE PESOS)</t>
  </si>
  <si>
    <t>RECURSOS ASIGNADOS Y/O PRESUPUESTADOS 2011 EN (MILES DE PESOS)</t>
  </si>
  <si>
    <t>RECURSOS EJECUTADOS EN EL 2011 EN (MILES DE PESOS)</t>
  </si>
  <si>
    <t>RECURSOS ASIGNADOS Y/O PRESUPUESTADOS EN (MILES DE PESOS)</t>
  </si>
  <si>
    <t>RECURSOS EJECUTADOS EN (MILES DE PESOS)</t>
  </si>
  <si>
    <t>,</t>
  </si>
  <si>
    <t>% INTEGRACION HABITANTES</t>
  </si>
  <si>
    <t xml:space="preserve">3. PROMOCION DE LA LECTURA </t>
  </si>
  <si>
    <t>3. REALIZAR 2 FESTIVALES DE LECTURA EN EL MUNICIPIO PARA PROMOVER LA LECTURA SANA</t>
  </si>
  <si>
    <t>Nº FESTIVALES LECTURA</t>
  </si>
  <si>
    <t>4. EL JUEGO Y LA CULTURA ( LUDOTECA)</t>
  </si>
  <si>
    <t>4. LOGRAR QUE EL 10% DE LOS ALUMNOS  MATRICULADOS EN EL MUNICIPIO ACCEDAN A LOS SERVICIOS DE LA LUDO TECA COMO PARTE DE SU FORMACION INTEGRAL.</t>
  </si>
  <si>
    <t>% DE ALUMNOS</t>
  </si>
  <si>
    <t xml:space="preserve">1. MEJORAMIENTO DE CONDICIONES HABITACIONALES </t>
  </si>
  <si>
    <t xml:space="preserve">1. MEJORAR LA CONDICION HABITACIONAL A 50 FAMILIAS DE ESTRATO UNO Y DOS DEL SISBEN EN EL MUNICIPIO </t>
  </si>
  <si>
    <t>Nª FAMILIAS CUBIERTAS</t>
  </si>
  <si>
    <t xml:space="preserve">2. PROMOCION Y CONSTRUCCION VIVIENDA NUEVA(VIVIENDA SALUDABLE) </t>
  </si>
  <si>
    <t>2. DOTAR DE VIVIENDA DIGNA A 100 FAMILIAS DE ESCASOS RECURSOS QUE ESTEN EN NIVELES UNO Y DOS DEL SISBEN</t>
  </si>
  <si>
    <t>Nª DOTACIONES DE VIVIENDA POR FAMILIA</t>
  </si>
  <si>
    <t>MEJORAR EL NIVEL DE VIDA DE LOS PEQUEÑOS PRODUCTORES DEL MUNICIPIO</t>
  </si>
  <si>
    <t xml:space="preserve">MEJORAMIENTO GENETICO Y SANIDAD ANIMAL Y PRODUCCION AGRICOLA </t>
  </si>
  <si>
    <t>1. MEJORAMIENTO SANITARIO PECUARIO Y AGRICOLA</t>
  </si>
  <si>
    <t>1. ATENCION DE 150 USUARIOS EN MEJORAMIENTO DE PRODUCCION BOVINA Y AGRICOLA EN EL MUNICIPIO</t>
  </si>
  <si>
    <t>Nº USUARIOS ATENDIDOS</t>
  </si>
  <si>
    <t xml:space="preserve">1. INVESTIGACION TECNOLOGICA AGROPECUARIA </t>
  </si>
  <si>
    <t xml:space="preserve">1. MEJORAR  EN UN 10% LAS TECNICAS AGRICOLAS HE INCENTIVAR LA INVESTIGACION EN EL MUNICIPIO </t>
  </si>
  <si>
    <t>% COBERTURA TECNICAS AGRICOLAS</t>
  </si>
  <si>
    <t xml:space="preserve">2. OPTIMIZACION DE LOS PROCESOS PRODUCTIVOS  </t>
  </si>
  <si>
    <t>2. BRINDAR ASESORIA A 150 PRODUCTORES MEJORANDO Y DIVERSIFICANDO EL PROCESO PRODUCTIVO</t>
  </si>
  <si>
    <t>Nº USUARIOS ASESORADOS</t>
  </si>
  <si>
    <t>3. MANTENIMIENTO Y CONSTRUCCION DE DISTRITOS DE RIEGO</t>
  </si>
  <si>
    <t xml:space="preserve">% FORTALECIMIENTO </t>
  </si>
  <si>
    <t xml:space="preserve">COMERCIALIZACION </t>
  </si>
  <si>
    <t xml:space="preserve">1. FORTALECIMIENTO DEL COMERCIO AGROPECUARIO  </t>
  </si>
  <si>
    <t>1. FORTALECER EN UN 60% EL COMERCIO AGROPECUARIO CON CULTIVOS PRODUCTIVOS.</t>
  </si>
  <si>
    <t xml:space="preserve">1. FORTALECIMIENTO DEL 80%  EN EL COMERCIO AGROPECUARIO CON CULTIVOS PRODUCTIVOS. </t>
  </si>
  <si>
    <t>% FORTALECIMIENTO COMERCIO</t>
  </si>
  <si>
    <t xml:space="preserve">2. GESTION PARA LA FORMACION EMPRESARIAL </t>
  </si>
  <si>
    <t xml:space="preserve"> 2. CAPACITAR A 100 PRODUCTORES EN GESTION EMPRESARIAL POR MEDIO DE CONVENIOS CON EL SENA Y UNIVERSIDADES</t>
  </si>
  <si>
    <t xml:space="preserve">2. CAPACITACION DE 400 PRODUCTORES EN GESTION EMPRESARIAL POR MEDIO DE CONVENIOS CON EL SENA Y UNIVERSIDADES </t>
  </si>
  <si>
    <t>Nº CAPACITACIONES PRODUCTORES</t>
  </si>
  <si>
    <t xml:space="preserve">3. FORTALECIMIENTO DE LA INFRAESTRUCTURA COMO MATADERO , PLAZA DE MERCADO  Y LA FERIA EXPOSICION </t>
  </si>
  <si>
    <t xml:space="preserve"> 3. ADECUAR EN UN 100% EL MATADERO MUNICIPAL  A PLANTA DE BENEFICIO </t>
  </si>
  <si>
    <t xml:space="preserve">3. ADECUACION DEL 100% DEL MATADERO MUNICIPAL  A PLANTA DE BENEFICIO </t>
  </si>
  <si>
    <t xml:space="preserve">ADECUACION MATADERO </t>
  </si>
  <si>
    <t>DOTAR AL MUNICIPIO DE UNA INFRAESTRUCTURA VIAL Y DE COMUNICACIONES ACORDE CON LAS NECESIDADES Y DEMANDA DE LOS HABITANTES.</t>
  </si>
  <si>
    <t xml:space="preserve">1. MANTENIMIENTO Y PAVIMENTACION RED VIAL CASCO URBANO </t>
  </si>
  <si>
    <t>1. MANTENER EN UN 50% LA RED VIAL DEL MUNICIPIO GARANTIZANDO LA TRANSITABILIDAD DENTRO DEL MUNICIPIO 2. PAVIMENTAR 100 MTS DE LA RED VIAL DEL MUNICIPIO</t>
  </si>
  <si>
    <t>% COBERTURA VIAL URBANA</t>
  </si>
  <si>
    <t xml:space="preserve">1. MEJORAMIENTO Y MANTENIMIENTO DE LA RED VIAL RURAL </t>
  </si>
  <si>
    <t>1. MEJORAR EN UN 80% LAS CONDICIONES DE TRANSITABILIDAD EN LAS VIAS RURALES DEL MUNICIPIO</t>
  </si>
  <si>
    <t>% COBERTURA VIAL RURAL</t>
  </si>
  <si>
    <t xml:space="preserve">TURISMO </t>
  </si>
  <si>
    <t>FORTALECER EL SECTOR TURÍSTICO E INDUSTRIAL COMO ALTERNATIVA DE DESARROLLO ECONÓMICO</t>
  </si>
  <si>
    <t xml:space="preserve">1, PLAN DE TURISMO MUNICIPAL </t>
  </si>
  <si>
    <t xml:space="preserve">1. CREAR EL PLAN DE DESARROLLO MUNICIPAL TURISTICO </t>
  </si>
  <si>
    <t>PLAN TURISTICO</t>
  </si>
  <si>
    <t xml:space="preserve">2. GESTION Y PROMOCION DEL ECOTURISMO Y AGROTURISMO </t>
  </si>
  <si>
    <t xml:space="preserve">2. INCENTIVAR EN UN 20% DE LA POBLACION EL ECOTURISMO EN NUESTRO MUNICIPIO MEDIANTE CAMINATAS Y SALIDAS ECOLOGICAS. </t>
  </si>
  <si>
    <t>% PARTICIPACION ECOTURISMO</t>
  </si>
  <si>
    <t xml:space="preserve">3.  PROMOCION Y FORMACION DE ALIANZAS DE TURISMO </t>
  </si>
  <si>
    <t>3. ESTABLECIMIENTO DE CONVENIOS CON DIVERSAS ENTIDADES PARA LA PROMOCIÓN Y FORMACIÓN DEL TURISMO.</t>
  </si>
  <si>
    <t>Nª CONVENIOS</t>
  </si>
  <si>
    <t xml:space="preserve">DOTAR AL MUNICIPIO DE REDES DE ACUEDUCTO Y ALCANTARILLADO Y PLANTAS DE TRATAMIENTO PARA GARANTIZAR UN BUEN SERVICIO A LA COMUNIDAD FOMEQUEÑA. </t>
  </si>
  <si>
    <t>POTABILIZACION</t>
  </si>
  <si>
    <t xml:space="preserve">1. ADECUACION Y MANTENIMIENTO DE LA INFRAESTRUCTURA DE REDES DE ACUEDUCTO </t>
  </si>
  <si>
    <t xml:space="preserve">1. ADECUAR Y MANTENER Y PROTEGER EN UN 90% LAS REDES DE ACUEDUCTO EXISTENTES EN EL MUNICIPIO. </t>
  </si>
  <si>
    <t>% MANTENIMIENTO</t>
  </si>
  <si>
    <t>2. ADECUACION Y MANTENIMIENTO DE LA PLANTA DE TRATAMIENTO DE AGUA POTABLE.</t>
  </si>
  <si>
    <t xml:space="preserve">2. POTABILIZACION EN UN 100% DE LA POBLACION DEL MUNICIPIO </t>
  </si>
  <si>
    <t>% POTABILIZACION</t>
  </si>
  <si>
    <t xml:space="preserve">1. MANTENER EN UN 20 % LA RED DE ALCANTARILLADO DEL MUNICIPIO </t>
  </si>
  <si>
    <t>% MANTENIMIENTO RED ALC</t>
  </si>
  <si>
    <t>2. CUBRIR EN UN 100% EL CASCO URBANO DEL MUNICIPIO EN ACUEDUCTO Y ALCANTARILLADO</t>
  </si>
  <si>
    <t>% CUBRIMIENTO PLAN MAESTRO</t>
  </si>
  <si>
    <t>2. CUBRIR EN UN 100% EL CASCO URBANO DEL MUNICIPIO EN  ALCANTARILLADO</t>
  </si>
  <si>
    <t>2. CUBRIMIENTO DEL 100% EL CASCO URBANO DEL MUNICIPIO EN  ALCANTARILLADO</t>
  </si>
  <si>
    <t>% COBERTURA ALCANTARILLADO</t>
  </si>
  <si>
    <t xml:space="preserve">1. APLICACIÓN DEL PGIRS </t>
  </si>
  <si>
    <t>1. SENSIBILIZAR EN UN 90% DE LA POBLACION DEL CASCO URBANO Y CENTRO POBLADO LA UNION EN MANEJO ADECUADO DE RESIDUOS SOLIDOS.</t>
  </si>
  <si>
    <t>% SENSIBILIZACION PGIRS</t>
  </si>
  <si>
    <t xml:space="preserve">2. MODERNIZACION DE LA INFRAESTRUCTURA PARA EL TRATAMIENTO DE LOS RESIDUOS SOLIDOS </t>
  </si>
  <si>
    <t xml:space="preserve"> 2. ADECUAR EN UN 80% EN EQUIPOS HE INFRAESTRUCTURA PARA EL TRATAMIENTO DE RESIDUOS SOLIDOS DEL MUNICIPIO</t>
  </si>
  <si>
    <t>% ADECUACION</t>
  </si>
  <si>
    <t xml:space="preserve">3. APOYO INTEGRAL PARA EL TRATAMIENTO DE LOS RESIDUOS SOLIDOS </t>
  </si>
  <si>
    <t>% APOYO</t>
  </si>
  <si>
    <t>MEJORAR LAS CONDICIONES DE NUESTRAS CUENCAS HIDROGRAFICAS PARA LA CONSERVACION DEL AGUA EN UN AMBIENTE SANO Y SALUDABLE A LOS HABITANTES DEL MUNICIPIO.</t>
  </si>
  <si>
    <t xml:space="preserve">1. REFORESTAR LAS RONDAS DE LOS RIOS Y QUEBRADAS Y LAS ZONAS DE PROTECCION DEL MUNICIPIO DE FOMEQUE </t>
  </si>
  <si>
    <t>1. REFORESTAR  10 Has LAS ZONAS DE PROTECCION DEL MUNICIPIO DE FOMEQUE</t>
  </si>
  <si>
    <t>Nº HAS REFORESTAR</t>
  </si>
  <si>
    <t xml:space="preserve">2. PROTECCION DE CUENCAS HIDROGRAFICAS Y ESTABILIDAD DE LADERAS </t>
  </si>
  <si>
    <t>1. PROTEGER EL 40% LAS CUENCAS HIDROGRAFICAS DEL MUNICIPIO DE FOMEQUE</t>
  </si>
  <si>
    <t>% PROTECCION CUENCAS</t>
  </si>
  <si>
    <t xml:space="preserve">COMPRA DE PREDIOS </t>
  </si>
  <si>
    <t xml:space="preserve">1. PRESERVACION, ADQUISICION Y PROTECCION DE CUENCAS HIDRICA Y SITIOS DE INTERES  </t>
  </si>
  <si>
    <t>1. ADQUIRIR 10 Has POR PARTE DEL MUNICIPIO PARA CONSERVAR Y PROTEGER LAS CUENCAS HIDRICAS Y SITIOS DE INTERES</t>
  </si>
  <si>
    <t>Nº HAS  COMPRADAS CONSERVACION</t>
  </si>
  <si>
    <t xml:space="preserve">FORMACION AMBIENTAL </t>
  </si>
  <si>
    <t>PROMOVER CAMPAÑAS AMBIENTALES ENCAMINADAS A CREAR "UNA CULTURA VERDE" DE CUIDADO, PROTECCIÓN, CONSERVACIÓN Y REHABILITACIÓN DE LOS PARQUES, PARAMOS, QUEBRADAS, RÍOS Y ZONAS FORESTALES DEL MUNICIPIO.</t>
  </si>
  <si>
    <t xml:space="preserve">1. EDUCACION AMBIENTAL PARA LOS FOMEQUEÑOS </t>
  </si>
  <si>
    <t xml:space="preserve">1. SENSIBILIZAR A EL 5% DE LA POBLACION EN PROGRAMAS DE EDUCACION AMBIENTAL </t>
  </si>
  <si>
    <t>% SENSIBILIZACION PROGRAMAS EDUAMBIENTAL</t>
  </si>
  <si>
    <t xml:space="preserve">2. EDUCACION AMBIENTAL PARA EL PRODUCTOR </t>
  </si>
  <si>
    <t>Nº CAPACITADOS PROGRAMAS EDUAMBIENTAL</t>
  </si>
  <si>
    <t>DIMENSION  INSTITUCIONAL</t>
  </si>
  <si>
    <t xml:space="preserve">DESARROLLO ADMINISTRATIVO </t>
  </si>
  <si>
    <t>LOGRAR QUE LA ADMINISTRACION PUBLICA SE TORNE MAS EFICIENTE Y AGIL PARA CUBRIR LAS NERCESIDADES DEL MUNICIPIO</t>
  </si>
  <si>
    <t>DESARROLLO ADMINISTRATIVO E INSTITUCIONAL</t>
  </si>
  <si>
    <t xml:space="preserve">1. MODERNIZACION Y GESTION DE CALIDAD DE LOS PROCESOS ADMINISTRATIVOS Y DE GOBIERNO </t>
  </si>
  <si>
    <t xml:space="preserve">1. REALIZAR EN UN 10% LA MODERNIZACION DE LOS PROCESOS ADMINISTRATIVOS Y DE GOBIERNO EN EL MUNICIPIO </t>
  </si>
  <si>
    <t>% MODERNIZACION PROCESOS ADMOS Y GOB</t>
  </si>
  <si>
    <t>2. ESTRUCTURAR LA ADMINISTRACION MUNICIPAL</t>
  </si>
  <si>
    <t xml:space="preserve">2. ESTRUCTURAR AL 100% EL PERSONAL DE LA ADMINISTRACIN MUNICIPAL DE ACUERDO A LA LEY 617 </t>
  </si>
  <si>
    <t>% ESTRUCTURACION PERSONAL</t>
  </si>
  <si>
    <t>3. FORMACION ADMINISTRATIVA</t>
  </si>
  <si>
    <t>3. BRINDARLE AL 60% DE LOS EMPLEADOS DEL MUNICIPIO CAPACITACIÓN PARA HACER MAS EFICIENTE SU FUNCIÓN</t>
  </si>
  <si>
    <t>% CAPACITACION EMPLEADOS MUNICIPIO</t>
  </si>
  <si>
    <t>ORDENAMIENTO</t>
  </si>
  <si>
    <t xml:space="preserve">1. REVISION Y ACTUALIZACION DE INSTRUMENTOS DE ORDENAMIENTO TERRITORIAL </t>
  </si>
  <si>
    <t>1. ACTUALIZAR EN UN 100% EL EOT MUNICIPAL. Y LA ESTRATIFICACION RURAL Y URBANA DEL MUNICIPIO</t>
  </si>
  <si>
    <t>% ACTUALIZACION</t>
  </si>
  <si>
    <t xml:space="preserve">1 . DESARROLLO DE POLITICAS EDUCATIVAS PARA EL MANEJO EFICIENTE DEL AGUA </t>
  </si>
  <si>
    <t xml:space="preserve">1.PROMOVER CAMPAÑAS DE SENSIBILIZACION EN UN 10% DE LA POBLACION DEL MUNICIPIO PARA EL USO Y MANEJO EFICIENTE DEL AGUA </t>
  </si>
  <si>
    <t>% POBLADORES CAPACITADOS</t>
  </si>
  <si>
    <t xml:space="preserve">2. SOSTENIBILIDAD DEL AREA DE SERVICIOS PUBLICOS </t>
  </si>
  <si>
    <t xml:space="preserve">2. MANTENER UNA COBERTURA DEL 10% EN SERVICIOS PUBLICOS ( AGUA Y ENERGIA ELECTRICA) </t>
  </si>
  <si>
    <t>% COBERTURA SERVICIOS PUBLICOS</t>
  </si>
  <si>
    <t xml:space="preserve">SEGURIDAD Y PREVENCION </t>
  </si>
  <si>
    <t xml:space="preserve">GARANTIZARLE A LOS POBLADORES DEL MUNICIPIO UN LIBRE DESENVOLVIMIENTO DE SUS ACTIVIDADES MEDIANTE APOYO DE LA FUERZA PUBLICA </t>
  </si>
  <si>
    <t xml:space="preserve">1. FORMACION Y PROMOCION DE LA CONVIVIENCIA CIVICA </t>
  </si>
  <si>
    <t xml:space="preserve">1. BRINDAR AL 10% DE LA POBLACION MEDIDAS DE SEGURIDAD Y CONVIVENCIA CIVICA </t>
  </si>
  <si>
    <t>% POBLACION ASEGURADA</t>
  </si>
  <si>
    <t xml:space="preserve">2. PREVENCION Y CONTROL DE DELINCUENCIA </t>
  </si>
  <si>
    <t xml:space="preserve">2. REDUCIR EL 5% POR MEDIO DE PREVENCION Y CONTROL LA DELICUNENCIA EN EL MUNICIPIO </t>
  </si>
  <si>
    <t>% REDUCCION</t>
  </si>
  <si>
    <t>REDUCCION</t>
  </si>
  <si>
    <t>3. ACTIVACION DEL CLOPAD</t>
  </si>
  <si>
    <t>3. FORTALECER EN UN 10% EL CLOPAD EN ESTRATEGIAS Y CAPACITACIONES PARA MITIGAR RIESGOS Y DESASTRES</t>
  </si>
  <si>
    <t>% ESTRATEGIAS</t>
  </si>
  <si>
    <t xml:space="preserve">PARTICIPACION CIUDADANA </t>
  </si>
  <si>
    <t xml:space="preserve">GARANTIZAR LA PARTICIPACION CIUDADANA COMO MEDIO DE EXPRESION PARA EL DESARROLLO DEL MUNICIPIO </t>
  </si>
  <si>
    <t xml:space="preserve">1 APOYO AL CONCEJO TERRITORIAL DE PLANEACION Y AL CONCEJO MUNICIPAL DE DESARROLLO RURAL Y POLITICA SOCIAL </t>
  </si>
  <si>
    <t>1. FORTALECER EN UN 10% EL CTP,EL CMDR Y POLITICA SOCIAL MEDIANTE CAPACITACIONES HE IMPLEMENTACIONES PARA EL BUEN DESARROLLO DEL MUNICIPIO</t>
  </si>
  <si>
    <t>% CAPACITACIONES HE IMPLEMENTACIONES</t>
  </si>
  <si>
    <t>VEDURIAS CIUDADANAS</t>
  </si>
  <si>
    <t xml:space="preserve">1. FORMACION A LA CIUDADANIA </t>
  </si>
  <si>
    <t xml:space="preserve">1. CAPACITAR EL 10% DE LA POBLACION COMO VEEDORES DE LA COMUNIDAD </t>
  </si>
  <si>
    <t>% CAPACITACIONES.</t>
  </si>
  <si>
    <t>2. CONFORMACION DE LAS VEEDURIAS CIUDADANAS</t>
  </si>
  <si>
    <t>2. ORGANIZAR EL 10% DE LA POBLACION PARA LA PARTICIPACION COMO VEEDORES CIUDADANOS EN LOS PROYECTOS DE INVERSION DEL MUNICIPIO</t>
  </si>
  <si>
    <t>% POBLACION ORGANIZADAS PARA VEEDORES</t>
  </si>
  <si>
    <t xml:space="preserve">DOTAR AL MUNICIPIO DE UNA INFRAESTRUCTURA FÍSICA ACORDE CON LAS NECESIDADES Y DEMANDA DE LOS HABITANTES.                                                                                                                                                    </t>
  </si>
  <si>
    <t xml:space="preserve">1. ADECUACION Y MANTENIMIENTO DE DE CADA UNO DE LOS ESTABLECIMIENTOS EDUCACTIVOS DEL MUNICIPIO </t>
  </si>
  <si>
    <t>1. MANTENER Y ADECUAR EN UN 10% LOS ESTABLECIMIENTOS EDUCATIVOS DEL MUNICIPIO</t>
  </si>
  <si>
    <t>% MANTENIMIENTO ESTABLECIMIENTOS EDUCATIVOS</t>
  </si>
  <si>
    <t xml:space="preserve">1. MANTENER Y CONSTRUIR LOS ESCENARIOS DEPORTIVOS DEL MUNICIPIO PARA LA PRACTICA EFICIENTE DEL DEPORTE </t>
  </si>
  <si>
    <t>1. CONSTRUIR  POLIDEPORTIVOS EN EL MUNICIPIO PARA LA PRACTICA EFICIENTE DEL DEPORTE  Y MANTENER EN UN 50%  LA INFRAESTRUCTURA DEPORTIVA DEL MUNICIPIO</t>
  </si>
  <si>
    <t>% MANTENIMIENTO Y CONSTRUCCION</t>
  </si>
  <si>
    <t>BRINDAR CONTINUIDAD A LOS PROGRAMAS DE INFRAESTRUCTURA EMPRENDIDOS POR LAS ADMINISTRACIONES ANTERIORES, A FIN DE OBTENER EL CUMPLIMIENTO DE LOS OBJETIVOS QUE DIERON ORIGEN A LAS RESPECTIVAS OBRAS.</t>
  </si>
  <si>
    <t xml:space="preserve">1. MODERNIZACION Y ADECUACION DE LOS ESTABLECIMIENTOS PUBLICOS DEL MUNICIPIO </t>
  </si>
  <si>
    <t>1. ADECUAR EN UN 10% LAS INTALACIONES MUNICIPALES DEL MUNICIPIO</t>
  </si>
  <si>
    <t>% ADECUACION INSTALACIONES MUNICIPALES</t>
  </si>
  <si>
    <t>1.CULMINAR EN UN 10% LAS OBRAS INCONCLUSAS DEL MUNICIPIO</t>
  </si>
  <si>
    <t>% COBERTURA OBRAS ICUNCLUSAS</t>
  </si>
  <si>
    <t>META CUATRENIO</t>
  </si>
  <si>
    <t>LINEA BASE 2007</t>
  </si>
  <si>
    <t>NIVEL DE CUMPLIMIENTO AJUSTADO A 100% MÁXIMO (EFICACIA ESE AÑO</t>
  </si>
  <si>
    <t>VIGENCIA 2008-2011</t>
  </si>
  <si>
    <t>SISTEMA DEPARTAMENTAL DE EVALUACION DE LA GESTION MUNICIPAL -COMPONENTE DE EFICACIA-</t>
  </si>
  <si>
    <t>P L A N   D E   A C C I O N      2 O O 8</t>
  </si>
  <si>
    <t>PLAN DE DESARROLLO MUNICIPAL</t>
  </si>
  <si>
    <t>"RENOVACION Y HONESTIDAD"</t>
  </si>
  <si>
    <t>DEPARTAMENTO:</t>
  </si>
  <si>
    <t>CUNDINAMARCA</t>
  </si>
  <si>
    <t>FECHA DE ENTREGA:</t>
  </si>
  <si>
    <t>FEBRERO DE 2008</t>
  </si>
  <si>
    <t>FORMATO   DAPC  No  2</t>
  </si>
  <si>
    <t>MUNICIPIO:</t>
  </si>
  <si>
    <t>FOMEQUE               COD DANE:</t>
  </si>
  <si>
    <t>PRESENTADO POR:</t>
  </si>
  <si>
    <t>NESTOR YAIR AVILA HERRERA</t>
  </si>
  <si>
    <t xml:space="preserve">HOJA No   </t>
  </si>
  <si>
    <t>DE</t>
  </si>
  <si>
    <t>SECRETARIO DE PLANEACION</t>
  </si>
  <si>
    <t>EJE</t>
  </si>
  <si>
    <t>EJE SOCIAL</t>
  </si>
  <si>
    <t>METAS PDM:        (4 AÑOS)</t>
  </si>
  <si>
    <t xml:space="preserve">1. LLEGAR AL 90%  DE LA POBLACION EN ESTRATO UNO Y DOS DEL SISBEN EL INGRESO AL REGIMEN SUBSIDIADO </t>
  </si>
  <si>
    <t xml:space="preserve">2. CUBRIMIENTO DEL 90% DE LOS HABITANTES DEL MUNICIPIO EN UN ADECUADO SERVICIO DE SALUD </t>
  </si>
  <si>
    <t>3. CUBRIMIENTO EN EL ACOMPAÑAMIENTO Y ARTICULACION DEL 90% DE LOS HABITANTES DEL MUNICIPIO</t>
  </si>
  <si>
    <t>4. CUMPLIMIENTO DEL  100% DE LOS POAS DENTRO DEL PIC MUNICIPAL</t>
  </si>
  <si>
    <t>META (ANUAL) 2008</t>
  </si>
  <si>
    <t xml:space="preserve">1. LLEGAR AL 75%  DE LA POBLACION EN ESTRATO UNO Y DOS DEL SISBEN EL INGRESO AL REGIMEN SUBSIDIADO </t>
  </si>
  <si>
    <t xml:space="preserve">2. CUBRIMIENTO DEL 30% DE LOS HABITANTES DEL MUNICIPIO EN UN ADECUADO SERVICIO DE SALUD </t>
  </si>
  <si>
    <t>3. CUBRIMIENTO EN EL ACOMPAÑAMIENTO Y ARTICULACION DEL 75% DE LOS HABITANTES DEL MUNICIPIO</t>
  </si>
  <si>
    <t>SECTOR</t>
  </si>
  <si>
    <t>PROTECCION SOCIAL</t>
  </si>
  <si>
    <t>PROGRAMA</t>
  </si>
  <si>
    <t>FOMEQUE EN AMBIENTE SALUDABLE</t>
  </si>
  <si>
    <t>PROYECTO Y SUS ACCIONES</t>
  </si>
  <si>
    <t>INVERSION PROGRAMADA Y EJECUTADA</t>
  </si>
  <si>
    <t>RESPONSABLE</t>
  </si>
  <si>
    <t>OBSERVACIONES</t>
  </si>
  <si>
    <t>No</t>
  </si>
  <si>
    <t>NOMBRE DEL PROYECTO</t>
  </si>
  <si>
    <t xml:space="preserve">META FISICA </t>
  </si>
  <si>
    <t>AVANCE FISICO A LA FECHA</t>
  </si>
  <si>
    <t>% AVANCE FISICO A LA FECHA</t>
  </si>
  <si>
    <t>% LOGRO DE AVANCE DE RESULTADO</t>
  </si>
  <si>
    <t>FUENTES  DE RECURSOS DE INVERSION EN EL PRESENTE AÑO</t>
  </si>
  <si>
    <t>TOTAL PROGRAMADO</t>
  </si>
  <si>
    <t>TOTAL EJECUTADO</t>
  </si>
  <si>
    <t>% DE EJECUCION</t>
  </si>
  <si>
    <t>SGP</t>
  </si>
  <si>
    <t>RP</t>
  </si>
  <si>
    <t>FOSYGA</t>
  </si>
  <si>
    <t>ETESA</t>
  </si>
  <si>
    <t>REGALIAS</t>
  </si>
  <si>
    <t>ECOGAS</t>
  </si>
  <si>
    <t>EMGESA</t>
  </si>
  <si>
    <t>CONVENIOS</t>
  </si>
  <si>
    <t xml:space="preserve"> AMPLIACION,MEJORAMIENTO,COBERTURA Y CALIDAD DE SALUD  .  </t>
  </si>
  <si>
    <t xml:space="preserve">EPSS Y MUNICPIO </t>
  </si>
  <si>
    <t>SEGUIMIENTO Y CONTROL DE LOS PROCESOS DE SALUD</t>
  </si>
  <si>
    <t>ESTE SUBPROGRAMA FUE EJECUTADO SIN APROPIACION EFECTIVA DE RECURSOS</t>
  </si>
  <si>
    <t>ACOMPAÑAMIENTO Y ARTICULACION</t>
  </si>
  <si>
    <t xml:space="preserve">EPSS, MUNICIPIO E INTERVENTOR </t>
  </si>
  <si>
    <t xml:space="preserve">ESTOS RECURSOS SON PROPIOS Y SON DESTINADOS A LA INTERVENTORIA DE LOS CONTRATOS DEL REGIMEN SUBSIDIADO, NO SE ENCUENTRAN EL EL CAPITULO DE FONDD LOCAL DE SALUD, SE ENCUETNRAN EN HONORARIOS. </t>
  </si>
  <si>
    <t>PIC</t>
  </si>
  <si>
    <t>COORDINADOR DEL PIC</t>
  </si>
  <si>
    <t>TOTAL PROGRAMA</t>
  </si>
  <si>
    <t xml:space="preserve">1.  CUBRIMIENTO DE 200 FAMILIAS  POR EL PROGRAMA "FAMILIAS EN ACCION" </t>
  </si>
  <si>
    <t xml:space="preserve">2. CAPACITACION HE INSTRUCCION DE 5 MADRES COMUNITARIAS COMO APOYO A LA NIÑEZ </t>
  </si>
  <si>
    <t>3.  COBERTURA EN UN 90% A FAMI</t>
  </si>
  <si>
    <t xml:space="preserve">1.  CUBRIMIENTO DE 50 FAMILIAS  POR EL PROGRAMA "FAMILIAS EN ACCION" </t>
  </si>
  <si>
    <t>3.  COBERTURA EN UN 75% A FAMI</t>
  </si>
  <si>
    <t>BIENESTAR SOCIAL</t>
  </si>
  <si>
    <t xml:space="preserve">FAMILIAS EN ACCION </t>
  </si>
  <si>
    <t>SEC GOB</t>
  </si>
  <si>
    <t xml:space="preserve">MADRES COMUNITARIAS. </t>
  </si>
  <si>
    <t>FAMI</t>
  </si>
  <si>
    <t>1. COBERTURA DE LA POBLACIÓN VULNERABLE  DE NIÑOS Y MADRES  DEL 80% EN LOS PROGRAMAS DE PROTECCIÓN.</t>
  </si>
  <si>
    <t>2. COBERTURA DE LA POBLACIÓN VULNERABLE (ADULTOS MAYORES ) EN UN 80% EN LOS PROGRAMAS DE PROTECCIÓN.</t>
  </si>
  <si>
    <t>3. COBERTURA DE LA POBLACIÓN VULNERABLE (DESPLAZADOS) DEL 80% EN LOS PROGRAMAS DE PROTECCIÓN.</t>
  </si>
  <si>
    <t>4. COBERTURA DE LA POBLACIÓN VULNERABLE ( DISCAPACITADOS) DEL 80% EN LOS PROGRAMAS DE PROTECCIÓN.</t>
  </si>
  <si>
    <t>1. COBERTURA DE LA POBLACIÓN VULNERABLE  DE NIÑOS Y MADRES  DEL 60% EN LOS PROGRAMAS DE PROTECCIÓN.</t>
  </si>
  <si>
    <t>2. COBERTURA DE LA POBLACIÓN VULNERABLE (ADULTOS MAYORES ) EN UN 60% EN LOS PROGRAMAS DE PROTECCIÓN.</t>
  </si>
  <si>
    <t>3. COBERTURA DE LA POBLACIÓN VULNERABLE (DESPLAZADOS) DEL 60% EN LOS PROGRAMAS DE PROTECCIÓN.</t>
  </si>
  <si>
    <t>4. COBERTURA DE LA POBLACIÓN VULNERABLE ( DISCAPACITADOS) DEL 60% EN LOS PROGRAMAS DE PROTECCIÓN.</t>
  </si>
  <si>
    <t>POBLACION VULNERABLE</t>
  </si>
  <si>
    <t xml:space="preserve">APOYO A LA MUJER RURAL </t>
  </si>
  <si>
    <t xml:space="preserve">APOYO A LA POBLACION  ADULTO MAYOR </t>
  </si>
  <si>
    <t xml:space="preserve">APOYO A LA POBLACION DEZPLAZADA </t>
  </si>
  <si>
    <t xml:space="preserve">APOYO A LA POBLACION EN CONDICIONES DE DISCAPACIDAD </t>
  </si>
  <si>
    <t>1.CONTAR UN(A) COMISARI@ DE FAMILIA,  LA NIÑEZ, INFANCIA Y ADOLECENCIA EN EL CUATRENIO</t>
  </si>
  <si>
    <t>1.CUBRIMIENTO DEL 95% CON AYUDA DE LA COMISARIA DE FAMILIA, LA NIÑEZ, INFANCIA Y ADOLECENCIA DEL MUNICIPIO</t>
  </si>
  <si>
    <t>LA ADOLECENCIA Y LA NIÑEZ</t>
  </si>
  <si>
    <t xml:space="preserve">CREACION DE LA COMISARIA DE FAMILIA </t>
  </si>
  <si>
    <t>COMISARIA DE FAMILIA</t>
  </si>
  <si>
    <t xml:space="preserve">SOCIALIZACION DE LA LEY 1058 DE 2006 DE NIÑEZ, INFANCIA Y ADOLECENCIA. </t>
  </si>
  <si>
    <t>1. CUBRIR EL 20% DE LOS ALUMNOS DEL MUNICIPIO EN FORMACION PARA EL DESARROLLO ESCOLAR</t>
  </si>
  <si>
    <t xml:space="preserve">2. MEJORAMIENTO LA PEDAGOGIA Y LA ENSEÑANZA DE LA EDUCACION DEL 90% EN NUESTRO MUNICIPIO </t>
  </si>
  <si>
    <t>3. DOTACION DEL  100% DE LAS ESCUELAS DEL MUNICIPIO DE FOMEQUE CON COMPUTADORES PARA EL DESARROLLO DE LA NIÑEZ</t>
  </si>
  <si>
    <t>EDUCACION</t>
  </si>
  <si>
    <t>CALIDAD DE LA EDUCACION</t>
  </si>
  <si>
    <t xml:space="preserve">FOMEQUE  UN MUNICIPIO INCLUYENTE Y FORMADOR </t>
  </si>
  <si>
    <t xml:space="preserve">CAPACITACION DOCENTES </t>
  </si>
  <si>
    <t>DOTACION DE AYUDAS DIDACTICAS</t>
  </si>
  <si>
    <t xml:space="preserve">1.  CUBRIMIENTO DEL 100% DEL TRANSPORTE ESCOLAR A LOS ESTUDIANTES DEL SECTOR RURAL DEL MUNICIPIO  </t>
  </si>
  <si>
    <t>2.BECAS PARA LOS  20 MEJORES ICFES DEL MUNICIPIO EN EL CUATRENIO</t>
  </si>
  <si>
    <t xml:space="preserve">1.  CUBRIMIENTO DEL 85% DEL TRANSPORTE ESCOLAR A LOS ESTUDIANTES DEL SECTOR RURAL DEL MUNICIPIO  </t>
  </si>
  <si>
    <t>2.BECAS PARA LOS  5 MEJORES ICFES DEL MUNICIPIO EN EL CUATRENIO</t>
  </si>
  <si>
    <t>PERMANENCIA Y COBERTURA</t>
  </si>
  <si>
    <t xml:space="preserve"> APOYO CON TRANSPORTE ESCOLAR</t>
  </si>
  <si>
    <t>SE ADICIONA CONVENIO DPTO 134 DE 2008 VALOR 107639</t>
  </si>
  <si>
    <t xml:space="preserve">PROMOCION  DEL ACCESO A LA EDUCACION SUPERIOR DE LOS FOMEQUEÑOS  </t>
  </si>
  <si>
    <t xml:space="preserve">1. CUBRIMIENTO DEL 90% DE LOS RESTAURANTES ESCOLARES DEL MUNICIPIO 2. IMPLEMENTACION Y DOTACION DE LOS RESTAURANTES ESCOLARES EN UN 90% EN EL CUATRENIO  </t>
  </si>
  <si>
    <t xml:space="preserve">1. CUBRIMIENTO DEL 60% DE LOS RESTAURANTES ESCOLARES DEL MUNICIPIO 2. IMPLEMENTACION Y DOTACION DE LOS RESTAURANTES ESCOLARES EN UN 60% EN EL CUATRENIO  </t>
  </si>
  <si>
    <t>ALIMENTACION ESCOLAR</t>
  </si>
  <si>
    <t xml:space="preserve">1. APOYO A LOS RESTAURANTES ESCOLARES </t>
  </si>
  <si>
    <t xml:space="preserve">1. REALIZACION DE 80 ACTIVIDADES DE RECREACION PARA LA NIÑEZ Y LA JUVENTUD COMO PARTE DEL DESARROLLO FISICO INTEGRAL </t>
  </si>
  <si>
    <t xml:space="preserve">2. FORTALECIMIENTO DEL 90 % LAS ESCUELAS DE FORMACION EN EL MUNICIPIO </t>
  </si>
  <si>
    <t xml:space="preserve">3. DOTACION DEL 100% CON IMPLEMENTOS DEPORTIVOS LAS INSTITUCIONES EDUCATIVAS DEL MUNICIPIO  </t>
  </si>
  <si>
    <t xml:space="preserve">4. REALIZACION DE 20 CAMPEONATOS EN DIFERENTES DISCIPLINAS PARA LA INTEGRACION DE LOS HABITANTES DEL MUNICIPIO </t>
  </si>
  <si>
    <t xml:space="preserve"> 5.CAPACITACIÓN DE 5 INSTRUCTORES EN TECNICAS Y PROCEDIMIENTOS EN DIFERENTES DISCIPLINAS DEPORTIVAS  </t>
  </si>
  <si>
    <t xml:space="preserve">1. REALIZACION DE 50 ACTIVIDADES DE RECREACION PARA LA NIÑEZ Y LA JUVENTUD COMO PARTE DEL DESARROLLO FISICO INTEGRAL </t>
  </si>
  <si>
    <t xml:space="preserve">2. FORTALECIMIENTO DEL 60 % LAS ESCUELAS DE FORMACION EN EL MUNICIPIO </t>
  </si>
  <si>
    <t xml:space="preserve">3. DOTACION DEL 30% CON IMPLEMENTOS DEPORTIVOS LAS INSTITUCIONES EDUCATIVAS DEL MUNICIPIO  </t>
  </si>
  <si>
    <t>CALIDAD DE VIDA</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</si>
</sst>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240A]\ * #,##0_ ;_ [$$-240A]\ * \-#,##0_ ;_ [$$-240A]\ * \-_ ;_ @_ "/>
    <numFmt numFmtId="181" formatCode="0.0"/>
    <numFmt numFmtId="182" formatCode="_ * #,##0_ ;_ * \-#,##0_ ;_ * &quot;-&quot;??_ ;_ @_ "/>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dddd\,\ mmmm\ dd\,\ yyyy"/>
    <numFmt numFmtId="206" formatCode="&quot;$ &quot;#,##0"/>
    <numFmt numFmtId="207" formatCode="0.0%"/>
    <numFmt numFmtId="208" formatCode="[$-240A]hh:mm:ss\ AM/PM"/>
    <numFmt numFmtId="209" formatCode="[$-F400]h:mm:ss\ AM/PM"/>
  </numFmts>
  <fonts count="57">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u val="single"/>
      <sz val="8.25"/>
      <color indexed="36"/>
      <name val="Calibri"/>
      <family val="2"/>
    </font>
    <font>
      <sz val="11"/>
      <color indexed="20"/>
      <name val="Calibri"/>
      <family val="2"/>
    </font>
    <font>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0"/>
    </font>
    <font>
      <sz val="12"/>
      <name val="Arial"/>
      <family val="2"/>
    </font>
    <font>
      <b/>
      <sz val="12"/>
      <name val="Arial"/>
      <family val="2"/>
    </font>
    <font>
      <b/>
      <sz val="16"/>
      <name val="Arial"/>
      <family val="2"/>
    </font>
    <font>
      <b/>
      <sz val="14"/>
      <name val="Arial"/>
      <family val="2"/>
    </font>
    <font>
      <b/>
      <sz val="10"/>
      <name val="Arial"/>
      <family val="2"/>
    </font>
    <font>
      <b/>
      <sz val="8"/>
      <color indexed="8"/>
      <name val="Arial"/>
      <family val="2"/>
    </font>
    <font>
      <b/>
      <sz val="6"/>
      <color indexed="8"/>
      <name val="Arial"/>
      <family val="2"/>
    </font>
    <font>
      <b/>
      <sz val="8"/>
      <name val="Arial"/>
      <family val="2"/>
    </font>
    <font>
      <b/>
      <sz val="9"/>
      <name val="Arial"/>
      <family val="2"/>
    </font>
    <font>
      <b/>
      <sz val="7"/>
      <name val="Arial"/>
      <family val="2"/>
    </font>
    <font>
      <sz val="10"/>
      <color indexed="10"/>
      <name val="Arial"/>
      <family val="2"/>
    </font>
    <font>
      <sz val="10"/>
      <color indexed="8"/>
      <name val="Arial"/>
      <family val="2"/>
    </font>
    <font>
      <sz val="10"/>
      <color indexed="46"/>
      <name val="Arial"/>
      <family val="2"/>
    </font>
    <font>
      <b/>
      <sz val="10"/>
      <color indexed="8"/>
      <name val="Arial"/>
      <family val="2"/>
    </font>
    <font>
      <b/>
      <sz val="14"/>
      <color indexed="8"/>
      <name val="Arial"/>
      <family val="2"/>
    </font>
    <font>
      <sz val="8"/>
      <name val="Calibri"/>
      <family val="2"/>
    </font>
    <font>
      <sz val="12"/>
      <color indexed="8"/>
      <name val="Arial"/>
      <family val="2"/>
    </font>
    <font>
      <b/>
      <sz val="28"/>
      <name val="Arial"/>
      <family val="2"/>
    </font>
    <font>
      <b/>
      <sz val="36"/>
      <color indexed="8"/>
      <name val="Arial"/>
      <family val="2"/>
    </font>
    <font>
      <sz val="24"/>
      <color indexed="8"/>
      <name val="Arial"/>
      <family val="2"/>
    </font>
    <font>
      <b/>
      <sz val="20"/>
      <name val="Arial"/>
      <family val="2"/>
    </font>
    <font>
      <b/>
      <sz val="36"/>
      <name val="Arial"/>
      <family val="2"/>
    </font>
    <font>
      <b/>
      <sz val="24"/>
      <name val="Arial"/>
      <family val="2"/>
    </font>
    <font>
      <b/>
      <sz val="12"/>
      <color indexed="8"/>
      <name val="Arial"/>
      <family val="2"/>
    </font>
    <font>
      <sz val="18"/>
      <color indexed="8"/>
      <name val="Arial"/>
      <family val="2"/>
    </font>
    <font>
      <sz val="18"/>
      <color indexed="10"/>
      <name val="Arial"/>
      <family val="2"/>
    </font>
    <font>
      <sz val="18"/>
      <color indexed="9"/>
      <name val="Arial"/>
      <family val="2"/>
    </font>
    <font>
      <sz val="8"/>
      <name val="Tahoma"/>
      <family val="0"/>
    </font>
    <font>
      <b/>
      <sz val="8"/>
      <name val="Tahoma"/>
      <family val="0"/>
    </font>
    <font>
      <b/>
      <sz val="26"/>
      <name val="Arial"/>
      <family val="2"/>
    </font>
    <font>
      <sz val="26"/>
      <color indexed="8"/>
      <name val="Arial"/>
      <family val="2"/>
    </font>
    <font>
      <b/>
      <sz val="26"/>
      <color indexed="8"/>
      <name val="Arial"/>
      <family val="2"/>
    </font>
    <font>
      <u val="single"/>
      <sz val="26"/>
      <color indexed="12"/>
      <name val="Calibri"/>
      <family val="2"/>
    </font>
    <font>
      <sz val="14"/>
      <color indexed="8"/>
      <name val="Arial"/>
      <family val="2"/>
    </font>
    <font>
      <u val="single"/>
      <sz val="72"/>
      <color indexed="8"/>
      <name val="Arial"/>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right style="thin">
        <color indexed="8"/>
      </right>
      <top style="medium"/>
      <bottom style="medium"/>
    </border>
    <border>
      <left style="thin">
        <color indexed="8"/>
      </left>
      <right>
        <color indexed="63"/>
      </right>
      <top style="medium"/>
      <bottom style="medium"/>
    </border>
    <border>
      <left style="thin">
        <color indexed="8"/>
      </left>
      <right style="thin">
        <color indexed="8"/>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thin"/>
      <top style="thin"/>
      <bottom style="thin"/>
    </border>
    <border>
      <left style="thin"/>
      <right style="thin"/>
      <top style="thin"/>
      <bottom style="thin"/>
    </border>
    <border>
      <left style="thin"/>
      <right style="medium"/>
      <top>
        <color indexed="63"/>
      </top>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right style="medium"/>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thin"/>
      <right style="thin"/>
      <top style="thin"/>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right style="double"/>
      <top>
        <color indexed="63"/>
      </top>
      <bottom style="double"/>
    </border>
    <border>
      <left style="double"/>
      <right style="double"/>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medium"/>
      <right style="medium"/>
      <top>
        <color indexed="63"/>
      </top>
      <bottom style="double"/>
    </border>
    <border>
      <left style="medium"/>
      <right style="double"/>
      <top>
        <color indexed="63"/>
      </top>
      <bottom>
        <color indexed="63"/>
      </bottom>
    </border>
    <border>
      <left style="double"/>
      <right style="double"/>
      <top style="medium"/>
      <bottom style="double"/>
    </border>
    <border>
      <left style="double"/>
      <right>
        <color indexed="63"/>
      </right>
      <top>
        <color indexed="63"/>
      </top>
      <bottom style="double"/>
    </border>
    <border>
      <left style="double"/>
      <right style="medium"/>
      <top style="double"/>
      <bottom style="double"/>
    </border>
    <border>
      <left style="medium"/>
      <right style="double"/>
      <top style="medium"/>
      <bottom style="double"/>
    </border>
    <border>
      <left style="double"/>
      <right style="double"/>
      <top>
        <color indexed="63"/>
      </top>
      <bottom>
        <color indexed="63"/>
      </bottom>
    </border>
    <border>
      <left style="double"/>
      <right>
        <color indexed="63"/>
      </right>
      <top style="double"/>
      <bottom style="double"/>
    </border>
    <border>
      <left style="medium"/>
      <right style="medium"/>
      <top style="double"/>
      <bottom style="medium"/>
    </border>
    <border>
      <left style="medium"/>
      <right>
        <color indexed="63"/>
      </right>
      <top style="double"/>
      <bottom style="medium"/>
    </border>
    <border>
      <left style="thin"/>
      <right style="thin"/>
      <top style="double"/>
      <bottom style="thin"/>
    </border>
    <border>
      <left style="thin"/>
      <right>
        <color indexed="63"/>
      </right>
      <top style="double"/>
      <bottom style="thin"/>
    </border>
    <border>
      <left style="thin"/>
      <right>
        <color indexed="63"/>
      </right>
      <top>
        <color indexed="63"/>
      </top>
      <bottom style="thin"/>
    </border>
    <border>
      <left style="medium"/>
      <right style="medium"/>
      <top style="medium"/>
      <bottom style="thin"/>
    </border>
    <border>
      <left style="medium"/>
      <right style="medium"/>
      <top>
        <color indexed="63"/>
      </top>
      <bottom style="medium"/>
    </border>
    <border>
      <left style="medium"/>
      <right>
        <color indexed="63"/>
      </right>
      <top>
        <color indexed="63"/>
      </top>
      <bottom style="medium"/>
    </border>
    <border>
      <left style="thin"/>
      <right>
        <color indexed="63"/>
      </right>
      <top style="thin"/>
      <bottom style="thin"/>
    </border>
    <border>
      <left style="medium"/>
      <right style="medium"/>
      <top style="thin"/>
      <bottom style="thin"/>
    </border>
    <border>
      <left style="medium"/>
      <right style="medium"/>
      <top style="medium"/>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medium"/>
      <bottom>
        <color indexed="63"/>
      </bottom>
    </border>
    <border>
      <left style="thin"/>
      <right>
        <color indexed="63"/>
      </right>
      <top style="thin"/>
      <bottom style="medium"/>
    </border>
    <border>
      <left style="medium"/>
      <right style="thin"/>
      <top style="thin"/>
      <bottom>
        <color indexed="63"/>
      </bottom>
    </border>
    <border>
      <left>
        <color indexed="63"/>
      </left>
      <right style="thin"/>
      <top style="thin"/>
      <bottom style="medium"/>
    </border>
    <border>
      <left>
        <color indexed="63"/>
      </left>
      <right style="thin"/>
      <top>
        <color indexed="63"/>
      </top>
      <bottom style="medium"/>
    </border>
    <border>
      <left style="medium"/>
      <right style="medium"/>
      <top style="thin"/>
      <bottom style="medium"/>
    </border>
    <border>
      <left style="thin">
        <color indexed="8"/>
      </left>
      <right style="medium"/>
      <top style="thin">
        <color indexed="8"/>
      </top>
      <bottom style="medium"/>
    </border>
    <border>
      <left style="thin">
        <color indexed="8"/>
      </left>
      <right style="medium"/>
      <top style="medium"/>
      <bottom style="medium">
        <color indexed="8"/>
      </bottom>
    </border>
    <border>
      <left style="medium"/>
      <right>
        <color indexed="63"/>
      </right>
      <top style="thin">
        <color indexed="8"/>
      </top>
      <bottom style="medium">
        <color indexed="8"/>
      </bottom>
    </border>
    <border>
      <left style="thin">
        <color indexed="8"/>
      </left>
      <right style="medium"/>
      <top style="thin">
        <color indexed="8"/>
      </top>
      <bottom style="medium">
        <color indexed="8"/>
      </bottom>
    </border>
    <border>
      <left style="medium"/>
      <right>
        <color indexed="63"/>
      </right>
      <top style="thin">
        <color indexed="8"/>
      </top>
      <bottom style="medium"/>
    </border>
    <border>
      <left style="medium">
        <color indexed="8"/>
      </left>
      <right style="thin">
        <color indexed="8"/>
      </right>
      <top style="thin">
        <color indexed="8"/>
      </top>
      <bottom style="thin">
        <color indexed="8"/>
      </bottom>
    </border>
    <border>
      <left style="medium"/>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thin">
        <color indexed="8"/>
      </top>
      <bottom>
        <color indexed="63"/>
      </bottom>
    </border>
    <border>
      <left style="medium"/>
      <right>
        <color indexed="63"/>
      </right>
      <top style="medium"/>
      <bottom style="medium">
        <color indexed="8"/>
      </bottom>
    </border>
    <border>
      <left style="thin">
        <color indexed="8"/>
      </left>
      <right>
        <color indexed="63"/>
      </right>
      <top>
        <color indexed="63"/>
      </top>
      <bottom style="medium">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color indexed="63"/>
      </top>
      <bottom>
        <color indexed="63"/>
      </bottom>
    </border>
    <border>
      <left style="medium"/>
      <right style="medium"/>
      <top>
        <color indexed="63"/>
      </top>
      <bottom>
        <color indexed="63"/>
      </bottom>
    </border>
    <border>
      <left style="thin"/>
      <right style="medium"/>
      <top style="thin"/>
      <bottom>
        <color indexed="63"/>
      </bottom>
    </border>
    <border>
      <left>
        <color indexed="63"/>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color indexed="8"/>
      </left>
      <right style="thin">
        <color indexed="8"/>
      </right>
      <top style="thin">
        <color indexed="8"/>
      </top>
      <bottom style="medium"/>
    </border>
    <border>
      <left>
        <color indexed="63"/>
      </left>
      <right>
        <color indexed="63"/>
      </right>
      <top style="medium"/>
      <bottom style="medium"/>
    </border>
    <border>
      <left style="medium">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medium">
        <color indexed="8"/>
      </left>
      <right>
        <color indexed="63"/>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style="medium"/>
      <top style="double"/>
      <bottom>
        <color indexed="63"/>
      </bottom>
    </border>
    <border>
      <left style="medium"/>
      <right style="double"/>
      <top style="medium"/>
      <bottom>
        <color indexed="63"/>
      </bottom>
    </border>
    <border>
      <left style="double"/>
      <right style="double"/>
      <top style="medium"/>
      <bottom>
        <color indexed="63"/>
      </bottom>
    </border>
    <border>
      <left style="double"/>
      <right style="medium"/>
      <top style="medium"/>
      <bottom>
        <color indexed="63"/>
      </bottom>
    </border>
    <border>
      <left style="double"/>
      <right style="medium"/>
      <top>
        <color indexed="63"/>
      </top>
      <bottom style="double"/>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style="medium"/>
      <bottom>
        <color indexed="63"/>
      </bottom>
    </border>
  </borders>
  <cellStyleXfs count="67">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11" fillId="0" borderId="0">
      <alignment/>
      <protection/>
    </xf>
    <xf numFmtId="0" fontId="32" fillId="0" borderId="0">
      <alignment/>
      <protection/>
    </xf>
    <xf numFmtId="0" fontId="1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6" fillId="0" borderId="8" applyNumberFormat="0" applyFill="0" applyAlignment="0" applyProtection="0"/>
    <xf numFmtId="0" fontId="19" fillId="0" borderId="9" applyNumberFormat="0" applyFill="0" applyAlignment="0" applyProtection="0"/>
  </cellStyleXfs>
  <cellXfs count="439">
    <xf numFmtId="0" fontId="0" fillId="0" borderId="0" xfId="0" applyAlignment="1">
      <alignment/>
    </xf>
    <xf numFmtId="0" fontId="11" fillId="0" borderId="0" xfId="56" applyFont="1" applyFill="1" applyBorder="1">
      <alignment/>
      <protection/>
    </xf>
    <xf numFmtId="0" fontId="21" fillId="0" borderId="0" xfId="56" applyFont="1" applyFill="1" applyBorder="1" applyAlignment="1">
      <alignment horizontal="center" vertical="center"/>
      <protection/>
    </xf>
    <xf numFmtId="0" fontId="21" fillId="0" borderId="0" xfId="56" applyFont="1" applyFill="1" applyBorder="1" applyAlignment="1">
      <alignment vertical="center"/>
      <protection/>
    </xf>
    <xf numFmtId="0" fontId="11" fillId="0" borderId="0" xfId="56" applyFont="1" applyBorder="1">
      <alignment/>
      <protection/>
    </xf>
    <xf numFmtId="0" fontId="11" fillId="0" borderId="10" xfId="56" applyFont="1" applyBorder="1" applyAlignment="1">
      <alignment vertical="center"/>
      <protection/>
    </xf>
    <xf numFmtId="0" fontId="11" fillId="0" borderId="0" xfId="56" applyFont="1" applyBorder="1" applyAlignment="1">
      <alignment vertical="center"/>
      <protection/>
    </xf>
    <xf numFmtId="0" fontId="11" fillId="0" borderId="11" xfId="56" applyFont="1" applyBorder="1" applyAlignment="1">
      <alignment vertical="center"/>
      <protection/>
    </xf>
    <xf numFmtId="0" fontId="11" fillId="0" borderId="0" xfId="56" applyFont="1" applyBorder="1" applyAlignment="1">
      <alignment horizontal="left" vertical="center"/>
      <protection/>
    </xf>
    <xf numFmtId="0" fontId="19" fillId="0" borderId="0" xfId="0" applyFont="1" applyAlignment="1">
      <alignment/>
    </xf>
    <xf numFmtId="0" fontId="25" fillId="0" borderId="0" xfId="56" applyFont="1" applyBorder="1" applyAlignment="1">
      <alignment horizontal="left" vertical="center"/>
      <protection/>
    </xf>
    <xf numFmtId="0" fontId="25" fillId="0" borderId="0" xfId="56" applyFont="1" applyBorder="1" applyAlignment="1">
      <alignment vertical="center"/>
      <protection/>
    </xf>
    <xf numFmtId="0" fontId="25" fillId="0" borderId="0" xfId="56" applyFont="1" applyBorder="1" applyAlignment="1">
      <alignment horizontal="right" vertical="center"/>
      <protection/>
    </xf>
    <xf numFmtId="0" fontId="25" fillId="0" borderId="11" xfId="56" applyFont="1" applyBorder="1" applyAlignment="1">
      <alignment horizontal="center" vertical="center"/>
      <protection/>
    </xf>
    <xf numFmtId="0" fontId="25" fillId="0" borderId="12" xfId="56" applyFont="1" applyBorder="1" applyAlignment="1">
      <alignment vertical="center"/>
      <protection/>
    </xf>
    <xf numFmtId="0" fontId="25" fillId="0" borderId="13" xfId="56" applyFont="1" applyBorder="1" applyAlignment="1">
      <alignment vertical="center"/>
      <protection/>
    </xf>
    <xf numFmtId="0" fontId="25" fillId="0" borderId="11" xfId="56" applyFont="1" applyBorder="1" applyAlignment="1">
      <alignment vertical="center"/>
      <protection/>
    </xf>
    <xf numFmtId="0" fontId="11" fillId="0" borderId="14" xfId="56" applyFont="1" applyFill="1" applyBorder="1" applyAlignment="1">
      <alignment horizontal="center" vertical="center"/>
      <protection/>
    </xf>
    <xf numFmtId="0" fontId="11" fillId="0" borderId="13" xfId="56" applyFont="1" applyFill="1" applyBorder="1" applyAlignment="1">
      <alignment vertical="center"/>
      <protection/>
    </xf>
    <xf numFmtId="0" fontId="11" fillId="0" borderId="13" xfId="56" applyFont="1" applyFill="1" applyBorder="1" applyAlignment="1">
      <alignment horizontal="center" vertical="center"/>
      <protection/>
    </xf>
    <xf numFmtId="3" fontId="30" fillId="0" borderId="15" xfId="56" applyNumberFormat="1" applyFont="1" applyFill="1" applyBorder="1" applyAlignment="1">
      <alignment horizontal="center" textRotation="90"/>
      <protection/>
    </xf>
    <xf numFmtId="3" fontId="30" fillId="0" borderId="16" xfId="56" applyNumberFormat="1" applyFont="1" applyFill="1" applyBorder="1" applyAlignment="1">
      <alignment horizontal="center" textRotation="90"/>
      <protection/>
    </xf>
    <xf numFmtId="3" fontId="30" fillId="0" borderId="17" xfId="56" applyNumberFormat="1" applyFont="1" applyFill="1" applyBorder="1" applyAlignment="1">
      <alignment horizontal="center" textRotation="90"/>
      <protection/>
    </xf>
    <xf numFmtId="3" fontId="30" fillId="0" borderId="18" xfId="56" applyNumberFormat="1" applyFont="1" applyFill="1" applyBorder="1" applyAlignment="1">
      <alignment horizontal="center" textRotation="90"/>
      <protection/>
    </xf>
    <xf numFmtId="0" fontId="31" fillId="0" borderId="0" xfId="56" applyFont="1" applyFill="1" applyBorder="1">
      <alignment/>
      <protection/>
    </xf>
    <xf numFmtId="0" fontId="11" fillId="0" borderId="19" xfId="56" applyFont="1" applyFill="1" applyBorder="1" applyAlignment="1">
      <alignment horizontal="center" vertical="center" wrapText="1"/>
      <protection/>
    </xf>
    <xf numFmtId="0" fontId="11" fillId="0" borderId="20" xfId="56" applyFont="1" applyFill="1" applyBorder="1" applyAlignment="1">
      <alignment horizontal="center" vertical="center" wrapText="1"/>
      <protection/>
    </xf>
    <xf numFmtId="1" fontId="11" fillId="0" borderId="20" xfId="56" applyNumberFormat="1" applyFont="1" applyFill="1" applyBorder="1" applyAlignment="1">
      <alignment horizontal="center" vertical="center" wrapText="1"/>
      <protection/>
    </xf>
    <xf numFmtId="10" fontId="11" fillId="0" borderId="20" xfId="56" applyNumberFormat="1" applyFont="1" applyFill="1" applyBorder="1" applyAlignment="1">
      <alignment horizontal="center" vertical="center" wrapText="1"/>
      <protection/>
    </xf>
    <xf numFmtId="10" fontId="11" fillId="0" borderId="21" xfId="56" applyNumberFormat="1" applyFont="1" applyFill="1" applyBorder="1" applyAlignment="1">
      <alignment horizontal="center" vertical="center" wrapText="1"/>
      <protection/>
    </xf>
    <xf numFmtId="171" fontId="11" fillId="0" borderId="22" xfId="48" applyNumberFormat="1" applyFont="1" applyFill="1" applyBorder="1" applyAlignment="1">
      <alignment horizontal="right" vertical="center"/>
    </xf>
    <xf numFmtId="171" fontId="31" fillId="0" borderId="23" xfId="56" applyNumberFormat="1" applyFont="1" applyFill="1" applyBorder="1" applyAlignment="1">
      <alignment horizontal="right" vertical="center"/>
      <protection/>
    </xf>
    <xf numFmtId="171" fontId="11" fillId="0" borderId="23" xfId="56" applyNumberFormat="1" applyFont="1" applyFill="1" applyBorder="1" applyAlignment="1">
      <alignment horizontal="right" vertical="center"/>
      <protection/>
    </xf>
    <xf numFmtId="171" fontId="11" fillId="0" borderId="23" xfId="56" applyNumberFormat="1" applyFont="1" applyFill="1" applyBorder="1" applyAlignment="1">
      <alignment horizontal="center" vertical="center"/>
      <protection/>
    </xf>
    <xf numFmtId="4" fontId="25" fillId="0" borderId="24" xfId="56" applyNumberFormat="1" applyFont="1" applyFill="1" applyBorder="1" applyAlignment="1">
      <alignment horizontal="center" vertical="center"/>
      <protection/>
    </xf>
    <xf numFmtId="3" fontId="25" fillId="0" borderId="24" xfId="56" applyNumberFormat="1" applyFont="1" applyFill="1" applyBorder="1" applyAlignment="1">
      <alignment vertical="center"/>
      <protection/>
    </xf>
    <xf numFmtId="10" fontId="25" fillId="0" borderId="24" xfId="56" applyNumberFormat="1" applyFont="1" applyFill="1" applyBorder="1" applyAlignment="1">
      <alignment horizontal="center" vertical="center" wrapText="1"/>
      <protection/>
    </xf>
    <xf numFmtId="0" fontId="25" fillId="0" borderId="25" xfId="56" applyFont="1" applyFill="1" applyBorder="1" applyAlignment="1">
      <alignment horizontal="center" wrapText="1"/>
      <protection/>
    </xf>
    <xf numFmtId="0" fontId="31" fillId="0" borderId="0" xfId="56" applyFont="1" applyBorder="1">
      <alignment/>
      <protection/>
    </xf>
    <xf numFmtId="0" fontId="11" fillId="0" borderId="26" xfId="56" applyFont="1" applyFill="1" applyBorder="1" applyAlignment="1">
      <alignment horizontal="center" vertical="center" wrapText="1"/>
      <protection/>
    </xf>
    <xf numFmtId="0" fontId="11" fillId="0" borderId="27" xfId="56" applyFont="1" applyFill="1" applyBorder="1" applyAlignment="1">
      <alignment horizontal="center" vertical="center" wrapText="1"/>
      <protection/>
    </xf>
    <xf numFmtId="1" fontId="11" fillId="0" borderId="27" xfId="56" applyNumberFormat="1" applyFont="1" applyFill="1" applyBorder="1" applyAlignment="1">
      <alignment horizontal="center" vertical="center" wrapText="1"/>
      <protection/>
    </xf>
    <xf numFmtId="10" fontId="11" fillId="0" borderId="27" xfId="56" applyNumberFormat="1" applyFont="1" applyFill="1" applyBorder="1" applyAlignment="1">
      <alignment horizontal="center" vertical="center" wrapText="1"/>
      <protection/>
    </xf>
    <xf numFmtId="10" fontId="11" fillId="0" borderId="28" xfId="56" applyNumberFormat="1" applyFont="1" applyFill="1" applyBorder="1" applyAlignment="1">
      <alignment horizontal="center" vertical="center" wrapText="1"/>
      <protection/>
    </xf>
    <xf numFmtId="171" fontId="11" fillId="0" borderId="29" xfId="48" applyNumberFormat="1" applyFont="1" applyFill="1" applyBorder="1" applyAlignment="1">
      <alignment horizontal="right" vertical="center"/>
    </xf>
    <xf numFmtId="171" fontId="31" fillId="0" borderId="24" xfId="56" applyNumberFormat="1" applyFont="1" applyFill="1" applyBorder="1" applyAlignment="1">
      <alignment horizontal="right" vertical="center"/>
      <protection/>
    </xf>
    <xf numFmtId="171" fontId="11" fillId="0" borderId="24" xfId="56" applyNumberFormat="1" applyFont="1" applyFill="1" applyBorder="1" applyAlignment="1">
      <alignment horizontal="right" vertical="center"/>
      <protection/>
    </xf>
    <xf numFmtId="171" fontId="11" fillId="0" borderId="24" xfId="56" applyNumberFormat="1" applyFont="1" applyFill="1" applyBorder="1" applyAlignment="1">
      <alignment horizontal="center" vertical="center"/>
      <protection/>
    </xf>
    <xf numFmtId="2" fontId="11" fillId="0" borderId="24" xfId="56" applyNumberFormat="1" applyFont="1" applyFill="1" applyBorder="1" applyAlignment="1">
      <alignment horizontal="right" vertical="center"/>
      <protection/>
    </xf>
    <xf numFmtId="0" fontId="25" fillId="0" borderId="30" xfId="56" applyFont="1" applyFill="1" applyBorder="1" applyAlignment="1">
      <alignment horizontal="center" wrapText="1"/>
      <protection/>
    </xf>
    <xf numFmtId="0" fontId="31" fillId="0" borderId="26" xfId="56" applyFont="1" applyFill="1" applyBorder="1" applyAlignment="1">
      <alignment horizontal="center" vertical="center" wrapText="1"/>
      <protection/>
    </xf>
    <xf numFmtId="0" fontId="31" fillId="0" borderId="27" xfId="56" applyFont="1" applyFill="1" applyBorder="1" applyAlignment="1">
      <alignment horizontal="center" vertical="center" wrapText="1"/>
      <protection/>
    </xf>
    <xf numFmtId="1" fontId="31" fillId="0" borderId="27" xfId="56" applyNumberFormat="1" applyFont="1" applyFill="1" applyBorder="1" applyAlignment="1">
      <alignment horizontal="center" vertical="center" wrapText="1"/>
      <protection/>
    </xf>
    <xf numFmtId="10" fontId="31" fillId="0" borderId="27" xfId="56" applyNumberFormat="1" applyFont="1" applyFill="1" applyBorder="1" applyAlignment="1">
      <alignment horizontal="center" vertical="center" wrapText="1"/>
      <protection/>
    </xf>
    <xf numFmtId="10" fontId="31" fillId="0" borderId="31" xfId="56" applyNumberFormat="1" applyFont="1" applyFill="1" applyBorder="1" applyAlignment="1">
      <alignment horizontal="center" vertical="center" wrapText="1"/>
      <protection/>
    </xf>
    <xf numFmtId="171" fontId="31" fillId="0" borderId="32" xfId="56" applyNumberFormat="1" applyFont="1" applyFill="1" applyBorder="1" applyAlignment="1">
      <alignment horizontal="right" vertical="center"/>
      <protection/>
    </xf>
    <xf numFmtId="171" fontId="31" fillId="0" borderId="24" xfId="56" applyNumberFormat="1" applyFont="1" applyFill="1" applyBorder="1" applyAlignment="1">
      <alignment horizontal="center" vertical="center"/>
      <protection/>
    </xf>
    <xf numFmtId="3" fontId="25" fillId="0" borderId="24" xfId="56" applyNumberFormat="1" applyFont="1" applyFill="1" applyBorder="1" applyAlignment="1">
      <alignment horizontal="center" vertical="center"/>
      <protection/>
    </xf>
    <xf numFmtId="0" fontId="31" fillId="0" borderId="30" xfId="56" applyFont="1" applyFill="1" applyBorder="1" applyAlignment="1">
      <alignment horizontal="center" wrapText="1"/>
      <protection/>
    </xf>
    <xf numFmtId="0" fontId="11" fillId="0" borderId="33" xfId="56" applyFont="1" applyFill="1" applyBorder="1" applyAlignment="1">
      <alignment horizontal="center" vertical="center" wrapText="1"/>
      <protection/>
    </xf>
    <xf numFmtId="0" fontId="11" fillId="0" borderId="34" xfId="56" applyFont="1" applyFill="1" applyBorder="1" applyAlignment="1">
      <alignment horizontal="center" vertical="center"/>
      <protection/>
    </xf>
    <xf numFmtId="1" fontId="11" fillId="0" borderId="34" xfId="56" applyNumberFormat="1" applyFont="1" applyFill="1" applyBorder="1" applyAlignment="1">
      <alignment horizontal="center" vertical="center"/>
      <protection/>
    </xf>
    <xf numFmtId="10" fontId="11" fillId="0" borderId="34" xfId="56" applyNumberFormat="1" applyFont="1" applyFill="1" applyBorder="1" applyAlignment="1">
      <alignment horizontal="center" vertical="center" wrapText="1"/>
      <protection/>
    </xf>
    <xf numFmtId="10" fontId="11" fillId="0" borderId="35" xfId="56" applyNumberFormat="1" applyFont="1" applyFill="1" applyBorder="1" applyAlignment="1">
      <alignment horizontal="center" vertical="center"/>
      <protection/>
    </xf>
    <xf numFmtId="171" fontId="11" fillId="0" borderId="36" xfId="56" applyNumberFormat="1" applyFont="1" applyFill="1" applyBorder="1" applyAlignment="1">
      <alignment horizontal="right" vertical="center"/>
      <protection/>
    </xf>
    <xf numFmtId="3" fontId="25" fillId="0" borderId="36" xfId="56" applyNumberFormat="1" applyFont="1" applyFill="1" applyBorder="1" applyAlignment="1">
      <alignment horizontal="right" vertical="center"/>
      <protection/>
    </xf>
    <xf numFmtId="10" fontId="25" fillId="0" borderId="37" xfId="56" applyNumberFormat="1" applyFont="1" applyFill="1" applyBorder="1" applyAlignment="1">
      <alignment vertical="center"/>
      <protection/>
    </xf>
    <xf numFmtId="0" fontId="11" fillId="0" borderId="37" xfId="56" applyFont="1" applyFill="1" applyBorder="1" applyAlignment="1">
      <alignment horizontal="center" vertical="center"/>
      <protection/>
    </xf>
    <xf numFmtId="3" fontId="21" fillId="0" borderId="0" xfId="56" applyNumberFormat="1" applyFont="1" applyFill="1" applyBorder="1" applyAlignment="1">
      <alignment horizontal="center" vertical="center"/>
      <protection/>
    </xf>
    <xf numFmtId="0" fontId="33" fillId="0" borderId="0" xfId="56" applyFont="1" applyFill="1" applyBorder="1">
      <alignment/>
      <protection/>
    </xf>
    <xf numFmtId="0" fontId="33" fillId="0" borderId="0" xfId="56" applyFont="1">
      <alignment/>
      <protection/>
    </xf>
    <xf numFmtId="0" fontId="11" fillId="0" borderId="0" xfId="56" applyFont="1">
      <alignment/>
      <protection/>
    </xf>
    <xf numFmtId="0" fontId="11" fillId="0" borderId="38" xfId="56" applyFont="1" applyFill="1" applyBorder="1" applyAlignment="1">
      <alignment horizontal="center" vertical="center" wrapText="1"/>
      <protection/>
    </xf>
    <xf numFmtId="0" fontId="11" fillId="0" borderId="39" xfId="56" applyFont="1" applyFill="1" applyBorder="1" applyAlignment="1">
      <alignment horizontal="center" vertical="center" wrapText="1"/>
      <protection/>
    </xf>
    <xf numFmtId="171" fontId="11" fillId="0" borderId="27" xfId="48" applyNumberFormat="1" applyFont="1" applyFill="1" applyBorder="1" applyAlignment="1">
      <alignment horizontal="right" vertical="center"/>
    </xf>
    <xf numFmtId="171" fontId="25" fillId="0" borderId="24" xfId="56" applyNumberFormat="1" applyFont="1" applyFill="1" applyBorder="1" applyAlignment="1">
      <alignment horizontal="center" vertical="center"/>
      <protection/>
    </xf>
    <xf numFmtId="171" fontId="25" fillId="0" borderId="24" xfId="56" applyNumberFormat="1" applyFont="1" applyFill="1" applyBorder="1" applyAlignment="1">
      <alignment vertical="center"/>
      <protection/>
    </xf>
    <xf numFmtId="0" fontId="11" fillId="0" borderId="40" xfId="56" applyFont="1" applyFill="1" applyBorder="1" applyAlignment="1">
      <alignment horizontal="center" vertical="center" wrapText="1"/>
      <protection/>
    </xf>
    <xf numFmtId="0" fontId="11" fillId="0" borderId="29" xfId="56" applyFont="1" applyFill="1" applyBorder="1" applyAlignment="1">
      <alignment horizontal="center" vertical="center" wrapText="1"/>
      <protection/>
    </xf>
    <xf numFmtId="171" fontId="25" fillId="0" borderId="36" xfId="56" applyNumberFormat="1" applyFont="1" applyFill="1" applyBorder="1" applyAlignment="1">
      <alignment horizontal="right" vertical="center"/>
      <protection/>
    </xf>
    <xf numFmtId="0" fontId="11" fillId="0" borderId="0" xfId="56" applyFont="1" applyFill="1">
      <alignment/>
      <protection/>
    </xf>
    <xf numFmtId="0" fontId="11" fillId="0" borderId="0" xfId="56" applyFont="1" applyFill="1" applyAlignment="1">
      <alignment/>
      <protection/>
    </xf>
    <xf numFmtId="43" fontId="11" fillId="0" borderId="0" xfId="56" applyNumberFormat="1" applyFont="1" applyFill="1">
      <alignment/>
      <protection/>
    </xf>
    <xf numFmtId="0" fontId="25" fillId="0" borderId="10" xfId="56" applyFont="1" applyBorder="1" applyAlignment="1">
      <alignment vertical="center"/>
      <protection/>
    </xf>
    <xf numFmtId="0" fontId="11" fillId="0" borderId="0" xfId="56" applyFont="1" applyFill="1" applyBorder="1" applyAlignment="1">
      <alignment horizontal="center" vertical="center"/>
      <protection/>
    </xf>
    <xf numFmtId="0" fontId="11" fillId="0" borderId="0" xfId="56" applyFont="1" applyFill="1" applyBorder="1" applyAlignment="1">
      <alignment vertical="center"/>
      <protection/>
    </xf>
    <xf numFmtId="0" fontId="35" fillId="0" borderId="0" xfId="0" applyFont="1" applyFill="1" applyBorder="1" applyAlignment="1">
      <alignment vertical="center" wrapText="1"/>
    </xf>
    <xf numFmtId="0" fontId="0" fillId="0" borderId="0" xfId="0" applyBorder="1" applyAlignment="1">
      <alignment vertical="center" wrapText="1"/>
    </xf>
    <xf numFmtId="0" fontId="11" fillId="4" borderId="0" xfId="56" applyFont="1" applyFill="1" applyBorder="1">
      <alignment/>
      <protection/>
    </xf>
    <xf numFmtId="0" fontId="0" fillId="4" borderId="0" xfId="0" applyFill="1" applyAlignment="1">
      <alignment/>
    </xf>
    <xf numFmtId="0" fontId="11" fillId="4" borderId="0" xfId="56" applyFont="1" applyFill="1">
      <alignment/>
      <protection/>
    </xf>
    <xf numFmtId="10" fontId="11" fillId="0" borderId="31" xfId="56" applyNumberFormat="1" applyFont="1" applyFill="1" applyBorder="1" applyAlignment="1">
      <alignment horizontal="center" vertical="center" wrapText="1"/>
      <protection/>
    </xf>
    <xf numFmtId="0" fontId="11" fillId="0" borderId="0" xfId="56" applyFont="1" applyAlignment="1">
      <alignment/>
      <protection/>
    </xf>
    <xf numFmtId="171" fontId="11" fillId="0" borderId="0" xfId="56" applyNumberFormat="1" applyFont="1" applyBorder="1" applyAlignment="1">
      <alignment vertical="center"/>
      <protection/>
    </xf>
    <xf numFmtId="0" fontId="26" fillId="24" borderId="41" xfId="0" applyFont="1" applyFill="1" applyBorder="1" applyAlignment="1">
      <alignment vertical="center" wrapText="1"/>
    </xf>
    <xf numFmtId="171" fontId="11" fillId="0" borderId="32" xfId="56" applyNumberFormat="1" applyFont="1" applyFill="1" applyBorder="1" applyAlignment="1">
      <alignment horizontal="right" vertical="center"/>
      <protection/>
    </xf>
    <xf numFmtId="171" fontId="25" fillId="0" borderId="25" xfId="56" applyNumberFormat="1" applyFont="1" applyFill="1" applyBorder="1" applyAlignment="1">
      <alignment horizontal="center" wrapText="1"/>
      <protection/>
    </xf>
    <xf numFmtId="171" fontId="11" fillId="0" borderId="27" xfId="48" applyFont="1" applyFill="1" applyBorder="1" applyAlignment="1">
      <alignment horizontal="right" vertical="center"/>
    </xf>
    <xf numFmtId="171" fontId="11" fillId="0" borderId="27" xfId="56" applyNumberFormat="1" applyFont="1" applyFill="1" applyBorder="1" applyAlignment="1">
      <alignment horizontal="right" vertical="center"/>
      <protection/>
    </xf>
    <xf numFmtId="0" fontId="25" fillId="0" borderId="0" xfId="56" applyFont="1" applyBorder="1">
      <alignment/>
      <protection/>
    </xf>
    <xf numFmtId="0" fontId="25" fillId="0" borderId="0" xfId="56" applyFont="1">
      <alignment/>
      <protection/>
    </xf>
    <xf numFmtId="0" fontId="11" fillId="0" borderId="42" xfId="58" applyNumberFormat="1" applyFont="1" applyFill="1" applyBorder="1" applyAlignment="1">
      <alignment horizontal="center" vertical="center" wrapText="1"/>
    </xf>
    <xf numFmtId="0" fontId="11" fillId="0" borderId="43" xfId="58" applyNumberFormat="1" applyFont="1" applyFill="1" applyBorder="1" applyAlignment="1">
      <alignment horizontal="center" vertical="center" wrapText="1"/>
    </xf>
    <xf numFmtId="0" fontId="11" fillId="0" borderId="44" xfId="56" applyFont="1" applyFill="1" applyBorder="1" applyAlignment="1">
      <alignment horizontal="center" vertical="center" wrapText="1"/>
      <protection/>
    </xf>
    <xf numFmtId="0" fontId="11" fillId="0" borderId="0" xfId="58" applyNumberFormat="1" applyFont="1" applyFill="1" applyBorder="1" applyAlignment="1">
      <alignment horizontal="center" vertical="center" wrapText="1"/>
    </xf>
    <xf numFmtId="1" fontId="11" fillId="0" borderId="45" xfId="56" applyNumberFormat="1" applyFont="1" applyFill="1" applyBorder="1" applyAlignment="1">
      <alignment horizontal="center" vertical="center" wrapText="1"/>
      <protection/>
    </xf>
    <xf numFmtId="10" fontId="11" fillId="0" borderId="45" xfId="56" applyNumberFormat="1" applyFont="1" applyFill="1" applyBorder="1" applyAlignment="1">
      <alignment horizontal="center" vertical="center" wrapText="1"/>
      <protection/>
    </xf>
    <xf numFmtId="181" fontId="11" fillId="0" borderId="45" xfId="56" applyNumberFormat="1" applyFont="1" applyFill="1" applyBorder="1" applyAlignment="1">
      <alignment horizontal="center" vertical="center" wrapText="1"/>
      <protection/>
    </xf>
    <xf numFmtId="0" fontId="11" fillId="0" borderId="46" xfId="56" applyFont="1" applyFill="1" applyBorder="1" applyAlignment="1">
      <alignment horizontal="center" vertical="center" wrapText="1"/>
      <protection/>
    </xf>
    <xf numFmtId="0" fontId="11" fillId="0" borderId="45" xfId="58" applyNumberFormat="1" applyFont="1" applyFill="1" applyBorder="1" applyAlignment="1">
      <alignment horizontal="center" vertical="center" wrapText="1"/>
    </xf>
    <xf numFmtId="0" fontId="11" fillId="0" borderId="27" xfId="58" applyNumberFormat="1" applyFont="1" applyFill="1" applyBorder="1" applyAlignment="1">
      <alignment horizontal="center" vertical="center" wrapText="1"/>
    </xf>
    <xf numFmtId="0" fontId="11" fillId="0" borderId="22" xfId="58" applyNumberFormat="1" applyFont="1" applyFill="1" applyBorder="1" applyAlignment="1">
      <alignment horizontal="center" vertical="center" wrapText="1"/>
    </xf>
    <xf numFmtId="0" fontId="11" fillId="0" borderId="29" xfId="58" applyNumberFormat="1" applyFont="1" applyFill="1" applyBorder="1" applyAlignment="1">
      <alignment horizontal="center" vertical="center" wrapText="1"/>
    </xf>
    <xf numFmtId="171" fontId="11" fillId="0" borderId="27" xfId="48" applyFont="1" applyFill="1" applyBorder="1" applyAlignment="1">
      <alignment horizontal="center" vertical="center"/>
    </xf>
    <xf numFmtId="171" fontId="11" fillId="0" borderId="27" xfId="48" applyFont="1" applyFill="1" applyBorder="1" applyAlignment="1">
      <alignment horizontal="right"/>
    </xf>
    <xf numFmtId="171" fontId="11" fillId="0" borderId="47" xfId="48" applyFont="1" applyFill="1" applyBorder="1" applyAlignment="1">
      <alignment horizontal="right"/>
    </xf>
    <xf numFmtId="171" fontId="31" fillId="0" borderId="25" xfId="56" applyNumberFormat="1" applyFont="1" applyFill="1" applyBorder="1" applyAlignment="1">
      <alignment horizontal="right" vertical="center"/>
      <protection/>
    </xf>
    <xf numFmtId="171" fontId="25" fillId="0" borderId="32" xfId="56" applyNumberFormat="1" applyFont="1" applyFill="1" applyBorder="1" applyAlignment="1">
      <alignment horizontal="center" vertical="center"/>
      <protection/>
    </xf>
    <xf numFmtId="10" fontId="35" fillId="0" borderId="48" xfId="0" applyNumberFormat="1" applyFont="1" applyFill="1" applyBorder="1" applyAlignment="1">
      <alignment horizontal="center" vertical="center"/>
    </xf>
    <xf numFmtId="0" fontId="32" fillId="0" borderId="14" xfId="0" applyFont="1" applyFill="1" applyBorder="1" applyAlignment="1">
      <alignment/>
    </xf>
    <xf numFmtId="0" fontId="32" fillId="0" borderId="49" xfId="0" applyFont="1" applyFill="1" applyBorder="1" applyAlignment="1">
      <alignment/>
    </xf>
    <xf numFmtId="0" fontId="32" fillId="0" borderId="13" xfId="0" applyFont="1" applyFill="1" applyBorder="1" applyAlignment="1">
      <alignment/>
    </xf>
    <xf numFmtId="0" fontId="32" fillId="0" borderId="50" xfId="0" applyFont="1" applyFill="1" applyBorder="1" applyAlignment="1">
      <alignment/>
    </xf>
    <xf numFmtId="0" fontId="37" fillId="25" borderId="0" xfId="0" applyFont="1" applyFill="1" applyAlignment="1">
      <alignment/>
    </xf>
    <xf numFmtId="0" fontId="37" fillId="0" borderId="0" xfId="0" applyFont="1" applyAlignment="1">
      <alignment/>
    </xf>
    <xf numFmtId="0" fontId="40" fillId="25" borderId="0" xfId="0" applyFont="1" applyFill="1" applyAlignment="1">
      <alignment horizontal="center" vertical="center"/>
    </xf>
    <xf numFmtId="0" fontId="40" fillId="0" borderId="0" xfId="0" applyFont="1" applyAlignment="1">
      <alignment horizontal="center" vertical="center"/>
    </xf>
    <xf numFmtId="0" fontId="40" fillId="0" borderId="0" xfId="0" applyFont="1" applyAlignment="1">
      <alignment/>
    </xf>
    <xf numFmtId="0" fontId="37" fillId="0" borderId="0" xfId="0" applyFont="1" applyAlignment="1">
      <alignment horizontal="center"/>
    </xf>
    <xf numFmtId="0" fontId="44" fillId="0" borderId="0" xfId="0" applyFont="1" applyAlignment="1">
      <alignment horizontal="center"/>
    </xf>
    <xf numFmtId="0" fontId="37" fillId="0" borderId="0" xfId="0" applyFont="1" applyAlignment="1">
      <alignment horizontal="center" wrapText="1"/>
    </xf>
    <xf numFmtId="10" fontId="45" fillId="0" borderId="0" xfId="0" applyNumberFormat="1" applyFont="1" applyAlignment="1">
      <alignment horizontal="center"/>
    </xf>
    <xf numFmtId="0" fontId="45" fillId="0" borderId="0" xfId="0" applyFont="1" applyAlignment="1">
      <alignment horizontal="center"/>
    </xf>
    <xf numFmtId="0" fontId="46" fillId="0" borderId="0" xfId="0" applyFont="1" applyAlignment="1">
      <alignment horizontal="center"/>
    </xf>
    <xf numFmtId="49" fontId="45" fillId="0" borderId="0" xfId="0" applyNumberFormat="1" applyFont="1" applyAlignment="1">
      <alignment horizontal="center"/>
    </xf>
    <xf numFmtId="10" fontId="47" fillId="0" borderId="0" xfId="0" applyNumberFormat="1" applyFont="1" applyAlignment="1">
      <alignment horizontal="center"/>
    </xf>
    <xf numFmtId="0" fontId="47" fillId="0" borderId="0" xfId="0" applyFont="1" applyAlignment="1">
      <alignment horizontal="center"/>
    </xf>
    <xf numFmtId="10" fontId="46" fillId="0" borderId="0" xfId="0" applyNumberFormat="1" applyFont="1" applyAlignment="1">
      <alignment horizontal="center"/>
    </xf>
    <xf numFmtId="3" fontId="37" fillId="0" borderId="0" xfId="0" applyNumberFormat="1" applyFont="1" applyAlignment="1">
      <alignment/>
    </xf>
    <xf numFmtId="3" fontId="37" fillId="0" borderId="0" xfId="0" applyNumberFormat="1" applyFont="1" applyAlignment="1">
      <alignment horizontal="center" wrapText="1"/>
    </xf>
    <xf numFmtId="0" fontId="45" fillId="25" borderId="0" xfId="0" applyFont="1" applyFill="1" applyAlignment="1">
      <alignment horizontal="center"/>
    </xf>
    <xf numFmtId="10" fontId="37" fillId="25" borderId="0" xfId="58" applyNumberFormat="1" applyFont="1" applyFill="1" applyAlignment="1">
      <alignment/>
    </xf>
    <xf numFmtId="10" fontId="45" fillId="0" borderId="0" xfId="58" applyNumberFormat="1" applyFont="1" applyAlignment="1">
      <alignment horizontal="center"/>
    </xf>
    <xf numFmtId="10" fontId="37" fillId="0" borderId="0" xfId="58" applyNumberFormat="1" applyFont="1" applyAlignment="1">
      <alignment/>
    </xf>
    <xf numFmtId="4" fontId="38" fillId="0" borderId="0" xfId="54" applyNumberFormat="1" applyFont="1" applyFill="1" applyBorder="1" applyAlignment="1">
      <alignment horizontal="center" vertical="center" wrapText="1"/>
      <protection/>
    </xf>
    <xf numFmtId="4" fontId="42" fillId="0" borderId="0" xfId="54" applyNumberFormat="1" applyFont="1" applyFill="1" applyBorder="1" applyAlignment="1">
      <alignment horizontal="center" vertical="center" wrapText="1"/>
      <protection/>
    </xf>
    <xf numFmtId="49" fontId="45" fillId="0" borderId="0" xfId="0" applyNumberFormat="1" applyFont="1" applyAlignment="1">
      <alignment horizontal="center" vertical="center"/>
    </xf>
    <xf numFmtId="171" fontId="37" fillId="0" borderId="0" xfId="0" applyNumberFormat="1" applyFont="1" applyAlignment="1">
      <alignment/>
    </xf>
    <xf numFmtId="43" fontId="37" fillId="0" borderId="0" xfId="0" applyNumberFormat="1" applyFont="1" applyAlignment="1">
      <alignment/>
    </xf>
    <xf numFmtId="10" fontId="37" fillId="0" borderId="0" xfId="0" applyNumberFormat="1" applyFont="1" applyAlignment="1">
      <alignment/>
    </xf>
    <xf numFmtId="0" fontId="50" fillId="0" borderId="51" xfId="54" applyFont="1" applyFill="1" applyBorder="1" applyAlignment="1">
      <alignment horizontal="center" vertical="center" wrapText="1"/>
      <protection/>
    </xf>
    <xf numFmtId="0" fontId="50" fillId="0" borderId="52" xfId="54" applyFont="1" applyFill="1" applyBorder="1" applyAlignment="1">
      <alignment horizontal="center" vertical="center" wrapText="1"/>
      <protection/>
    </xf>
    <xf numFmtId="0" fontId="50" fillId="0" borderId="53" xfId="54" applyFont="1" applyFill="1" applyBorder="1" applyAlignment="1">
      <alignment horizontal="center" vertical="center" wrapText="1"/>
      <protection/>
    </xf>
    <xf numFmtId="10" fontId="50" fillId="0" borderId="53" xfId="54" applyNumberFormat="1" applyFont="1" applyFill="1" applyBorder="1" applyAlignment="1">
      <alignment horizontal="center" vertical="center" wrapText="1"/>
      <protection/>
    </xf>
    <xf numFmtId="49" fontId="50" fillId="0" borderId="53" xfId="54" applyNumberFormat="1" applyFont="1" applyFill="1" applyBorder="1" applyAlignment="1">
      <alignment horizontal="center" vertical="center" wrapText="1"/>
      <protection/>
    </xf>
    <xf numFmtId="0" fontId="50" fillId="0" borderId="54" xfId="54" applyFont="1" applyFill="1" applyBorder="1" applyAlignment="1">
      <alignment horizontal="center" vertical="center" wrapText="1"/>
      <protection/>
    </xf>
    <xf numFmtId="0" fontId="50" fillId="0" borderId="55" xfId="54" applyFont="1" applyFill="1" applyBorder="1" applyAlignment="1">
      <alignment horizontal="center" vertical="center" wrapText="1"/>
      <protection/>
    </xf>
    <xf numFmtId="0" fontId="50" fillId="0" borderId="0" xfId="54" applyFont="1" applyFill="1" applyBorder="1" applyAlignment="1">
      <alignment horizontal="center" vertical="center" wrapText="1"/>
      <protection/>
    </xf>
    <xf numFmtId="10" fontId="50" fillId="0" borderId="56" xfId="58" applyNumberFormat="1" applyFont="1" applyFill="1" applyBorder="1" applyAlignment="1">
      <alignment horizontal="center" vertical="center" wrapText="1"/>
    </xf>
    <xf numFmtId="0" fontId="50" fillId="0" borderId="57" xfId="54" applyFont="1" applyFill="1" applyBorder="1" applyAlignment="1">
      <alignment horizontal="center" vertical="center" wrapText="1"/>
      <protection/>
    </xf>
    <xf numFmtId="4" fontId="50" fillId="0" borderId="58" xfId="54" applyNumberFormat="1" applyFont="1" applyFill="1" applyBorder="1" applyAlignment="1">
      <alignment horizontal="center" vertical="center" wrapText="1" shrinkToFit="1"/>
      <protection/>
    </xf>
    <xf numFmtId="4" fontId="50" fillId="0" borderId="59" xfId="54" applyNumberFormat="1" applyFont="1" applyFill="1" applyBorder="1" applyAlignment="1">
      <alignment horizontal="center" vertical="center" wrapText="1" shrinkToFit="1"/>
      <protection/>
    </xf>
    <xf numFmtId="10" fontId="50" fillId="0" borderId="60" xfId="58" applyNumberFormat="1" applyFont="1" applyFill="1" applyBorder="1" applyAlignment="1">
      <alignment horizontal="center" vertical="center" wrapText="1"/>
    </xf>
    <xf numFmtId="0" fontId="50" fillId="0" borderId="57" xfId="55" applyFont="1" applyFill="1" applyBorder="1" applyAlignment="1" applyProtection="1">
      <alignment horizontal="center" vertical="center" wrapText="1"/>
      <protection/>
    </xf>
    <xf numFmtId="0" fontId="50" fillId="0" borderId="61" xfId="54" applyFont="1" applyFill="1" applyBorder="1" applyAlignment="1">
      <alignment horizontal="center" vertical="center" wrapText="1"/>
      <protection/>
    </xf>
    <xf numFmtId="4" fontId="50" fillId="0" borderId="57" xfId="54" applyNumberFormat="1" applyFont="1" applyFill="1" applyBorder="1" applyAlignment="1">
      <alignment horizontal="center" vertical="center" wrapText="1" shrinkToFit="1"/>
      <protection/>
    </xf>
    <xf numFmtId="4" fontId="50" fillId="0" borderId="62" xfId="54" applyNumberFormat="1" applyFont="1" applyFill="1" applyBorder="1" applyAlignment="1">
      <alignment horizontal="center" vertical="center" wrapText="1" shrinkToFit="1"/>
      <protection/>
    </xf>
    <xf numFmtId="0" fontId="51" fillId="25" borderId="0" xfId="0" applyFont="1" applyFill="1" applyAlignment="1">
      <alignment/>
    </xf>
    <xf numFmtId="0" fontId="51" fillId="8" borderId="0" xfId="0" applyFont="1" applyFill="1" applyAlignment="1">
      <alignment/>
    </xf>
    <xf numFmtId="0" fontId="52" fillId="0" borderId="63" xfId="0" applyFont="1" applyFill="1" applyBorder="1" applyAlignment="1">
      <alignment horizontal="center" vertical="center" wrapText="1"/>
    </xf>
    <xf numFmtId="0" fontId="52" fillId="0" borderId="64" xfId="0" applyFont="1" applyFill="1" applyBorder="1" applyAlignment="1">
      <alignment horizontal="justify" vertical="center" wrapText="1"/>
    </xf>
    <xf numFmtId="10" fontId="50" fillId="0" borderId="45" xfId="48" applyNumberFormat="1" applyFont="1" applyFill="1" applyBorder="1" applyAlignment="1">
      <alignment horizontal="center" vertical="center" wrapText="1"/>
    </xf>
    <xf numFmtId="10" fontId="50" fillId="0" borderId="65" xfId="48" applyNumberFormat="1" applyFont="1" applyFill="1" applyBorder="1" applyAlignment="1">
      <alignment horizontal="center" vertical="center" wrapText="1"/>
    </xf>
    <xf numFmtId="49" fontId="50" fillId="0" borderId="63" xfId="48" applyNumberFormat="1" applyFont="1" applyFill="1" applyBorder="1" applyAlignment="1">
      <alignment horizontal="center" vertical="center" wrapText="1"/>
    </xf>
    <xf numFmtId="10" fontId="50" fillId="0" borderId="63" xfId="48" applyNumberFormat="1" applyFont="1" applyFill="1" applyBorder="1" applyAlignment="1">
      <alignment horizontal="center" vertical="center" wrapText="1"/>
    </xf>
    <xf numFmtId="10" fontId="50" fillId="0" borderId="0" xfId="48" applyNumberFormat="1" applyFont="1" applyFill="1" applyBorder="1" applyAlignment="1">
      <alignment horizontal="center" vertical="center" wrapText="1"/>
    </xf>
    <xf numFmtId="10" fontId="50" fillId="0" borderId="26" xfId="58" applyNumberFormat="1" applyFont="1" applyFill="1" applyBorder="1" applyAlignment="1">
      <alignment horizontal="center" vertical="center" wrapText="1"/>
    </xf>
    <xf numFmtId="171" fontId="50" fillId="0" borderId="66" xfId="48" applyFont="1" applyFill="1" applyBorder="1" applyAlignment="1">
      <alignment horizontal="right" vertical="center"/>
    </xf>
    <xf numFmtId="171" fontId="50" fillId="0" borderId="28" xfId="48" applyFont="1" applyFill="1" applyBorder="1" applyAlignment="1">
      <alignment horizontal="center" vertical="center" wrapText="1"/>
    </xf>
    <xf numFmtId="10" fontId="50" fillId="0" borderId="44" xfId="58" applyNumberFormat="1" applyFont="1" applyFill="1" applyBorder="1" applyAlignment="1">
      <alignment horizontal="center" vertical="center" wrapText="1"/>
    </xf>
    <xf numFmtId="10" fontId="50" fillId="0" borderId="27" xfId="48" applyNumberFormat="1" applyFont="1" applyFill="1" applyBorder="1" applyAlignment="1">
      <alignment horizontal="center" vertical="center" wrapText="1"/>
    </xf>
    <xf numFmtId="171" fontId="50" fillId="0" borderId="45" xfId="48" applyFont="1" applyFill="1" applyBorder="1" applyAlignment="1">
      <alignment horizontal="right" vertical="center"/>
    </xf>
    <xf numFmtId="171" fontId="50" fillId="0" borderId="67" xfId="48" applyFont="1" applyFill="1" applyBorder="1" applyAlignment="1">
      <alignment horizontal="center" vertical="center" wrapText="1"/>
    </xf>
    <xf numFmtId="0" fontId="51" fillId="0" borderId="68" xfId="0" applyFont="1" applyFill="1" applyBorder="1" applyAlignment="1">
      <alignment/>
    </xf>
    <xf numFmtId="0" fontId="51" fillId="0" borderId="0" xfId="0" applyFont="1" applyAlignment="1">
      <alignment/>
    </xf>
    <xf numFmtId="0" fontId="52" fillId="0" borderId="69" xfId="0" applyFont="1" applyFill="1" applyBorder="1" applyAlignment="1">
      <alignment horizontal="center" vertical="center" wrapText="1"/>
    </xf>
    <xf numFmtId="0" fontId="52" fillId="0" borderId="70" xfId="0" applyFont="1" applyFill="1" applyBorder="1" applyAlignment="1">
      <alignment horizontal="justify" vertical="center" wrapText="1"/>
    </xf>
    <xf numFmtId="49" fontId="50" fillId="0" borderId="41" xfId="48" applyNumberFormat="1" applyFont="1" applyFill="1" applyBorder="1" applyAlignment="1">
      <alignment horizontal="center" vertical="center" wrapText="1"/>
    </xf>
    <xf numFmtId="10" fontId="50" fillId="0" borderId="41" xfId="48" applyNumberFormat="1" applyFont="1" applyFill="1" applyBorder="1" applyAlignment="1">
      <alignment horizontal="center" vertical="center" wrapText="1"/>
    </xf>
    <xf numFmtId="171" fontId="50" fillId="0" borderId="71" xfId="48" applyFont="1" applyFill="1" applyBorder="1" applyAlignment="1">
      <alignment horizontal="right" vertical="center"/>
    </xf>
    <xf numFmtId="171" fontId="50" fillId="0" borderId="31" xfId="48" applyFont="1" applyFill="1" applyBorder="1" applyAlignment="1">
      <alignment horizontal="center" vertical="center" wrapText="1"/>
    </xf>
    <xf numFmtId="171" fontId="50" fillId="0" borderId="27" xfId="48" applyFont="1" applyFill="1" applyBorder="1" applyAlignment="1">
      <alignment horizontal="right" vertical="center"/>
    </xf>
    <xf numFmtId="171" fontId="50" fillId="0" borderId="71" xfId="48" applyFont="1" applyFill="1" applyBorder="1" applyAlignment="1">
      <alignment horizontal="center" vertical="center" wrapText="1"/>
    </xf>
    <xf numFmtId="0" fontId="51" fillId="0" borderId="72" xfId="0" applyFont="1" applyFill="1" applyBorder="1" applyAlignment="1">
      <alignment/>
    </xf>
    <xf numFmtId="0" fontId="52" fillId="0" borderId="73"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74" xfId="0" applyFont="1" applyFill="1" applyBorder="1" applyAlignment="1">
      <alignment horizontal="justify" vertical="center" wrapText="1"/>
    </xf>
    <xf numFmtId="10" fontId="50" fillId="0" borderId="47" xfId="48" applyNumberFormat="1" applyFont="1" applyFill="1" applyBorder="1" applyAlignment="1">
      <alignment horizontal="center" vertical="center" wrapText="1"/>
    </xf>
    <xf numFmtId="10" fontId="50" fillId="0" borderId="29" xfId="48" applyNumberFormat="1" applyFont="1" applyFill="1" applyBorder="1" applyAlignment="1">
      <alignment horizontal="center" vertical="center" wrapText="1"/>
    </xf>
    <xf numFmtId="2" fontId="50" fillId="0" borderId="41" xfId="48" applyNumberFormat="1" applyFont="1" applyFill="1" applyBorder="1" applyAlignment="1">
      <alignment horizontal="center" vertical="center" wrapText="1"/>
    </xf>
    <xf numFmtId="2" fontId="50" fillId="0" borderId="0" xfId="48" applyNumberFormat="1" applyFont="1" applyFill="1" applyBorder="1" applyAlignment="1">
      <alignment horizontal="center" vertical="center" wrapText="1"/>
    </xf>
    <xf numFmtId="0" fontId="50" fillId="0" borderId="26" xfId="58" applyNumberFormat="1" applyFont="1" applyFill="1" applyBorder="1" applyAlignment="1">
      <alignment horizontal="center" vertical="center" wrapText="1"/>
    </xf>
    <xf numFmtId="0" fontId="50" fillId="0" borderId="45" xfId="48" applyNumberFormat="1" applyFont="1" applyFill="1" applyBorder="1" applyAlignment="1">
      <alignment horizontal="center" vertical="center" wrapText="1"/>
    </xf>
    <xf numFmtId="0" fontId="50" fillId="0" borderId="27" xfId="48" applyNumberFormat="1" applyFont="1" applyFill="1" applyBorder="1" applyAlignment="1">
      <alignment horizontal="center" vertical="center" wrapText="1"/>
    </xf>
    <xf numFmtId="2" fontId="50" fillId="0" borderId="26" xfId="58" applyNumberFormat="1" applyFont="1" applyFill="1" applyBorder="1" applyAlignment="1">
      <alignment horizontal="center" vertical="center" wrapText="1"/>
    </xf>
    <xf numFmtId="49" fontId="53" fillId="0" borderId="41" xfId="45" applyNumberFormat="1" applyFont="1" applyFill="1" applyBorder="1" applyAlignment="1" applyProtection="1">
      <alignment horizontal="center" vertical="center" wrapText="1"/>
      <protection/>
    </xf>
    <xf numFmtId="0" fontId="50" fillId="0" borderId="41" xfId="54" applyFont="1" applyFill="1" applyBorder="1" applyAlignment="1">
      <alignment horizontal="center" vertical="center" wrapText="1"/>
      <protection/>
    </xf>
    <xf numFmtId="0" fontId="50" fillId="0" borderId="74" xfId="54" applyFont="1" applyFill="1" applyBorder="1" applyAlignment="1">
      <alignment horizontal="justify" vertical="center" wrapText="1"/>
      <protection/>
    </xf>
    <xf numFmtId="10" fontId="50" fillId="0" borderId="27" xfId="48" applyNumberFormat="1" applyFont="1" applyFill="1" applyBorder="1" applyAlignment="1">
      <alignment horizontal="center" wrapText="1"/>
    </xf>
    <xf numFmtId="10" fontId="50" fillId="0" borderId="29" xfId="48" applyNumberFormat="1" applyFont="1" applyFill="1" applyBorder="1" applyAlignment="1">
      <alignment horizontal="center" wrapText="1"/>
    </xf>
    <xf numFmtId="0" fontId="50" fillId="0" borderId="25" xfId="56" applyFont="1" applyFill="1" applyBorder="1" applyAlignment="1">
      <alignment horizontal="center" vertical="center" wrapText="1"/>
      <protection/>
    </xf>
    <xf numFmtId="0" fontId="52" fillId="0" borderId="74" xfId="0" applyFont="1" applyFill="1" applyBorder="1" applyAlignment="1">
      <alignment horizontal="justify" vertical="center"/>
    </xf>
    <xf numFmtId="10" fontId="50" fillId="0" borderId="75" xfId="48" applyNumberFormat="1" applyFont="1" applyFill="1" applyBorder="1" applyAlignment="1">
      <alignment horizontal="center" vertical="center" wrapText="1"/>
    </xf>
    <xf numFmtId="0" fontId="52" fillId="0" borderId="74" xfId="0" applyNumberFormat="1" applyFont="1" applyFill="1" applyBorder="1" applyAlignment="1">
      <alignment horizontal="justify" vertical="center"/>
    </xf>
    <xf numFmtId="0" fontId="52" fillId="0" borderId="76" xfId="0" applyFont="1" applyFill="1" applyBorder="1" applyAlignment="1">
      <alignment horizontal="justify" vertical="center"/>
    </xf>
    <xf numFmtId="10" fontId="50" fillId="0" borderId="34" xfId="48" applyNumberFormat="1" applyFont="1" applyFill="1" applyBorder="1" applyAlignment="1">
      <alignment horizontal="center" vertical="center" wrapText="1"/>
    </xf>
    <xf numFmtId="0" fontId="50" fillId="0" borderId="33" xfId="58" applyNumberFormat="1" applyFont="1" applyFill="1" applyBorder="1" applyAlignment="1">
      <alignment horizontal="center" vertical="center" wrapText="1"/>
    </xf>
    <xf numFmtId="0" fontId="50" fillId="0" borderId="34" xfId="48" applyNumberFormat="1" applyFont="1" applyFill="1" applyBorder="1" applyAlignment="1">
      <alignment horizontal="center" vertical="center" wrapText="1"/>
    </xf>
    <xf numFmtId="171" fontId="50" fillId="0" borderId="77" xfId="48" applyFont="1" applyFill="1" applyBorder="1" applyAlignment="1">
      <alignment horizontal="right" vertical="center"/>
    </xf>
    <xf numFmtId="171" fontId="50" fillId="0" borderId="34" xfId="48" applyFont="1" applyFill="1" applyBorder="1" applyAlignment="1">
      <alignment horizontal="right" vertical="center"/>
    </xf>
    <xf numFmtId="171" fontId="50" fillId="0" borderId="35" xfId="48" applyFont="1" applyFill="1" applyBorder="1" applyAlignment="1">
      <alignment horizontal="center" vertical="center" wrapText="1"/>
    </xf>
    <xf numFmtId="10" fontId="50" fillId="0" borderId="20" xfId="48" applyNumberFormat="1" applyFont="1" applyFill="1" applyBorder="1" applyAlignment="1">
      <alignment horizontal="center" vertical="center" wrapText="1"/>
    </xf>
    <xf numFmtId="10" fontId="50" fillId="0" borderId="39" xfId="48" applyNumberFormat="1" applyFont="1" applyFill="1" applyBorder="1" applyAlignment="1">
      <alignment horizontal="center" vertical="center" wrapText="1"/>
    </xf>
    <xf numFmtId="0" fontId="50" fillId="0" borderId="44" xfId="58" applyNumberFormat="1" applyFont="1" applyFill="1" applyBorder="1" applyAlignment="1">
      <alignment horizontal="center" vertical="center" wrapText="1"/>
    </xf>
    <xf numFmtId="171" fontId="50" fillId="0" borderId="67" xfId="48" applyFont="1" applyFill="1" applyBorder="1" applyAlignment="1">
      <alignment horizontal="center" vertical="center"/>
    </xf>
    <xf numFmtId="10" fontId="50" fillId="0" borderId="22" xfId="58" applyNumberFormat="1" applyFont="1" applyFill="1" applyBorder="1" applyAlignment="1">
      <alignment horizontal="center" vertical="center" wrapText="1"/>
    </xf>
    <xf numFmtId="0" fontId="50" fillId="0" borderId="45" xfId="58" applyNumberFormat="1" applyFont="1" applyFill="1" applyBorder="1" applyAlignment="1">
      <alignment horizontal="center" vertical="center" wrapText="1"/>
    </xf>
    <xf numFmtId="0" fontId="51" fillId="0" borderId="72" xfId="0" applyFont="1" applyFill="1" applyBorder="1" applyAlignment="1">
      <alignment horizontal="center" vertical="center"/>
    </xf>
    <xf numFmtId="0" fontId="51" fillId="25" borderId="0" xfId="0" applyFont="1" applyFill="1" applyAlignment="1">
      <alignment horizontal="center" vertical="center"/>
    </xf>
    <xf numFmtId="0" fontId="51" fillId="0" borderId="0" xfId="0" applyFont="1" applyAlignment="1">
      <alignment horizontal="center" vertical="center"/>
    </xf>
    <xf numFmtId="0" fontId="52" fillId="0" borderId="41" xfId="0" applyFont="1" applyFill="1" applyBorder="1" applyAlignment="1">
      <alignment horizontal="justify" vertical="center" wrapText="1"/>
    </xf>
    <xf numFmtId="10" fontId="50" fillId="0" borderId="78" xfId="58" applyNumberFormat="1" applyFont="1" applyFill="1" applyBorder="1" applyAlignment="1">
      <alignment horizontal="center" vertical="center" wrapText="1"/>
    </xf>
    <xf numFmtId="10" fontId="50" fillId="0" borderId="45" xfId="58" applyNumberFormat="1" applyFont="1" applyFill="1" applyBorder="1" applyAlignment="1">
      <alignment horizontal="center" vertical="center" wrapText="1"/>
    </xf>
    <xf numFmtId="171" fontId="50" fillId="0" borderId="71" xfId="48" applyFont="1" applyFill="1" applyBorder="1" applyAlignment="1">
      <alignment horizontal="center" vertical="center"/>
    </xf>
    <xf numFmtId="10" fontId="50" fillId="0" borderId="79" xfId="48" applyNumberFormat="1" applyFont="1" applyFill="1" applyBorder="1" applyAlignment="1">
      <alignment horizontal="center" vertical="center" wrapText="1"/>
    </xf>
    <xf numFmtId="10" fontId="50" fillId="0" borderId="34" xfId="58" applyNumberFormat="1" applyFont="1" applyFill="1" applyBorder="1" applyAlignment="1">
      <alignment horizontal="center" vertical="center" wrapText="1"/>
    </xf>
    <xf numFmtId="0" fontId="50" fillId="0" borderId="41" xfId="54" applyFont="1" applyFill="1" applyBorder="1" applyAlignment="1">
      <alignment horizontal="justify" vertical="center" wrapText="1"/>
      <protection/>
    </xf>
    <xf numFmtId="171" fontId="50" fillId="0" borderId="67" xfId="48" applyFont="1" applyFill="1" applyBorder="1" applyAlignment="1">
      <alignment horizontal="right" vertical="center"/>
    </xf>
    <xf numFmtId="10" fontId="50" fillId="0" borderId="27" xfId="58" applyNumberFormat="1" applyFont="1" applyFill="1" applyBorder="1" applyAlignment="1">
      <alignment horizontal="center" vertical="center" wrapText="1"/>
    </xf>
    <xf numFmtId="0" fontId="50" fillId="0" borderId="27" xfId="58" applyNumberFormat="1" applyFont="1" applyFill="1" applyBorder="1" applyAlignment="1">
      <alignment horizontal="center" vertical="center" wrapText="1"/>
    </xf>
    <xf numFmtId="10" fontId="50" fillId="0" borderId="22" xfId="48" applyNumberFormat="1" applyFont="1" applyFill="1" applyBorder="1" applyAlignment="1">
      <alignment horizontal="center" vertical="center" wrapText="1"/>
    </xf>
    <xf numFmtId="0" fontId="50" fillId="0" borderId="74" xfId="54" applyFont="1" applyFill="1" applyBorder="1" applyAlignment="1">
      <alignment horizontal="left" vertical="center" wrapText="1"/>
      <protection/>
    </xf>
    <xf numFmtId="0" fontId="50" fillId="0" borderId="74" xfId="54" applyFont="1" applyFill="1" applyBorder="1" applyAlignment="1">
      <alignment horizontal="center" vertical="center" wrapText="1"/>
      <protection/>
    </xf>
    <xf numFmtId="10" fontId="50" fillId="0" borderId="33" xfId="58" applyNumberFormat="1" applyFont="1" applyFill="1" applyBorder="1" applyAlignment="1">
      <alignment horizontal="center" vertical="center" wrapText="1"/>
    </xf>
    <xf numFmtId="10" fontId="50" fillId="0" borderId="80" xfId="48" applyNumberFormat="1" applyFont="1" applyFill="1" applyBorder="1" applyAlignment="1">
      <alignment horizontal="center" vertical="center" wrapText="1"/>
    </xf>
    <xf numFmtId="0" fontId="51" fillId="0" borderId="81" xfId="0" applyFont="1" applyFill="1" applyBorder="1" applyAlignment="1">
      <alignment/>
    </xf>
    <xf numFmtId="171" fontId="54" fillId="0" borderId="0" xfId="0" applyNumberFormat="1" applyFont="1" applyAlignment="1">
      <alignment/>
    </xf>
    <xf numFmtId="0" fontId="25" fillId="26" borderId="82" xfId="56" applyFont="1" applyFill="1" applyBorder="1" applyAlignment="1">
      <alignment horizontal="center" vertical="center" wrapText="1"/>
      <protection/>
    </xf>
    <xf numFmtId="0" fontId="25" fillId="26" borderId="83" xfId="56" applyFont="1" applyFill="1" applyBorder="1" applyAlignment="1">
      <alignment horizontal="center" vertical="center" wrapText="1"/>
      <protection/>
    </xf>
    <xf numFmtId="0" fontId="25" fillId="26" borderId="84" xfId="56" applyFont="1" applyFill="1" applyBorder="1" applyAlignment="1">
      <alignment horizontal="center" vertical="center" wrapText="1"/>
      <protection/>
    </xf>
    <xf numFmtId="0" fontId="25" fillId="26" borderId="85" xfId="56" applyFont="1" applyFill="1" applyBorder="1" applyAlignment="1">
      <alignment horizontal="center" vertical="center" wrapText="1"/>
      <protection/>
    </xf>
    <xf numFmtId="0" fontId="25" fillId="26" borderId="86" xfId="56" applyFont="1" applyFill="1" applyBorder="1" applyAlignment="1">
      <alignment horizontal="center" vertical="center" wrapText="1"/>
      <protection/>
    </xf>
    <xf numFmtId="0" fontId="11" fillId="0" borderId="87" xfId="56" applyFont="1" applyBorder="1" applyAlignment="1">
      <alignment horizontal="left" vertical="center"/>
      <protection/>
    </xf>
    <xf numFmtId="0" fontId="27" fillId="24" borderId="76" xfId="0" applyFont="1" applyFill="1" applyBorder="1" applyAlignment="1">
      <alignment horizontal="center" vertical="center" wrapText="1"/>
    </xf>
    <xf numFmtId="0" fontId="27" fillId="24" borderId="88" xfId="0" applyFont="1" applyFill="1" applyBorder="1" applyAlignment="1">
      <alignment horizontal="center" vertical="center" wrapText="1"/>
    </xf>
    <xf numFmtId="0" fontId="27" fillId="24" borderId="70" xfId="0" applyFont="1" applyFill="1" applyBorder="1" applyAlignment="1">
      <alignment horizontal="center" vertical="center" wrapText="1"/>
    </xf>
    <xf numFmtId="0" fontId="27" fillId="24" borderId="89" xfId="0" applyFont="1" applyFill="1" applyBorder="1" applyAlignment="1">
      <alignment horizontal="center" vertical="center" wrapText="1"/>
    </xf>
    <xf numFmtId="0" fontId="25" fillId="27" borderId="90" xfId="56" applyFont="1" applyFill="1" applyBorder="1" applyAlignment="1">
      <alignment horizontal="left" vertical="center"/>
      <protection/>
    </xf>
    <xf numFmtId="0" fontId="25" fillId="26" borderId="91" xfId="56" applyFont="1" applyFill="1" applyBorder="1" applyAlignment="1">
      <alignment horizontal="center" vertical="center" wrapText="1"/>
      <protection/>
    </xf>
    <xf numFmtId="0" fontId="25" fillId="26" borderId="13" xfId="56" applyFont="1" applyFill="1" applyBorder="1" applyAlignment="1">
      <alignment horizontal="center" vertical="center" wrapText="1"/>
      <protection/>
    </xf>
    <xf numFmtId="0" fontId="25" fillId="26" borderId="92" xfId="56" applyFont="1" applyFill="1" applyBorder="1" applyAlignment="1">
      <alignment horizontal="center" vertical="center" wrapText="1"/>
      <protection/>
    </xf>
    <xf numFmtId="0" fontId="26" fillId="24" borderId="76" xfId="0" applyFont="1" applyFill="1" applyBorder="1" applyAlignment="1">
      <alignment horizontal="center" vertical="center" wrapText="1"/>
    </xf>
    <xf numFmtId="0" fontId="26" fillId="24" borderId="93"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24" borderId="94" xfId="0" applyFont="1" applyFill="1" applyBorder="1" applyAlignment="1">
      <alignment horizontal="center" vertical="center" wrapText="1"/>
    </xf>
    <xf numFmtId="0" fontId="26" fillId="24" borderId="70" xfId="0" applyFont="1" applyFill="1" applyBorder="1" applyAlignment="1">
      <alignment horizontal="center" vertical="center" wrapText="1"/>
    </xf>
    <xf numFmtId="0" fontId="26" fillId="24" borderId="95" xfId="0" applyFont="1" applyFill="1" applyBorder="1" applyAlignment="1">
      <alignment horizontal="center" vertical="center" wrapText="1"/>
    </xf>
    <xf numFmtId="0" fontId="22" fillId="0" borderId="96" xfId="56" applyFont="1" applyBorder="1" applyAlignment="1">
      <alignment horizontal="center" vertical="center"/>
      <protection/>
    </xf>
    <xf numFmtId="0" fontId="23" fillId="28" borderId="10" xfId="56" applyFont="1" applyFill="1" applyBorder="1" applyAlignment="1">
      <alignment horizontal="center" vertical="center" wrapText="1"/>
      <protection/>
    </xf>
    <xf numFmtId="0" fontId="23" fillId="28" borderId="0" xfId="56" applyFont="1" applyFill="1" applyBorder="1" applyAlignment="1">
      <alignment horizontal="center" vertical="center" wrapText="1"/>
      <protection/>
    </xf>
    <xf numFmtId="0" fontId="23" fillId="28" borderId="11" xfId="56" applyFont="1" applyFill="1" applyBorder="1" applyAlignment="1">
      <alignment horizontal="center" vertical="center" wrapText="1"/>
      <protection/>
    </xf>
    <xf numFmtId="0" fontId="24" fillId="0" borderId="10" xfId="56" applyFont="1" applyBorder="1" applyAlignment="1">
      <alignment horizontal="center" vertical="center"/>
      <protection/>
    </xf>
    <xf numFmtId="0" fontId="24" fillId="0" borderId="0" xfId="56" applyFont="1" applyBorder="1" applyAlignment="1">
      <alignment horizontal="center" vertical="center"/>
      <protection/>
    </xf>
    <xf numFmtId="0" fontId="24" fillId="0" borderId="11" xfId="56" applyFont="1" applyBorder="1" applyAlignment="1">
      <alignment horizontal="center" vertical="center"/>
      <protection/>
    </xf>
    <xf numFmtId="0" fontId="24" fillId="28" borderId="10" xfId="56" applyFont="1" applyFill="1" applyBorder="1" applyAlignment="1">
      <alignment horizontal="center" vertical="center"/>
      <protection/>
    </xf>
    <xf numFmtId="0" fontId="24" fillId="28" borderId="0" xfId="56" applyFont="1" applyFill="1" applyBorder="1" applyAlignment="1">
      <alignment horizontal="center" vertical="center"/>
      <protection/>
    </xf>
    <xf numFmtId="0" fontId="24" fillId="28" borderId="11" xfId="56" applyFont="1" applyFill="1" applyBorder="1" applyAlignment="1">
      <alignment horizontal="center" vertical="center"/>
      <protection/>
    </xf>
    <xf numFmtId="0" fontId="25" fillId="0" borderId="13" xfId="56" applyFont="1" applyBorder="1" applyAlignment="1">
      <alignment horizontal="center" vertical="center"/>
      <protection/>
    </xf>
    <xf numFmtId="0" fontId="25" fillId="0" borderId="0" xfId="56" applyFont="1" applyBorder="1" applyAlignment="1">
      <alignment horizontal="center" vertical="center"/>
      <protection/>
    </xf>
    <xf numFmtId="0" fontId="25" fillId="0" borderId="10" xfId="56" applyFont="1" applyBorder="1" applyAlignment="1">
      <alignment horizontal="left" vertical="center"/>
      <protection/>
    </xf>
    <xf numFmtId="0" fontId="19" fillId="0" borderId="0" xfId="0" applyFont="1" applyAlignment="1">
      <alignment/>
    </xf>
    <xf numFmtId="17" fontId="25" fillId="0" borderId="0" xfId="56" applyNumberFormat="1" applyFont="1" applyBorder="1" applyAlignment="1">
      <alignment horizontal="left" vertical="center"/>
      <protection/>
    </xf>
    <xf numFmtId="0" fontId="25" fillId="0" borderId="0" xfId="56" applyFont="1" applyBorder="1" applyAlignment="1">
      <alignment horizontal="left" vertical="center"/>
      <protection/>
    </xf>
    <xf numFmtId="0" fontId="19" fillId="0" borderId="0" xfId="0" applyFont="1" applyBorder="1" applyAlignment="1">
      <alignment/>
    </xf>
    <xf numFmtId="0" fontId="25" fillId="0" borderId="13" xfId="56" applyFont="1" applyBorder="1" applyAlignment="1">
      <alignment horizontal="left" vertical="center"/>
      <protection/>
    </xf>
    <xf numFmtId="0" fontId="19" fillId="0" borderId="11" xfId="0" applyFont="1" applyBorder="1" applyAlignment="1">
      <alignment/>
    </xf>
    <xf numFmtId="0" fontId="11" fillId="0" borderId="97" xfId="56" applyFont="1" applyBorder="1" applyAlignment="1">
      <alignment horizontal="left" vertical="center"/>
      <protection/>
    </xf>
    <xf numFmtId="0" fontId="25" fillId="0" borderId="98" xfId="56" applyFont="1" applyBorder="1" applyAlignment="1">
      <alignment horizontal="center" vertical="center"/>
      <protection/>
    </xf>
    <xf numFmtId="0" fontId="11" fillId="0" borderId="99" xfId="56" applyFont="1" applyBorder="1" applyAlignment="1">
      <alignment horizontal="left" vertical="center"/>
      <protection/>
    </xf>
    <xf numFmtId="49" fontId="25" fillId="26" borderId="92" xfId="56" applyNumberFormat="1" applyFont="1" applyFill="1" applyBorder="1" applyAlignment="1" applyProtection="1">
      <alignment horizontal="left" vertical="center" wrapText="1"/>
      <protection/>
    </xf>
    <xf numFmtId="49" fontId="25" fillId="26" borderId="13" xfId="56" applyNumberFormat="1" applyFont="1" applyFill="1" applyBorder="1" applyAlignment="1" applyProtection="1">
      <alignment horizontal="left" vertical="center" wrapText="1"/>
      <protection/>
    </xf>
    <xf numFmtId="0" fontId="26" fillId="24" borderId="10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101" xfId="0" applyFont="1" applyFill="1" applyBorder="1" applyAlignment="1">
      <alignment horizontal="center" vertical="center" wrapText="1"/>
    </xf>
    <xf numFmtId="0" fontId="25" fillId="26" borderId="102" xfId="56" applyFont="1" applyFill="1" applyBorder="1" applyAlignment="1">
      <alignment horizontal="left" vertical="center"/>
      <protection/>
    </xf>
    <xf numFmtId="0" fontId="25" fillId="26" borderId="0" xfId="56" applyFont="1" applyFill="1" applyBorder="1" applyAlignment="1">
      <alignment horizontal="left" vertical="center"/>
      <protection/>
    </xf>
    <xf numFmtId="0" fontId="26" fillId="24" borderId="73" xfId="0" applyFont="1" applyFill="1" applyBorder="1" applyAlignment="1">
      <alignment horizontal="center" vertical="center" wrapText="1"/>
    </xf>
    <xf numFmtId="0" fontId="26" fillId="24" borderId="103" xfId="0" applyFont="1" applyFill="1" applyBorder="1" applyAlignment="1">
      <alignment horizontal="center" vertical="center" wrapText="1"/>
    </xf>
    <xf numFmtId="0" fontId="26" fillId="24" borderId="69" xfId="0" applyFont="1" applyFill="1" applyBorder="1" applyAlignment="1">
      <alignment horizontal="center" vertical="center" wrapText="1"/>
    </xf>
    <xf numFmtId="0" fontId="28" fillId="29" borderId="49" xfId="56" applyFont="1" applyFill="1" applyBorder="1" applyAlignment="1">
      <alignment horizontal="center" textRotation="90"/>
      <protection/>
    </xf>
    <xf numFmtId="10" fontId="28" fillId="0" borderId="21" xfId="56" applyNumberFormat="1" applyFont="1" applyFill="1" applyBorder="1" applyAlignment="1">
      <alignment horizontal="center" vertical="center" wrapText="1"/>
      <protection/>
    </xf>
    <xf numFmtId="10" fontId="28" fillId="0" borderId="104" xfId="56" applyNumberFormat="1" applyFont="1" applyFill="1" applyBorder="1" applyAlignment="1">
      <alignment horizontal="center" vertical="center" wrapText="1"/>
      <protection/>
    </xf>
    <xf numFmtId="0" fontId="29" fillId="0" borderId="105" xfId="56" applyFont="1" applyFill="1" applyBorder="1" applyAlignment="1">
      <alignment horizontal="center" vertical="center" wrapText="1"/>
      <protection/>
    </xf>
    <xf numFmtId="0" fontId="29" fillId="0" borderId="96" xfId="56" applyFont="1" applyFill="1" applyBorder="1" applyAlignment="1">
      <alignment horizontal="center" vertical="center" wrapText="1"/>
      <protection/>
    </xf>
    <xf numFmtId="0" fontId="28" fillId="29" borderId="48" xfId="56" applyFont="1" applyFill="1" applyBorder="1" applyAlignment="1">
      <alignment horizontal="center" vertical="center" textRotation="90" wrapText="1"/>
      <protection/>
    </xf>
    <xf numFmtId="0" fontId="28" fillId="29" borderId="14" xfId="56" applyFont="1" applyFill="1" applyBorder="1" applyAlignment="1">
      <alignment horizontal="center" vertical="center" textRotation="90" wrapText="1"/>
      <protection/>
    </xf>
    <xf numFmtId="0" fontId="32" fillId="0" borderId="20" xfId="0" applyFont="1" applyFill="1" applyBorder="1" applyAlignment="1">
      <alignment horizontal="center" vertical="center" wrapText="1"/>
    </xf>
    <xf numFmtId="0" fontId="11" fillId="0" borderId="106" xfId="56" applyFont="1" applyFill="1" applyBorder="1" applyAlignment="1">
      <alignment horizontal="center" vertical="center"/>
      <protection/>
    </xf>
    <xf numFmtId="0" fontId="32" fillId="0" borderId="27" xfId="0" applyFont="1" applyFill="1" applyBorder="1" applyAlignment="1">
      <alignment horizontal="center" vertical="center" wrapText="1"/>
    </xf>
    <xf numFmtId="0" fontId="11" fillId="0" borderId="107" xfId="56" applyFont="1" applyFill="1" applyBorder="1" applyAlignment="1">
      <alignment horizontal="center" vertical="center" wrapText="1"/>
      <protection/>
    </xf>
    <xf numFmtId="9" fontId="11" fillId="0" borderId="34" xfId="56" applyNumberFormat="1" applyFont="1" applyFill="1" applyBorder="1" applyAlignment="1">
      <alignment horizontal="center" vertical="center" wrapText="1"/>
      <protection/>
    </xf>
    <xf numFmtId="0" fontId="11" fillId="0" borderId="108" xfId="56" applyFont="1" applyFill="1" applyBorder="1" applyAlignment="1">
      <alignment horizontal="center" vertical="center"/>
      <protection/>
    </xf>
    <xf numFmtId="0" fontId="25" fillId="0" borderId="109" xfId="56" applyFont="1" applyBorder="1" applyAlignment="1">
      <alignment horizontal="center"/>
      <protection/>
    </xf>
    <xf numFmtId="0" fontId="25" fillId="0" borderId="96" xfId="56" applyFont="1" applyBorder="1" applyAlignment="1">
      <alignment horizontal="center" vertical="center"/>
      <protection/>
    </xf>
    <xf numFmtId="0" fontId="28" fillId="0" borderId="20" xfId="56" applyFont="1" applyBorder="1" applyAlignment="1">
      <alignment horizontal="center" vertical="center" wrapText="1"/>
      <protection/>
    </xf>
    <xf numFmtId="0" fontId="28" fillId="0" borderId="47" xfId="56" applyFont="1" applyBorder="1" applyAlignment="1">
      <alignment horizontal="center" vertical="center" wrapText="1"/>
      <protection/>
    </xf>
    <xf numFmtId="0" fontId="25" fillId="0" borderId="19" xfId="56" applyFont="1" applyBorder="1" applyAlignment="1">
      <alignment horizontal="center" vertical="center"/>
      <protection/>
    </xf>
    <xf numFmtId="0" fontId="25" fillId="0" borderId="78" xfId="56" applyFont="1" applyBorder="1" applyAlignment="1">
      <alignment horizontal="center" vertical="center"/>
      <protection/>
    </xf>
    <xf numFmtId="0" fontId="25" fillId="0" borderId="20" xfId="56" applyFont="1" applyBorder="1" applyAlignment="1">
      <alignment horizontal="center" vertical="center"/>
      <protection/>
    </xf>
    <xf numFmtId="0" fontId="25" fillId="0" borderId="47" xfId="56" applyFont="1" applyBorder="1" applyAlignment="1">
      <alignment horizontal="center" vertical="center"/>
      <protection/>
    </xf>
    <xf numFmtId="0" fontId="28" fillId="29" borderId="110" xfId="56" applyFont="1" applyFill="1" applyBorder="1" applyAlignment="1">
      <alignment horizontal="center" vertical="center" textRotation="90" wrapText="1"/>
      <protection/>
    </xf>
    <xf numFmtId="0" fontId="32" fillId="0" borderId="45" xfId="0" applyFont="1" applyFill="1" applyBorder="1" applyAlignment="1">
      <alignment horizontal="center" vertical="center" wrapText="1"/>
    </xf>
    <xf numFmtId="0" fontId="11" fillId="0" borderId="107" xfId="56" applyFont="1" applyFill="1" applyBorder="1" applyAlignment="1">
      <alignment horizontal="center" vertical="center"/>
      <protection/>
    </xf>
    <xf numFmtId="9" fontId="31" fillId="0" borderId="27" xfId="56" applyNumberFormat="1" applyFont="1" applyFill="1" applyBorder="1" applyAlignment="1">
      <alignment horizontal="center" vertical="center" wrapText="1"/>
      <protection/>
    </xf>
    <xf numFmtId="9" fontId="31" fillId="0" borderId="45" xfId="56" applyNumberFormat="1" applyFont="1" applyFill="1" applyBorder="1" applyAlignment="1">
      <alignment horizontal="center" vertical="center" wrapText="1"/>
      <protection/>
    </xf>
    <xf numFmtId="0" fontId="11" fillId="0" borderId="111" xfId="56" applyFont="1" applyBorder="1" applyAlignment="1">
      <alignment horizontal="left" vertical="center"/>
      <protection/>
    </xf>
    <xf numFmtId="0" fontId="11" fillId="0" borderId="112" xfId="56" applyFont="1" applyBorder="1" applyAlignment="1">
      <alignment horizontal="left" vertical="center"/>
      <protection/>
    </xf>
    <xf numFmtId="0" fontId="25" fillId="27" borderId="100" xfId="56" applyFont="1" applyFill="1" applyBorder="1" applyAlignment="1">
      <alignment horizontal="left" vertical="center"/>
      <protection/>
    </xf>
    <xf numFmtId="0" fontId="11" fillId="0" borderId="113" xfId="56" applyFont="1" applyBorder="1" applyAlignment="1">
      <alignment horizontal="left" vertical="center"/>
      <protection/>
    </xf>
    <xf numFmtId="0" fontId="28" fillId="0" borderId="45" xfId="56" applyFont="1" applyBorder="1" applyAlignment="1">
      <alignment horizontal="center" vertical="center" wrapText="1"/>
      <protection/>
    </xf>
    <xf numFmtId="10" fontId="28" fillId="0" borderId="28" xfId="56" applyNumberFormat="1" applyFont="1" applyFill="1" applyBorder="1" applyAlignment="1">
      <alignment horizontal="center" vertical="center" wrapText="1"/>
      <protection/>
    </xf>
    <xf numFmtId="0" fontId="11" fillId="0" borderId="114" xfId="56" applyFont="1" applyBorder="1" applyAlignment="1">
      <alignment horizontal="left" vertical="center"/>
      <protection/>
    </xf>
    <xf numFmtId="0" fontId="11" fillId="0" borderId="115" xfId="56" applyFont="1" applyBorder="1" applyAlignment="1">
      <alignment horizontal="left" vertical="center"/>
      <protection/>
    </xf>
    <xf numFmtId="0" fontId="34" fillId="24" borderId="74" xfId="0" applyFont="1" applyFill="1" applyBorder="1" applyAlignment="1">
      <alignment horizontal="left" vertical="center" wrapText="1"/>
    </xf>
    <xf numFmtId="0" fontId="34" fillId="24" borderId="116" xfId="0" applyFont="1" applyFill="1" applyBorder="1" applyAlignment="1">
      <alignment horizontal="left" vertical="center" wrapText="1"/>
    </xf>
    <xf numFmtId="0" fontId="34" fillId="24" borderId="18" xfId="0" applyFont="1" applyFill="1" applyBorder="1" applyAlignment="1">
      <alignment horizontal="left" vertical="center" wrapText="1"/>
    </xf>
    <xf numFmtId="0" fontId="28" fillId="29" borderId="50" xfId="56" applyFont="1" applyFill="1" applyBorder="1" applyAlignment="1">
      <alignment horizontal="center" textRotation="90"/>
      <protection/>
    </xf>
    <xf numFmtId="0" fontId="29" fillId="0" borderId="11" xfId="56" applyFont="1" applyFill="1" applyBorder="1" applyAlignment="1">
      <alignment horizontal="center" vertical="center" wrapText="1"/>
      <protection/>
    </xf>
    <xf numFmtId="0" fontId="29" fillId="0" borderId="117" xfId="56" applyFont="1" applyFill="1" applyBorder="1" applyAlignment="1">
      <alignment horizontal="center" vertical="center" wrapText="1"/>
      <protection/>
    </xf>
    <xf numFmtId="0" fontId="28" fillId="29" borderId="12" xfId="56" applyFont="1" applyFill="1" applyBorder="1" applyAlignment="1">
      <alignment horizontal="center" vertical="center" textRotation="90" wrapText="1"/>
      <protection/>
    </xf>
    <xf numFmtId="0" fontId="28" fillId="29" borderId="118" xfId="56" applyFont="1" applyFill="1" applyBorder="1" applyAlignment="1">
      <alignment horizontal="center" vertical="center" textRotation="90" wrapText="1"/>
      <protection/>
    </xf>
    <xf numFmtId="0" fontId="25" fillId="0" borderId="74" xfId="56" applyFont="1" applyBorder="1" applyAlignment="1">
      <alignment horizontal="center"/>
      <protection/>
    </xf>
    <xf numFmtId="0" fontId="25" fillId="0" borderId="119" xfId="56" applyFont="1" applyBorder="1" applyAlignment="1">
      <alignment horizontal="center"/>
      <protection/>
    </xf>
    <xf numFmtId="0" fontId="25" fillId="0" borderId="120" xfId="56" applyFont="1" applyBorder="1" applyAlignment="1">
      <alignment horizontal="center" vertical="center"/>
      <protection/>
    </xf>
    <xf numFmtId="0" fontId="25" fillId="0" borderId="121" xfId="56" applyFont="1" applyBorder="1" applyAlignment="1">
      <alignment horizontal="center" vertical="center"/>
      <protection/>
    </xf>
    <xf numFmtId="0" fontId="25" fillId="0" borderId="49" xfId="56" applyFont="1" applyBorder="1" applyAlignment="1">
      <alignment horizontal="center" vertical="center"/>
      <protection/>
    </xf>
    <xf numFmtId="0" fontId="25" fillId="0" borderId="44" xfId="56" applyFont="1" applyBorder="1" applyAlignment="1">
      <alignment horizontal="center" vertical="center"/>
      <protection/>
    </xf>
    <xf numFmtId="0" fontId="25" fillId="0" borderId="45" xfId="56" applyFont="1" applyBorder="1" applyAlignment="1">
      <alignment horizontal="center" vertical="center"/>
      <protection/>
    </xf>
    <xf numFmtId="0" fontId="11" fillId="24" borderId="113" xfId="56" applyFont="1" applyFill="1" applyBorder="1" applyAlignment="1">
      <alignment horizontal="left" vertical="center"/>
      <protection/>
    </xf>
    <xf numFmtId="0" fontId="11" fillId="24" borderId="87" xfId="56" applyFont="1" applyFill="1" applyBorder="1" applyAlignment="1">
      <alignment horizontal="left" vertical="center"/>
      <protection/>
    </xf>
    <xf numFmtId="0" fontId="25" fillId="30" borderId="100" xfId="56" applyFont="1" applyFill="1" applyBorder="1" applyAlignment="1">
      <alignment horizontal="left" vertical="center"/>
      <protection/>
    </xf>
    <xf numFmtId="0" fontId="11" fillId="24" borderId="111" xfId="56" applyFont="1" applyFill="1" applyBorder="1" applyAlignment="1">
      <alignment horizontal="left" vertical="center"/>
      <protection/>
    </xf>
    <xf numFmtId="0" fontId="11" fillId="24" borderId="112" xfId="56" applyFont="1" applyFill="1" applyBorder="1" applyAlignment="1">
      <alignment horizontal="left" vertical="center"/>
      <protection/>
    </xf>
    <xf numFmtId="0" fontId="11" fillId="24" borderId="114" xfId="56" applyFont="1" applyFill="1" applyBorder="1" applyAlignment="1">
      <alignment horizontal="left" vertical="center"/>
      <protection/>
    </xf>
    <xf numFmtId="0" fontId="11" fillId="24" borderId="115" xfId="56" applyFont="1" applyFill="1" applyBorder="1" applyAlignment="1">
      <alignment horizontal="left" vertical="center"/>
      <protection/>
    </xf>
    <xf numFmtId="0" fontId="11" fillId="4" borderId="113" xfId="56" applyFont="1" applyFill="1" applyBorder="1" applyAlignment="1">
      <alignment horizontal="left" vertical="center"/>
      <protection/>
    </xf>
    <xf numFmtId="0" fontId="11" fillId="4" borderId="87" xfId="56" applyFont="1" applyFill="1" applyBorder="1" applyAlignment="1">
      <alignment horizontal="left" vertical="center"/>
      <protection/>
    </xf>
    <xf numFmtId="0" fontId="25" fillId="31" borderId="102" xfId="56" applyFont="1" applyFill="1" applyBorder="1" applyAlignment="1">
      <alignment horizontal="left" vertical="center"/>
      <protection/>
    </xf>
    <xf numFmtId="0" fontId="25" fillId="31" borderId="0" xfId="56" applyFont="1" applyFill="1" applyBorder="1" applyAlignment="1">
      <alignment horizontal="left" vertical="center"/>
      <protection/>
    </xf>
    <xf numFmtId="0" fontId="11" fillId="4" borderId="114" xfId="56" applyFont="1" applyFill="1" applyBorder="1" applyAlignment="1">
      <alignment horizontal="left" vertical="center"/>
      <protection/>
    </xf>
    <xf numFmtId="0" fontId="11" fillId="4" borderId="115" xfId="56" applyFont="1" applyFill="1" applyBorder="1" applyAlignment="1">
      <alignment horizontal="left" vertical="center"/>
      <protection/>
    </xf>
    <xf numFmtId="0" fontId="34" fillId="4" borderId="74" xfId="0" applyFont="1" applyFill="1" applyBorder="1" applyAlignment="1">
      <alignment horizontal="left" vertical="center" wrapText="1"/>
    </xf>
    <xf numFmtId="0" fontId="34" fillId="4" borderId="116" xfId="0" applyFont="1" applyFill="1" applyBorder="1" applyAlignment="1">
      <alignment horizontal="left" vertical="center" wrapText="1"/>
    </xf>
    <xf numFmtId="0" fontId="34" fillId="4" borderId="18" xfId="0" applyFont="1" applyFill="1" applyBorder="1" applyAlignment="1">
      <alignment horizontal="left" vertical="center" wrapText="1"/>
    </xf>
    <xf numFmtId="0" fontId="11" fillId="0" borderId="108" xfId="56" applyFont="1" applyFill="1" applyBorder="1" applyAlignment="1">
      <alignment horizontal="center" vertical="center" wrapText="1"/>
      <protection/>
    </xf>
    <xf numFmtId="0" fontId="11" fillId="0" borderId="106" xfId="56" applyFont="1" applyFill="1" applyBorder="1" applyAlignment="1">
      <alignment horizontal="center" vertical="center" wrapText="1"/>
      <protection/>
    </xf>
    <xf numFmtId="0" fontId="28" fillId="0" borderId="34" xfId="56" applyFont="1" applyBorder="1" applyAlignment="1">
      <alignment horizontal="center" vertical="center" wrapText="1"/>
      <protection/>
    </xf>
    <xf numFmtId="10" fontId="28" fillId="0" borderId="35" xfId="56" applyNumberFormat="1" applyFont="1" applyFill="1" applyBorder="1" applyAlignment="1">
      <alignment horizontal="center" vertical="center" wrapText="1"/>
      <protection/>
    </xf>
    <xf numFmtId="0" fontId="25" fillId="0" borderId="33" xfId="56" applyFont="1" applyBorder="1" applyAlignment="1">
      <alignment horizontal="center" vertical="center"/>
      <protection/>
    </xf>
    <xf numFmtId="0" fontId="25" fillId="0" borderId="34" xfId="56" applyFont="1" applyBorder="1" applyAlignment="1">
      <alignment horizontal="center" vertical="center"/>
      <protection/>
    </xf>
    <xf numFmtId="0" fontId="32" fillId="0" borderId="12" xfId="0" applyFont="1" applyFill="1" applyBorder="1" applyAlignment="1">
      <alignment horizontal="center"/>
    </xf>
    <xf numFmtId="0" fontId="32" fillId="0" borderId="13" xfId="0" applyFont="1" applyFill="1" applyBorder="1" applyAlignment="1">
      <alignment horizontal="right"/>
    </xf>
    <xf numFmtId="0" fontId="35" fillId="0" borderId="50" xfId="0" applyFont="1" applyFill="1" applyBorder="1" applyAlignment="1">
      <alignment horizontal="right"/>
    </xf>
    <xf numFmtId="180" fontId="35" fillId="0" borderId="98" xfId="0" applyNumberFormat="1" applyFont="1" applyFill="1" applyBorder="1" applyAlignment="1">
      <alignment horizontal="center" vertical="center"/>
    </xf>
    <xf numFmtId="0" fontId="32" fillId="0" borderId="0" xfId="0" applyFont="1" applyFill="1" applyBorder="1" applyAlignment="1">
      <alignment horizontal="right"/>
    </xf>
    <xf numFmtId="0" fontId="35" fillId="0" borderId="11" xfId="0" applyFont="1" applyFill="1" applyBorder="1" applyAlignment="1">
      <alignment horizontal="right"/>
    </xf>
    <xf numFmtId="180" fontId="35" fillId="0" borderId="98" xfId="0" applyNumberFormat="1" applyFont="1" applyFill="1" applyBorder="1" applyAlignment="1">
      <alignment horizontal="right" vertical="center"/>
    </xf>
    <xf numFmtId="0" fontId="32" fillId="0" borderId="109" xfId="0" applyFont="1" applyFill="1" applyBorder="1" applyAlignment="1">
      <alignment horizontal="center"/>
    </xf>
    <xf numFmtId="0" fontId="32" fillId="0" borderId="122" xfId="0" applyNumberFormat="1" applyFont="1" applyFill="1" applyBorder="1" applyAlignment="1">
      <alignment horizontal="right"/>
    </xf>
    <xf numFmtId="0" fontId="35" fillId="0" borderId="105" xfId="0" applyFont="1" applyFill="1" applyBorder="1" applyAlignment="1">
      <alignment horizontal="right"/>
    </xf>
    <xf numFmtId="0" fontId="32" fillId="0" borderId="10" xfId="0" applyFont="1" applyFill="1" applyBorder="1" applyAlignment="1">
      <alignment horizontal="center"/>
    </xf>
    <xf numFmtId="0" fontId="11" fillId="0" borderId="30" xfId="56" applyFont="1" applyFill="1" applyBorder="1" applyAlignment="1">
      <alignment horizontal="center" vertical="center" wrapText="1"/>
      <protection/>
    </xf>
    <xf numFmtId="0" fontId="11" fillId="0" borderId="123" xfId="56" applyFont="1" applyFill="1" applyBorder="1" applyAlignment="1">
      <alignment horizontal="center" vertical="center" wrapText="1"/>
      <protection/>
    </xf>
    <xf numFmtId="0" fontId="11" fillId="0" borderId="124" xfId="56" applyFont="1" applyFill="1" applyBorder="1" applyAlignment="1">
      <alignment horizontal="center" vertical="center" wrapText="1"/>
      <protection/>
    </xf>
    <xf numFmtId="0" fontId="27" fillId="24" borderId="73" xfId="0" applyFont="1" applyFill="1" applyBorder="1" applyAlignment="1">
      <alignment horizontal="center" vertical="center" wrapText="1"/>
    </xf>
    <xf numFmtId="0" fontId="27" fillId="24" borderId="103" xfId="0" applyFont="1" applyFill="1" applyBorder="1" applyAlignment="1">
      <alignment horizontal="center" vertical="center" wrapText="1"/>
    </xf>
    <xf numFmtId="0" fontId="27" fillId="24" borderId="69" xfId="0" applyFont="1" applyFill="1" applyBorder="1" applyAlignment="1">
      <alignment horizontal="center" vertical="center" wrapText="1"/>
    </xf>
    <xf numFmtId="0" fontId="11" fillId="0" borderId="45" xfId="54" applyFont="1" applyFill="1" applyBorder="1" applyAlignment="1">
      <alignment horizontal="center" vertical="center" wrapText="1"/>
      <protection/>
    </xf>
    <xf numFmtId="0" fontId="11" fillId="0" borderId="27" xfId="54" applyFont="1" applyFill="1" applyBorder="1" applyAlignment="1">
      <alignment horizontal="center" vertical="center" wrapText="1"/>
      <protection/>
    </xf>
    <xf numFmtId="0" fontId="52" fillId="0" borderId="125" xfId="0" applyFont="1" applyFill="1" applyBorder="1" applyAlignment="1">
      <alignment horizontal="center" vertical="center" wrapText="1"/>
    </xf>
    <xf numFmtId="0" fontId="52" fillId="0" borderId="103" xfId="0" applyFont="1" applyFill="1" applyBorder="1" applyAlignment="1">
      <alignment horizontal="center" vertical="center" wrapText="1"/>
    </xf>
    <xf numFmtId="0" fontId="52" fillId="0" borderId="69" xfId="0" applyFont="1" applyFill="1" applyBorder="1" applyAlignment="1">
      <alignment horizontal="center" vertical="center" wrapText="1"/>
    </xf>
    <xf numFmtId="10" fontId="50" fillId="0" borderId="125" xfId="48" applyNumberFormat="1" applyFont="1" applyFill="1" applyBorder="1" applyAlignment="1">
      <alignment horizontal="center" vertical="center" wrapText="1"/>
    </xf>
    <xf numFmtId="10" fontId="50" fillId="0" borderId="103" xfId="48" applyNumberFormat="1" applyFont="1" applyFill="1" applyBorder="1" applyAlignment="1">
      <alignment horizontal="center" vertical="center" wrapText="1"/>
    </xf>
    <xf numFmtId="10" fontId="50" fillId="0" borderId="69" xfId="48" applyNumberFormat="1" applyFont="1" applyFill="1" applyBorder="1" applyAlignment="1">
      <alignment horizontal="center" vertical="center" wrapText="1"/>
    </xf>
    <xf numFmtId="0" fontId="39" fillId="0" borderId="74" xfId="0" applyFont="1" applyFill="1" applyBorder="1" applyAlignment="1">
      <alignment horizontal="center" vertical="center"/>
    </xf>
    <xf numFmtId="0" fontId="39" fillId="0" borderId="116" xfId="0" applyFont="1" applyFill="1" applyBorder="1" applyAlignment="1">
      <alignment horizontal="center" vertical="center"/>
    </xf>
    <xf numFmtId="0" fontId="39" fillId="0" borderId="18" xfId="0" applyFont="1" applyFill="1" applyBorder="1" applyAlignment="1">
      <alignment horizontal="center" vertical="center"/>
    </xf>
    <xf numFmtId="4" fontId="42" fillId="0" borderId="74" xfId="54" applyNumberFormat="1" applyFont="1" applyFill="1" applyBorder="1" applyAlignment="1">
      <alignment horizontal="center" vertical="center" wrapText="1"/>
      <protection/>
    </xf>
    <xf numFmtId="4" fontId="42" fillId="0" borderId="116" xfId="54" applyNumberFormat="1" applyFont="1" applyFill="1" applyBorder="1" applyAlignment="1">
      <alignment horizontal="center" vertical="center" wrapText="1"/>
      <protection/>
    </xf>
    <xf numFmtId="4" fontId="42" fillId="0" borderId="93" xfId="54" applyNumberFormat="1" applyFont="1" applyFill="1" applyBorder="1" applyAlignment="1">
      <alignment horizontal="center" vertical="center" wrapText="1"/>
      <protection/>
    </xf>
    <xf numFmtId="4" fontId="38" fillId="0" borderId="74" xfId="54" applyNumberFormat="1" applyFont="1" applyFill="1" applyBorder="1" applyAlignment="1">
      <alignment horizontal="center" vertical="center" wrapText="1"/>
      <protection/>
    </xf>
    <xf numFmtId="4" fontId="38" fillId="0" borderId="116" xfId="54" applyNumberFormat="1" applyFont="1" applyFill="1" applyBorder="1" applyAlignment="1">
      <alignment horizontal="center" vertical="center" wrapText="1"/>
      <protection/>
    </xf>
    <xf numFmtId="4" fontId="38" fillId="0" borderId="18" xfId="54" applyNumberFormat="1" applyFont="1" applyFill="1" applyBorder="1" applyAlignment="1">
      <alignment horizontal="center" vertical="center" wrapText="1"/>
      <protection/>
    </xf>
    <xf numFmtId="49" fontId="50" fillId="0" borderId="125" xfId="0" applyNumberFormat="1" applyFont="1" applyFill="1" applyBorder="1" applyAlignment="1" applyProtection="1">
      <alignment horizontal="center" vertical="center" wrapText="1"/>
      <protection/>
    </xf>
    <xf numFmtId="49" fontId="50" fillId="0" borderId="103" xfId="0" applyNumberFormat="1" applyFont="1" applyFill="1" applyBorder="1" applyAlignment="1" applyProtection="1">
      <alignment horizontal="center" vertical="center" wrapText="1"/>
      <protection/>
    </xf>
    <xf numFmtId="49" fontId="50" fillId="0" borderId="69" xfId="0" applyNumberFormat="1" applyFont="1" applyFill="1" applyBorder="1" applyAlignment="1" applyProtection="1">
      <alignment horizontal="center" vertical="center" wrapText="1"/>
      <protection/>
    </xf>
    <xf numFmtId="0" fontId="41" fillId="0" borderId="126" xfId="54" applyFont="1" applyFill="1" applyBorder="1" applyAlignment="1">
      <alignment horizontal="center" vertical="center" wrapText="1"/>
      <protection/>
    </xf>
    <xf numFmtId="0" fontId="41" fillId="0" borderId="51" xfId="54" applyFont="1" applyFill="1" applyBorder="1" applyAlignment="1">
      <alignment horizontal="center" vertical="center" wrapText="1"/>
      <protection/>
    </xf>
    <xf numFmtId="0" fontId="43" fillId="0" borderId="127" xfId="54" applyFont="1" applyFill="1" applyBorder="1" applyAlignment="1">
      <alignment horizontal="center" vertical="center" wrapText="1"/>
      <protection/>
    </xf>
    <xf numFmtId="0" fontId="43" fillId="0" borderId="52" xfId="54" applyFont="1" applyFill="1" applyBorder="1" applyAlignment="1">
      <alignment horizontal="center" vertical="center" wrapText="1"/>
      <protection/>
    </xf>
    <xf numFmtId="0" fontId="50" fillId="0" borderId="125" xfId="54" applyFont="1" applyFill="1" applyBorder="1" applyAlignment="1">
      <alignment horizontal="center" vertical="center" textRotation="90" wrapText="1"/>
      <protection/>
    </xf>
    <xf numFmtId="0" fontId="50" fillId="0" borderId="103" xfId="54" applyFont="1" applyFill="1" applyBorder="1" applyAlignment="1">
      <alignment horizontal="center" vertical="center" textRotation="90" wrapText="1"/>
      <protection/>
    </xf>
    <xf numFmtId="0" fontId="50" fillId="0" borderId="69" xfId="54" applyFont="1" applyFill="1" applyBorder="1" applyAlignment="1">
      <alignment horizontal="center" vertical="center" textRotation="90" wrapText="1"/>
      <protection/>
    </xf>
    <xf numFmtId="0" fontId="43" fillId="0" borderId="128" xfId="54" applyFont="1" applyFill="1" applyBorder="1" applyAlignment="1">
      <alignment horizontal="center" vertical="center" wrapText="1"/>
      <protection/>
    </xf>
    <xf numFmtId="0" fontId="43" fillId="0" borderId="129" xfId="54" applyFont="1" applyFill="1" applyBorder="1" applyAlignment="1">
      <alignment horizontal="center" vertical="center" wrapText="1"/>
      <protection/>
    </xf>
    <xf numFmtId="0" fontId="50" fillId="0" borderId="73" xfId="54" applyFont="1" applyFill="1" applyBorder="1" applyAlignment="1">
      <alignment horizontal="center" vertical="center" textRotation="90" wrapText="1"/>
      <protection/>
    </xf>
    <xf numFmtId="49" fontId="50" fillId="0" borderId="73" xfId="0" applyNumberFormat="1" applyFont="1" applyFill="1" applyBorder="1" applyAlignment="1" applyProtection="1">
      <alignment horizontal="center" vertical="center" wrapText="1"/>
      <protection/>
    </xf>
    <xf numFmtId="0" fontId="52" fillId="0" borderId="73" xfId="0" applyFont="1" applyFill="1" applyBorder="1" applyAlignment="1">
      <alignment horizontal="center" vertical="center" wrapText="1"/>
    </xf>
    <xf numFmtId="10" fontId="50" fillId="0" borderId="73" xfId="48" applyNumberFormat="1" applyFont="1" applyFill="1" applyBorder="1" applyAlignment="1">
      <alignment horizontal="center" vertical="center" wrapText="1"/>
    </xf>
    <xf numFmtId="10" fontId="50" fillId="0" borderId="47" xfId="48" applyNumberFormat="1" applyFont="1" applyFill="1" applyBorder="1" applyAlignment="1">
      <alignment horizontal="center" vertical="center" wrapText="1"/>
    </xf>
    <xf numFmtId="10" fontId="50" fillId="0" borderId="130" xfId="48" applyNumberFormat="1" applyFont="1" applyFill="1" applyBorder="1" applyAlignment="1">
      <alignment horizontal="center" vertical="center" wrapText="1"/>
    </xf>
    <xf numFmtId="10" fontId="50" fillId="0" borderId="45" xfId="48" applyNumberFormat="1" applyFont="1" applyFill="1" applyBorder="1" applyAlignment="1">
      <alignment horizontal="center" vertical="center" wrapText="1"/>
    </xf>
    <xf numFmtId="10" fontId="50" fillId="0" borderId="131" xfId="48" applyNumberFormat="1" applyFont="1" applyFill="1" applyBorder="1" applyAlignment="1">
      <alignment horizontal="center" vertical="center" wrapText="1"/>
    </xf>
    <xf numFmtId="10" fontId="50" fillId="0" borderId="132" xfId="48" applyNumberFormat="1" applyFont="1" applyFill="1" applyBorder="1" applyAlignment="1">
      <alignment horizontal="center" vertical="center" wrapText="1"/>
    </xf>
    <xf numFmtId="10" fontId="50" fillId="0" borderId="67" xfId="48" applyNumberFormat="1" applyFont="1" applyFill="1" applyBorder="1" applyAlignment="1">
      <alignment horizontal="center" vertical="center" wrapText="1"/>
    </xf>
    <xf numFmtId="0" fontId="40" fillId="0" borderId="73" xfId="0" applyFont="1" applyFill="1" applyBorder="1" applyAlignment="1">
      <alignment horizontal="center" vertical="center"/>
    </xf>
    <xf numFmtId="0" fontId="40" fillId="0" borderId="69" xfId="0" applyFont="1" applyFill="1" applyBorder="1" applyAlignment="1">
      <alignment horizontal="center" vertical="center"/>
    </xf>
    <xf numFmtId="10" fontId="50" fillId="0" borderId="133" xfId="48" applyNumberFormat="1" applyFont="1" applyFill="1" applyBorder="1" applyAlignment="1">
      <alignment horizontal="center" vertical="center" wrapText="1"/>
    </xf>
    <xf numFmtId="10" fontId="50" fillId="0" borderId="134" xfId="48" applyNumberFormat="1" applyFont="1" applyFill="1" applyBorder="1" applyAlignment="1">
      <alignment horizontal="center" vertical="center" wrapText="1"/>
    </xf>
    <xf numFmtId="4" fontId="42" fillId="0" borderId="100" xfId="54" applyNumberFormat="1" applyFont="1" applyFill="1" applyBorder="1" applyAlignment="1">
      <alignment horizontal="center" vertical="center" wrapText="1"/>
      <protection/>
    </xf>
    <xf numFmtId="4" fontId="42" fillId="0" borderId="18" xfId="54" applyNumberFormat="1" applyFont="1" applyFill="1" applyBorder="1" applyAlignment="1">
      <alignment horizontal="center" vertical="center" wrapText="1"/>
      <protection/>
    </xf>
    <xf numFmtId="0" fontId="50" fillId="0" borderId="73" xfId="54" applyFont="1" applyFill="1" applyBorder="1" applyAlignment="1">
      <alignment horizontal="center" vertical="center" wrapText="1"/>
      <protection/>
    </xf>
    <xf numFmtId="0" fontId="50" fillId="0" borderId="103" xfId="54" applyFont="1" applyFill="1" applyBorder="1" applyAlignment="1">
      <alignment horizontal="center" vertical="center" wrapText="1"/>
      <protection/>
    </xf>
    <xf numFmtId="0" fontId="50" fillId="0" borderId="69" xfId="54" applyFont="1" applyFill="1" applyBorder="1" applyAlignment="1">
      <alignment horizontal="center" vertical="center" wrapText="1"/>
      <protection/>
    </xf>
    <xf numFmtId="10" fontId="50" fillId="0" borderId="135" xfId="48" applyNumberFormat="1" applyFont="1" applyFill="1" applyBorder="1" applyAlignment="1">
      <alignment horizontal="center" vertical="center" wrapText="1"/>
    </xf>
    <xf numFmtId="10" fontId="50" fillId="0" borderId="136" xfId="48" applyNumberFormat="1" applyFont="1" applyFill="1" applyBorder="1" applyAlignment="1">
      <alignment horizontal="center" vertical="center" wrapText="1"/>
    </xf>
    <xf numFmtId="10" fontId="50" fillId="0" borderId="137" xfId="48" applyNumberFormat="1" applyFont="1" applyFill="1" applyBorder="1" applyAlignment="1">
      <alignment horizontal="center" vertical="center" wrapText="1"/>
    </xf>
    <xf numFmtId="10" fontId="50" fillId="0" borderId="138" xfId="48"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AUTOEVALUACION PDM-2006 (SEC PLANEACION)" xfId="55"/>
    <cellStyle name="Normal_PLAN ACCION 2007 MODELO"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1714500</xdr:colOff>
      <xdr:row>0</xdr:row>
      <xdr:rowOff>0</xdr:rowOff>
    </xdr:from>
    <xdr:to>
      <xdr:col>33</xdr:col>
      <xdr:colOff>228600</xdr:colOff>
      <xdr:row>0</xdr:row>
      <xdr:rowOff>0</xdr:rowOff>
    </xdr:to>
    <xdr:sp>
      <xdr:nvSpPr>
        <xdr:cNvPr id="1" name="WordArt 1" descr="Mármol verde"/>
        <xdr:cNvSpPr>
          <a:spLocks/>
        </xdr:cNvSpPr>
      </xdr:nvSpPr>
      <xdr:spPr>
        <a:xfrm>
          <a:off x="4895850" y="0"/>
          <a:ext cx="76581000" cy="0"/>
        </a:xfrm>
        <a:prstGeom prst="rect">
          <a:avLst/>
        </a:prstGeom>
        <a:noFill/>
        <a:ln w="9525" cmpd="sng">
          <a:noFill/>
        </a:ln>
      </xdr:spPr>
      <xdr:txBody>
        <a:bodyPr vertOverflow="clip" wrap="square" lIns="91440" tIns="45720" rIns="91440" bIns="45720"/>
        <a:p>
          <a:pPr algn="ctr">
            <a:defRPr/>
          </a:pPr>
          <a:r>
            <a:rPr lang="en-US" cap="none" sz="7200" b="0" i="0" u="sng" baseline="0">
              <a:solidFill>
                <a:srgbClr val="000000"/>
              </a:solidFill>
            </a:rPr>
            <a:t>PLAN DE DESARROLLO MUNICIPAL 2008- 2011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ISARI@%20DE%20FAMILIA"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X747"/>
  <sheetViews>
    <sheetView tabSelected="1" view="pageBreakPreview" zoomScale="75" zoomScaleSheetLayoutView="75" zoomScalePageLayoutView="0" workbookViewId="0" topLeftCell="B433">
      <selection activeCell="I453" sqref="I453:S453"/>
    </sheetView>
  </sheetViews>
  <sheetFormatPr defaultColWidth="5.7109375" defaultRowHeight="15"/>
  <cols>
    <col min="1" max="1" width="3.140625" style="4" customWidth="1"/>
    <col min="2" max="2" width="7.8515625" style="71" customWidth="1"/>
    <col min="3" max="3" width="17.28125" style="92" customWidth="1"/>
    <col min="4" max="4" width="26.140625" style="92" customWidth="1"/>
    <col min="5" max="5" width="7.7109375" style="71" customWidth="1"/>
    <col min="6" max="6" width="9.57421875" style="71" customWidth="1"/>
    <col min="7" max="7" width="9.7109375" style="71" customWidth="1"/>
    <col min="8" max="8" width="10.7109375" style="71" customWidth="1"/>
    <col min="9" max="9" width="14.7109375" style="71" customWidth="1"/>
    <col min="10" max="10" width="13.140625" style="71" customWidth="1"/>
    <col min="11" max="11" width="15.28125" style="71" customWidth="1"/>
    <col min="12" max="12" width="12.57421875" style="71" customWidth="1"/>
    <col min="13" max="13" width="7.7109375" style="71" customWidth="1"/>
    <col min="14" max="14" width="11.7109375" style="71" customWidth="1"/>
    <col min="15" max="15" width="12.421875" style="71" customWidth="1"/>
    <col min="16" max="16" width="13.00390625" style="71" customWidth="1"/>
    <col min="17" max="17" width="16.57421875" style="71" customWidth="1"/>
    <col min="18" max="18" width="13.140625" style="71" customWidth="1"/>
    <col min="19" max="19" width="11.00390625" style="71" customWidth="1"/>
    <col min="20" max="20" width="22.8515625" style="71" customWidth="1"/>
    <col min="21" max="21" width="18.421875" style="71" customWidth="1"/>
    <col min="22" max="22" width="14.28125" style="71" customWidth="1"/>
    <col min="23" max="23" width="17.00390625" style="71" customWidth="1"/>
    <col min="24" max="24" width="11.421875" style="0" customWidth="1"/>
    <col min="25" max="16384" width="5.7109375" style="71" customWidth="1"/>
  </cols>
  <sheetData>
    <row r="1" spans="1:23" s="4" customFormat="1" ht="14.25" customHeight="1" thickBot="1">
      <c r="A1" s="1"/>
      <c r="B1" s="2"/>
      <c r="C1" s="3"/>
      <c r="D1" s="3"/>
      <c r="E1" s="2"/>
      <c r="F1" s="2"/>
      <c r="G1" s="2"/>
      <c r="H1" s="2"/>
      <c r="I1" s="2"/>
      <c r="J1" s="2"/>
      <c r="K1" s="2"/>
      <c r="L1" s="2"/>
      <c r="M1" s="2"/>
      <c r="N1" s="2"/>
      <c r="O1" s="2"/>
      <c r="P1" s="2"/>
      <c r="Q1" s="2"/>
      <c r="R1" s="2"/>
      <c r="S1" s="2"/>
      <c r="T1" s="2"/>
      <c r="U1" s="2"/>
      <c r="V1" s="2"/>
      <c r="W1" s="2"/>
    </row>
    <row r="2" spans="2:23" s="4" customFormat="1" ht="14.25" customHeight="1">
      <c r="B2" s="267" t="s">
        <v>479</v>
      </c>
      <c r="C2" s="267"/>
      <c r="D2" s="267"/>
      <c r="E2" s="267"/>
      <c r="F2" s="267"/>
      <c r="G2" s="267"/>
      <c r="H2" s="267"/>
      <c r="I2" s="267"/>
      <c r="J2" s="267"/>
      <c r="K2" s="267"/>
      <c r="L2" s="267"/>
      <c r="M2" s="267"/>
      <c r="N2" s="267"/>
      <c r="O2" s="267"/>
      <c r="P2" s="267"/>
      <c r="Q2" s="267"/>
      <c r="R2" s="267"/>
      <c r="S2" s="267"/>
      <c r="T2" s="267"/>
      <c r="U2" s="267"/>
      <c r="V2" s="267"/>
      <c r="W2" s="267"/>
    </row>
    <row r="3" spans="1:23" s="4" customFormat="1" ht="14.25" customHeight="1">
      <c r="A3" s="1"/>
      <c r="B3" s="5"/>
      <c r="C3" s="6"/>
      <c r="D3" s="6"/>
      <c r="E3" s="6"/>
      <c r="F3" s="6"/>
      <c r="G3" s="6"/>
      <c r="H3" s="6"/>
      <c r="I3" s="6"/>
      <c r="J3" s="6"/>
      <c r="K3" s="6"/>
      <c r="L3" s="6"/>
      <c r="M3" s="6"/>
      <c r="N3" s="6"/>
      <c r="O3" s="6"/>
      <c r="P3" s="6"/>
      <c r="Q3" s="6"/>
      <c r="R3" s="6"/>
      <c r="S3" s="6"/>
      <c r="T3" s="6"/>
      <c r="U3" s="6"/>
      <c r="V3" s="6"/>
      <c r="W3" s="7"/>
    </row>
    <row r="4" spans="1:23" s="4" customFormat="1" ht="21" customHeight="1">
      <c r="A4" s="1"/>
      <c r="B4" s="268" t="s">
        <v>480</v>
      </c>
      <c r="C4" s="269"/>
      <c r="D4" s="269"/>
      <c r="E4" s="269"/>
      <c r="F4" s="269"/>
      <c r="G4" s="269"/>
      <c r="H4" s="269"/>
      <c r="I4" s="269"/>
      <c r="J4" s="269"/>
      <c r="K4" s="269"/>
      <c r="L4" s="269"/>
      <c r="M4" s="269"/>
      <c r="N4" s="269"/>
      <c r="O4" s="269"/>
      <c r="P4" s="269"/>
      <c r="Q4" s="269"/>
      <c r="R4" s="269"/>
      <c r="S4" s="269"/>
      <c r="T4" s="269"/>
      <c r="U4" s="269"/>
      <c r="V4" s="269"/>
      <c r="W4" s="270"/>
    </row>
    <row r="5" spans="1:23" s="4" customFormat="1" ht="24.75" customHeight="1">
      <c r="A5" s="1"/>
      <c r="B5" s="271" t="s">
        <v>481</v>
      </c>
      <c r="C5" s="272"/>
      <c r="D5" s="272"/>
      <c r="E5" s="272"/>
      <c r="F5" s="272"/>
      <c r="G5" s="272"/>
      <c r="H5" s="272"/>
      <c r="I5" s="272"/>
      <c r="J5" s="272"/>
      <c r="K5" s="272"/>
      <c r="L5" s="272"/>
      <c r="M5" s="272"/>
      <c r="N5" s="272"/>
      <c r="O5" s="272"/>
      <c r="P5" s="272"/>
      <c r="Q5" s="272"/>
      <c r="R5" s="272"/>
      <c r="S5" s="272"/>
      <c r="T5" s="272"/>
      <c r="U5" s="272"/>
      <c r="V5" s="272"/>
      <c r="W5" s="273"/>
    </row>
    <row r="6" spans="1:23" s="4" customFormat="1" ht="18.75" customHeight="1">
      <c r="A6" s="1"/>
      <c r="B6" s="274" t="s">
        <v>482</v>
      </c>
      <c r="C6" s="275"/>
      <c r="D6" s="275"/>
      <c r="E6" s="275"/>
      <c r="F6" s="275"/>
      <c r="G6" s="275"/>
      <c r="H6" s="275"/>
      <c r="I6" s="275"/>
      <c r="J6" s="275"/>
      <c r="K6" s="275"/>
      <c r="L6" s="275"/>
      <c r="M6" s="275"/>
      <c r="N6" s="275"/>
      <c r="O6" s="275"/>
      <c r="P6" s="275"/>
      <c r="Q6" s="275"/>
      <c r="R6" s="275"/>
      <c r="S6" s="275"/>
      <c r="T6" s="275"/>
      <c r="U6" s="275"/>
      <c r="V6" s="275"/>
      <c r="W6" s="276"/>
    </row>
    <row r="7" spans="1:23" s="4" customFormat="1" ht="14.25" customHeight="1">
      <c r="A7" s="1"/>
      <c r="B7" s="5"/>
      <c r="C7" s="6"/>
      <c r="D7" s="8"/>
      <c r="E7" s="8"/>
      <c r="F7" s="8"/>
      <c r="G7" s="8"/>
      <c r="H7" s="8"/>
      <c r="I7" s="6"/>
      <c r="J7" s="6"/>
      <c r="K7" s="6"/>
      <c r="L7" s="6"/>
      <c r="M7" s="6"/>
      <c r="N7" s="6"/>
      <c r="O7" s="6"/>
      <c r="P7" s="6"/>
      <c r="Q7" s="6"/>
      <c r="R7" s="6"/>
      <c r="S7" s="6"/>
      <c r="T7" s="6"/>
      <c r="U7" s="6"/>
      <c r="V7" s="6"/>
      <c r="W7" s="7"/>
    </row>
    <row r="8" spans="1:23" s="4" customFormat="1" ht="14.25" customHeight="1">
      <c r="A8" s="1"/>
      <c r="B8" s="279" t="s">
        <v>483</v>
      </c>
      <c r="C8" s="280"/>
      <c r="D8" s="10" t="s">
        <v>484</v>
      </c>
      <c r="E8" s="10"/>
      <c r="F8" s="10"/>
      <c r="G8" s="11"/>
      <c r="H8" s="11"/>
      <c r="I8" s="11"/>
      <c r="J8" s="11"/>
      <c r="K8" s="11"/>
      <c r="L8" s="10" t="s">
        <v>485</v>
      </c>
      <c r="M8" s="10"/>
      <c r="N8" s="10"/>
      <c r="O8" s="281" t="s">
        <v>486</v>
      </c>
      <c r="P8" s="282"/>
      <c r="Q8" s="282"/>
      <c r="R8" s="282"/>
      <c r="S8" s="282"/>
      <c r="T8" s="282" t="s">
        <v>487</v>
      </c>
      <c r="U8" s="280"/>
      <c r="V8" s="280"/>
      <c r="W8" s="285"/>
    </row>
    <row r="9" spans="1:23" s="4" customFormat="1" ht="14.25" customHeight="1">
      <c r="A9" s="1"/>
      <c r="B9" s="279" t="s">
        <v>488</v>
      </c>
      <c r="C9" s="280"/>
      <c r="D9" s="10" t="s">
        <v>489</v>
      </c>
      <c r="E9" s="10"/>
      <c r="F9" s="10"/>
      <c r="G9" s="11"/>
      <c r="H9" s="11"/>
      <c r="I9" s="11"/>
      <c r="J9" s="11"/>
      <c r="K9" s="11"/>
      <c r="L9" s="282" t="s">
        <v>490</v>
      </c>
      <c r="M9" s="280"/>
      <c r="N9" s="280"/>
      <c r="O9" s="282" t="s">
        <v>491</v>
      </c>
      <c r="P9" s="282"/>
      <c r="Q9" s="282"/>
      <c r="R9" s="282"/>
      <c r="S9" s="282"/>
      <c r="T9" s="12" t="s">
        <v>492</v>
      </c>
      <c r="U9" s="11">
        <v>1</v>
      </c>
      <c r="V9" s="11" t="s">
        <v>493</v>
      </c>
      <c r="W9" s="13">
        <v>1</v>
      </c>
    </row>
    <row r="10" spans="1:23" s="4" customFormat="1" ht="14.25" customHeight="1" thickBot="1">
      <c r="A10" s="1"/>
      <c r="B10" s="14"/>
      <c r="C10" s="15"/>
      <c r="D10" s="15"/>
      <c r="E10" s="15"/>
      <c r="F10" s="15"/>
      <c r="G10" s="15"/>
      <c r="H10" s="15"/>
      <c r="I10" s="11"/>
      <c r="J10" s="11"/>
      <c r="K10" s="11"/>
      <c r="L10" s="283"/>
      <c r="M10" s="283"/>
      <c r="N10" s="283"/>
      <c r="O10" s="282" t="s">
        <v>494</v>
      </c>
      <c r="P10" s="282"/>
      <c r="Q10" s="282"/>
      <c r="R10" s="284"/>
      <c r="S10" s="284"/>
      <c r="T10" s="277"/>
      <c r="U10" s="277"/>
      <c r="V10" s="15"/>
      <c r="W10" s="16"/>
    </row>
    <row r="11" spans="1:23" s="4" customFormat="1" ht="26.25" customHeight="1" thickBot="1">
      <c r="A11" s="1"/>
      <c r="B11" s="288" t="s">
        <v>495</v>
      </c>
      <c r="C11" s="288"/>
      <c r="D11" s="257" t="s">
        <v>496</v>
      </c>
      <c r="E11" s="257"/>
      <c r="F11" s="257"/>
      <c r="G11" s="257"/>
      <c r="H11" s="257"/>
      <c r="I11" s="258" t="s">
        <v>497</v>
      </c>
      <c r="J11" s="248"/>
      <c r="K11" s="261" t="s">
        <v>498</v>
      </c>
      <c r="L11" s="261" t="s">
        <v>499</v>
      </c>
      <c r="M11" s="262"/>
      <c r="N11" s="261" t="s">
        <v>500</v>
      </c>
      <c r="O11" s="262"/>
      <c r="P11" s="291" t="s">
        <v>501</v>
      </c>
      <c r="Q11" s="262"/>
      <c r="R11" s="259" t="s">
        <v>502</v>
      </c>
      <c r="S11" s="260"/>
      <c r="T11" s="253" t="s">
        <v>503</v>
      </c>
      <c r="U11" s="256" t="s">
        <v>504</v>
      </c>
      <c r="V11" s="256" t="s">
        <v>505</v>
      </c>
      <c r="W11" s="384" t="s">
        <v>501</v>
      </c>
    </row>
    <row r="12" spans="1:23" s="4" customFormat="1" ht="21.75" customHeight="1" thickBot="1">
      <c r="A12" s="1"/>
      <c r="B12" s="252" t="s">
        <v>506</v>
      </c>
      <c r="C12" s="252"/>
      <c r="D12" s="294" t="s">
        <v>507</v>
      </c>
      <c r="E12" s="295"/>
      <c r="F12" s="295"/>
      <c r="G12" s="295"/>
      <c r="H12" s="295"/>
      <c r="I12" s="249"/>
      <c r="J12" s="250"/>
      <c r="K12" s="263"/>
      <c r="L12" s="263"/>
      <c r="M12" s="264"/>
      <c r="N12" s="263"/>
      <c r="O12" s="264"/>
      <c r="P12" s="292"/>
      <c r="Q12" s="264"/>
      <c r="R12" s="259"/>
      <c r="S12" s="260"/>
      <c r="T12" s="254"/>
      <c r="U12" s="254"/>
      <c r="V12" s="254"/>
      <c r="W12" s="385"/>
    </row>
    <row r="13" spans="1:23" s="4" customFormat="1" ht="56.25" customHeight="1" thickBot="1">
      <c r="A13" s="1"/>
      <c r="B13" s="286" t="s">
        <v>508</v>
      </c>
      <c r="C13" s="286"/>
      <c r="D13" s="289" t="s">
        <v>509</v>
      </c>
      <c r="E13" s="290"/>
      <c r="F13" s="290"/>
      <c r="G13" s="290"/>
      <c r="H13" s="290"/>
      <c r="I13" s="251"/>
      <c r="J13" s="247"/>
      <c r="K13" s="265"/>
      <c r="L13" s="265"/>
      <c r="M13" s="266"/>
      <c r="N13" s="265"/>
      <c r="O13" s="266"/>
      <c r="P13" s="293"/>
      <c r="Q13" s="266"/>
      <c r="R13" s="259"/>
      <c r="S13" s="260"/>
      <c r="T13" s="255"/>
      <c r="U13" s="255"/>
      <c r="V13" s="255"/>
      <c r="W13" s="386"/>
    </row>
    <row r="14" spans="1:23" s="4" customFormat="1" ht="8.25" customHeight="1" thickBot="1">
      <c r="A14" s="1"/>
      <c r="B14" s="17"/>
      <c r="C14" s="18"/>
      <c r="D14" s="18"/>
      <c r="E14" s="19"/>
      <c r="F14" s="19"/>
      <c r="G14" s="19"/>
      <c r="H14" s="19"/>
      <c r="I14" s="19"/>
      <c r="J14" s="19"/>
      <c r="K14" s="19"/>
      <c r="L14" s="19"/>
      <c r="M14" s="19"/>
      <c r="N14" s="19"/>
      <c r="O14" s="19"/>
      <c r="P14" s="19"/>
      <c r="Q14" s="19"/>
      <c r="R14" s="19"/>
      <c r="S14" s="19"/>
      <c r="T14" s="19"/>
      <c r="U14" s="19"/>
      <c r="V14" s="19"/>
      <c r="W14" s="19"/>
    </row>
    <row r="15" spans="1:23" s="4" customFormat="1" ht="14.25" customHeight="1" thickBot="1">
      <c r="A15" s="1"/>
      <c r="B15" s="312" t="s">
        <v>510</v>
      </c>
      <c r="C15" s="312"/>
      <c r="D15" s="312"/>
      <c r="E15" s="312"/>
      <c r="F15" s="312"/>
      <c r="G15" s="312"/>
      <c r="H15" s="312"/>
      <c r="I15" s="313" t="s">
        <v>511</v>
      </c>
      <c r="J15" s="313"/>
      <c r="K15" s="313"/>
      <c r="L15" s="313"/>
      <c r="M15" s="313"/>
      <c r="N15" s="313"/>
      <c r="O15" s="313"/>
      <c r="P15" s="313"/>
      <c r="Q15" s="313"/>
      <c r="R15" s="313"/>
      <c r="S15" s="313"/>
      <c r="T15" s="287" t="s">
        <v>512</v>
      </c>
      <c r="U15" s="287" t="s">
        <v>513</v>
      </c>
      <c r="V15" s="287"/>
      <c r="W15" s="287"/>
    </row>
    <row r="16" spans="1:23" s="4" customFormat="1" ht="35.25" customHeight="1" thickBot="1">
      <c r="A16" s="1"/>
      <c r="B16" s="316" t="s">
        <v>514</v>
      </c>
      <c r="C16" s="318" t="s">
        <v>515</v>
      </c>
      <c r="D16" s="318"/>
      <c r="E16" s="314" t="s">
        <v>516</v>
      </c>
      <c r="F16" s="314" t="s">
        <v>517</v>
      </c>
      <c r="G16" s="314" t="s">
        <v>518</v>
      </c>
      <c r="H16" s="300" t="s">
        <v>519</v>
      </c>
      <c r="I16" s="302" t="s">
        <v>520</v>
      </c>
      <c r="J16" s="303"/>
      <c r="K16" s="303"/>
      <c r="L16" s="303"/>
      <c r="M16" s="303"/>
      <c r="N16" s="303"/>
      <c r="O16" s="303"/>
      <c r="P16" s="303"/>
      <c r="Q16" s="304" t="s">
        <v>521</v>
      </c>
      <c r="R16" s="320" t="s">
        <v>522</v>
      </c>
      <c r="S16" s="299" t="s">
        <v>523</v>
      </c>
      <c r="T16" s="287"/>
      <c r="U16" s="287"/>
      <c r="V16" s="287"/>
      <c r="W16" s="287"/>
    </row>
    <row r="17" spans="1:23" s="4" customFormat="1" ht="52.5" customHeight="1" thickBot="1">
      <c r="A17" s="1"/>
      <c r="B17" s="368"/>
      <c r="C17" s="369"/>
      <c r="D17" s="369"/>
      <c r="E17" s="366"/>
      <c r="F17" s="366"/>
      <c r="G17" s="366"/>
      <c r="H17" s="367"/>
      <c r="I17" s="20" t="s">
        <v>524</v>
      </c>
      <c r="J17" s="21" t="s">
        <v>525</v>
      </c>
      <c r="K17" s="22" t="s">
        <v>526</v>
      </c>
      <c r="L17" s="22" t="s">
        <v>527</v>
      </c>
      <c r="M17" s="22" t="s">
        <v>528</v>
      </c>
      <c r="N17" s="22" t="s">
        <v>529</v>
      </c>
      <c r="O17" s="22" t="s">
        <v>530</v>
      </c>
      <c r="P17" s="23" t="s">
        <v>531</v>
      </c>
      <c r="Q17" s="305"/>
      <c r="R17" s="320"/>
      <c r="S17" s="299"/>
      <c r="T17" s="287"/>
      <c r="U17" s="287"/>
      <c r="V17" s="287"/>
      <c r="W17" s="287"/>
    </row>
    <row r="18" spans="1:23" s="38" customFormat="1" ht="39.75" customHeight="1">
      <c r="A18" s="24"/>
      <c r="B18" s="25">
        <v>1</v>
      </c>
      <c r="C18" s="306" t="s">
        <v>532</v>
      </c>
      <c r="D18" s="306"/>
      <c r="E18" s="26">
        <v>90</v>
      </c>
      <c r="F18" s="27">
        <v>40</v>
      </c>
      <c r="G18" s="28">
        <f>+F18/E18</f>
        <v>0.4444444444444444</v>
      </c>
      <c r="H18" s="29">
        <f>+F18/E18</f>
        <v>0.4444444444444444</v>
      </c>
      <c r="I18" s="30">
        <f>605409+10000</f>
        <v>615409</v>
      </c>
      <c r="J18" s="31"/>
      <c r="K18" s="32">
        <v>262626</v>
      </c>
      <c r="L18" s="32"/>
      <c r="M18" s="31"/>
      <c r="N18" s="31"/>
      <c r="O18" s="31"/>
      <c r="P18" s="33">
        <v>0</v>
      </c>
      <c r="Q18" s="34">
        <f>+SUM(I18:P18)</f>
        <v>878035</v>
      </c>
      <c r="R18" s="35">
        <f>1248897+78630</f>
        <v>1327527</v>
      </c>
      <c r="S18" s="36">
        <f>R18/Q18</f>
        <v>1.5119294788932105</v>
      </c>
      <c r="T18" s="37" t="s">
        <v>533</v>
      </c>
      <c r="U18" s="365"/>
      <c r="V18" s="365"/>
      <c r="W18" s="365"/>
    </row>
    <row r="19" spans="1:23" s="38" customFormat="1" ht="39.75" customHeight="1">
      <c r="A19" s="24"/>
      <c r="B19" s="39">
        <v>2</v>
      </c>
      <c r="C19" s="308" t="s">
        <v>534</v>
      </c>
      <c r="D19" s="308"/>
      <c r="E19" s="40">
        <v>20</v>
      </c>
      <c r="F19" s="41">
        <v>10</v>
      </c>
      <c r="G19" s="42">
        <f>+F19/E19</f>
        <v>0.5</v>
      </c>
      <c r="H19" s="43">
        <f>+F19/E19</f>
        <v>0.5</v>
      </c>
      <c r="I19" s="44"/>
      <c r="J19" s="45"/>
      <c r="K19" s="46"/>
      <c r="L19" s="46">
        <v>16721</v>
      </c>
      <c r="M19" s="45"/>
      <c r="N19" s="45"/>
      <c r="O19" s="45"/>
      <c r="P19" s="47"/>
      <c r="Q19" s="34">
        <f>+SUM(I19:P19)</f>
        <v>16721</v>
      </c>
      <c r="R19" s="35"/>
      <c r="S19" s="36">
        <f>R19/Q19</f>
        <v>0</v>
      </c>
      <c r="T19" s="37" t="s">
        <v>533</v>
      </c>
      <c r="U19" s="309" t="s">
        <v>535</v>
      </c>
      <c r="V19" s="309"/>
      <c r="W19" s="309"/>
    </row>
    <row r="20" spans="1:23" s="38" customFormat="1" ht="70.5" customHeight="1">
      <c r="A20" s="24"/>
      <c r="B20" s="39">
        <v>3</v>
      </c>
      <c r="C20" s="308" t="s">
        <v>536</v>
      </c>
      <c r="D20" s="308"/>
      <c r="E20" s="40">
        <v>90</v>
      </c>
      <c r="F20" s="41">
        <v>20</v>
      </c>
      <c r="G20" s="42">
        <f>+F20/E20</f>
        <v>0.2222222222222222</v>
      </c>
      <c r="H20" s="43">
        <f>+F20/E20</f>
        <v>0.2222222222222222</v>
      </c>
      <c r="I20" s="44"/>
      <c r="J20" s="48">
        <v>9000</v>
      </c>
      <c r="K20" s="46"/>
      <c r="L20" s="46"/>
      <c r="M20" s="45"/>
      <c r="N20" s="45"/>
      <c r="O20" s="45"/>
      <c r="P20" s="47"/>
      <c r="Q20" s="34">
        <f>+SUM(I20:P20)</f>
        <v>9000</v>
      </c>
      <c r="R20" s="35">
        <v>9000</v>
      </c>
      <c r="S20" s="36">
        <f>R20/Q20</f>
        <v>1</v>
      </c>
      <c r="T20" s="37" t="s">
        <v>537</v>
      </c>
      <c r="U20" s="381" t="s">
        <v>538</v>
      </c>
      <c r="V20" s="382"/>
      <c r="W20" s="383"/>
    </row>
    <row r="21" spans="1:23" s="38" customFormat="1" ht="39.75" customHeight="1">
      <c r="A21" s="24"/>
      <c r="B21" s="39">
        <v>4</v>
      </c>
      <c r="C21" s="308" t="s">
        <v>539</v>
      </c>
      <c r="D21" s="308"/>
      <c r="E21" s="40">
        <v>100</v>
      </c>
      <c r="F21" s="41">
        <v>98</v>
      </c>
      <c r="G21" s="42">
        <f>+F21/E21</f>
        <v>0.98</v>
      </c>
      <c r="H21" s="43">
        <f>+F21/E21</f>
        <v>0.98</v>
      </c>
      <c r="I21" s="44">
        <v>35501</v>
      </c>
      <c r="J21" s="45"/>
      <c r="K21" s="46"/>
      <c r="L21" s="46"/>
      <c r="M21" s="45"/>
      <c r="N21" s="45"/>
      <c r="O21" s="45"/>
      <c r="P21" s="47"/>
      <c r="Q21" s="34">
        <f>+SUM(I21:P21)</f>
        <v>35501</v>
      </c>
      <c r="R21" s="35">
        <v>85077</v>
      </c>
      <c r="S21" s="36">
        <f>R21/Q21</f>
        <v>2.3964677051350667</v>
      </c>
      <c r="T21" s="49" t="s">
        <v>540</v>
      </c>
      <c r="U21" s="309"/>
      <c r="V21" s="309"/>
      <c r="W21" s="309"/>
    </row>
    <row r="22" spans="1:23" s="38" customFormat="1" ht="39.75" customHeight="1">
      <c r="A22" s="24"/>
      <c r="B22" s="50"/>
      <c r="C22" s="323"/>
      <c r="D22" s="323"/>
      <c r="E22" s="51"/>
      <c r="F22" s="52"/>
      <c r="G22" s="53"/>
      <c r="H22" s="54"/>
      <c r="I22" s="55"/>
      <c r="J22" s="45"/>
      <c r="K22" s="45"/>
      <c r="L22" s="45"/>
      <c r="M22" s="45"/>
      <c r="N22" s="45"/>
      <c r="O22" s="45"/>
      <c r="P22" s="56"/>
      <c r="Q22" s="57"/>
      <c r="R22" s="35"/>
      <c r="S22" s="36"/>
      <c r="T22" s="58"/>
      <c r="U22" s="309"/>
      <c r="V22" s="309"/>
      <c r="W22" s="309"/>
    </row>
    <row r="23" spans="1:23" s="4" customFormat="1" ht="26.25" customHeight="1" thickBot="1">
      <c r="A23" s="1"/>
      <c r="B23" s="59"/>
      <c r="C23" s="310" t="s">
        <v>541</v>
      </c>
      <c r="D23" s="310"/>
      <c r="E23" s="60"/>
      <c r="F23" s="61"/>
      <c r="G23" s="62"/>
      <c r="H23" s="63"/>
      <c r="I23" s="64">
        <f aca="true" t="shared" si="0" ref="I23:R23">+SUM(I18:I22)</f>
        <v>650910</v>
      </c>
      <c r="J23" s="64">
        <f t="shared" si="0"/>
        <v>9000</v>
      </c>
      <c r="K23" s="64">
        <f t="shared" si="0"/>
        <v>262626</v>
      </c>
      <c r="L23" s="64">
        <f t="shared" si="0"/>
        <v>16721</v>
      </c>
      <c r="M23" s="64">
        <f t="shared" si="0"/>
        <v>0</v>
      </c>
      <c r="N23" s="64">
        <f t="shared" si="0"/>
        <v>0</v>
      </c>
      <c r="O23" s="64">
        <f t="shared" si="0"/>
        <v>0</v>
      </c>
      <c r="P23" s="64">
        <f t="shared" si="0"/>
        <v>0</v>
      </c>
      <c r="Q23" s="65">
        <f t="shared" si="0"/>
        <v>939257</v>
      </c>
      <c r="R23" s="65">
        <f t="shared" si="0"/>
        <v>1421604</v>
      </c>
      <c r="S23" s="66">
        <f>+R23/Q23</f>
        <v>1.5135410223187051</v>
      </c>
      <c r="T23" s="67"/>
      <c r="U23" s="311"/>
      <c r="V23" s="311"/>
      <c r="W23" s="311"/>
    </row>
    <row r="24" spans="1:23" s="4" customFormat="1" ht="54.75" customHeight="1" thickBot="1">
      <c r="A24" s="1"/>
      <c r="B24" s="2"/>
      <c r="C24" s="3"/>
      <c r="D24" s="3"/>
      <c r="E24" s="2"/>
      <c r="F24" s="2"/>
      <c r="G24" s="2"/>
      <c r="H24" s="2"/>
      <c r="I24" s="2"/>
      <c r="J24" s="2"/>
      <c r="K24" s="2"/>
      <c r="L24" s="2"/>
      <c r="M24" s="2"/>
      <c r="N24" s="2"/>
      <c r="O24" s="2"/>
      <c r="P24" s="2"/>
      <c r="Q24" s="2"/>
      <c r="R24" s="68"/>
      <c r="S24" s="2"/>
      <c r="T24" s="2"/>
      <c r="U24" s="2"/>
      <c r="V24" s="2"/>
      <c r="W24" s="2"/>
    </row>
    <row r="25" spans="1:23" s="70" customFormat="1" ht="15.75">
      <c r="A25" s="69"/>
      <c r="B25" s="267" t="s">
        <v>479</v>
      </c>
      <c r="C25" s="267"/>
      <c r="D25" s="267"/>
      <c r="E25" s="267"/>
      <c r="F25" s="267"/>
      <c r="G25" s="267"/>
      <c r="H25" s="267"/>
      <c r="I25" s="267"/>
      <c r="J25" s="267"/>
      <c r="K25" s="267"/>
      <c r="L25" s="267"/>
      <c r="M25" s="267"/>
      <c r="N25" s="267"/>
      <c r="O25" s="267"/>
      <c r="P25" s="267"/>
      <c r="Q25" s="267"/>
      <c r="R25" s="267"/>
      <c r="S25" s="267"/>
      <c r="T25" s="267"/>
      <c r="U25" s="267"/>
      <c r="V25" s="267"/>
      <c r="W25" s="267"/>
    </row>
    <row r="26" spans="1:23" s="70" customFormat="1" ht="12.75">
      <c r="A26" s="69"/>
      <c r="B26" s="5"/>
      <c r="C26" s="6"/>
      <c r="D26" s="6"/>
      <c r="E26" s="6"/>
      <c r="F26" s="6"/>
      <c r="G26" s="6"/>
      <c r="H26" s="6"/>
      <c r="I26" s="6"/>
      <c r="J26" s="6"/>
      <c r="K26" s="6"/>
      <c r="L26" s="6"/>
      <c r="M26" s="6"/>
      <c r="N26" s="6"/>
      <c r="O26" s="6"/>
      <c r="P26" s="6"/>
      <c r="Q26" s="6"/>
      <c r="R26" s="6"/>
      <c r="S26" s="6"/>
      <c r="T26" s="6"/>
      <c r="U26" s="6"/>
      <c r="V26" s="6"/>
      <c r="W26" s="7"/>
    </row>
    <row r="27" spans="1:23" s="70" customFormat="1" ht="20.25">
      <c r="A27" s="69"/>
      <c r="B27" s="268" t="s">
        <v>480</v>
      </c>
      <c r="C27" s="269"/>
      <c r="D27" s="269"/>
      <c r="E27" s="269"/>
      <c r="F27" s="269"/>
      <c r="G27" s="269"/>
      <c r="H27" s="269"/>
      <c r="I27" s="269"/>
      <c r="J27" s="269"/>
      <c r="K27" s="269"/>
      <c r="L27" s="269"/>
      <c r="M27" s="269"/>
      <c r="N27" s="269"/>
      <c r="O27" s="269"/>
      <c r="P27" s="269"/>
      <c r="Q27" s="269"/>
      <c r="R27" s="269"/>
      <c r="S27" s="269"/>
      <c r="T27" s="269"/>
      <c r="U27" s="269"/>
      <c r="V27" s="269"/>
      <c r="W27" s="270"/>
    </row>
    <row r="28" spans="1:23" ht="37.5" customHeight="1">
      <c r="A28" s="1"/>
      <c r="B28" s="271" t="s">
        <v>481</v>
      </c>
      <c r="C28" s="272"/>
      <c r="D28" s="272"/>
      <c r="E28" s="272"/>
      <c r="F28" s="272"/>
      <c r="G28" s="272"/>
      <c r="H28" s="272"/>
      <c r="I28" s="272"/>
      <c r="J28" s="272"/>
      <c r="K28" s="272"/>
      <c r="L28" s="272"/>
      <c r="M28" s="272"/>
      <c r="N28" s="272"/>
      <c r="O28" s="272"/>
      <c r="P28" s="272"/>
      <c r="Q28" s="272"/>
      <c r="R28" s="272"/>
      <c r="S28" s="272"/>
      <c r="T28" s="272"/>
      <c r="U28" s="272"/>
      <c r="V28" s="272"/>
      <c r="W28" s="273"/>
    </row>
    <row r="29" spans="1:23" ht="36" customHeight="1">
      <c r="A29" s="1"/>
      <c r="B29" s="274" t="s">
        <v>482</v>
      </c>
      <c r="C29" s="275"/>
      <c r="D29" s="275"/>
      <c r="E29" s="275"/>
      <c r="F29" s="275"/>
      <c r="G29" s="275"/>
      <c r="H29" s="275"/>
      <c r="I29" s="275"/>
      <c r="J29" s="275"/>
      <c r="K29" s="275"/>
      <c r="L29" s="275"/>
      <c r="M29" s="275"/>
      <c r="N29" s="275"/>
      <c r="O29" s="275"/>
      <c r="P29" s="275"/>
      <c r="Q29" s="275"/>
      <c r="R29" s="275"/>
      <c r="S29" s="275"/>
      <c r="T29" s="275"/>
      <c r="U29" s="275"/>
      <c r="V29" s="275"/>
      <c r="W29" s="276"/>
    </row>
    <row r="30" spans="1:23" ht="42.75" customHeight="1">
      <c r="A30" s="1"/>
      <c r="B30" s="5"/>
      <c r="C30" s="6"/>
      <c r="D30" s="8"/>
      <c r="E30" s="8"/>
      <c r="F30" s="8"/>
      <c r="G30" s="8"/>
      <c r="H30" s="8"/>
      <c r="I30" s="6"/>
      <c r="J30" s="6"/>
      <c r="K30" s="6"/>
      <c r="L30" s="6"/>
      <c r="M30" s="6"/>
      <c r="N30" s="6"/>
      <c r="O30" s="6"/>
      <c r="P30" s="6"/>
      <c r="Q30" s="6"/>
      <c r="R30" s="6"/>
      <c r="S30" s="6"/>
      <c r="T30" s="6"/>
      <c r="U30" s="6"/>
      <c r="V30" s="6"/>
      <c r="W30" s="7"/>
    </row>
    <row r="31" spans="1:23" ht="22.5" customHeight="1">
      <c r="A31" s="1"/>
      <c r="B31" s="279" t="s">
        <v>483</v>
      </c>
      <c r="C31" s="280"/>
      <c r="D31" s="10" t="s">
        <v>484</v>
      </c>
      <c r="E31" s="10"/>
      <c r="F31" s="10"/>
      <c r="G31" s="11"/>
      <c r="H31" s="11"/>
      <c r="I31" s="11"/>
      <c r="J31" s="11"/>
      <c r="K31" s="11"/>
      <c r="L31" s="10" t="s">
        <v>485</v>
      </c>
      <c r="M31" s="10"/>
      <c r="N31" s="10"/>
      <c r="O31" s="281" t="s">
        <v>486</v>
      </c>
      <c r="P31" s="282"/>
      <c r="Q31" s="282"/>
      <c r="R31" s="282"/>
      <c r="S31" s="282"/>
      <c r="T31" s="282" t="s">
        <v>487</v>
      </c>
      <c r="U31" s="280"/>
      <c r="V31" s="280"/>
      <c r="W31" s="285"/>
    </row>
    <row r="32" spans="1:23" ht="20.25" customHeight="1">
      <c r="A32" s="1"/>
      <c r="B32" s="279" t="s">
        <v>488</v>
      </c>
      <c r="C32" s="280"/>
      <c r="D32" s="10" t="s">
        <v>489</v>
      </c>
      <c r="E32" s="10"/>
      <c r="F32" s="10"/>
      <c r="G32" s="11"/>
      <c r="H32" s="11"/>
      <c r="I32" s="11"/>
      <c r="J32" s="11"/>
      <c r="K32" s="11"/>
      <c r="L32" s="282" t="s">
        <v>490</v>
      </c>
      <c r="M32" s="280"/>
      <c r="N32" s="280"/>
      <c r="O32" s="282" t="s">
        <v>491</v>
      </c>
      <c r="P32" s="282"/>
      <c r="Q32" s="282"/>
      <c r="R32" s="282"/>
      <c r="S32" s="282"/>
      <c r="T32" s="12" t="s">
        <v>492</v>
      </c>
      <c r="U32" s="11">
        <v>1</v>
      </c>
      <c r="V32" s="11" t="s">
        <v>493</v>
      </c>
      <c r="W32" s="13">
        <v>2</v>
      </c>
    </row>
    <row r="33" spans="1:23" ht="15.75" thickBot="1">
      <c r="A33" s="1"/>
      <c r="B33" s="14"/>
      <c r="C33" s="15"/>
      <c r="D33" s="15"/>
      <c r="E33" s="15"/>
      <c r="F33" s="15"/>
      <c r="G33" s="15"/>
      <c r="H33" s="15"/>
      <c r="I33" s="11"/>
      <c r="J33" s="11"/>
      <c r="K33" s="11"/>
      <c r="L33" s="283"/>
      <c r="M33" s="283"/>
      <c r="N33" s="283"/>
      <c r="O33" s="282" t="s">
        <v>494</v>
      </c>
      <c r="P33" s="282"/>
      <c r="Q33" s="282"/>
      <c r="R33" s="284"/>
      <c r="S33" s="284"/>
      <c r="T33" s="277"/>
      <c r="U33" s="278"/>
      <c r="V33" s="11"/>
      <c r="W33" s="16"/>
    </row>
    <row r="34" spans="1:23" ht="21.75" customHeight="1" thickBot="1">
      <c r="A34" s="1"/>
      <c r="B34" s="288" t="s">
        <v>495</v>
      </c>
      <c r="C34" s="288"/>
      <c r="D34" s="257" t="s">
        <v>496</v>
      </c>
      <c r="E34" s="257"/>
      <c r="F34" s="257"/>
      <c r="G34" s="257"/>
      <c r="H34" s="257"/>
      <c r="I34" s="258" t="s">
        <v>497</v>
      </c>
      <c r="J34" s="248"/>
      <c r="K34" s="261" t="s">
        <v>542</v>
      </c>
      <c r="L34" s="291"/>
      <c r="M34" s="262"/>
      <c r="N34" s="261" t="s">
        <v>543</v>
      </c>
      <c r="O34" s="262"/>
      <c r="P34" s="261" t="s">
        <v>544</v>
      </c>
      <c r="Q34" s="262"/>
      <c r="R34" s="259" t="s">
        <v>502</v>
      </c>
      <c r="S34" s="260"/>
      <c r="T34" s="261" t="s">
        <v>545</v>
      </c>
      <c r="U34" s="261" t="s">
        <v>543</v>
      </c>
      <c r="V34" s="262"/>
      <c r="W34" s="296" t="s">
        <v>546</v>
      </c>
    </row>
    <row r="35" spans="1:23" ht="24.75" customHeight="1" thickBot="1">
      <c r="A35" s="1"/>
      <c r="B35" s="252" t="s">
        <v>506</v>
      </c>
      <c r="C35" s="252"/>
      <c r="D35" s="294" t="s">
        <v>507</v>
      </c>
      <c r="E35" s="295"/>
      <c r="F35" s="295"/>
      <c r="G35" s="295"/>
      <c r="H35" s="295"/>
      <c r="I35" s="249"/>
      <c r="J35" s="250"/>
      <c r="K35" s="263"/>
      <c r="L35" s="292"/>
      <c r="M35" s="264"/>
      <c r="N35" s="263"/>
      <c r="O35" s="264"/>
      <c r="P35" s="263"/>
      <c r="Q35" s="264"/>
      <c r="R35" s="259"/>
      <c r="S35" s="260"/>
      <c r="T35" s="263"/>
      <c r="U35" s="263"/>
      <c r="V35" s="264"/>
      <c r="W35" s="297"/>
    </row>
    <row r="36" spans="1:23" ht="72" customHeight="1" thickBot="1">
      <c r="A36" s="1"/>
      <c r="B36" s="286" t="s">
        <v>508</v>
      </c>
      <c r="C36" s="286"/>
      <c r="D36" s="289" t="s">
        <v>547</v>
      </c>
      <c r="E36" s="290"/>
      <c r="F36" s="290"/>
      <c r="G36" s="290"/>
      <c r="H36" s="290"/>
      <c r="I36" s="251"/>
      <c r="J36" s="247"/>
      <c r="K36" s="265"/>
      <c r="L36" s="293"/>
      <c r="M36" s="266"/>
      <c r="N36" s="265"/>
      <c r="O36" s="266"/>
      <c r="P36" s="265"/>
      <c r="Q36" s="266"/>
      <c r="R36" s="259"/>
      <c r="S36" s="260"/>
      <c r="T36" s="265"/>
      <c r="U36" s="265"/>
      <c r="V36" s="266"/>
      <c r="W36" s="298"/>
    </row>
    <row r="37" spans="1:23" ht="15.75" thickBot="1">
      <c r="A37" s="1"/>
      <c r="B37" s="17"/>
      <c r="C37" s="18"/>
      <c r="D37" s="18"/>
      <c r="E37" s="19"/>
      <c r="F37" s="19"/>
      <c r="G37" s="19"/>
      <c r="H37" s="19"/>
      <c r="I37" s="19"/>
      <c r="J37" s="19"/>
      <c r="K37" s="19"/>
      <c r="L37" s="19"/>
      <c r="M37" s="19"/>
      <c r="N37" s="19"/>
      <c r="O37" s="19"/>
      <c r="P37" s="19"/>
      <c r="Q37" s="19"/>
      <c r="R37" s="19"/>
      <c r="S37" s="19"/>
      <c r="T37" s="19"/>
      <c r="U37" s="19"/>
      <c r="V37" s="19"/>
      <c r="W37" s="19"/>
    </row>
    <row r="38" spans="1:23" ht="15.75" thickBot="1">
      <c r="A38" s="1"/>
      <c r="B38" s="312" t="s">
        <v>510</v>
      </c>
      <c r="C38" s="312"/>
      <c r="D38" s="312"/>
      <c r="E38" s="312"/>
      <c r="F38" s="312"/>
      <c r="G38" s="312"/>
      <c r="H38" s="312"/>
      <c r="I38" s="313" t="s">
        <v>511</v>
      </c>
      <c r="J38" s="313"/>
      <c r="K38" s="313"/>
      <c r="L38" s="313"/>
      <c r="M38" s="313"/>
      <c r="N38" s="313"/>
      <c r="O38" s="313"/>
      <c r="P38" s="313"/>
      <c r="Q38" s="313"/>
      <c r="R38" s="313"/>
      <c r="S38" s="313"/>
      <c r="T38" s="287" t="s">
        <v>512</v>
      </c>
      <c r="U38" s="287" t="s">
        <v>513</v>
      </c>
      <c r="V38" s="287"/>
      <c r="W38" s="287"/>
    </row>
    <row r="39" spans="1:23" ht="15.75" thickBot="1">
      <c r="A39" s="1"/>
      <c r="B39" s="316" t="s">
        <v>514</v>
      </c>
      <c r="C39" s="318" t="s">
        <v>515</v>
      </c>
      <c r="D39" s="318"/>
      <c r="E39" s="314" t="s">
        <v>516</v>
      </c>
      <c r="F39" s="314" t="s">
        <v>517</v>
      </c>
      <c r="G39" s="314" t="s">
        <v>518</v>
      </c>
      <c r="H39" s="300" t="s">
        <v>519</v>
      </c>
      <c r="I39" s="302" t="s">
        <v>520</v>
      </c>
      <c r="J39" s="303"/>
      <c r="K39" s="303"/>
      <c r="L39" s="303"/>
      <c r="M39" s="303"/>
      <c r="N39" s="303"/>
      <c r="O39" s="303"/>
      <c r="P39" s="303"/>
      <c r="Q39" s="304" t="s">
        <v>521</v>
      </c>
      <c r="R39" s="320" t="s">
        <v>522</v>
      </c>
      <c r="S39" s="299" t="s">
        <v>523</v>
      </c>
      <c r="T39" s="287"/>
      <c r="U39" s="287"/>
      <c r="V39" s="287"/>
      <c r="W39" s="287"/>
    </row>
    <row r="40" spans="1:23" ht="77.25" customHeight="1" thickBot="1">
      <c r="A40" s="1"/>
      <c r="B40" s="317"/>
      <c r="C40" s="319"/>
      <c r="D40" s="319"/>
      <c r="E40" s="315"/>
      <c r="F40" s="315"/>
      <c r="G40" s="315"/>
      <c r="H40" s="301"/>
      <c r="I40" s="20" t="s">
        <v>524</v>
      </c>
      <c r="J40" s="21" t="s">
        <v>525</v>
      </c>
      <c r="K40" s="22" t="s">
        <v>526</v>
      </c>
      <c r="L40" s="22" t="s">
        <v>527</v>
      </c>
      <c r="M40" s="22" t="s">
        <v>528</v>
      </c>
      <c r="N40" s="22" t="s">
        <v>529</v>
      </c>
      <c r="O40" s="22" t="s">
        <v>530</v>
      </c>
      <c r="P40" s="23" t="s">
        <v>531</v>
      </c>
      <c r="Q40" s="305"/>
      <c r="R40" s="320"/>
      <c r="S40" s="299"/>
      <c r="T40" s="287"/>
      <c r="U40" s="287"/>
      <c r="V40" s="287"/>
      <c r="W40" s="287"/>
    </row>
    <row r="41" spans="1:23" ht="36" customHeight="1">
      <c r="A41" s="1"/>
      <c r="B41" s="72">
        <v>1</v>
      </c>
      <c r="C41" s="306" t="s">
        <v>548</v>
      </c>
      <c r="D41" s="306"/>
      <c r="E41" s="73">
        <v>518</v>
      </c>
      <c r="F41" s="27">
        <v>538</v>
      </c>
      <c r="G41" s="28">
        <f>+F41/E41</f>
        <v>1.0386100386100385</v>
      </c>
      <c r="H41" s="29">
        <f>+F41/E41</f>
        <v>1.0386100386100385</v>
      </c>
      <c r="I41" s="30"/>
      <c r="J41" s="32">
        <v>3500</v>
      </c>
      <c r="K41" s="32"/>
      <c r="L41" s="32"/>
      <c r="M41" s="31"/>
      <c r="N41" s="31"/>
      <c r="O41" s="31"/>
      <c r="P41" s="74"/>
      <c r="Q41" s="75">
        <f>+SUM(I41:P41)</f>
        <v>3500</v>
      </c>
      <c r="R41" s="76">
        <v>3375</v>
      </c>
      <c r="S41" s="36">
        <f>R41/Q41</f>
        <v>0.9642857142857143</v>
      </c>
      <c r="T41" s="37" t="s">
        <v>549</v>
      </c>
      <c r="U41" s="307"/>
      <c r="V41" s="307"/>
      <c r="W41" s="307"/>
    </row>
    <row r="42" spans="1:23" ht="36" customHeight="1">
      <c r="A42" s="1"/>
      <c r="B42" s="77">
        <v>2</v>
      </c>
      <c r="C42" s="308" t="s">
        <v>550</v>
      </c>
      <c r="D42" s="308"/>
      <c r="E42" s="78">
        <v>1</v>
      </c>
      <c r="F42" s="41">
        <v>1</v>
      </c>
      <c r="G42" s="42">
        <f>+F42/E42</f>
        <v>1</v>
      </c>
      <c r="H42" s="43">
        <f>+F42/E42</f>
        <v>1</v>
      </c>
      <c r="I42" s="44"/>
      <c r="J42" s="45"/>
      <c r="K42" s="46"/>
      <c r="L42" s="46"/>
      <c r="M42" s="45"/>
      <c r="N42" s="45"/>
      <c r="O42" s="45"/>
      <c r="P42" s="74"/>
      <c r="Q42" s="75">
        <f>+SUM(I42:P42)</f>
        <v>0</v>
      </c>
      <c r="R42" s="76"/>
      <c r="S42" s="36"/>
      <c r="T42" s="37" t="s">
        <v>549</v>
      </c>
      <c r="U42" s="309" t="s">
        <v>535</v>
      </c>
      <c r="V42" s="309"/>
      <c r="W42" s="309"/>
    </row>
    <row r="43" spans="1:23" ht="36" customHeight="1">
      <c r="A43" s="1"/>
      <c r="B43" s="77">
        <v>3</v>
      </c>
      <c r="C43" s="308" t="s">
        <v>551</v>
      </c>
      <c r="D43" s="308"/>
      <c r="E43" s="78">
        <v>90</v>
      </c>
      <c r="F43" s="41">
        <v>75</v>
      </c>
      <c r="G43" s="42">
        <f>+F43/E43</f>
        <v>0.8333333333333334</v>
      </c>
      <c r="H43" s="43">
        <f>+F43/E43</f>
        <v>0.8333333333333334</v>
      </c>
      <c r="I43" s="44"/>
      <c r="J43" s="45"/>
      <c r="K43" s="46"/>
      <c r="L43" s="46"/>
      <c r="M43" s="45"/>
      <c r="N43" s="45"/>
      <c r="O43" s="45"/>
      <c r="P43" s="74"/>
      <c r="Q43" s="75">
        <f>+SUM(I43:P43)</f>
        <v>0</v>
      </c>
      <c r="R43" s="76"/>
      <c r="S43" s="36"/>
      <c r="T43" s="37" t="s">
        <v>549</v>
      </c>
      <c r="U43" s="309" t="s">
        <v>535</v>
      </c>
      <c r="V43" s="309"/>
      <c r="W43" s="309"/>
    </row>
    <row r="44" spans="1:23" ht="36" customHeight="1">
      <c r="A44" s="1"/>
      <c r="B44" s="39"/>
      <c r="C44" s="321"/>
      <c r="D44" s="321"/>
      <c r="E44" s="40"/>
      <c r="F44" s="41"/>
      <c r="G44" s="42"/>
      <c r="H44" s="43"/>
      <c r="I44" s="44"/>
      <c r="J44" s="45"/>
      <c r="K44" s="46"/>
      <c r="L44" s="46"/>
      <c r="M44" s="45"/>
      <c r="N44" s="45"/>
      <c r="O44" s="45"/>
      <c r="P44" s="47"/>
      <c r="Q44" s="75"/>
      <c r="R44" s="76"/>
      <c r="S44" s="36"/>
      <c r="T44" s="49"/>
      <c r="U44" s="322"/>
      <c r="V44" s="322"/>
      <c r="W44" s="322"/>
    </row>
    <row r="45" spans="1:23" ht="36" customHeight="1">
      <c r="A45" s="1"/>
      <c r="B45" s="50"/>
      <c r="C45" s="323"/>
      <c r="D45" s="323"/>
      <c r="E45" s="51"/>
      <c r="F45" s="52"/>
      <c r="G45" s="53"/>
      <c r="H45" s="54"/>
      <c r="I45" s="55"/>
      <c r="J45" s="45"/>
      <c r="K45" s="45"/>
      <c r="L45" s="45"/>
      <c r="M45" s="45"/>
      <c r="N45" s="45"/>
      <c r="O45" s="45"/>
      <c r="P45" s="56"/>
      <c r="Q45" s="75"/>
      <c r="R45" s="76"/>
      <c r="S45" s="36"/>
      <c r="T45" s="58"/>
      <c r="U45" s="322"/>
      <c r="V45" s="322"/>
      <c r="W45" s="322"/>
    </row>
    <row r="46" spans="1:23" ht="36" customHeight="1" thickBot="1">
      <c r="A46" s="1"/>
      <c r="B46" s="59"/>
      <c r="C46" s="310" t="s">
        <v>541</v>
      </c>
      <c r="D46" s="310"/>
      <c r="E46" s="60"/>
      <c r="F46" s="61"/>
      <c r="G46" s="62"/>
      <c r="H46" s="63"/>
      <c r="I46" s="64">
        <f aca="true" t="shared" si="1" ref="I46:R46">+SUM(I41:I45)</f>
        <v>0</v>
      </c>
      <c r="J46" s="64">
        <f t="shared" si="1"/>
        <v>3500</v>
      </c>
      <c r="K46" s="64">
        <f t="shared" si="1"/>
        <v>0</v>
      </c>
      <c r="L46" s="64">
        <f t="shared" si="1"/>
        <v>0</v>
      </c>
      <c r="M46" s="64">
        <f t="shared" si="1"/>
        <v>0</v>
      </c>
      <c r="N46" s="64">
        <f t="shared" si="1"/>
        <v>0</v>
      </c>
      <c r="O46" s="64">
        <f t="shared" si="1"/>
        <v>0</v>
      </c>
      <c r="P46" s="64">
        <f t="shared" si="1"/>
        <v>0</v>
      </c>
      <c r="Q46" s="79">
        <f t="shared" si="1"/>
        <v>3500</v>
      </c>
      <c r="R46" s="79">
        <f t="shared" si="1"/>
        <v>3375</v>
      </c>
      <c r="S46" s="66">
        <f>+R46/Q46</f>
        <v>0.9642857142857143</v>
      </c>
      <c r="T46" s="67"/>
      <c r="U46" s="311"/>
      <c r="V46" s="311"/>
      <c r="W46" s="311"/>
    </row>
    <row r="47" spans="1:23" ht="57" customHeight="1" thickBot="1">
      <c r="A47" s="1"/>
      <c r="B47" s="80"/>
      <c r="C47" s="81"/>
      <c r="D47" s="81"/>
      <c r="E47" s="80"/>
      <c r="F47" s="80"/>
      <c r="G47" s="80"/>
      <c r="H47" s="80"/>
      <c r="I47" s="80"/>
      <c r="J47" s="80"/>
      <c r="K47" s="80"/>
      <c r="L47" s="80"/>
      <c r="M47" s="80"/>
      <c r="N47" s="80"/>
      <c r="O47" s="80"/>
      <c r="P47" s="80"/>
      <c r="Q47" s="80"/>
      <c r="R47" s="80"/>
      <c r="S47" s="80"/>
      <c r="T47" s="80"/>
      <c r="U47" s="80"/>
      <c r="V47" s="80"/>
      <c r="W47" s="80"/>
    </row>
    <row r="48" spans="1:23" ht="15.75">
      <c r="A48" s="1"/>
      <c r="B48" s="267" t="s">
        <v>479</v>
      </c>
      <c r="C48" s="267"/>
      <c r="D48" s="267"/>
      <c r="E48" s="267"/>
      <c r="F48" s="267"/>
      <c r="G48" s="267"/>
      <c r="H48" s="267"/>
      <c r="I48" s="267"/>
      <c r="J48" s="267"/>
      <c r="K48" s="267"/>
      <c r="L48" s="267"/>
      <c r="M48" s="267"/>
      <c r="N48" s="267"/>
      <c r="O48" s="267"/>
      <c r="P48" s="267"/>
      <c r="Q48" s="267"/>
      <c r="R48" s="267"/>
      <c r="S48" s="267"/>
      <c r="T48" s="267"/>
      <c r="U48" s="267"/>
      <c r="V48" s="267"/>
      <c r="W48" s="267"/>
    </row>
    <row r="49" spans="1:23" ht="15">
      <c r="A49" s="1"/>
      <c r="B49" s="5"/>
      <c r="C49" s="6"/>
      <c r="D49" s="6"/>
      <c r="E49" s="6"/>
      <c r="F49" s="6"/>
      <c r="G49" s="6"/>
      <c r="H49" s="6"/>
      <c r="I49" s="6"/>
      <c r="J49" s="6"/>
      <c r="K49" s="6"/>
      <c r="L49" s="6"/>
      <c r="M49" s="6"/>
      <c r="N49" s="6"/>
      <c r="O49" s="6"/>
      <c r="P49" s="6"/>
      <c r="Q49" s="6"/>
      <c r="R49" s="6"/>
      <c r="S49" s="6"/>
      <c r="T49" s="6"/>
      <c r="U49" s="6"/>
      <c r="V49" s="6"/>
      <c r="W49" s="7"/>
    </row>
    <row r="50" spans="1:23" ht="24" customHeight="1">
      <c r="A50" s="1"/>
      <c r="B50" s="268" t="s">
        <v>480</v>
      </c>
      <c r="C50" s="269"/>
      <c r="D50" s="269"/>
      <c r="E50" s="269"/>
      <c r="F50" s="269"/>
      <c r="G50" s="269"/>
      <c r="H50" s="269"/>
      <c r="I50" s="269"/>
      <c r="J50" s="269"/>
      <c r="K50" s="269"/>
      <c r="L50" s="269"/>
      <c r="M50" s="269"/>
      <c r="N50" s="269"/>
      <c r="O50" s="269"/>
      <c r="P50" s="269"/>
      <c r="Q50" s="269"/>
      <c r="R50" s="269"/>
      <c r="S50" s="269"/>
      <c r="T50" s="269"/>
      <c r="U50" s="269"/>
      <c r="V50" s="269"/>
      <c r="W50" s="270"/>
    </row>
    <row r="51" spans="1:23" ht="18">
      <c r="A51" s="1"/>
      <c r="B51" s="271" t="s">
        <v>481</v>
      </c>
      <c r="C51" s="272"/>
      <c r="D51" s="272"/>
      <c r="E51" s="272"/>
      <c r="F51" s="272"/>
      <c r="G51" s="272"/>
      <c r="H51" s="272"/>
      <c r="I51" s="272"/>
      <c r="J51" s="272"/>
      <c r="K51" s="272"/>
      <c r="L51" s="272"/>
      <c r="M51" s="272"/>
      <c r="N51" s="272"/>
      <c r="O51" s="272"/>
      <c r="P51" s="272"/>
      <c r="Q51" s="272"/>
      <c r="R51" s="272"/>
      <c r="S51" s="272"/>
      <c r="T51" s="272"/>
      <c r="U51" s="272"/>
      <c r="V51" s="272"/>
      <c r="W51" s="273"/>
    </row>
    <row r="52" spans="1:23" ht="30.75" customHeight="1">
      <c r="A52" s="1"/>
      <c r="B52" s="274" t="s">
        <v>482</v>
      </c>
      <c r="C52" s="275"/>
      <c r="D52" s="275"/>
      <c r="E52" s="275"/>
      <c r="F52" s="275"/>
      <c r="G52" s="275"/>
      <c r="H52" s="275"/>
      <c r="I52" s="275"/>
      <c r="J52" s="275"/>
      <c r="K52" s="275"/>
      <c r="L52" s="275"/>
      <c r="M52" s="275"/>
      <c r="N52" s="275"/>
      <c r="O52" s="275"/>
      <c r="P52" s="275"/>
      <c r="Q52" s="275"/>
      <c r="R52" s="275"/>
      <c r="S52" s="275"/>
      <c r="T52" s="275"/>
      <c r="U52" s="275"/>
      <c r="V52" s="275"/>
      <c r="W52" s="276"/>
    </row>
    <row r="53" spans="1:23" ht="15">
      <c r="A53" s="1"/>
      <c r="B53" s="5"/>
      <c r="C53" s="6"/>
      <c r="D53" s="8"/>
      <c r="E53" s="8"/>
      <c r="F53" s="8"/>
      <c r="G53" s="8"/>
      <c r="H53" s="8"/>
      <c r="I53" s="6"/>
      <c r="J53" s="6"/>
      <c r="K53" s="6"/>
      <c r="L53" s="6"/>
      <c r="M53" s="6"/>
      <c r="N53" s="6"/>
      <c r="O53" s="6"/>
      <c r="P53" s="6"/>
      <c r="Q53" s="6"/>
      <c r="R53" s="6"/>
      <c r="S53" s="6"/>
      <c r="T53" s="6"/>
      <c r="U53" s="6"/>
      <c r="V53" s="6"/>
      <c r="W53" s="7"/>
    </row>
    <row r="54" spans="1:23" ht="15">
      <c r="A54" s="1"/>
      <c r="B54" s="279" t="s">
        <v>483</v>
      </c>
      <c r="C54" s="280"/>
      <c r="D54" s="10" t="s">
        <v>484</v>
      </c>
      <c r="E54" s="10"/>
      <c r="F54" s="10"/>
      <c r="G54" s="11"/>
      <c r="H54" s="11"/>
      <c r="I54" s="11"/>
      <c r="J54" s="11"/>
      <c r="K54" s="11"/>
      <c r="L54" s="10" t="s">
        <v>485</v>
      </c>
      <c r="M54" s="10"/>
      <c r="N54" s="10"/>
      <c r="O54" s="281" t="s">
        <v>486</v>
      </c>
      <c r="P54" s="282"/>
      <c r="Q54" s="282"/>
      <c r="R54" s="282"/>
      <c r="S54" s="282"/>
      <c r="T54" s="282" t="s">
        <v>487</v>
      </c>
      <c r="U54" s="280"/>
      <c r="V54" s="280"/>
      <c r="W54" s="285"/>
    </row>
    <row r="55" spans="1:23" ht="15">
      <c r="A55" s="1"/>
      <c r="B55" s="279" t="s">
        <v>488</v>
      </c>
      <c r="C55" s="280"/>
      <c r="D55" s="10" t="s">
        <v>489</v>
      </c>
      <c r="E55" s="10"/>
      <c r="F55" s="10"/>
      <c r="G55" s="11"/>
      <c r="H55" s="11"/>
      <c r="I55" s="11"/>
      <c r="J55" s="11"/>
      <c r="K55" s="11"/>
      <c r="L55" s="282" t="s">
        <v>490</v>
      </c>
      <c r="M55" s="280"/>
      <c r="N55" s="280"/>
      <c r="O55" s="282" t="s">
        <v>491</v>
      </c>
      <c r="P55" s="282"/>
      <c r="Q55" s="282"/>
      <c r="R55" s="282"/>
      <c r="S55" s="282"/>
      <c r="T55" s="12" t="s">
        <v>492</v>
      </c>
      <c r="U55" s="11">
        <v>1</v>
      </c>
      <c r="V55" s="11" t="s">
        <v>493</v>
      </c>
      <c r="W55" s="13">
        <v>3</v>
      </c>
    </row>
    <row r="56" spans="1:23" ht="15.75" thickBot="1">
      <c r="A56" s="1"/>
      <c r="B56" s="14"/>
      <c r="C56" s="15"/>
      <c r="D56" s="15"/>
      <c r="E56" s="15"/>
      <c r="F56" s="15"/>
      <c r="G56" s="15"/>
      <c r="H56" s="15"/>
      <c r="I56" s="11"/>
      <c r="J56" s="11"/>
      <c r="K56" s="11"/>
      <c r="L56" s="283"/>
      <c r="M56" s="283"/>
      <c r="N56" s="283"/>
      <c r="O56" s="282" t="s">
        <v>494</v>
      </c>
      <c r="P56" s="282"/>
      <c r="Q56" s="282"/>
      <c r="R56" s="284"/>
      <c r="S56" s="284"/>
      <c r="T56" s="277"/>
      <c r="U56" s="278"/>
      <c r="V56" s="11"/>
      <c r="W56" s="16"/>
    </row>
    <row r="57" spans="1:23" ht="13.5" customHeight="1" thickBot="1">
      <c r="A57" s="1"/>
      <c r="B57" s="288" t="s">
        <v>495</v>
      </c>
      <c r="C57" s="288"/>
      <c r="D57" s="257" t="s">
        <v>496</v>
      </c>
      <c r="E57" s="257"/>
      <c r="F57" s="257"/>
      <c r="G57" s="257"/>
      <c r="H57" s="257"/>
      <c r="I57" s="258" t="s">
        <v>497</v>
      </c>
      <c r="J57" s="248"/>
      <c r="K57" s="296" t="s">
        <v>552</v>
      </c>
      <c r="L57" s="261" t="s">
        <v>553</v>
      </c>
      <c r="M57" s="262"/>
      <c r="N57" s="261" t="s">
        <v>554</v>
      </c>
      <c r="O57" s="262"/>
      <c r="P57" s="261" t="s">
        <v>555</v>
      </c>
      <c r="Q57" s="262"/>
      <c r="R57" s="259" t="s">
        <v>502</v>
      </c>
      <c r="S57" s="260"/>
      <c r="T57" s="296" t="s">
        <v>556</v>
      </c>
      <c r="U57" s="261" t="s">
        <v>557</v>
      </c>
      <c r="V57" s="261" t="s">
        <v>558</v>
      </c>
      <c r="W57" s="296" t="s">
        <v>559</v>
      </c>
    </row>
    <row r="58" spans="1:23" ht="35.25" customHeight="1" thickBot="1">
      <c r="A58" s="1"/>
      <c r="B58" s="252" t="s">
        <v>506</v>
      </c>
      <c r="C58" s="252"/>
      <c r="D58" s="294" t="s">
        <v>507</v>
      </c>
      <c r="E58" s="295"/>
      <c r="F58" s="295"/>
      <c r="G58" s="295"/>
      <c r="H58" s="295"/>
      <c r="I58" s="249"/>
      <c r="J58" s="250"/>
      <c r="K58" s="297"/>
      <c r="L58" s="263"/>
      <c r="M58" s="264"/>
      <c r="N58" s="263"/>
      <c r="O58" s="264"/>
      <c r="P58" s="263"/>
      <c r="Q58" s="264"/>
      <c r="R58" s="259"/>
      <c r="S58" s="260"/>
      <c r="T58" s="297"/>
      <c r="U58" s="263"/>
      <c r="V58" s="263"/>
      <c r="W58" s="297"/>
    </row>
    <row r="59" spans="1:23" ht="40.5" customHeight="1" thickBot="1">
      <c r="A59" s="1"/>
      <c r="B59" s="286" t="s">
        <v>508</v>
      </c>
      <c r="C59" s="286"/>
      <c r="D59" s="289" t="s">
        <v>560</v>
      </c>
      <c r="E59" s="290"/>
      <c r="F59" s="290"/>
      <c r="G59" s="290"/>
      <c r="H59" s="290"/>
      <c r="I59" s="251"/>
      <c r="J59" s="247"/>
      <c r="K59" s="298"/>
      <c r="L59" s="265"/>
      <c r="M59" s="266"/>
      <c r="N59" s="265"/>
      <c r="O59" s="266"/>
      <c r="P59" s="265"/>
      <c r="Q59" s="266"/>
      <c r="R59" s="259"/>
      <c r="S59" s="260"/>
      <c r="T59" s="298"/>
      <c r="U59" s="265"/>
      <c r="V59" s="265"/>
      <c r="W59" s="298"/>
    </row>
    <row r="60" spans="1:23" ht="15.75" thickBot="1">
      <c r="A60" s="1"/>
      <c r="B60" s="17"/>
      <c r="C60" s="18"/>
      <c r="D60" s="18"/>
      <c r="E60" s="19"/>
      <c r="F60" s="19"/>
      <c r="G60" s="19"/>
      <c r="H60" s="19"/>
      <c r="I60" s="19"/>
      <c r="J60" s="19"/>
      <c r="K60" s="19"/>
      <c r="L60" s="19"/>
      <c r="M60" s="19"/>
      <c r="N60" s="19"/>
      <c r="O60" s="19"/>
      <c r="P60" s="19"/>
      <c r="Q60" s="19"/>
      <c r="R60" s="19"/>
      <c r="S60" s="19"/>
      <c r="T60" s="19"/>
      <c r="U60" s="19"/>
      <c r="V60" s="19"/>
      <c r="W60" s="19"/>
    </row>
    <row r="61" spans="1:23" ht="15.75" thickBot="1">
      <c r="A61" s="1"/>
      <c r="B61" s="312" t="s">
        <v>510</v>
      </c>
      <c r="C61" s="312"/>
      <c r="D61" s="312"/>
      <c r="E61" s="312"/>
      <c r="F61" s="312"/>
      <c r="G61" s="312"/>
      <c r="H61" s="312"/>
      <c r="I61" s="313" t="s">
        <v>511</v>
      </c>
      <c r="J61" s="313"/>
      <c r="K61" s="313"/>
      <c r="L61" s="313"/>
      <c r="M61" s="313"/>
      <c r="N61" s="313"/>
      <c r="O61" s="313"/>
      <c r="P61" s="313"/>
      <c r="Q61" s="313"/>
      <c r="R61" s="313"/>
      <c r="S61" s="313"/>
      <c r="T61" s="287" t="s">
        <v>512</v>
      </c>
      <c r="U61" s="287" t="s">
        <v>513</v>
      </c>
      <c r="V61" s="287"/>
      <c r="W61" s="287"/>
    </row>
    <row r="62" spans="1:23" ht="15.75" thickBot="1">
      <c r="A62" s="1"/>
      <c r="B62" s="316" t="s">
        <v>514</v>
      </c>
      <c r="C62" s="318" t="s">
        <v>515</v>
      </c>
      <c r="D62" s="318"/>
      <c r="E62" s="314" t="s">
        <v>516</v>
      </c>
      <c r="F62" s="314" t="s">
        <v>517</v>
      </c>
      <c r="G62" s="314" t="s">
        <v>518</v>
      </c>
      <c r="H62" s="300" t="s">
        <v>519</v>
      </c>
      <c r="I62" s="302" t="s">
        <v>520</v>
      </c>
      <c r="J62" s="303"/>
      <c r="K62" s="303"/>
      <c r="L62" s="303"/>
      <c r="M62" s="303"/>
      <c r="N62" s="303"/>
      <c r="O62" s="303"/>
      <c r="P62" s="303"/>
      <c r="Q62" s="304" t="s">
        <v>521</v>
      </c>
      <c r="R62" s="320" t="s">
        <v>522</v>
      </c>
      <c r="S62" s="299" t="s">
        <v>523</v>
      </c>
      <c r="T62" s="287"/>
      <c r="U62" s="287"/>
      <c r="V62" s="287"/>
      <c r="W62" s="287"/>
    </row>
    <row r="63" spans="1:23" ht="63" customHeight="1" thickBot="1">
      <c r="A63" s="1"/>
      <c r="B63" s="317"/>
      <c r="C63" s="319"/>
      <c r="D63" s="319"/>
      <c r="E63" s="315"/>
      <c r="F63" s="315"/>
      <c r="G63" s="315"/>
      <c r="H63" s="301"/>
      <c r="I63" s="20" t="s">
        <v>524</v>
      </c>
      <c r="J63" s="21" t="s">
        <v>525</v>
      </c>
      <c r="K63" s="22" t="s">
        <v>526</v>
      </c>
      <c r="L63" s="22" t="s">
        <v>527</v>
      </c>
      <c r="M63" s="22" t="s">
        <v>528</v>
      </c>
      <c r="N63" s="22" t="s">
        <v>529</v>
      </c>
      <c r="O63" s="22" t="s">
        <v>530</v>
      </c>
      <c r="P63" s="23" t="s">
        <v>531</v>
      </c>
      <c r="Q63" s="305"/>
      <c r="R63" s="320"/>
      <c r="S63" s="299"/>
      <c r="T63" s="287"/>
      <c r="U63" s="287"/>
      <c r="V63" s="287"/>
      <c r="W63" s="287"/>
    </row>
    <row r="64" spans="1:23" ht="31.5" customHeight="1">
      <c r="A64" s="1"/>
      <c r="B64" s="72">
        <v>1</v>
      </c>
      <c r="C64" s="306" t="s">
        <v>561</v>
      </c>
      <c r="D64" s="306"/>
      <c r="E64" s="73">
        <v>80</v>
      </c>
      <c r="F64" s="27">
        <v>60</v>
      </c>
      <c r="G64" s="28">
        <f>+F64/E64</f>
        <v>0.75</v>
      </c>
      <c r="H64" s="29">
        <f>+F64/E64</f>
        <v>0.75</v>
      </c>
      <c r="I64" s="30">
        <v>3000</v>
      </c>
      <c r="J64" s="32">
        <v>500</v>
      </c>
      <c r="K64" s="32"/>
      <c r="L64" s="32"/>
      <c r="M64" s="32"/>
      <c r="N64" s="32"/>
      <c r="O64" s="32"/>
      <c r="P64" s="74"/>
      <c r="Q64" s="75">
        <f>+SUM(I64:P64)</f>
        <v>3500</v>
      </c>
      <c r="R64" s="76">
        <v>1200</v>
      </c>
      <c r="S64" s="36">
        <f>R64/Q64</f>
        <v>0.34285714285714286</v>
      </c>
      <c r="T64" s="37" t="s">
        <v>549</v>
      </c>
      <c r="U64" s="307"/>
      <c r="V64" s="307"/>
      <c r="W64" s="307"/>
    </row>
    <row r="65" spans="1:23" ht="31.5" customHeight="1">
      <c r="A65" s="1"/>
      <c r="B65" s="77">
        <v>2</v>
      </c>
      <c r="C65" s="308" t="s">
        <v>562</v>
      </c>
      <c r="D65" s="308"/>
      <c r="E65" s="78">
        <v>80</v>
      </c>
      <c r="F65" s="41">
        <v>60</v>
      </c>
      <c r="G65" s="42">
        <f>+F65/E65</f>
        <v>0.75</v>
      </c>
      <c r="H65" s="43">
        <f>+F65/E65</f>
        <v>0.75</v>
      </c>
      <c r="I65" s="44">
        <v>5000</v>
      </c>
      <c r="J65" s="46">
        <v>2000</v>
      </c>
      <c r="K65" s="46"/>
      <c r="L65" s="46"/>
      <c r="M65" s="46"/>
      <c r="N65" s="46"/>
      <c r="O65" s="46"/>
      <c r="P65" s="74"/>
      <c r="Q65" s="75">
        <f>+SUM(I65:P65)</f>
        <v>7000</v>
      </c>
      <c r="R65" s="76">
        <f>9500+896+1641</f>
        <v>12037</v>
      </c>
      <c r="S65" s="36">
        <f>R65/Q65</f>
        <v>1.7195714285714285</v>
      </c>
      <c r="T65" s="37" t="s">
        <v>549</v>
      </c>
      <c r="U65" s="322"/>
      <c r="V65" s="322"/>
      <c r="W65" s="322"/>
    </row>
    <row r="66" spans="1:23" ht="31.5" customHeight="1">
      <c r="A66" s="1"/>
      <c r="B66" s="77">
        <v>3</v>
      </c>
      <c r="C66" s="308" t="s">
        <v>563</v>
      </c>
      <c r="D66" s="308"/>
      <c r="E66" s="78">
        <v>80</v>
      </c>
      <c r="F66" s="41">
        <v>60</v>
      </c>
      <c r="G66" s="42">
        <f>+F66/E66</f>
        <v>0.75</v>
      </c>
      <c r="H66" s="43">
        <f>+F66/E66</f>
        <v>0.75</v>
      </c>
      <c r="I66" s="44"/>
      <c r="J66" s="46">
        <v>2500</v>
      </c>
      <c r="K66" s="46"/>
      <c r="L66" s="46"/>
      <c r="M66" s="46"/>
      <c r="N66" s="46"/>
      <c r="O66" s="46"/>
      <c r="P66" s="74"/>
      <c r="Q66" s="75">
        <f>+SUM(I66:P66)</f>
        <v>2500</v>
      </c>
      <c r="R66" s="76"/>
      <c r="S66" s="36">
        <f>R66/Q66</f>
        <v>0</v>
      </c>
      <c r="T66" s="37" t="s">
        <v>549</v>
      </c>
      <c r="U66" s="322"/>
      <c r="V66" s="322"/>
      <c r="W66" s="322"/>
    </row>
    <row r="67" spans="1:23" ht="31.5" customHeight="1">
      <c r="A67" s="1"/>
      <c r="B67" s="77">
        <v>4</v>
      </c>
      <c r="C67" s="308" t="s">
        <v>564</v>
      </c>
      <c r="D67" s="308"/>
      <c r="E67" s="78">
        <v>80</v>
      </c>
      <c r="F67" s="41">
        <v>60</v>
      </c>
      <c r="G67" s="42">
        <f>+F67/E67</f>
        <v>0.75</v>
      </c>
      <c r="H67" s="43">
        <f>+F67/E67</f>
        <v>0.75</v>
      </c>
      <c r="I67" s="44">
        <v>4000</v>
      </c>
      <c r="J67" s="46">
        <v>1000</v>
      </c>
      <c r="K67" s="46"/>
      <c r="L67" s="46"/>
      <c r="M67" s="46"/>
      <c r="N67" s="46"/>
      <c r="O67" s="46"/>
      <c r="P67" s="74"/>
      <c r="Q67" s="75">
        <f>+SUM(I67:P67)</f>
        <v>5000</v>
      </c>
      <c r="R67" s="76">
        <v>7250</v>
      </c>
      <c r="S67" s="36">
        <f>R67/Q67</f>
        <v>1.45</v>
      </c>
      <c r="T67" s="37" t="s">
        <v>549</v>
      </c>
      <c r="U67" s="322"/>
      <c r="V67" s="322"/>
      <c r="W67" s="322"/>
    </row>
    <row r="68" spans="1:23" ht="31.5" customHeight="1">
      <c r="A68" s="1"/>
      <c r="B68" s="50"/>
      <c r="C68" s="324"/>
      <c r="D68" s="324"/>
      <c r="E68" s="51"/>
      <c r="F68" s="52"/>
      <c r="G68" s="53"/>
      <c r="H68" s="54"/>
      <c r="I68" s="55"/>
      <c r="J68" s="45"/>
      <c r="K68" s="45"/>
      <c r="L68" s="45"/>
      <c r="M68" s="45"/>
      <c r="N68" s="45"/>
      <c r="O68" s="45"/>
      <c r="P68" s="56"/>
      <c r="Q68" s="75"/>
      <c r="R68" s="76"/>
      <c r="S68" s="36"/>
      <c r="T68" s="58"/>
      <c r="U68" s="322"/>
      <c r="V68" s="322"/>
      <c r="W68" s="322"/>
    </row>
    <row r="69" spans="1:23" ht="31.5" customHeight="1" thickBot="1">
      <c r="A69" s="1"/>
      <c r="B69" s="59"/>
      <c r="C69" s="310" t="s">
        <v>541</v>
      </c>
      <c r="D69" s="310"/>
      <c r="E69" s="60"/>
      <c r="F69" s="61"/>
      <c r="G69" s="62"/>
      <c r="H69" s="63"/>
      <c r="I69" s="64">
        <f aca="true" t="shared" si="2" ref="I69:R69">+SUM(I64:I68)</f>
        <v>12000</v>
      </c>
      <c r="J69" s="64">
        <f t="shared" si="2"/>
        <v>6000</v>
      </c>
      <c r="K69" s="64">
        <f t="shared" si="2"/>
        <v>0</v>
      </c>
      <c r="L69" s="64">
        <f t="shared" si="2"/>
        <v>0</v>
      </c>
      <c r="M69" s="64">
        <f t="shared" si="2"/>
        <v>0</v>
      </c>
      <c r="N69" s="64">
        <f t="shared" si="2"/>
        <v>0</v>
      </c>
      <c r="O69" s="64">
        <f t="shared" si="2"/>
        <v>0</v>
      </c>
      <c r="P69" s="64">
        <f t="shared" si="2"/>
        <v>0</v>
      </c>
      <c r="Q69" s="79">
        <f t="shared" si="2"/>
        <v>18000</v>
      </c>
      <c r="R69" s="79">
        <f t="shared" si="2"/>
        <v>20487</v>
      </c>
      <c r="S69" s="66">
        <f>+R69/Q69</f>
        <v>1.1381666666666668</v>
      </c>
      <c r="T69" s="67"/>
      <c r="U69" s="311"/>
      <c r="V69" s="311"/>
      <c r="W69" s="311"/>
    </row>
    <row r="70" spans="1:23" ht="32.25" customHeight="1" thickBot="1">
      <c r="A70" s="1"/>
      <c r="B70" s="80"/>
      <c r="C70" s="81"/>
      <c r="D70" s="81"/>
      <c r="E70" s="80"/>
      <c r="F70" s="80"/>
      <c r="G70" s="80"/>
      <c r="H70" s="80"/>
      <c r="I70" s="80"/>
      <c r="J70" s="80"/>
      <c r="K70" s="80"/>
      <c r="L70" s="80"/>
      <c r="M70" s="80"/>
      <c r="N70" s="80"/>
      <c r="O70" s="80"/>
      <c r="P70" s="80"/>
      <c r="Q70" s="80"/>
      <c r="R70" s="80"/>
      <c r="S70" s="80"/>
      <c r="T70" s="82"/>
      <c r="U70" s="80"/>
      <c r="V70" s="80"/>
      <c r="W70" s="80"/>
    </row>
    <row r="71" spans="1:23" ht="15.75">
      <c r="A71" s="1"/>
      <c r="B71" s="267" t="s">
        <v>479</v>
      </c>
      <c r="C71" s="267"/>
      <c r="D71" s="267"/>
      <c r="E71" s="267"/>
      <c r="F71" s="267"/>
      <c r="G71" s="267"/>
      <c r="H71" s="267"/>
      <c r="I71" s="267"/>
      <c r="J71" s="267"/>
      <c r="K71" s="267"/>
      <c r="L71" s="267"/>
      <c r="M71" s="267"/>
      <c r="N71" s="267"/>
      <c r="O71" s="267"/>
      <c r="P71" s="267"/>
      <c r="Q71" s="267"/>
      <c r="R71" s="267"/>
      <c r="S71" s="267"/>
      <c r="T71" s="267"/>
      <c r="U71" s="267"/>
      <c r="V71" s="267"/>
      <c r="W71" s="267"/>
    </row>
    <row r="72" spans="1:23" ht="15">
      <c r="A72" s="1"/>
      <c r="B72" s="5"/>
      <c r="C72" s="6"/>
      <c r="D72" s="6"/>
      <c r="E72" s="6"/>
      <c r="F72" s="6"/>
      <c r="G72" s="6"/>
      <c r="H72" s="6"/>
      <c r="I72" s="6"/>
      <c r="J72" s="6"/>
      <c r="K72" s="6"/>
      <c r="L72" s="6"/>
      <c r="M72" s="6"/>
      <c r="N72" s="6"/>
      <c r="O72" s="6"/>
      <c r="P72" s="6"/>
      <c r="Q72" s="6"/>
      <c r="R72" s="6"/>
      <c r="S72" s="6"/>
      <c r="T72" s="6"/>
      <c r="U72" s="6"/>
      <c r="V72" s="6"/>
      <c r="W72" s="7"/>
    </row>
    <row r="73" spans="2:23" ht="20.25">
      <c r="B73" s="268" t="s">
        <v>480</v>
      </c>
      <c r="C73" s="269"/>
      <c r="D73" s="269"/>
      <c r="E73" s="269"/>
      <c r="F73" s="269"/>
      <c r="G73" s="269"/>
      <c r="H73" s="269"/>
      <c r="I73" s="269"/>
      <c r="J73" s="269"/>
      <c r="K73" s="269"/>
      <c r="L73" s="269"/>
      <c r="M73" s="269"/>
      <c r="N73" s="269"/>
      <c r="O73" s="269"/>
      <c r="P73" s="269"/>
      <c r="Q73" s="269"/>
      <c r="R73" s="269"/>
      <c r="S73" s="269"/>
      <c r="T73" s="269"/>
      <c r="U73" s="269"/>
      <c r="V73" s="269"/>
      <c r="W73" s="270"/>
    </row>
    <row r="74" spans="2:23" ht="30" customHeight="1">
      <c r="B74" s="271" t="s">
        <v>481</v>
      </c>
      <c r="C74" s="272"/>
      <c r="D74" s="272"/>
      <c r="E74" s="272"/>
      <c r="F74" s="272"/>
      <c r="G74" s="272"/>
      <c r="H74" s="272"/>
      <c r="I74" s="272"/>
      <c r="J74" s="272"/>
      <c r="K74" s="272"/>
      <c r="L74" s="272"/>
      <c r="M74" s="272"/>
      <c r="N74" s="272"/>
      <c r="O74" s="272"/>
      <c r="P74" s="272"/>
      <c r="Q74" s="272"/>
      <c r="R74" s="272"/>
      <c r="S74" s="272"/>
      <c r="T74" s="272"/>
      <c r="U74" s="272"/>
      <c r="V74" s="272"/>
      <c r="W74" s="273"/>
    </row>
    <row r="75" spans="2:23" ht="18">
      <c r="B75" s="274" t="s">
        <v>482</v>
      </c>
      <c r="C75" s="275"/>
      <c r="D75" s="275"/>
      <c r="E75" s="275"/>
      <c r="F75" s="275"/>
      <c r="G75" s="275"/>
      <c r="H75" s="275"/>
      <c r="I75" s="275"/>
      <c r="J75" s="275"/>
      <c r="K75" s="275"/>
      <c r="L75" s="275"/>
      <c r="M75" s="275"/>
      <c r="N75" s="275"/>
      <c r="O75" s="275"/>
      <c r="P75" s="275"/>
      <c r="Q75" s="275"/>
      <c r="R75" s="275"/>
      <c r="S75" s="275"/>
      <c r="T75" s="275"/>
      <c r="U75" s="275"/>
      <c r="V75" s="275"/>
      <c r="W75" s="276"/>
    </row>
    <row r="76" spans="1:23" ht="15">
      <c r="A76" s="1"/>
      <c r="B76" s="5"/>
      <c r="C76" s="6"/>
      <c r="D76" s="8"/>
      <c r="E76" s="8"/>
      <c r="F76" s="8"/>
      <c r="G76" s="8"/>
      <c r="H76" s="8"/>
      <c r="I76" s="6"/>
      <c r="J76" s="6"/>
      <c r="K76" s="6"/>
      <c r="L76" s="6"/>
      <c r="M76" s="6"/>
      <c r="N76" s="6"/>
      <c r="O76" s="6"/>
      <c r="P76" s="6"/>
      <c r="Q76" s="6"/>
      <c r="R76" s="6"/>
      <c r="S76" s="6"/>
      <c r="T76" s="6"/>
      <c r="U76" s="6"/>
      <c r="V76" s="6"/>
      <c r="W76" s="7"/>
    </row>
    <row r="77" spans="1:23" ht="15">
      <c r="A77" s="1"/>
      <c r="B77" s="279" t="s">
        <v>483</v>
      </c>
      <c r="C77" s="280"/>
      <c r="D77" s="10" t="s">
        <v>484</v>
      </c>
      <c r="E77" s="10"/>
      <c r="F77" s="10"/>
      <c r="G77" s="11"/>
      <c r="H77" s="11"/>
      <c r="I77" s="11"/>
      <c r="J77" s="11"/>
      <c r="K77" s="11"/>
      <c r="L77" s="10" t="s">
        <v>485</v>
      </c>
      <c r="M77" s="10"/>
      <c r="N77" s="10"/>
      <c r="O77" s="281" t="s">
        <v>486</v>
      </c>
      <c r="P77" s="282"/>
      <c r="Q77" s="282"/>
      <c r="R77" s="282"/>
      <c r="S77" s="282"/>
      <c r="T77" s="282" t="s">
        <v>487</v>
      </c>
      <c r="U77" s="280"/>
      <c r="V77" s="280"/>
      <c r="W77" s="285"/>
    </row>
    <row r="78" spans="1:23" ht="15">
      <c r="A78" s="1"/>
      <c r="B78" s="279" t="s">
        <v>488</v>
      </c>
      <c r="C78" s="280"/>
      <c r="D78" s="10" t="s">
        <v>489</v>
      </c>
      <c r="E78" s="10"/>
      <c r="F78" s="10"/>
      <c r="G78" s="11"/>
      <c r="H78" s="11"/>
      <c r="I78" s="11"/>
      <c r="J78" s="11"/>
      <c r="K78" s="11"/>
      <c r="L78" s="282" t="s">
        <v>490</v>
      </c>
      <c r="M78" s="280"/>
      <c r="N78" s="280"/>
      <c r="O78" s="282" t="s">
        <v>491</v>
      </c>
      <c r="P78" s="282"/>
      <c r="Q78" s="282"/>
      <c r="R78" s="282"/>
      <c r="S78" s="282"/>
      <c r="T78" s="12" t="s">
        <v>492</v>
      </c>
      <c r="U78" s="11">
        <v>1</v>
      </c>
      <c r="V78" s="11" t="s">
        <v>493</v>
      </c>
      <c r="W78" s="13">
        <v>4</v>
      </c>
    </row>
    <row r="79" spans="1:23" ht="15.75" thickBot="1">
      <c r="A79" s="1"/>
      <c r="B79" s="83"/>
      <c r="C79" s="11"/>
      <c r="D79" s="11"/>
      <c r="E79" s="11"/>
      <c r="F79" s="11"/>
      <c r="G79" s="11"/>
      <c r="H79" s="11"/>
      <c r="I79" s="11"/>
      <c r="J79" s="11"/>
      <c r="K79" s="11"/>
      <c r="L79" s="283"/>
      <c r="M79" s="283"/>
      <c r="N79" s="283"/>
      <c r="O79" s="282" t="s">
        <v>494</v>
      </c>
      <c r="P79" s="282"/>
      <c r="Q79" s="282"/>
      <c r="R79" s="284"/>
      <c r="S79" s="284"/>
      <c r="T79" s="278"/>
      <c r="U79" s="278"/>
      <c r="V79" s="11"/>
      <c r="W79" s="16"/>
    </row>
    <row r="80" spans="1:23" ht="13.5" customHeight="1" thickBot="1">
      <c r="A80" s="1"/>
      <c r="B80" s="325" t="s">
        <v>495</v>
      </c>
      <c r="C80" s="326"/>
      <c r="D80" s="327" t="s">
        <v>496</v>
      </c>
      <c r="E80" s="327"/>
      <c r="F80" s="327"/>
      <c r="G80" s="327"/>
      <c r="H80" s="327"/>
      <c r="I80" s="258" t="s">
        <v>497</v>
      </c>
      <c r="J80" s="248"/>
      <c r="K80" s="261" t="s">
        <v>565</v>
      </c>
      <c r="L80" s="291"/>
      <c r="M80" s="262"/>
      <c r="N80" s="261" t="s">
        <v>566</v>
      </c>
      <c r="O80" s="291"/>
      <c r="P80" s="291"/>
      <c r="Q80" s="262"/>
      <c r="R80" s="259" t="s">
        <v>502</v>
      </c>
      <c r="S80" s="260"/>
      <c r="T80" s="261" t="s">
        <v>565</v>
      </c>
      <c r="U80" s="262"/>
      <c r="V80" s="261" t="s">
        <v>566</v>
      </c>
      <c r="W80" s="262"/>
    </row>
    <row r="81" spans="1:23" ht="15.75" thickBot="1">
      <c r="A81" s="1"/>
      <c r="B81" s="328" t="s">
        <v>506</v>
      </c>
      <c r="C81" s="252"/>
      <c r="D81" s="294" t="s">
        <v>507</v>
      </c>
      <c r="E81" s="295"/>
      <c r="F81" s="295"/>
      <c r="G81" s="295"/>
      <c r="H81" s="295"/>
      <c r="I81" s="249"/>
      <c r="J81" s="250"/>
      <c r="K81" s="263"/>
      <c r="L81" s="292"/>
      <c r="M81" s="264"/>
      <c r="N81" s="263"/>
      <c r="O81" s="292"/>
      <c r="P81" s="292"/>
      <c r="Q81" s="264"/>
      <c r="R81" s="259"/>
      <c r="S81" s="260"/>
      <c r="T81" s="263"/>
      <c r="U81" s="264"/>
      <c r="V81" s="263"/>
      <c r="W81" s="264"/>
    </row>
    <row r="82" spans="1:23" ht="78" customHeight="1" thickBot="1">
      <c r="A82" s="1"/>
      <c r="B82" s="331" t="s">
        <v>508</v>
      </c>
      <c r="C82" s="332"/>
      <c r="D82" s="333" t="s">
        <v>567</v>
      </c>
      <c r="E82" s="334"/>
      <c r="F82" s="334"/>
      <c r="G82" s="334"/>
      <c r="H82" s="335"/>
      <c r="I82" s="251"/>
      <c r="J82" s="247"/>
      <c r="K82" s="265"/>
      <c r="L82" s="293"/>
      <c r="M82" s="266"/>
      <c r="N82" s="265"/>
      <c r="O82" s="293"/>
      <c r="P82" s="293"/>
      <c r="Q82" s="266"/>
      <c r="R82" s="259"/>
      <c r="S82" s="260"/>
      <c r="T82" s="265"/>
      <c r="U82" s="266"/>
      <c r="V82" s="265"/>
      <c r="W82" s="266"/>
    </row>
    <row r="83" spans="1:23" ht="15.75" customHeight="1" thickBot="1">
      <c r="A83" s="1"/>
      <c r="B83" s="84"/>
      <c r="C83" s="85"/>
      <c r="D83" s="86"/>
      <c r="E83" s="87"/>
      <c r="F83" s="87"/>
      <c r="G83" s="87"/>
      <c r="H83" s="87"/>
      <c r="I83" s="84"/>
      <c r="J83" s="84"/>
      <c r="K83" s="84"/>
      <c r="L83" s="84"/>
      <c r="M83" s="84"/>
      <c r="N83" s="84"/>
      <c r="O83" s="84"/>
      <c r="P83" s="84"/>
      <c r="Q83" s="84"/>
      <c r="R83" s="84"/>
      <c r="S83" s="84"/>
      <c r="T83" s="19"/>
      <c r="U83" s="19"/>
      <c r="V83" s="19"/>
      <c r="W83" s="19"/>
    </row>
    <row r="84" spans="1:23" ht="15.75" thickBot="1">
      <c r="A84" s="1"/>
      <c r="B84" s="341" t="s">
        <v>510</v>
      </c>
      <c r="C84" s="342"/>
      <c r="D84" s="342"/>
      <c r="E84" s="342"/>
      <c r="F84" s="342"/>
      <c r="G84" s="342"/>
      <c r="H84" s="342"/>
      <c r="I84" s="343" t="s">
        <v>511</v>
      </c>
      <c r="J84" s="343"/>
      <c r="K84" s="343"/>
      <c r="L84" s="343"/>
      <c r="M84" s="343"/>
      <c r="N84" s="343"/>
      <c r="O84" s="343"/>
      <c r="P84" s="343"/>
      <c r="Q84" s="343"/>
      <c r="R84" s="343"/>
      <c r="S84" s="344"/>
      <c r="T84" s="345" t="s">
        <v>512</v>
      </c>
      <c r="U84" s="287" t="s">
        <v>513</v>
      </c>
      <c r="V84" s="287"/>
      <c r="W84" s="287"/>
    </row>
    <row r="85" spans="1:23" ht="15.75" thickBot="1">
      <c r="A85" s="1"/>
      <c r="B85" s="346" t="s">
        <v>514</v>
      </c>
      <c r="C85" s="347" t="s">
        <v>515</v>
      </c>
      <c r="D85" s="347"/>
      <c r="E85" s="329" t="s">
        <v>516</v>
      </c>
      <c r="F85" s="329" t="s">
        <v>517</v>
      </c>
      <c r="G85" s="329" t="s">
        <v>518</v>
      </c>
      <c r="H85" s="330" t="s">
        <v>519</v>
      </c>
      <c r="I85" s="337" t="s">
        <v>520</v>
      </c>
      <c r="J85" s="338"/>
      <c r="K85" s="338"/>
      <c r="L85" s="338"/>
      <c r="M85" s="338"/>
      <c r="N85" s="338"/>
      <c r="O85" s="338"/>
      <c r="P85" s="338"/>
      <c r="Q85" s="339" t="s">
        <v>521</v>
      </c>
      <c r="R85" s="340" t="s">
        <v>522</v>
      </c>
      <c r="S85" s="336" t="s">
        <v>523</v>
      </c>
      <c r="T85" s="287"/>
      <c r="U85" s="287"/>
      <c r="V85" s="287"/>
      <c r="W85" s="287"/>
    </row>
    <row r="86" spans="1:23" ht="78.75" customHeight="1" thickBot="1">
      <c r="A86" s="1"/>
      <c r="B86" s="317"/>
      <c r="C86" s="319"/>
      <c r="D86" s="319"/>
      <c r="E86" s="315"/>
      <c r="F86" s="315"/>
      <c r="G86" s="315"/>
      <c r="H86" s="301"/>
      <c r="I86" s="20" t="s">
        <v>524</v>
      </c>
      <c r="J86" s="21" t="s">
        <v>525</v>
      </c>
      <c r="K86" s="22" t="s">
        <v>526</v>
      </c>
      <c r="L86" s="22" t="s">
        <v>527</v>
      </c>
      <c r="M86" s="22" t="s">
        <v>528</v>
      </c>
      <c r="N86" s="22" t="s">
        <v>529</v>
      </c>
      <c r="O86" s="22" t="s">
        <v>530</v>
      </c>
      <c r="P86" s="23" t="s">
        <v>531</v>
      </c>
      <c r="Q86" s="305"/>
      <c r="R86" s="320"/>
      <c r="S86" s="299"/>
      <c r="T86" s="287"/>
      <c r="U86" s="287"/>
      <c r="V86" s="287"/>
      <c r="W86" s="287"/>
    </row>
    <row r="87" spans="1:23" ht="32.25" customHeight="1">
      <c r="A87" s="1"/>
      <c r="B87" s="72">
        <v>1</v>
      </c>
      <c r="C87" s="306" t="s">
        <v>568</v>
      </c>
      <c r="D87" s="306"/>
      <c r="E87" s="73">
        <v>1</v>
      </c>
      <c r="F87" s="27">
        <v>1</v>
      </c>
      <c r="G87" s="28">
        <f>+F87/E87</f>
        <v>1</v>
      </c>
      <c r="H87" s="29">
        <f>+F87/E87</f>
        <v>1</v>
      </c>
      <c r="I87" s="30"/>
      <c r="J87" s="32">
        <v>2000</v>
      </c>
      <c r="K87" s="32"/>
      <c r="L87" s="32"/>
      <c r="M87" s="31"/>
      <c r="N87" s="31"/>
      <c r="O87" s="31"/>
      <c r="P87" s="74"/>
      <c r="Q87" s="75">
        <f>+SUM(I87:P87)</f>
        <v>2000</v>
      </c>
      <c r="R87" s="76">
        <v>5999</v>
      </c>
      <c r="S87" s="36">
        <f>R87/Q87</f>
        <v>2.9995</v>
      </c>
      <c r="T87" s="37" t="s">
        <v>569</v>
      </c>
      <c r="U87" s="307"/>
      <c r="V87" s="307"/>
      <c r="W87" s="307"/>
    </row>
    <row r="88" spans="1:23" ht="32.25" customHeight="1">
      <c r="A88" s="1"/>
      <c r="B88" s="77">
        <v>2</v>
      </c>
      <c r="C88" s="308" t="s">
        <v>570</v>
      </c>
      <c r="D88" s="308"/>
      <c r="E88" s="78">
        <v>95</v>
      </c>
      <c r="F88" s="41">
        <v>95</v>
      </c>
      <c r="G88" s="42">
        <f>+F88/E88</f>
        <v>1</v>
      </c>
      <c r="H88" s="43">
        <f>+F88/E88</f>
        <v>1</v>
      </c>
      <c r="I88" s="44">
        <v>3000</v>
      </c>
      <c r="J88" s="46"/>
      <c r="K88" s="46"/>
      <c r="L88" s="46"/>
      <c r="M88" s="45"/>
      <c r="N88" s="45"/>
      <c r="O88" s="45"/>
      <c r="P88" s="74"/>
      <c r="Q88" s="75">
        <f>+SUM(I88:P88)</f>
        <v>3000</v>
      </c>
      <c r="R88" s="76">
        <v>1000</v>
      </c>
      <c r="S88" s="36">
        <f>R88/Q88</f>
        <v>0.3333333333333333</v>
      </c>
      <c r="T88" s="37" t="s">
        <v>569</v>
      </c>
      <c r="U88" s="322"/>
      <c r="V88" s="322"/>
      <c r="W88" s="322"/>
    </row>
    <row r="89" spans="1:23" ht="32.25" customHeight="1">
      <c r="A89" s="1"/>
      <c r="B89" s="77"/>
      <c r="C89" s="308"/>
      <c r="D89" s="308"/>
      <c r="E89" s="78"/>
      <c r="F89" s="41"/>
      <c r="G89" s="42"/>
      <c r="H89" s="43"/>
      <c r="I89" s="44"/>
      <c r="J89" s="45"/>
      <c r="K89" s="46"/>
      <c r="L89" s="46"/>
      <c r="M89" s="45"/>
      <c r="N89" s="45"/>
      <c r="O89" s="45"/>
      <c r="P89" s="74"/>
      <c r="Q89" s="75"/>
      <c r="R89" s="76"/>
      <c r="S89" s="36"/>
      <c r="T89" s="37"/>
      <c r="U89" s="322"/>
      <c r="V89" s="322"/>
      <c r="W89" s="322"/>
    </row>
    <row r="90" spans="1:23" ht="32.25" customHeight="1">
      <c r="A90" s="1"/>
      <c r="B90" s="77"/>
      <c r="C90" s="308"/>
      <c r="D90" s="308"/>
      <c r="E90" s="78"/>
      <c r="F90" s="41"/>
      <c r="G90" s="42"/>
      <c r="H90" s="43"/>
      <c r="I90" s="44"/>
      <c r="J90" s="45"/>
      <c r="K90" s="46"/>
      <c r="L90" s="46"/>
      <c r="M90" s="45"/>
      <c r="N90" s="45"/>
      <c r="O90" s="45"/>
      <c r="P90" s="74"/>
      <c r="Q90" s="75"/>
      <c r="R90" s="76"/>
      <c r="S90" s="36"/>
      <c r="T90" s="37"/>
      <c r="U90" s="322"/>
      <c r="V90" s="322"/>
      <c r="W90" s="322"/>
    </row>
    <row r="91" spans="1:23" ht="32.25" customHeight="1">
      <c r="A91" s="1"/>
      <c r="B91" s="50"/>
      <c r="C91" s="324"/>
      <c r="D91" s="324"/>
      <c r="E91" s="51"/>
      <c r="F91" s="52"/>
      <c r="G91" s="53"/>
      <c r="H91" s="54"/>
      <c r="I91" s="55"/>
      <c r="J91" s="45"/>
      <c r="K91" s="45"/>
      <c r="L91" s="45"/>
      <c r="M91" s="45"/>
      <c r="N91" s="45"/>
      <c r="O91" s="45"/>
      <c r="P91" s="56"/>
      <c r="Q91" s="75"/>
      <c r="R91" s="76"/>
      <c r="S91" s="36"/>
      <c r="T91" s="58"/>
      <c r="U91" s="322"/>
      <c r="V91" s="322"/>
      <c r="W91" s="322"/>
    </row>
    <row r="92" spans="1:23" ht="32.25" customHeight="1" thickBot="1">
      <c r="A92" s="1"/>
      <c r="B92" s="59"/>
      <c r="C92" s="310" t="s">
        <v>541</v>
      </c>
      <c r="D92" s="310"/>
      <c r="E92" s="60"/>
      <c r="F92" s="61"/>
      <c r="G92" s="62"/>
      <c r="H92" s="63"/>
      <c r="I92" s="64">
        <f aca="true" t="shared" si="3" ref="I92:R92">+SUM(I87:I91)</f>
        <v>3000</v>
      </c>
      <c r="J92" s="64">
        <f t="shared" si="3"/>
        <v>2000</v>
      </c>
      <c r="K92" s="64">
        <f t="shared" si="3"/>
        <v>0</v>
      </c>
      <c r="L92" s="64">
        <f t="shared" si="3"/>
        <v>0</v>
      </c>
      <c r="M92" s="64">
        <f t="shared" si="3"/>
        <v>0</v>
      </c>
      <c r="N92" s="64">
        <f t="shared" si="3"/>
        <v>0</v>
      </c>
      <c r="O92" s="64">
        <f t="shared" si="3"/>
        <v>0</v>
      </c>
      <c r="P92" s="64">
        <f t="shared" si="3"/>
        <v>0</v>
      </c>
      <c r="Q92" s="79">
        <f t="shared" si="3"/>
        <v>5000</v>
      </c>
      <c r="R92" s="79">
        <f t="shared" si="3"/>
        <v>6999</v>
      </c>
      <c r="S92" s="66">
        <f>+R92/Q92</f>
        <v>1.3998</v>
      </c>
      <c r="T92" s="67"/>
      <c r="U92" s="311"/>
      <c r="V92" s="311"/>
      <c r="W92" s="311"/>
    </row>
    <row r="93" spans="1:23" ht="15.75" thickBot="1">
      <c r="A93" s="1"/>
      <c r="B93" s="80"/>
      <c r="C93" s="81"/>
      <c r="D93" s="81"/>
      <c r="E93" s="80"/>
      <c r="F93" s="80"/>
      <c r="G93" s="80"/>
      <c r="H93" s="80"/>
      <c r="I93" s="80"/>
      <c r="J93" s="80"/>
      <c r="K93" s="80"/>
      <c r="L93" s="80"/>
      <c r="M93" s="80"/>
      <c r="N93" s="80"/>
      <c r="O93" s="80"/>
      <c r="P93" s="80"/>
      <c r="Q93" s="80"/>
      <c r="R93" s="80"/>
      <c r="S93" s="80"/>
      <c r="T93" s="80"/>
      <c r="U93" s="80"/>
      <c r="V93" s="80"/>
      <c r="W93" s="80"/>
    </row>
    <row r="94" spans="1:23" ht="15.75">
      <c r="A94" s="1"/>
      <c r="B94" s="267" t="s">
        <v>479</v>
      </c>
      <c r="C94" s="267"/>
      <c r="D94" s="267"/>
      <c r="E94" s="267"/>
      <c r="F94" s="267"/>
      <c r="G94" s="267"/>
      <c r="H94" s="267"/>
      <c r="I94" s="267"/>
      <c r="J94" s="267"/>
      <c r="K94" s="267"/>
      <c r="L94" s="267"/>
      <c r="M94" s="267"/>
      <c r="N94" s="267"/>
      <c r="O94" s="267"/>
      <c r="P94" s="267"/>
      <c r="Q94" s="267"/>
      <c r="R94" s="267"/>
      <c r="S94" s="267"/>
      <c r="T94" s="267"/>
      <c r="U94" s="267"/>
      <c r="V94" s="267"/>
      <c r="W94" s="267"/>
    </row>
    <row r="95" spans="1:23" ht="15">
      <c r="A95" s="1"/>
      <c r="B95" s="5"/>
      <c r="C95" s="6"/>
      <c r="D95" s="6"/>
      <c r="E95" s="6"/>
      <c r="F95" s="6"/>
      <c r="G95" s="6"/>
      <c r="H95" s="6"/>
      <c r="I95" s="6"/>
      <c r="J95" s="6"/>
      <c r="K95" s="6"/>
      <c r="L95" s="6"/>
      <c r="M95" s="6"/>
      <c r="N95" s="6"/>
      <c r="O95" s="6"/>
      <c r="P95" s="6"/>
      <c r="Q95" s="6"/>
      <c r="R95" s="6"/>
      <c r="S95" s="6"/>
      <c r="T95" s="6"/>
      <c r="U95" s="6"/>
      <c r="V95" s="6"/>
      <c r="W95" s="7"/>
    </row>
    <row r="96" spans="1:23" ht="20.25" customHeight="1">
      <c r="A96" s="1"/>
      <c r="B96" s="268" t="s">
        <v>480</v>
      </c>
      <c r="C96" s="269"/>
      <c r="D96" s="269"/>
      <c r="E96" s="269"/>
      <c r="F96" s="269"/>
      <c r="G96" s="269"/>
      <c r="H96" s="269"/>
      <c r="I96" s="269"/>
      <c r="J96" s="269"/>
      <c r="K96" s="269"/>
      <c r="L96" s="269"/>
      <c r="M96" s="269"/>
      <c r="N96" s="269"/>
      <c r="O96" s="269"/>
      <c r="P96" s="269"/>
      <c r="Q96" s="269"/>
      <c r="R96" s="269"/>
      <c r="S96" s="269"/>
      <c r="T96" s="269"/>
      <c r="U96" s="269"/>
      <c r="V96" s="269"/>
      <c r="W96" s="270"/>
    </row>
    <row r="97" spans="1:23" ht="27" customHeight="1">
      <c r="A97" s="1"/>
      <c r="B97" s="271" t="s">
        <v>481</v>
      </c>
      <c r="C97" s="272"/>
      <c r="D97" s="272"/>
      <c r="E97" s="272"/>
      <c r="F97" s="272"/>
      <c r="G97" s="272"/>
      <c r="H97" s="272"/>
      <c r="I97" s="272"/>
      <c r="J97" s="272"/>
      <c r="K97" s="272"/>
      <c r="L97" s="272"/>
      <c r="M97" s="272"/>
      <c r="N97" s="272"/>
      <c r="O97" s="272"/>
      <c r="P97" s="272"/>
      <c r="Q97" s="272"/>
      <c r="R97" s="272"/>
      <c r="S97" s="272"/>
      <c r="T97" s="272"/>
      <c r="U97" s="272"/>
      <c r="V97" s="272"/>
      <c r="W97" s="273"/>
    </row>
    <row r="98" spans="1:23" ht="18">
      <c r="A98" s="1"/>
      <c r="B98" s="274" t="s">
        <v>482</v>
      </c>
      <c r="C98" s="275"/>
      <c r="D98" s="275"/>
      <c r="E98" s="275"/>
      <c r="F98" s="275"/>
      <c r="G98" s="275"/>
      <c r="H98" s="275"/>
      <c r="I98" s="275"/>
      <c r="J98" s="275"/>
      <c r="K98" s="275"/>
      <c r="L98" s="275"/>
      <c r="M98" s="275"/>
      <c r="N98" s="275"/>
      <c r="O98" s="275"/>
      <c r="P98" s="275"/>
      <c r="Q98" s="275"/>
      <c r="R98" s="275"/>
      <c r="S98" s="275"/>
      <c r="T98" s="275"/>
      <c r="U98" s="275"/>
      <c r="V98" s="275"/>
      <c r="W98" s="276"/>
    </row>
    <row r="99" spans="1:23" ht="15">
      <c r="A99" s="1"/>
      <c r="B99" s="5"/>
      <c r="C99" s="6"/>
      <c r="D99" s="8"/>
      <c r="E99" s="8"/>
      <c r="F99" s="8"/>
      <c r="G99" s="8"/>
      <c r="H99" s="8"/>
      <c r="I99" s="6"/>
      <c r="J99" s="6"/>
      <c r="K99" s="6"/>
      <c r="L99" s="6"/>
      <c r="M99" s="6"/>
      <c r="N99" s="6"/>
      <c r="O99" s="6"/>
      <c r="P99" s="6"/>
      <c r="Q99" s="6"/>
      <c r="R99" s="6"/>
      <c r="S99" s="6"/>
      <c r="T99" s="6"/>
      <c r="U99" s="6"/>
      <c r="V99" s="6"/>
      <c r="W99" s="7"/>
    </row>
    <row r="100" spans="1:23" ht="15">
      <c r="A100" s="1"/>
      <c r="B100" s="279" t="s">
        <v>483</v>
      </c>
      <c r="C100" s="280"/>
      <c r="D100" s="10" t="s">
        <v>484</v>
      </c>
      <c r="E100" s="10"/>
      <c r="F100" s="10"/>
      <c r="G100" s="11"/>
      <c r="H100" s="11"/>
      <c r="I100" s="11"/>
      <c r="J100" s="11"/>
      <c r="K100" s="11"/>
      <c r="L100" s="10" t="s">
        <v>485</v>
      </c>
      <c r="M100" s="10"/>
      <c r="N100" s="10"/>
      <c r="O100" s="281" t="s">
        <v>486</v>
      </c>
      <c r="P100" s="282"/>
      <c r="Q100" s="282"/>
      <c r="R100" s="282"/>
      <c r="S100" s="282"/>
      <c r="T100" s="282" t="s">
        <v>487</v>
      </c>
      <c r="U100" s="280"/>
      <c r="V100" s="280"/>
      <c r="W100" s="285"/>
    </row>
    <row r="101" spans="1:23" ht="15">
      <c r="A101" s="1"/>
      <c r="B101" s="279" t="s">
        <v>488</v>
      </c>
      <c r="C101" s="280"/>
      <c r="D101" s="10" t="s">
        <v>489</v>
      </c>
      <c r="E101" s="10"/>
      <c r="F101" s="10"/>
      <c r="G101" s="11"/>
      <c r="H101" s="11"/>
      <c r="I101" s="11"/>
      <c r="J101" s="11"/>
      <c r="K101" s="11"/>
      <c r="L101" s="282" t="s">
        <v>490</v>
      </c>
      <c r="M101" s="280"/>
      <c r="N101" s="280"/>
      <c r="O101" s="282" t="s">
        <v>491</v>
      </c>
      <c r="P101" s="282"/>
      <c r="Q101" s="282"/>
      <c r="R101" s="282"/>
      <c r="S101" s="282"/>
      <c r="T101" s="12" t="s">
        <v>492</v>
      </c>
      <c r="U101" s="11">
        <v>1</v>
      </c>
      <c r="V101" s="11" t="s">
        <v>493</v>
      </c>
      <c r="W101" s="13">
        <v>5</v>
      </c>
    </row>
    <row r="102" spans="1:23" ht="15.75" thickBot="1">
      <c r="A102" s="1"/>
      <c r="B102" s="83"/>
      <c r="C102" s="11"/>
      <c r="D102" s="11"/>
      <c r="E102" s="11"/>
      <c r="F102" s="11"/>
      <c r="G102" s="11"/>
      <c r="H102" s="11"/>
      <c r="I102" s="11"/>
      <c r="J102" s="11"/>
      <c r="K102" s="11"/>
      <c r="L102" s="283"/>
      <c r="M102" s="283"/>
      <c r="N102" s="283"/>
      <c r="O102" s="282" t="s">
        <v>494</v>
      </c>
      <c r="P102" s="282"/>
      <c r="Q102" s="282"/>
      <c r="R102" s="284"/>
      <c r="S102" s="284"/>
      <c r="T102" s="278"/>
      <c r="U102" s="278"/>
      <c r="V102" s="11"/>
      <c r="W102" s="16"/>
    </row>
    <row r="103" spans="1:23" ht="15.75" customHeight="1" thickBot="1">
      <c r="A103" s="1"/>
      <c r="B103" s="351" t="s">
        <v>495</v>
      </c>
      <c r="C103" s="352"/>
      <c r="D103" s="350" t="s">
        <v>496</v>
      </c>
      <c r="E103" s="350"/>
      <c r="F103" s="350"/>
      <c r="G103" s="350"/>
      <c r="H103" s="350"/>
      <c r="I103" s="258" t="s">
        <v>497</v>
      </c>
      <c r="J103" s="248"/>
      <c r="K103" s="261" t="s">
        <v>571</v>
      </c>
      <c r="L103" s="291"/>
      <c r="M103" s="262"/>
      <c r="N103" s="261" t="s">
        <v>572</v>
      </c>
      <c r="O103" s="291"/>
      <c r="P103" s="261" t="s">
        <v>573</v>
      </c>
      <c r="Q103" s="262"/>
      <c r="R103" s="259" t="s">
        <v>502</v>
      </c>
      <c r="S103" s="260"/>
      <c r="T103" s="296" t="s">
        <v>571</v>
      </c>
      <c r="U103" s="261" t="s">
        <v>572</v>
      </c>
      <c r="V103" s="291"/>
      <c r="W103" s="261" t="s">
        <v>573</v>
      </c>
    </row>
    <row r="104" spans="1:24" s="90" customFormat="1" ht="28.5" customHeight="1" thickBot="1">
      <c r="A104" s="88"/>
      <c r="B104" s="348" t="s">
        <v>506</v>
      </c>
      <c r="C104" s="349"/>
      <c r="D104" s="294" t="s">
        <v>574</v>
      </c>
      <c r="E104" s="295"/>
      <c r="F104" s="295"/>
      <c r="G104" s="295"/>
      <c r="H104" s="295"/>
      <c r="I104" s="249"/>
      <c r="J104" s="250"/>
      <c r="K104" s="263"/>
      <c r="L104" s="292"/>
      <c r="M104" s="264"/>
      <c r="N104" s="263"/>
      <c r="O104" s="292"/>
      <c r="P104" s="263"/>
      <c r="Q104" s="264"/>
      <c r="R104" s="259"/>
      <c r="S104" s="260"/>
      <c r="T104" s="297"/>
      <c r="U104" s="263"/>
      <c r="V104" s="292"/>
      <c r="W104" s="263"/>
      <c r="X104" s="89"/>
    </row>
    <row r="105" spans="1:24" s="90" customFormat="1" ht="58.5" customHeight="1" thickBot="1">
      <c r="A105" s="88"/>
      <c r="B105" s="353" t="s">
        <v>508</v>
      </c>
      <c r="C105" s="354"/>
      <c r="D105" s="333" t="s">
        <v>575</v>
      </c>
      <c r="E105" s="334"/>
      <c r="F105" s="334"/>
      <c r="G105" s="334"/>
      <c r="H105" s="335"/>
      <c r="I105" s="251"/>
      <c r="J105" s="247"/>
      <c r="K105" s="265"/>
      <c r="L105" s="293"/>
      <c r="M105" s="266"/>
      <c r="N105" s="265"/>
      <c r="O105" s="293"/>
      <c r="P105" s="265"/>
      <c r="Q105" s="266"/>
      <c r="R105" s="259"/>
      <c r="S105" s="260"/>
      <c r="T105" s="298"/>
      <c r="U105" s="265"/>
      <c r="V105" s="293"/>
      <c r="W105" s="265"/>
      <c r="X105" s="89"/>
    </row>
    <row r="106" spans="1:23" ht="18.75" thickBot="1">
      <c r="A106" s="1"/>
      <c r="B106" s="84"/>
      <c r="C106" s="85"/>
      <c r="D106" s="86"/>
      <c r="E106" s="87"/>
      <c r="F106" s="87"/>
      <c r="G106" s="87"/>
      <c r="H106" s="87"/>
      <c r="I106" s="84"/>
      <c r="J106" s="84"/>
      <c r="K106" s="84"/>
      <c r="L106" s="84"/>
      <c r="M106" s="84"/>
      <c r="N106" s="84"/>
      <c r="O106" s="84"/>
      <c r="P106" s="84"/>
      <c r="Q106" s="84"/>
      <c r="R106" s="84"/>
      <c r="S106" s="84"/>
      <c r="T106" s="19"/>
      <c r="U106" s="19"/>
      <c r="V106" s="19"/>
      <c r="W106" s="19"/>
    </row>
    <row r="107" spans="1:23" ht="15.75" thickBot="1">
      <c r="A107" s="1"/>
      <c r="B107" s="341" t="s">
        <v>510</v>
      </c>
      <c r="C107" s="342"/>
      <c r="D107" s="342"/>
      <c r="E107" s="342"/>
      <c r="F107" s="342"/>
      <c r="G107" s="342"/>
      <c r="H107" s="342"/>
      <c r="I107" s="343" t="s">
        <v>511</v>
      </c>
      <c r="J107" s="343"/>
      <c r="K107" s="343"/>
      <c r="L107" s="343"/>
      <c r="M107" s="343"/>
      <c r="N107" s="343"/>
      <c r="O107" s="343"/>
      <c r="P107" s="343"/>
      <c r="Q107" s="343"/>
      <c r="R107" s="343"/>
      <c r="S107" s="344"/>
      <c r="T107" s="345" t="s">
        <v>512</v>
      </c>
      <c r="U107" s="287" t="s">
        <v>513</v>
      </c>
      <c r="V107" s="287"/>
      <c r="W107" s="287"/>
    </row>
    <row r="108" spans="1:23" ht="15.75" customHeight="1" thickBot="1">
      <c r="A108" s="1"/>
      <c r="B108" s="346" t="s">
        <v>514</v>
      </c>
      <c r="C108" s="347" t="s">
        <v>515</v>
      </c>
      <c r="D108" s="347"/>
      <c r="E108" s="329" t="s">
        <v>516</v>
      </c>
      <c r="F108" s="329" t="s">
        <v>517</v>
      </c>
      <c r="G108" s="329" t="s">
        <v>518</v>
      </c>
      <c r="H108" s="330" t="s">
        <v>519</v>
      </c>
      <c r="I108" s="337" t="s">
        <v>520</v>
      </c>
      <c r="J108" s="338"/>
      <c r="K108" s="338"/>
      <c r="L108" s="338"/>
      <c r="M108" s="338"/>
      <c r="N108" s="338"/>
      <c r="O108" s="338"/>
      <c r="P108" s="338"/>
      <c r="Q108" s="339" t="s">
        <v>521</v>
      </c>
      <c r="R108" s="340" t="s">
        <v>522</v>
      </c>
      <c r="S108" s="336" t="s">
        <v>523</v>
      </c>
      <c r="T108" s="287"/>
      <c r="U108" s="287"/>
      <c r="V108" s="287"/>
      <c r="W108" s="287"/>
    </row>
    <row r="109" spans="1:23" ht="55.5" thickBot="1">
      <c r="A109" s="1"/>
      <c r="B109" s="317"/>
      <c r="C109" s="319"/>
      <c r="D109" s="319"/>
      <c r="E109" s="315"/>
      <c r="F109" s="315"/>
      <c r="G109" s="315"/>
      <c r="H109" s="301"/>
      <c r="I109" s="20" t="s">
        <v>524</v>
      </c>
      <c r="J109" s="21" t="s">
        <v>525</v>
      </c>
      <c r="K109" s="22" t="s">
        <v>526</v>
      </c>
      <c r="L109" s="22" t="s">
        <v>527</v>
      </c>
      <c r="M109" s="22" t="s">
        <v>528</v>
      </c>
      <c r="N109" s="22" t="s">
        <v>529</v>
      </c>
      <c r="O109" s="22" t="s">
        <v>530</v>
      </c>
      <c r="P109" s="23" t="s">
        <v>531</v>
      </c>
      <c r="Q109" s="305"/>
      <c r="R109" s="320"/>
      <c r="S109" s="299"/>
      <c r="T109" s="287"/>
      <c r="U109" s="287"/>
      <c r="V109" s="287"/>
      <c r="W109" s="287"/>
    </row>
    <row r="110" spans="1:23" ht="30" customHeight="1">
      <c r="A110" s="1"/>
      <c r="B110" s="25">
        <v>1</v>
      </c>
      <c r="C110" s="306" t="s">
        <v>576</v>
      </c>
      <c r="D110" s="306"/>
      <c r="E110" s="26">
        <v>90</v>
      </c>
      <c r="F110" s="27">
        <v>65</v>
      </c>
      <c r="G110" s="28">
        <f>+F110/E110</f>
        <v>0.7222222222222222</v>
      </c>
      <c r="H110" s="29">
        <f>+F110/E110</f>
        <v>0.7222222222222222</v>
      </c>
      <c r="I110" s="30"/>
      <c r="J110" s="32"/>
      <c r="K110" s="32"/>
      <c r="L110" s="32"/>
      <c r="M110" s="31"/>
      <c r="N110" s="31"/>
      <c r="O110" s="31"/>
      <c r="P110" s="74"/>
      <c r="Q110" s="75">
        <f>+SUM(I110:P110)</f>
        <v>0</v>
      </c>
      <c r="R110" s="76"/>
      <c r="S110" s="36"/>
      <c r="T110" s="37" t="s">
        <v>549</v>
      </c>
      <c r="U110" s="307"/>
      <c r="V110" s="307"/>
      <c r="W110" s="307"/>
    </row>
    <row r="111" spans="1:23" ht="30" customHeight="1">
      <c r="A111" s="1"/>
      <c r="B111" s="39">
        <v>2</v>
      </c>
      <c r="C111" s="308" t="s">
        <v>577</v>
      </c>
      <c r="D111" s="308"/>
      <c r="E111" s="40">
        <v>90</v>
      </c>
      <c r="F111" s="41">
        <v>75</v>
      </c>
      <c r="G111" s="42">
        <f>+F111/E111</f>
        <v>0.8333333333333334</v>
      </c>
      <c r="H111" s="91">
        <f>+F111/E111</f>
        <v>0.8333333333333334</v>
      </c>
      <c r="I111" s="44"/>
      <c r="J111" s="46"/>
      <c r="K111" s="46"/>
      <c r="L111" s="46"/>
      <c r="M111" s="45"/>
      <c r="N111" s="45"/>
      <c r="O111" s="45"/>
      <c r="P111" s="74"/>
      <c r="Q111" s="75">
        <f>+SUM(I111:P111)</f>
        <v>0</v>
      </c>
      <c r="R111" s="76"/>
      <c r="S111" s="36"/>
      <c r="T111" s="37" t="s">
        <v>549</v>
      </c>
      <c r="U111" s="322"/>
      <c r="V111" s="322"/>
      <c r="W111" s="322"/>
    </row>
    <row r="112" spans="1:23" ht="30" customHeight="1">
      <c r="A112" s="1"/>
      <c r="B112" s="39">
        <v>3</v>
      </c>
      <c r="C112" s="308" t="s">
        <v>578</v>
      </c>
      <c r="D112" s="308"/>
      <c r="E112" s="40">
        <v>100</v>
      </c>
      <c r="F112" s="41">
        <v>20</v>
      </c>
      <c r="G112" s="42">
        <f>+F112/E112</f>
        <v>0.2</v>
      </c>
      <c r="H112" s="91">
        <f>+F112/E112</f>
        <v>0.2</v>
      </c>
      <c r="I112" s="44">
        <f>17637+4094</f>
        <v>21731</v>
      </c>
      <c r="J112" s="46">
        <f>1500+3500</f>
        <v>5000</v>
      </c>
      <c r="K112" s="46"/>
      <c r="L112" s="46"/>
      <c r="M112" s="45"/>
      <c r="N112" s="45"/>
      <c r="O112" s="45"/>
      <c r="P112" s="74"/>
      <c r="Q112" s="75">
        <f>+SUM(I112:P112)</f>
        <v>26731</v>
      </c>
      <c r="R112" s="76">
        <f>67520+2370</f>
        <v>69890</v>
      </c>
      <c r="S112" s="36">
        <f>R112/Q112</f>
        <v>2.6145673562530396</v>
      </c>
      <c r="T112" s="37" t="s">
        <v>549</v>
      </c>
      <c r="U112" s="322"/>
      <c r="V112" s="322"/>
      <c r="W112" s="322"/>
    </row>
    <row r="113" spans="1:23" ht="30" customHeight="1">
      <c r="A113" s="1"/>
      <c r="B113" s="39"/>
      <c r="C113" s="308"/>
      <c r="D113" s="308"/>
      <c r="E113" s="40"/>
      <c r="F113" s="41"/>
      <c r="G113" s="42"/>
      <c r="H113" s="91"/>
      <c r="I113" s="44"/>
      <c r="J113" s="45"/>
      <c r="K113" s="46"/>
      <c r="L113" s="46"/>
      <c r="M113" s="45"/>
      <c r="N113" s="45"/>
      <c r="O113" s="45"/>
      <c r="P113" s="74"/>
      <c r="Q113" s="75"/>
      <c r="R113" s="76"/>
      <c r="S113" s="36"/>
      <c r="T113" s="37"/>
      <c r="U113" s="322"/>
      <c r="V113" s="322"/>
      <c r="W113" s="322"/>
    </row>
    <row r="114" spans="2:23" ht="30" customHeight="1">
      <c r="B114" s="50"/>
      <c r="C114" s="323"/>
      <c r="D114" s="323"/>
      <c r="E114" s="51"/>
      <c r="F114" s="52"/>
      <c r="G114" s="53"/>
      <c r="H114" s="54"/>
      <c r="I114" s="55"/>
      <c r="J114" s="45"/>
      <c r="K114" s="45"/>
      <c r="L114" s="45"/>
      <c r="M114" s="45"/>
      <c r="N114" s="45"/>
      <c r="O114" s="45"/>
      <c r="P114" s="56"/>
      <c r="Q114" s="75"/>
      <c r="R114" s="76"/>
      <c r="S114" s="36"/>
      <c r="T114" s="58"/>
      <c r="U114" s="322"/>
      <c r="V114" s="322"/>
      <c r="W114" s="322"/>
    </row>
    <row r="115" spans="2:23" ht="30" customHeight="1" thickBot="1">
      <c r="B115" s="59"/>
      <c r="C115" s="310" t="s">
        <v>541</v>
      </c>
      <c r="D115" s="310"/>
      <c r="E115" s="60"/>
      <c r="F115" s="61"/>
      <c r="G115" s="62"/>
      <c r="H115" s="63"/>
      <c r="I115" s="64">
        <f aca="true" t="shared" si="4" ref="I115:R115">+SUM(I110:I114)</f>
        <v>21731</v>
      </c>
      <c r="J115" s="64">
        <f t="shared" si="4"/>
        <v>5000</v>
      </c>
      <c r="K115" s="64">
        <f t="shared" si="4"/>
        <v>0</v>
      </c>
      <c r="L115" s="64">
        <f t="shared" si="4"/>
        <v>0</v>
      </c>
      <c r="M115" s="64">
        <f t="shared" si="4"/>
        <v>0</v>
      </c>
      <c r="N115" s="64">
        <f t="shared" si="4"/>
        <v>0</v>
      </c>
      <c r="O115" s="64">
        <f t="shared" si="4"/>
        <v>0</v>
      </c>
      <c r="P115" s="64">
        <f t="shared" si="4"/>
        <v>0</v>
      </c>
      <c r="Q115" s="79">
        <f t="shared" si="4"/>
        <v>26731</v>
      </c>
      <c r="R115" s="79">
        <f t="shared" si="4"/>
        <v>69890</v>
      </c>
      <c r="S115" s="66">
        <f>+R115/Q115</f>
        <v>2.6145673562530396</v>
      </c>
      <c r="T115" s="67"/>
      <c r="U115" s="311"/>
      <c r="V115" s="311"/>
      <c r="W115" s="311"/>
    </row>
    <row r="116" ht="31.5" customHeight="1" thickBot="1"/>
    <row r="117" spans="1:23" ht="15.75">
      <c r="A117" s="1"/>
      <c r="B117" s="267" t="s">
        <v>479</v>
      </c>
      <c r="C117" s="267"/>
      <c r="D117" s="267"/>
      <c r="E117" s="267"/>
      <c r="F117" s="267"/>
      <c r="G117" s="267"/>
      <c r="H117" s="267"/>
      <c r="I117" s="267"/>
      <c r="J117" s="267"/>
      <c r="K117" s="267"/>
      <c r="L117" s="267"/>
      <c r="M117" s="267"/>
      <c r="N117" s="267"/>
      <c r="O117" s="267"/>
      <c r="P117" s="267"/>
      <c r="Q117" s="267"/>
      <c r="R117" s="267"/>
      <c r="S117" s="267"/>
      <c r="T117" s="267"/>
      <c r="U117" s="267"/>
      <c r="V117" s="267"/>
      <c r="W117" s="267"/>
    </row>
    <row r="118" spans="1:23" ht="15">
      <c r="A118" s="1"/>
      <c r="B118" s="5"/>
      <c r="C118" s="6"/>
      <c r="D118" s="6"/>
      <c r="E118" s="6"/>
      <c r="F118" s="6"/>
      <c r="G118" s="6"/>
      <c r="H118" s="6"/>
      <c r="I118" s="6"/>
      <c r="J118" s="6"/>
      <c r="K118" s="6"/>
      <c r="L118" s="6"/>
      <c r="M118" s="6"/>
      <c r="N118" s="6"/>
      <c r="O118" s="6"/>
      <c r="P118" s="6"/>
      <c r="Q118" s="6"/>
      <c r="R118" s="6"/>
      <c r="S118" s="6"/>
      <c r="T118" s="6"/>
      <c r="U118" s="6"/>
      <c r="V118" s="6"/>
      <c r="W118" s="7"/>
    </row>
    <row r="119" spans="1:23" ht="20.25" customHeight="1">
      <c r="A119" s="1"/>
      <c r="B119" s="268" t="s">
        <v>480</v>
      </c>
      <c r="C119" s="269"/>
      <c r="D119" s="269"/>
      <c r="E119" s="269"/>
      <c r="F119" s="269"/>
      <c r="G119" s="269"/>
      <c r="H119" s="269"/>
      <c r="I119" s="269"/>
      <c r="J119" s="269"/>
      <c r="K119" s="269"/>
      <c r="L119" s="269"/>
      <c r="M119" s="269"/>
      <c r="N119" s="269"/>
      <c r="O119" s="269"/>
      <c r="P119" s="269"/>
      <c r="Q119" s="269"/>
      <c r="R119" s="269"/>
      <c r="S119" s="269"/>
      <c r="T119" s="269"/>
      <c r="U119" s="269"/>
      <c r="V119" s="269"/>
      <c r="W119" s="270"/>
    </row>
    <row r="120" spans="1:23" ht="29.25" customHeight="1">
      <c r="A120" s="1"/>
      <c r="B120" s="271" t="s">
        <v>481</v>
      </c>
      <c r="C120" s="272"/>
      <c r="D120" s="272"/>
      <c r="E120" s="272"/>
      <c r="F120" s="272"/>
      <c r="G120" s="272"/>
      <c r="H120" s="272"/>
      <c r="I120" s="272"/>
      <c r="J120" s="272"/>
      <c r="K120" s="272"/>
      <c r="L120" s="272"/>
      <c r="M120" s="272"/>
      <c r="N120" s="272"/>
      <c r="O120" s="272"/>
      <c r="P120" s="272"/>
      <c r="Q120" s="272"/>
      <c r="R120" s="272"/>
      <c r="S120" s="272"/>
      <c r="T120" s="272"/>
      <c r="U120" s="272"/>
      <c r="V120" s="272"/>
      <c r="W120" s="273"/>
    </row>
    <row r="121" spans="1:23" ht="18">
      <c r="A121" s="1"/>
      <c r="B121" s="274" t="s">
        <v>482</v>
      </c>
      <c r="C121" s="275"/>
      <c r="D121" s="275"/>
      <c r="E121" s="275"/>
      <c r="F121" s="275"/>
      <c r="G121" s="275"/>
      <c r="H121" s="275"/>
      <c r="I121" s="275"/>
      <c r="J121" s="275"/>
      <c r="K121" s="275"/>
      <c r="L121" s="275"/>
      <c r="M121" s="275"/>
      <c r="N121" s="275"/>
      <c r="O121" s="275"/>
      <c r="P121" s="275"/>
      <c r="Q121" s="275"/>
      <c r="R121" s="275"/>
      <c r="S121" s="275"/>
      <c r="T121" s="275"/>
      <c r="U121" s="275"/>
      <c r="V121" s="275"/>
      <c r="W121" s="276"/>
    </row>
    <row r="122" spans="1:23" ht="15">
      <c r="A122" s="1"/>
      <c r="B122" s="5"/>
      <c r="C122" s="6"/>
      <c r="D122" s="8"/>
      <c r="E122" s="8"/>
      <c r="F122" s="8"/>
      <c r="G122" s="8"/>
      <c r="H122" s="8"/>
      <c r="I122" s="6"/>
      <c r="J122" s="6"/>
      <c r="K122" s="6"/>
      <c r="L122" s="6"/>
      <c r="M122" s="6"/>
      <c r="N122" s="6"/>
      <c r="O122" s="6"/>
      <c r="P122" s="6"/>
      <c r="Q122" s="6"/>
      <c r="R122" s="6"/>
      <c r="S122" s="6"/>
      <c r="T122" s="6"/>
      <c r="U122" s="6"/>
      <c r="V122" s="6"/>
      <c r="W122" s="7"/>
    </row>
    <row r="123" spans="1:23" ht="15">
      <c r="A123" s="1"/>
      <c r="B123" s="279" t="s">
        <v>483</v>
      </c>
      <c r="C123" s="280"/>
      <c r="D123" s="10" t="s">
        <v>484</v>
      </c>
      <c r="E123" s="10"/>
      <c r="F123" s="10"/>
      <c r="G123" s="11"/>
      <c r="H123" s="11"/>
      <c r="I123" s="11"/>
      <c r="J123" s="11"/>
      <c r="K123" s="11"/>
      <c r="L123" s="10" t="s">
        <v>485</v>
      </c>
      <c r="M123" s="10"/>
      <c r="N123" s="10"/>
      <c r="O123" s="281" t="s">
        <v>486</v>
      </c>
      <c r="P123" s="282"/>
      <c r="Q123" s="282"/>
      <c r="R123" s="282"/>
      <c r="S123" s="282"/>
      <c r="T123" s="282" t="s">
        <v>487</v>
      </c>
      <c r="U123" s="280"/>
      <c r="V123" s="280"/>
      <c r="W123" s="285"/>
    </row>
    <row r="124" spans="1:23" ht="15">
      <c r="A124" s="1"/>
      <c r="B124" s="279" t="s">
        <v>488</v>
      </c>
      <c r="C124" s="280"/>
      <c r="D124" s="10" t="s">
        <v>489</v>
      </c>
      <c r="E124" s="10"/>
      <c r="F124" s="10"/>
      <c r="G124" s="11"/>
      <c r="H124" s="11"/>
      <c r="I124" s="11"/>
      <c r="J124" s="11"/>
      <c r="K124" s="11"/>
      <c r="L124" s="282" t="s">
        <v>490</v>
      </c>
      <c r="M124" s="280"/>
      <c r="N124" s="280"/>
      <c r="O124" s="282" t="s">
        <v>491</v>
      </c>
      <c r="P124" s="282"/>
      <c r="Q124" s="282"/>
      <c r="R124" s="282"/>
      <c r="S124" s="282"/>
      <c r="T124" s="12" t="s">
        <v>492</v>
      </c>
      <c r="U124" s="11">
        <v>1</v>
      </c>
      <c r="V124" s="11" t="s">
        <v>493</v>
      </c>
      <c r="W124" s="13">
        <v>6</v>
      </c>
    </row>
    <row r="125" spans="1:23" ht="13.5" customHeight="1" thickBot="1">
      <c r="A125" s="1"/>
      <c r="B125" s="83"/>
      <c r="C125" s="11"/>
      <c r="D125" s="11"/>
      <c r="E125" s="11"/>
      <c r="F125" s="11"/>
      <c r="G125" s="11"/>
      <c r="H125" s="11"/>
      <c r="I125" s="11"/>
      <c r="J125" s="11"/>
      <c r="K125" s="11"/>
      <c r="L125" s="283"/>
      <c r="M125" s="283"/>
      <c r="N125" s="283"/>
      <c r="O125" s="282" t="s">
        <v>494</v>
      </c>
      <c r="P125" s="282"/>
      <c r="Q125" s="282"/>
      <c r="R125" s="284"/>
      <c r="S125" s="284"/>
      <c r="T125" s="278"/>
      <c r="U125" s="278"/>
      <c r="V125" s="11"/>
      <c r="W125" s="16"/>
    </row>
    <row r="126" spans="1:23" ht="13.5" customHeight="1" thickBot="1">
      <c r="A126" s="1"/>
      <c r="B126" s="325" t="s">
        <v>495</v>
      </c>
      <c r="C126" s="326"/>
      <c r="D126" s="327" t="s">
        <v>496</v>
      </c>
      <c r="E126" s="327"/>
      <c r="F126" s="327"/>
      <c r="G126" s="327"/>
      <c r="H126" s="327"/>
      <c r="I126" s="258" t="s">
        <v>497</v>
      </c>
      <c r="J126" s="248"/>
      <c r="K126" s="261" t="s">
        <v>579</v>
      </c>
      <c r="L126" s="291"/>
      <c r="M126" s="291"/>
      <c r="N126" s="262"/>
      <c r="O126" s="261" t="s">
        <v>580</v>
      </c>
      <c r="P126" s="291"/>
      <c r="Q126" s="262"/>
      <c r="R126" s="259" t="s">
        <v>502</v>
      </c>
      <c r="S126" s="260"/>
      <c r="T126" s="261" t="s">
        <v>581</v>
      </c>
      <c r="U126" s="262"/>
      <c r="V126" s="261" t="s">
        <v>582</v>
      </c>
      <c r="W126" s="262"/>
    </row>
    <row r="127" spans="1:24" s="90" customFormat="1" ht="39" customHeight="1" thickBot="1">
      <c r="A127" s="88"/>
      <c r="B127" s="355" t="s">
        <v>506</v>
      </c>
      <c r="C127" s="356"/>
      <c r="D127" s="357" t="s">
        <v>574</v>
      </c>
      <c r="E127" s="358"/>
      <c r="F127" s="358"/>
      <c r="G127" s="358"/>
      <c r="H127" s="358"/>
      <c r="I127" s="249"/>
      <c r="J127" s="250"/>
      <c r="K127" s="263"/>
      <c r="L127" s="292"/>
      <c r="M127" s="292"/>
      <c r="N127" s="264"/>
      <c r="O127" s="263"/>
      <c r="P127" s="292"/>
      <c r="Q127" s="264"/>
      <c r="R127" s="259"/>
      <c r="S127" s="260"/>
      <c r="T127" s="263"/>
      <c r="U127" s="264"/>
      <c r="V127" s="263"/>
      <c r="W127" s="264"/>
      <c r="X127" s="89"/>
    </row>
    <row r="128" spans="1:24" s="90" customFormat="1" ht="39.75" customHeight="1" thickBot="1">
      <c r="A128" s="88"/>
      <c r="B128" s="359" t="s">
        <v>508</v>
      </c>
      <c r="C128" s="360"/>
      <c r="D128" s="361" t="s">
        <v>583</v>
      </c>
      <c r="E128" s="362"/>
      <c r="F128" s="362"/>
      <c r="G128" s="362"/>
      <c r="H128" s="363"/>
      <c r="I128" s="251"/>
      <c r="J128" s="247"/>
      <c r="K128" s="265"/>
      <c r="L128" s="293"/>
      <c r="M128" s="293"/>
      <c r="N128" s="266"/>
      <c r="O128" s="265"/>
      <c r="P128" s="293"/>
      <c r="Q128" s="266"/>
      <c r="R128" s="259"/>
      <c r="S128" s="260"/>
      <c r="T128" s="265"/>
      <c r="U128" s="266"/>
      <c r="V128" s="265"/>
      <c r="W128" s="266"/>
      <c r="X128" s="89"/>
    </row>
    <row r="129" spans="1:23" ht="18.75" thickBot="1">
      <c r="A129" s="1"/>
      <c r="B129" s="84"/>
      <c r="C129" s="85"/>
      <c r="D129" s="86"/>
      <c r="E129" s="87"/>
      <c r="F129" s="87"/>
      <c r="G129" s="87"/>
      <c r="H129" s="87"/>
      <c r="I129" s="84"/>
      <c r="J129" s="84"/>
      <c r="K129" s="84"/>
      <c r="L129" s="84"/>
      <c r="M129" s="84"/>
      <c r="N129" s="84"/>
      <c r="O129" s="84"/>
      <c r="P129" s="84"/>
      <c r="Q129" s="84"/>
      <c r="R129" s="84"/>
      <c r="S129" s="84"/>
      <c r="T129" s="19"/>
      <c r="U129" s="19"/>
      <c r="V129" s="19"/>
      <c r="W129" s="19"/>
    </row>
    <row r="130" spans="1:23" ht="15.75" thickBot="1">
      <c r="A130" s="1"/>
      <c r="B130" s="341" t="s">
        <v>510</v>
      </c>
      <c r="C130" s="342"/>
      <c r="D130" s="342"/>
      <c r="E130" s="342"/>
      <c r="F130" s="342"/>
      <c r="G130" s="342"/>
      <c r="H130" s="342"/>
      <c r="I130" s="343" t="s">
        <v>511</v>
      </c>
      <c r="J130" s="343"/>
      <c r="K130" s="343"/>
      <c r="L130" s="343"/>
      <c r="M130" s="343"/>
      <c r="N130" s="343"/>
      <c r="O130" s="343"/>
      <c r="P130" s="343"/>
      <c r="Q130" s="343"/>
      <c r="R130" s="343"/>
      <c r="S130" s="344"/>
      <c r="T130" s="345" t="s">
        <v>512</v>
      </c>
      <c r="U130" s="287" t="s">
        <v>513</v>
      </c>
      <c r="V130" s="287"/>
      <c r="W130" s="287"/>
    </row>
    <row r="131" spans="1:23" ht="13.5" customHeight="1" thickBot="1">
      <c r="A131" s="1"/>
      <c r="B131" s="346" t="s">
        <v>514</v>
      </c>
      <c r="C131" s="347" t="s">
        <v>515</v>
      </c>
      <c r="D131" s="347"/>
      <c r="E131" s="329" t="s">
        <v>516</v>
      </c>
      <c r="F131" s="329" t="s">
        <v>517</v>
      </c>
      <c r="G131" s="329" t="s">
        <v>518</v>
      </c>
      <c r="H131" s="330" t="s">
        <v>519</v>
      </c>
      <c r="I131" s="337" t="s">
        <v>520</v>
      </c>
      <c r="J131" s="338"/>
      <c r="K131" s="338"/>
      <c r="L131" s="338"/>
      <c r="M131" s="338"/>
      <c r="N131" s="338"/>
      <c r="O131" s="338"/>
      <c r="P131" s="338"/>
      <c r="Q131" s="339" t="s">
        <v>521</v>
      </c>
      <c r="R131" s="340" t="s">
        <v>522</v>
      </c>
      <c r="S131" s="336" t="s">
        <v>523</v>
      </c>
      <c r="T131" s="287"/>
      <c r="U131" s="287"/>
      <c r="V131" s="287"/>
      <c r="W131" s="287"/>
    </row>
    <row r="132" spans="1:23" ht="55.5" thickBot="1">
      <c r="A132" s="1"/>
      <c r="B132" s="317"/>
      <c r="C132" s="319"/>
      <c r="D132" s="319"/>
      <c r="E132" s="315"/>
      <c r="F132" s="315"/>
      <c r="G132" s="315"/>
      <c r="H132" s="301"/>
      <c r="I132" s="20" t="s">
        <v>524</v>
      </c>
      <c r="J132" s="21" t="s">
        <v>525</v>
      </c>
      <c r="K132" s="22" t="s">
        <v>526</v>
      </c>
      <c r="L132" s="22" t="s">
        <v>527</v>
      </c>
      <c r="M132" s="22" t="s">
        <v>528</v>
      </c>
      <c r="N132" s="22" t="s">
        <v>529</v>
      </c>
      <c r="O132" s="22" t="s">
        <v>530</v>
      </c>
      <c r="P132" s="23" t="s">
        <v>531</v>
      </c>
      <c r="Q132" s="305"/>
      <c r="R132" s="320"/>
      <c r="S132" s="299"/>
      <c r="T132" s="287"/>
      <c r="U132" s="287"/>
      <c r="V132" s="287"/>
      <c r="W132" s="287"/>
    </row>
    <row r="133" spans="2:23" ht="37.5" customHeight="1">
      <c r="B133" s="25">
        <v>1</v>
      </c>
      <c r="C133" s="306" t="s">
        <v>584</v>
      </c>
      <c r="D133" s="306"/>
      <c r="E133" s="26">
        <v>100</v>
      </c>
      <c r="F133" s="27">
        <v>85</v>
      </c>
      <c r="G133" s="28">
        <f>+F133/E133</f>
        <v>0.85</v>
      </c>
      <c r="H133" s="29">
        <f>+F133/E133</f>
        <v>0.85</v>
      </c>
      <c r="I133" s="30">
        <v>25000</v>
      </c>
      <c r="J133" s="32">
        <v>15000</v>
      </c>
      <c r="K133" s="32"/>
      <c r="L133" s="32"/>
      <c r="M133" s="31"/>
      <c r="N133" s="31"/>
      <c r="O133" s="31"/>
      <c r="P133" s="74"/>
      <c r="Q133" s="75">
        <f>+SUM(I133:P133)</f>
        <v>40000</v>
      </c>
      <c r="R133" s="76">
        <f>61186+85667+103322</f>
        <v>250175</v>
      </c>
      <c r="S133" s="36">
        <f>R133/Q133</f>
        <v>6.254375</v>
      </c>
      <c r="T133" s="37" t="s">
        <v>549</v>
      </c>
      <c r="U133" s="307" t="s">
        <v>585</v>
      </c>
      <c r="V133" s="307"/>
      <c r="W133" s="307"/>
    </row>
    <row r="134" spans="2:23" ht="30" customHeight="1">
      <c r="B134" s="39">
        <v>2</v>
      </c>
      <c r="C134" s="308" t="s">
        <v>586</v>
      </c>
      <c r="D134" s="308"/>
      <c r="E134" s="40">
        <v>20</v>
      </c>
      <c r="F134" s="41">
        <v>5</v>
      </c>
      <c r="G134" s="42">
        <f>+F134/E134</f>
        <v>0.25</v>
      </c>
      <c r="H134" s="91">
        <f>+F134/E134</f>
        <v>0.25</v>
      </c>
      <c r="I134" s="44"/>
      <c r="J134" s="46"/>
      <c r="K134" s="46"/>
      <c r="L134" s="46"/>
      <c r="M134" s="45"/>
      <c r="N134" s="45"/>
      <c r="O134" s="45"/>
      <c r="P134" s="74"/>
      <c r="Q134" s="75">
        <f>+SUM(I134:P134)</f>
        <v>0</v>
      </c>
      <c r="R134" s="76"/>
      <c r="S134" s="36"/>
      <c r="T134" s="37"/>
      <c r="U134" s="322"/>
      <c r="V134" s="322"/>
      <c r="W134" s="322"/>
    </row>
    <row r="135" spans="2:23" ht="21" customHeight="1">
      <c r="B135" s="39"/>
      <c r="C135" s="308"/>
      <c r="D135" s="308"/>
      <c r="E135" s="40"/>
      <c r="F135" s="41"/>
      <c r="G135" s="42"/>
      <c r="H135" s="91"/>
      <c r="I135" s="44"/>
      <c r="J135" s="46"/>
      <c r="K135" s="46"/>
      <c r="L135" s="46"/>
      <c r="M135" s="45"/>
      <c r="N135" s="45"/>
      <c r="O135" s="45"/>
      <c r="P135" s="74"/>
      <c r="Q135" s="75"/>
      <c r="R135" s="76"/>
      <c r="S135" s="36"/>
      <c r="T135" s="37"/>
      <c r="U135" s="322"/>
      <c r="V135" s="322"/>
      <c r="W135" s="322"/>
    </row>
    <row r="136" spans="1:23" ht="21.75" customHeight="1">
      <c r="A136" s="1"/>
      <c r="B136" s="39"/>
      <c r="C136" s="308"/>
      <c r="D136" s="308"/>
      <c r="E136" s="40"/>
      <c r="F136" s="41"/>
      <c r="G136" s="42"/>
      <c r="H136" s="91"/>
      <c r="I136" s="44"/>
      <c r="J136" s="45"/>
      <c r="K136" s="46"/>
      <c r="L136" s="46"/>
      <c r="M136" s="45"/>
      <c r="N136" s="45"/>
      <c r="O136" s="45"/>
      <c r="P136" s="74"/>
      <c r="Q136" s="75"/>
      <c r="R136" s="76"/>
      <c r="S136" s="36"/>
      <c r="T136" s="37"/>
      <c r="U136" s="322"/>
      <c r="V136" s="322"/>
      <c r="W136" s="322"/>
    </row>
    <row r="137" spans="1:23" ht="15">
      <c r="A137" s="1"/>
      <c r="B137" s="50"/>
      <c r="C137" s="323"/>
      <c r="D137" s="323"/>
      <c r="E137" s="51"/>
      <c r="F137" s="52"/>
      <c r="G137" s="53"/>
      <c r="H137" s="54"/>
      <c r="I137" s="55"/>
      <c r="J137" s="45"/>
      <c r="K137" s="45"/>
      <c r="L137" s="45"/>
      <c r="M137" s="45"/>
      <c r="N137" s="45"/>
      <c r="O137" s="45"/>
      <c r="P137" s="56"/>
      <c r="Q137" s="75"/>
      <c r="R137" s="76"/>
      <c r="S137" s="36"/>
      <c r="T137" s="58"/>
      <c r="U137" s="322"/>
      <c r="V137" s="322"/>
      <c r="W137" s="322"/>
    </row>
    <row r="138" spans="1:23" ht="15.75" thickBot="1">
      <c r="A138" s="1"/>
      <c r="B138" s="59"/>
      <c r="C138" s="310" t="s">
        <v>541</v>
      </c>
      <c r="D138" s="310"/>
      <c r="E138" s="60"/>
      <c r="F138" s="61"/>
      <c r="G138" s="62"/>
      <c r="H138" s="63"/>
      <c r="I138" s="64">
        <f aca="true" t="shared" si="5" ref="I138:R138">+SUM(I133:I137)</f>
        <v>25000</v>
      </c>
      <c r="J138" s="64">
        <f t="shared" si="5"/>
        <v>15000</v>
      </c>
      <c r="K138" s="64">
        <f t="shared" si="5"/>
        <v>0</v>
      </c>
      <c r="L138" s="64">
        <f t="shared" si="5"/>
        <v>0</v>
      </c>
      <c r="M138" s="64">
        <f t="shared" si="5"/>
        <v>0</v>
      </c>
      <c r="N138" s="64">
        <f t="shared" si="5"/>
        <v>0</v>
      </c>
      <c r="O138" s="64">
        <f t="shared" si="5"/>
        <v>0</v>
      </c>
      <c r="P138" s="64">
        <f t="shared" si="5"/>
        <v>0</v>
      </c>
      <c r="Q138" s="79">
        <f t="shared" si="5"/>
        <v>40000</v>
      </c>
      <c r="R138" s="79">
        <f t="shared" si="5"/>
        <v>250175</v>
      </c>
      <c r="S138" s="66">
        <f>+R138/Q138</f>
        <v>6.254375</v>
      </c>
      <c r="T138" s="67"/>
      <c r="U138" s="311"/>
      <c r="V138" s="311"/>
      <c r="W138" s="311"/>
    </row>
    <row r="139" spans="1:23" ht="15.75" thickBot="1">
      <c r="A139" s="1"/>
      <c r="B139" s="80"/>
      <c r="C139" s="81"/>
      <c r="D139" s="81"/>
      <c r="E139" s="80"/>
      <c r="F139" s="80"/>
      <c r="G139" s="80"/>
      <c r="H139" s="80"/>
      <c r="I139" s="80"/>
      <c r="J139" s="80"/>
      <c r="K139" s="80"/>
      <c r="L139" s="80"/>
      <c r="M139" s="80"/>
      <c r="N139" s="80"/>
      <c r="O139" s="80"/>
      <c r="P139" s="80"/>
      <c r="Q139" s="80"/>
      <c r="R139" s="80"/>
      <c r="S139" s="80"/>
      <c r="T139" s="80"/>
      <c r="U139" s="80"/>
      <c r="V139" s="80"/>
      <c r="W139" s="80"/>
    </row>
    <row r="140" spans="1:23" ht="15.75">
      <c r="A140" s="1"/>
      <c r="B140" s="267" t="s">
        <v>479</v>
      </c>
      <c r="C140" s="267"/>
      <c r="D140" s="267"/>
      <c r="E140" s="267"/>
      <c r="F140" s="267"/>
      <c r="G140" s="267"/>
      <c r="H140" s="267"/>
      <c r="I140" s="267"/>
      <c r="J140" s="267"/>
      <c r="K140" s="267"/>
      <c r="L140" s="267"/>
      <c r="M140" s="267"/>
      <c r="N140" s="267"/>
      <c r="O140" s="267"/>
      <c r="P140" s="267"/>
      <c r="Q140" s="267"/>
      <c r="R140" s="267"/>
      <c r="S140" s="267"/>
      <c r="T140" s="267"/>
      <c r="U140" s="267"/>
      <c r="V140" s="267"/>
      <c r="W140" s="267"/>
    </row>
    <row r="141" spans="1:23" ht="15">
      <c r="A141" s="1"/>
      <c r="B141" s="5"/>
      <c r="C141" s="6"/>
      <c r="D141" s="6"/>
      <c r="E141" s="6"/>
      <c r="F141" s="6"/>
      <c r="G141" s="6"/>
      <c r="H141" s="6"/>
      <c r="I141" s="6"/>
      <c r="J141" s="6"/>
      <c r="K141" s="6"/>
      <c r="L141" s="6"/>
      <c r="M141" s="6"/>
      <c r="N141" s="6"/>
      <c r="O141" s="6"/>
      <c r="P141" s="6"/>
      <c r="Q141" s="6"/>
      <c r="R141" s="6"/>
      <c r="S141" s="6"/>
      <c r="T141" s="6"/>
      <c r="U141" s="6"/>
      <c r="V141" s="6"/>
      <c r="W141" s="7"/>
    </row>
    <row r="142" spans="1:23" ht="27" customHeight="1">
      <c r="A142" s="1"/>
      <c r="B142" s="268" t="s">
        <v>480</v>
      </c>
      <c r="C142" s="269"/>
      <c r="D142" s="269"/>
      <c r="E142" s="269"/>
      <c r="F142" s="269"/>
      <c r="G142" s="269"/>
      <c r="H142" s="269"/>
      <c r="I142" s="269"/>
      <c r="J142" s="269"/>
      <c r="K142" s="269"/>
      <c r="L142" s="269"/>
      <c r="M142" s="269"/>
      <c r="N142" s="269"/>
      <c r="O142" s="269"/>
      <c r="P142" s="269"/>
      <c r="Q142" s="269"/>
      <c r="R142" s="269"/>
      <c r="S142" s="269"/>
      <c r="T142" s="269"/>
      <c r="U142" s="269"/>
      <c r="V142" s="269"/>
      <c r="W142" s="270"/>
    </row>
    <row r="143" spans="1:23" ht="18">
      <c r="A143" s="1"/>
      <c r="B143" s="271" t="s">
        <v>481</v>
      </c>
      <c r="C143" s="272"/>
      <c r="D143" s="272"/>
      <c r="E143" s="272"/>
      <c r="F143" s="272"/>
      <c r="G143" s="272"/>
      <c r="H143" s="272"/>
      <c r="I143" s="272"/>
      <c r="J143" s="272"/>
      <c r="K143" s="272"/>
      <c r="L143" s="272"/>
      <c r="M143" s="272"/>
      <c r="N143" s="272"/>
      <c r="O143" s="272"/>
      <c r="P143" s="272"/>
      <c r="Q143" s="272"/>
      <c r="R143" s="272"/>
      <c r="S143" s="272"/>
      <c r="T143" s="272"/>
      <c r="U143" s="272"/>
      <c r="V143" s="272"/>
      <c r="W143" s="273"/>
    </row>
    <row r="144" spans="2:23" ht="18">
      <c r="B144" s="274" t="s">
        <v>482</v>
      </c>
      <c r="C144" s="275"/>
      <c r="D144" s="275"/>
      <c r="E144" s="275"/>
      <c r="F144" s="275"/>
      <c r="G144" s="275"/>
      <c r="H144" s="275"/>
      <c r="I144" s="275"/>
      <c r="J144" s="275"/>
      <c r="K144" s="275"/>
      <c r="L144" s="275"/>
      <c r="M144" s="275"/>
      <c r="N144" s="275"/>
      <c r="O144" s="275"/>
      <c r="P144" s="275"/>
      <c r="Q144" s="275"/>
      <c r="R144" s="275"/>
      <c r="S144" s="275"/>
      <c r="T144" s="275"/>
      <c r="U144" s="275"/>
      <c r="V144" s="275"/>
      <c r="W144" s="276"/>
    </row>
    <row r="145" spans="2:23" ht="15">
      <c r="B145" s="5"/>
      <c r="C145" s="6"/>
      <c r="D145" s="8"/>
      <c r="E145" s="8"/>
      <c r="F145" s="8"/>
      <c r="G145" s="8"/>
      <c r="H145" s="8"/>
      <c r="I145" s="6"/>
      <c r="J145" s="6"/>
      <c r="K145" s="6"/>
      <c r="L145" s="6"/>
      <c r="M145" s="6"/>
      <c r="N145" s="6"/>
      <c r="O145" s="6"/>
      <c r="P145" s="6"/>
      <c r="Q145" s="6"/>
      <c r="R145" s="6"/>
      <c r="S145" s="6"/>
      <c r="T145" s="6"/>
      <c r="U145" s="6"/>
      <c r="V145" s="6"/>
      <c r="W145" s="7"/>
    </row>
    <row r="146" spans="2:23" ht="15">
      <c r="B146" s="279" t="s">
        <v>483</v>
      </c>
      <c r="C146" s="280"/>
      <c r="D146" s="10" t="s">
        <v>484</v>
      </c>
      <c r="E146" s="10"/>
      <c r="F146" s="10"/>
      <c r="G146" s="11"/>
      <c r="H146" s="11"/>
      <c r="I146" s="11"/>
      <c r="J146" s="11"/>
      <c r="K146" s="11"/>
      <c r="L146" s="10" t="s">
        <v>485</v>
      </c>
      <c r="M146" s="10"/>
      <c r="N146" s="10"/>
      <c r="O146" s="281" t="s">
        <v>486</v>
      </c>
      <c r="P146" s="282"/>
      <c r="Q146" s="282"/>
      <c r="R146" s="282"/>
      <c r="S146" s="282"/>
      <c r="T146" s="282" t="s">
        <v>487</v>
      </c>
      <c r="U146" s="280"/>
      <c r="V146" s="280"/>
      <c r="W146" s="285"/>
    </row>
    <row r="147" spans="1:23" ht="15">
      <c r="A147" s="1"/>
      <c r="B147" s="279" t="s">
        <v>488</v>
      </c>
      <c r="C147" s="280"/>
      <c r="D147" s="10" t="s">
        <v>489</v>
      </c>
      <c r="E147" s="10"/>
      <c r="F147" s="10"/>
      <c r="G147" s="11"/>
      <c r="H147" s="11"/>
      <c r="I147" s="11"/>
      <c r="J147" s="11"/>
      <c r="K147" s="11"/>
      <c r="L147" s="282" t="s">
        <v>490</v>
      </c>
      <c r="M147" s="280"/>
      <c r="N147" s="280"/>
      <c r="O147" s="282" t="s">
        <v>491</v>
      </c>
      <c r="P147" s="282"/>
      <c r="Q147" s="282"/>
      <c r="R147" s="282"/>
      <c r="S147" s="282"/>
      <c r="T147" s="12" t="s">
        <v>492</v>
      </c>
      <c r="U147" s="11">
        <v>1</v>
      </c>
      <c r="V147" s="11" t="s">
        <v>493</v>
      </c>
      <c r="W147" s="13">
        <v>7</v>
      </c>
    </row>
    <row r="148" spans="1:23" ht="15.75" thickBot="1">
      <c r="A148" s="1"/>
      <c r="B148" s="83"/>
      <c r="C148" s="11"/>
      <c r="D148" s="11"/>
      <c r="E148" s="11"/>
      <c r="F148" s="11"/>
      <c r="G148" s="11"/>
      <c r="H148" s="11"/>
      <c r="I148" s="11"/>
      <c r="J148" s="11"/>
      <c r="K148" s="11"/>
      <c r="L148" s="283"/>
      <c r="M148" s="283"/>
      <c r="N148" s="283"/>
      <c r="O148" s="282" t="s">
        <v>494</v>
      </c>
      <c r="P148" s="282"/>
      <c r="Q148" s="282"/>
      <c r="R148" s="284"/>
      <c r="S148" s="284"/>
      <c r="T148" s="278"/>
      <c r="U148" s="278"/>
      <c r="V148" s="11"/>
      <c r="W148" s="16"/>
    </row>
    <row r="149" spans="1:23" ht="15.75" customHeight="1" thickBot="1">
      <c r="A149" s="1"/>
      <c r="B149" s="325" t="s">
        <v>495</v>
      </c>
      <c r="C149" s="326"/>
      <c r="D149" s="327" t="s">
        <v>496</v>
      </c>
      <c r="E149" s="327"/>
      <c r="F149" s="327"/>
      <c r="G149" s="327"/>
      <c r="H149" s="327"/>
      <c r="I149" s="258" t="s">
        <v>497</v>
      </c>
      <c r="J149" s="248"/>
      <c r="K149" s="261" t="s">
        <v>587</v>
      </c>
      <c r="L149" s="291"/>
      <c r="M149" s="291"/>
      <c r="N149" s="291"/>
      <c r="O149" s="291"/>
      <c r="P149" s="291"/>
      <c r="Q149" s="262"/>
      <c r="R149" s="259" t="s">
        <v>502</v>
      </c>
      <c r="S149" s="260"/>
      <c r="T149" s="261" t="s">
        <v>588</v>
      </c>
      <c r="U149" s="291"/>
      <c r="V149" s="291"/>
      <c r="W149" s="262"/>
    </row>
    <row r="150" spans="1:24" s="90" customFormat="1" ht="30" customHeight="1" thickBot="1">
      <c r="A150" s="88"/>
      <c r="B150" s="355" t="s">
        <v>506</v>
      </c>
      <c r="C150" s="356"/>
      <c r="D150" s="357" t="s">
        <v>574</v>
      </c>
      <c r="E150" s="358"/>
      <c r="F150" s="358"/>
      <c r="G150" s="358"/>
      <c r="H150" s="358"/>
      <c r="I150" s="249"/>
      <c r="J150" s="250"/>
      <c r="K150" s="263"/>
      <c r="L150" s="292"/>
      <c r="M150" s="292"/>
      <c r="N150" s="292"/>
      <c r="O150" s="292"/>
      <c r="P150" s="292"/>
      <c r="Q150" s="264"/>
      <c r="R150" s="259"/>
      <c r="S150" s="260"/>
      <c r="T150" s="263"/>
      <c r="U150" s="292"/>
      <c r="V150" s="292"/>
      <c r="W150" s="264"/>
      <c r="X150" s="89"/>
    </row>
    <row r="151" spans="1:24" s="90" customFormat="1" ht="51.75" customHeight="1" thickBot="1">
      <c r="A151" s="88"/>
      <c r="B151" s="359" t="s">
        <v>508</v>
      </c>
      <c r="C151" s="360"/>
      <c r="D151" s="361" t="s">
        <v>589</v>
      </c>
      <c r="E151" s="362"/>
      <c r="F151" s="362"/>
      <c r="G151" s="362"/>
      <c r="H151" s="363"/>
      <c r="I151" s="251"/>
      <c r="J151" s="247"/>
      <c r="K151" s="265"/>
      <c r="L151" s="293"/>
      <c r="M151" s="293"/>
      <c r="N151" s="293"/>
      <c r="O151" s="293"/>
      <c r="P151" s="293"/>
      <c r="Q151" s="266"/>
      <c r="R151" s="259"/>
      <c r="S151" s="260"/>
      <c r="T151" s="265"/>
      <c r="U151" s="293"/>
      <c r="V151" s="293"/>
      <c r="W151" s="266"/>
      <c r="X151" s="89"/>
    </row>
    <row r="152" spans="1:23" ht="18.75" thickBot="1">
      <c r="A152" s="1"/>
      <c r="B152" s="84"/>
      <c r="C152" s="85"/>
      <c r="D152" s="86"/>
      <c r="E152" s="87"/>
      <c r="F152" s="87"/>
      <c r="G152" s="87"/>
      <c r="H152" s="87"/>
      <c r="I152" s="84"/>
      <c r="J152" s="84"/>
      <c r="K152" s="84"/>
      <c r="L152" s="84"/>
      <c r="M152" s="84"/>
      <c r="N152" s="84"/>
      <c r="O152" s="84"/>
      <c r="P152" s="84"/>
      <c r="Q152" s="84"/>
      <c r="R152" s="84"/>
      <c r="S152" s="84"/>
      <c r="T152" s="19"/>
      <c r="U152" s="19"/>
      <c r="V152" s="19"/>
      <c r="W152" s="19"/>
    </row>
    <row r="153" spans="1:23" ht="15.75" thickBot="1">
      <c r="A153" s="1"/>
      <c r="B153" s="341" t="s">
        <v>510</v>
      </c>
      <c r="C153" s="342"/>
      <c r="D153" s="342"/>
      <c r="E153" s="342"/>
      <c r="F153" s="342"/>
      <c r="G153" s="342"/>
      <c r="H153" s="342"/>
      <c r="I153" s="343" t="s">
        <v>511</v>
      </c>
      <c r="J153" s="343"/>
      <c r="K153" s="343"/>
      <c r="L153" s="343"/>
      <c r="M153" s="343"/>
      <c r="N153" s="343"/>
      <c r="O153" s="343"/>
      <c r="P153" s="343"/>
      <c r="Q153" s="343"/>
      <c r="R153" s="343"/>
      <c r="S153" s="344"/>
      <c r="T153" s="345" t="s">
        <v>512</v>
      </c>
      <c r="U153" s="287" t="s">
        <v>513</v>
      </c>
      <c r="V153" s="287"/>
      <c r="W153" s="287"/>
    </row>
    <row r="154" spans="1:23" ht="24.75" customHeight="1" thickBot="1">
      <c r="A154" s="1"/>
      <c r="B154" s="346" t="s">
        <v>514</v>
      </c>
      <c r="C154" s="347" t="s">
        <v>515</v>
      </c>
      <c r="D154" s="347"/>
      <c r="E154" s="329" t="s">
        <v>516</v>
      </c>
      <c r="F154" s="329" t="s">
        <v>517</v>
      </c>
      <c r="G154" s="329" t="s">
        <v>518</v>
      </c>
      <c r="H154" s="330" t="s">
        <v>519</v>
      </c>
      <c r="I154" s="337" t="s">
        <v>520</v>
      </c>
      <c r="J154" s="338"/>
      <c r="K154" s="338"/>
      <c r="L154" s="338"/>
      <c r="M154" s="338"/>
      <c r="N154" s="338"/>
      <c r="O154" s="338"/>
      <c r="P154" s="338"/>
      <c r="Q154" s="339" t="s">
        <v>521</v>
      </c>
      <c r="R154" s="340" t="s">
        <v>522</v>
      </c>
      <c r="S154" s="336" t="s">
        <v>523</v>
      </c>
      <c r="T154" s="287"/>
      <c r="U154" s="287"/>
      <c r="V154" s="287"/>
      <c r="W154" s="287"/>
    </row>
    <row r="155" spans="1:23" ht="61.5" customHeight="1" thickBot="1">
      <c r="A155" s="1"/>
      <c r="B155" s="317"/>
      <c r="C155" s="319"/>
      <c r="D155" s="319"/>
      <c r="E155" s="315"/>
      <c r="F155" s="315"/>
      <c r="G155" s="315"/>
      <c r="H155" s="301"/>
      <c r="I155" s="20" t="s">
        <v>524</v>
      </c>
      <c r="J155" s="21" t="s">
        <v>525</v>
      </c>
      <c r="K155" s="22" t="s">
        <v>526</v>
      </c>
      <c r="L155" s="22" t="s">
        <v>527</v>
      </c>
      <c r="M155" s="22" t="s">
        <v>528</v>
      </c>
      <c r="N155" s="22" t="s">
        <v>529</v>
      </c>
      <c r="O155" s="22" t="s">
        <v>530</v>
      </c>
      <c r="P155" s="23" t="s">
        <v>531</v>
      </c>
      <c r="Q155" s="305"/>
      <c r="R155" s="320"/>
      <c r="S155" s="299"/>
      <c r="T155" s="287"/>
      <c r="U155" s="287"/>
      <c r="V155" s="287"/>
      <c r="W155" s="287"/>
    </row>
    <row r="156" spans="1:23" ht="33.75" customHeight="1">
      <c r="A156" s="1"/>
      <c r="B156" s="25">
        <v>1</v>
      </c>
      <c r="C156" s="306" t="s">
        <v>590</v>
      </c>
      <c r="D156" s="306"/>
      <c r="E156" s="26">
        <v>90</v>
      </c>
      <c r="F156" s="27">
        <v>60</v>
      </c>
      <c r="G156" s="28">
        <f>+F156/E156</f>
        <v>0.6666666666666666</v>
      </c>
      <c r="H156" s="29">
        <f>+F156/E156</f>
        <v>0.6666666666666666</v>
      </c>
      <c r="I156" s="30">
        <f>27990+6997+0</f>
        <v>34987</v>
      </c>
      <c r="J156" s="32">
        <v>10000</v>
      </c>
      <c r="K156" s="32"/>
      <c r="L156" s="32"/>
      <c r="M156" s="31"/>
      <c r="N156" s="31"/>
      <c r="O156" s="31"/>
      <c r="P156" s="74"/>
      <c r="Q156" s="75">
        <f>+SUM(I156:P156)</f>
        <v>44987</v>
      </c>
      <c r="R156" s="76">
        <v>59586</v>
      </c>
      <c r="S156" s="36">
        <f>R156/Q156</f>
        <v>1.324515971280592</v>
      </c>
      <c r="T156" s="37" t="s">
        <v>549</v>
      </c>
      <c r="U156" s="307"/>
      <c r="V156" s="307"/>
      <c r="W156" s="307"/>
    </row>
    <row r="157" spans="2:23" ht="33.75" customHeight="1">
      <c r="B157" s="39"/>
      <c r="C157" s="308"/>
      <c r="D157" s="308"/>
      <c r="E157" s="40"/>
      <c r="F157" s="41"/>
      <c r="G157" s="42"/>
      <c r="H157" s="91"/>
      <c r="I157" s="44"/>
      <c r="J157" s="46"/>
      <c r="K157" s="46"/>
      <c r="L157" s="46"/>
      <c r="M157" s="45"/>
      <c r="N157" s="45"/>
      <c r="O157" s="45"/>
      <c r="P157" s="74"/>
      <c r="Q157" s="75"/>
      <c r="R157" s="76"/>
      <c r="S157" s="36"/>
      <c r="T157" s="37"/>
      <c r="U157" s="322"/>
      <c r="V157" s="322"/>
      <c r="W157" s="322"/>
    </row>
    <row r="158" spans="2:23" ht="33.75" customHeight="1">
      <c r="B158" s="39"/>
      <c r="C158" s="308"/>
      <c r="D158" s="308"/>
      <c r="E158" s="40"/>
      <c r="F158" s="41"/>
      <c r="G158" s="42"/>
      <c r="H158" s="91"/>
      <c r="I158" s="44"/>
      <c r="J158" s="46"/>
      <c r="K158" s="46"/>
      <c r="L158" s="46"/>
      <c r="M158" s="45"/>
      <c r="N158" s="45"/>
      <c r="O158" s="45"/>
      <c r="P158" s="74"/>
      <c r="Q158" s="75"/>
      <c r="R158" s="76"/>
      <c r="S158" s="36"/>
      <c r="T158" s="37"/>
      <c r="U158" s="322"/>
      <c r="V158" s="322"/>
      <c r="W158" s="322"/>
    </row>
    <row r="159" spans="2:23" ht="33.75" customHeight="1">
      <c r="B159" s="39"/>
      <c r="C159" s="308"/>
      <c r="D159" s="308"/>
      <c r="E159" s="40"/>
      <c r="F159" s="41"/>
      <c r="G159" s="42"/>
      <c r="H159" s="91"/>
      <c r="I159" s="44"/>
      <c r="J159" s="45"/>
      <c r="K159" s="46"/>
      <c r="L159" s="46"/>
      <c r="M159" s="45"/>
      <c r="N159" s="45"/>
      <c r="O159" s="45"/>
      <c r="P159" s="74"/>
      <c r="Q159" s="75"/>
      <c r="R159" s="76"/>
      <c r="S159" s="36"/>
      <c r="T159" s="37"/>
      <c r="U159" s="322"/>
      <c r="V159" s="322"/>
      <c r="W159" s="322"/>
    </row>
    <row r="160" spans="2:23" ht="33.75" customHeight="1">
      <c r="B160" s="50"/>
      <c r="C160" s="323"/>
      <c r="D160" s="323"/>
      <c r="E160" s="51"/>
      <c r="F160" s="52"/>
      <c r="G160" s="53"/>
      <c r="H160" s="54"/>
      <c r="I160" s="55"/>
      <c r="J160" s="45"/>
      <c r="K160" s="45"/>
      <c r="L160" s="45"/>
      <c r="M160" s="45"/>
      <c r="N160" s="45"/>
      <c r="O160" s="45"/>
      <c r="P160" s="56"/>
      <c r="Q160" s="75"/>
      <c r="R160" s="76"/>
      <c r="S160" s="36"/>
      <c r="T160" s="58"/>
      <c r="U160" s="322"/>
      <c r="V160" s="322"/>
      <c r="W160" s="322"/>
    </row>
    <row r="161" spans="2:23" ht="33.75" customHeight="1" thickBot="1">
      <c r="B161" s="59"/>
      <c r="C161" s="310" t="s">
        <v>541</v>
      </c>
      <c r="D161" s="310"/>
      <c r="E161" s="60"/>
      <c r="F161" s="61"/>
      <c r="G161" s="62"/>
      <c r="H161" s="63"/>
      <c r="I161" s="64">
        <f aca="true" t="shared" si="6" ref="I161:R161">+SUM(I156:I160)</f>
        <v>34987</v>
      </c>
      <c r="J161" s="64">
        <f t="shared" si="6"/>
        <v>10000</v>
      </c>
      <c r="K161" s="64">
        <f t="shared" si="6"/>
        <v>0</v>
      </c>
      <c r="L161" s="64">
        <f t="shared" si="6"/>
        <v>0</v>
      </c>
      <c r="M161" s="64">
        <f t="shared" si="6"/>
        <v>0</v>
      </c>
      <c r="N161" s="64">
        <f t="shared" si="6"/>
        <v>0</v>
      </c>
      <c r="O161" s="64">
        <f t="shared" si="6"/>
        <v>0</v>
      </c>
      <c r="P161" s="64">
        <f t="shared" si="6"/>
        <v>0</v>
      </c>
      <c r="Q161" s="79">
        <f t="shared" si="6"/>
        <v>44987</v>
      </c>
      <c r="R161" s="79">
        <f t="shared" si="6"/>
        <v>59586</v>
      </c>
      <c r="S161" s="66">
        <f>+R161/Q161</f>
        <v>1.324515971280592</v>
      </c>
      <c r="T161" s="67"/>
      <c r="U161" s="311"/>
      <c r="V161" s="311"/>
      <c r="W161" s="311"/>
    </row>
    <row r="162" ht="15.75" thickBot="1"/>
    <row r="163" spans="2:23" ht="15.75">
      <c r="B163" s="267" t="s">
        <v>479</v>
      </c>
      <c r="C163" s="267"/>
      <c r="D163" s="267"/>
      <c r="E163" s="267"/>
      <c r="F163" s="267"/>
      <c r="G163" s="267"/>
      <c r="H163" s="267"/>
      <c r="I163" s="267"/>
      <c r="J163" s="267"/>
      <c r="K163" s="267"/>
      <c r="L163" s="267"/>
      <c r="M163" s="267"/>
      <c r="N163" s="267"/>
      <c r="O163" s="267"/>
      <c r="P163" s="267"/>
      <c r="Q163" s="267"/>
      <c r="R163" s="267"/>
      <c r="S163" s="267"/>
      <c r="T163" s="267"/>
      <c r="U163" s="267"/>
      <c r="V163" s="267"/>
      <c r="W163" s="267"/>
    </row>
    <row r="164" spans="2:23" ht="15">
      <c r="B164" s="5"/>
      <c r="C164" s="6"/>
      <c r="D164" s="6"/>
      <c r="E164" s="6"/>
      <c r="F164" s="6"/>
      <c r="G164" s="6"/>
      <c r="H164" s="6"/>
      <c r="I164" s="6"/>
      <c r="J164" s="6"/>
      <c r="K164" s="6"/>
      <c r="L164" s="6"/>
      <c r="M164" s="6"/>
      <c r="N164" s="6"/>
      <c r="O164" s="6"/>
      <c r="P164" s="6"/>
      <c r="Q164" s="6"/>
      <c r="R164" s="93"/>
      <c r="S164" s="6"/>
      <c r="T164" s="6"/>
      <c r="U164" s="6"/>
      <c r="V164" s="6"/>
      <c r="W164" s="7"/>
    </row>
    <row r="165" spans="2:23" ht="27" customHeight="1">
      <c r="B165" s="268" t="s">
        <v>480</v>
      </c>
      <c r="C165" s="269"/>
      <c r="D165" s="269"/>
      <c r="E165" s="269"/>
      <c r="F165" s="269"/>
      <c r="G165" s="269"/>
      <c r="H165" s="269"/>
      <c r="I165" s="269"/>
      <c r="J165" s="269"/>
      <c r="K165" s="269"/>
      <c r="L165" s="269"/>
      <c r="M165" s="269"/>
      <c r="N165" s="269"/>
      <c r="O165" s="269"/>
      <c r="P165" s="269"/>
      <c r="Q165" s="269"/>
      <c r="R165" s="269"/>
      <c r="S165" s="269"/>
      <c r="T165" s="269"/>
      <c r="U165" s="269"/>
      <c r="V165" s="269"/>
      <c r="W165" s="270"/>
    </row>
    <row r="166" spans="2:23" ht="18">
      <c r="B166" s="271" t="s">
        <v>481</v>
      </c>
      <c r="C166" s="272"/>
      <c r="D166" s="272"/>
      <c r="E166" s="272"/>
      <c r="F166" s="272"/>
      <c r="G166" s="272"/>
      <c r="H166" s="272"/>
      <c r="I166" s="272"/>
      <c r="J166" s="272"/>
      <c r="K166" s="272"/>
      <c r="L166" s="272"/>
      <c r="M166" s="272"/>
      <c r="N166" s="272"/>
      <c r="O166" s="272"/>
      <c r="P166" s="272"/>
      <c r="Q166" s="272"/>
      <c r="R166" s="272"/>
      <c r="S166" s="272"/>
      <c r="T166" s="272"/>
      <c r="U166" s="272"/>
      <c r="V166" s="272"/>
      <c r="W166" s="273"/>
    </row>
    <row r="167" spans="2:23" ht="18">
      <c r="B167" s="274" t="s">
        <v>482</v>
      </c>
      <c r="C167" s="275"/>
      <c r="D167" s="275"/>
      <c r="E167" s="275"/>
      <c r="F167" s="275"/>
      <c r="G167" s="275"/>
      <c r="H167" s="275"/>
      <c r="I167" s="275"/>
      <c r="J167" s="275"/>
      <c r="K167" s="275"/>
      <c r="L167" s="275"/>
      <c r="M167" s="275"/>
      <c r="N167" s="275"/>
      <c r="O167" s="275"/>
      <c r="P167" s="275"/>
      <c r="Q167" s="275"/>
      <c r="R167" s="275"/>
      <c r="S167" s="275"/>
      <c r="T167" s="275"/>
      <c r="U167" s="275"/>
      <c r="V167" s="275"/>
      <c r="W167" s="276"/>
    </row>
    <row r="168" spans="2:23" ht="15">
      <c r="B168" s="5"/>
      <c r="C168" s="6"/>
      <c r="D168" s="8"/>
      <c r="E168" s="8"/>
      <c r="F168" s="8"/>
      <c r="G168" s="8"/>
      <c r="H168" s="8"/>
      <c r="I168" s="6"/>
      <c r="J168" s="6"/>
      <c r="K168" s="6"/>
      <c r="L168" s="6"/>
      <c r="M168" s="6"/>
      <c r="N168" s="6"/>
      <c r="O168" s="6"/>
      <c r="P168" s="6"/>
      <c r="Q168" s="6"/>
      <c r="R168" s="6"/>
      <c r="S168" s="6"/>
      <c r="T168" s="6"/>
      <c r="U168" s="6"/>
      <c r="V168" s="6"/>
      <c r="W168" s="7"/>
    </row>
    <row r="169" spans="2:23" ht="15">
      <c r="B169" s="279" t="s">
        <v>483</v>
      </c>
      <c r="C169" s="280"/>
      <c r="D169" s="10" t="s">
        <v>484</v>
      </c>
      <c r="E169" s="10"/>
      <c r="F169" s="10"/>
      <c r="G169" s="11"/>
      <c r="H169" s="11"/>
      <c r="I169" s="11"/>
      <c r="J169" s="11"/>
      <c r="K169" s="11"/>
      <c r="L169" s="10" t="s">
        <v>485</v>
      </c>
      <c r="M169" s="10"/>
      <c r="N169" s="10"/>
      <c r="O169" s="281" t="s">
        <v>486</v>
      </c>
      <c r="P169" s="282"/>
      <c r="Q169" s="282"/>
      <c r="R169" s="282"/>
      <c r="S169" s="282"/>
      <c r="T169" s="282" t="s">
        <v>487</v>
      </c>
      <c r="U169" s="280"/>
      <c r="V169" s="280"/>
      <c r="W169" s="285"/>
    </row>
    <row r="170" spans="2:23" ht="15">
      <c r="B170" s="279" t="s">
        <v>488</v>
      </c>
      <c r="C170" s="280"/>
      <c r="D170" s="10" t="s">
        <v>489</v>
      </c>
      <c r="E170" s="10"/>
      <c r="F170" s="10"/>
      <c r="G170" s="11"/>
      <c r="H170" s="11"/>
      <c r="I170" s="11"/>
      <c r="J170" s="11"/>
      <c r="K170" s="11"/>
      <c r="L170" s="282" t="s">
        <v>490</v>
      </c>
      <c r="M170" s="280"/>
      <c r="N170" s="280"/>
      <c r="O170" s="282" t="s">
        <v>491</v>
      </c>
      <c r="P170" s="282"/>
      <c r="Q170" s="282"/>
      <c r="R170" s="282"/>
      <c r="S170" s="282"/>
      <c r="T170" s="12" t="s">
        <v>492</v>
      </c>
      <c r="U170" s="11">
        <v>1</v>
      </c>
      <c r="V170" s="11" t="s">
        <v>493</v>
      </c>
      <c r="W170" s="13">
        <v>8</v>
      </c>
    </row>
    <row r="171" spans="2:23" ht="15.75" thickBot="1">
      <c r="B171" s="83"/>
      <c r="C171" s="11"/>
      <c r="D171" s="11"/>
      <c r="E171" s="11"/>
      <c r="F171" s="11"/>
      <c r="G171" s="11"/>
      <c r="H171" s="11"/>
      <c r="I171" s="11"/>
      <c r="J171" s="11"/>
      <c r="K171" s="11"/>
      <c r="L171" s="283"/>
      <c r="M171" s="283"/>
      <c r="N171" s="283"/>
      <c r="O171" s="282" t="s">
        <v>494</v>
      </c>
      <c r="P171" s="282"/>
      <c r="Q171" s="282"/>
      <c r="R171" s="284"/>
      <c r="S171" s="284"/>
      <c r="T171" s="278"/>
      <c r="U171" s="278"/>
      <c r="V171" s="11"/>
      <c r="W171" s="16"/>
    </row>
    <row r="172" spans="2:23" ht="73.5" customHeight="1" thickBot="1">
      <c r="B172" s="325" t="s">
        <v>495</v>
      </c>
      <c r="C172" s="326"/>
      <c r="D172" s="327" t="s">
        <v>496</v>
      </c>
      <c r="E172" s="327"/>
      <c r="F172" s="327"/>
      <c r="G172" s="327"/>
      <c r="H172" s="327"/>
      <c r="I172" s="258" t="s">
        <v>497</v>
      </c>
      <c r="J172" s="248"/>
      <c r="K172" s="296" t="s">
        <v>591</v>
      </c>
      <c r="L172" s="261" t="s">
        <v>592</v>
      </c>
      <c r="M172" s="262"/>
      <c r="N172" s="296" t="s">
        <v>593</v>
      </c>
      <c r="O172" s="261" t="s">
        <v>594</v>
      </c>
      <c r="P172" s="262"/>
      <c r="Q172" s="296" t="s">
        <v>595</v>
      </c>
      <c r="R172" s="259" t="s">
        <v>502</v>
      </c>
      <c r="S172" s="260"/>
      <c r="T172" s="296" t="s">
        <v>596</v>
      </c>
      <c r="U172" s="296" t="s">
        <v>597</v>
      </c>
      <c r="V172" s="296" t="s">
        <v>598</v>
      </c>
      <c r="W172" s="296" t="s">
        <v>594</v>
      </c>
    </row>
    <row r="173" spans="2:23" ht="45.75" customHeight="1" thickBot="1">
      <c r="B173" s="328" t="s">
        <v>506</v>
      </c>
      <c r="C173" s="252"/>
      <c r="D173" s="294" t="s">
        <v>599</v>
      </c>
      <c r="E173" s="295"/>
      <c r="F173" s="295"/>
      <c r="G173" s="295"/>
      <c r="H173" s="295"/>
      <c r="I173" s="249"/>
      <c r="J173" s="250"/>
      <c r="K173" s="297"/>
      <c r="L173" s="263"/>
      <c r="M173" s="264"/>
      <c r="N173" s="297"/>
      <c r="O173" s="263"/>
      <c r="P173" s="264"/>
      <c r="Q173" s="297"/>
      <c r="R173" s="259"/>
      <c r="S173" s="260"/>
      <c r="T173" s="297"/>
      <c r="U173" s="297"/>
      <c r="V173" s="297"/>
      <c r="W173" s="298"/>
    </row>
    <row r="174" spans="2:23" ht="114.75" customHeight="1" thickBot="1">
      <c r="B174" s="331" t="s">
        <v>508</v>
      </c>
      <c r="C174" s="332"/>
      <c r="D174" s="333" t="s">
        <v>0</v>
      </c>
      <c r="E174" s="334"/>
      <c r="F174" s="334"/>
      <c r="G174" s="334"/>
      <c r="H174" s="335"/>
      <c r="I174" s="251"/>
      <c r="J174" s="247"/>
      <c r="K174" s="298"/>
      <c r="L174" s="265"/>
      <c r="M174" s="266"/>
      <c r="N174" s="298"/>
      <c r="O174" s="265"/>
      <c r="P174" s="266"/>
      <c r="Q174" s="298"/>
      <c r="R174" s="259"/>
      <c r="S174" s="260"/>
      <c r="T174" s="298"/>
      <c r="U174" s="298"/>
      <c r="V174" s="298"/>
      <c r="W174" s="94" t="s">
        <v>1</v>
      </c>
    </row>
    <row r="175" spans="2:23" ht="18.75" thickBot="1">
      <c r="B175" s="84"/>
      <c r="C175" s="85"/>
      <c r="D175" s="86"/>
      <c r="E175" s="87"/>
      <c r="F175" s="87"/>
      <c r="G175" s="87"/>
      <c r="H175" s="87"/>
      <c r="I175" s="84"/>
      <c r="J175" s="84"/>
      <c r="K175" s="84"/>
      <c r="L175" s="84"/>
      <c r="M175" s="84"/>
      <c r="N175" s="84"/>
      <c r="O175" s="84"/>
      <c r="P175" s="84"/>
      <c r="Q175" s="84"/>
      <c r="R175" s="84"/>
      <c r="S175" s="84"/>
      <c r="T175" s="19"/>
      <c r="U175" s="19"/>
      <c r="V175" s="19"/>
      <c r="W175" s="19"/>
    </row>
    <row r="176" spans="2:23" ht="15.75" thickBot="1">
      <c r="B176" s="341" t="s">
        <v>510</v>
      </c>
      <c r="C176" s="342"/>
      <c r="D176" s="342"/>
      <c r="E176" s="342"/>
      <c r="F176" s="342"/>
      <c r="G176" s="342"/>
      <c r="H176" s="342"/>
      <c r="I176" s="343" t="s">
        <v>511</v>
      </c>
      <c r="J176" s="343"/>
      <c r="K176" s="343"/>
      <c r="L176" s="343"/>
      <c r="M176" s="343"/>
      <c r="N176" s="343"/>
      <c r="O176" s="343"/>
      <c r="P176" s="343"/>
      <c r="Q176" s="343"/>
      <c r="R176" s="343"/>
      <c r="S176" s="344"/>
      <c r="T176" s="345" t="s">
        <v>512</v>
      </c>
      <c r="U176" s="287" t="s">
        <v>513</v>
      </c>
      <c r="V176" s="287"/>
      <c r="W176" s="287"/>
    </row>
    <row r="177" spans="2:23" ht="15.75" thickBot="1">
      <c r="B177" s="346" t="s">
        <v>514</v>
      </c>
      <c r="C177" s="347" t="s">
        <v>515</v>
      </c>
      <c r="D177" s="347"/>
      <c r="E177" s="329" t="s">
        <v>516</v>
      </c>
      <c r="F177" s="329" t="s">
        <v>517</v>
      </c>
      <c r="G177" s="329" t="s">
        <v>518</v>
      </c>
      <c r="H177" s="330" t="s">
        <v>519</v>
      </c>
      <c r="I177" s="337" t="s">
        <v>520</v>
      </c>
      <c r="J177" s="338"/>
      <c r="K177" s="338"/>
      <c r="L177" s="338"/>
      <c r="M177" s="338"/>
      <c r="N177" s="338"/>
      <c r="O177" s="338"/>
      <c r="P177" s="338"/>
      <c r="Q177" s="339" t="s">
        <v>521</v>
      </c>
      <c r="R177" s="340" t="s">
        <v>522</v>
      </c>
      <c r="S177" s="336" t="s">
        <v>523</v>
      </c>
      <c r="T177" s="287"/>
      <c r="U177" s="287"/>
      <c r="V177" s="287"/>
      <c r="W177" s="287"/>
    </row>
    <row r="178" spans="2:23" ht="75.75" customHeight="1" thickBot="1">
      <c r="B178" s="317"/>
      <c r="C178" s="319"/>
      <c r="D178" s="319"/>
      <c r="E178" s="315"/>
      <c r="F178" s="315"/>
      <c r="G178" s="315"/>
      <c r="H178" s="301"/>
      <c r="I178" s="20" t="s">
        <v>524</v>
      </c>
      <c r="J178" s="21" t="s">
        <v>525</v>
      </c>
      <c r="K178" s="22" t="s">
        <v>526</v>
      </c>
      <c r="L178" s="22" t="s">
        <v>527</v>
      </c>
      <c r="M178" s="22" t="s">
        <v>528</v>
      </c>
      <c r="N178" s="22" t="s">
        <v>529</v>
      </c>
      <c r="O178" s="22" t="s">
        <v>530</v>
      </c>
      <c r="P178" s="23" t="s">
        <v>531</v>
      </c>
      <c r="Q178" s="305"/>
      <c r="R178" s="320"/>
      <c r="S178" s="299"/>
      <c r="T178" s="287"/>
      <c r="U178" s="287"/>
      <c r="V178" s="287"/>
      <c r="W178" s="287"/>
    </row>
    <row r="179" spans="2:23" ht="38.25" customHeight="1">
      <c r="B179" s="25">
        <v>1</v>
      </c>
      <c r="C179" s="306" t="s">
        <v>2</v>
      </c>
      <c r="D179" s="306"/>
      <c r="E179" s="26">
        <v>20</v>
      </c>
      <c r="F179" s="27">
        <v>5</v>
      </c>
      <c r="G179" s="28">
        <f>+F179/E179</f>
        <v>0.25</v>
      </c>
      <c r="H179" s="29">
        <f>+F179/E179</f>
        <v>0.25</v>
      </c>
      <c r="I179" s="30">
        <v>20508</v>
      </c>
      <c r="J179" s="32">
        <v>5000</v>
      </c>
      <c r="K179" s="32"/>
      <c r="L179" s="32"/>
      <c r="M179" s="31"/>
      <c r="N179" s="31"/>
      <c r="O179" s="31"/>
      <c r="P179" s="74"/>
      <c r="Q179" s="75">
        <f>+SUM(I179:P179)</f>
        <v>25508</v>
      </c>
      <c r="R179" s="76">
        <f>27058+11423-4500</f>
        <v>33981</v>
      </c>
      <c r="S179" s="36">
        <f>R179/Q179</f>
        <v>1.332170299513878</v>
      </c>
      <c r="T179" s="37" t="s">
        <v>3</v>
      </c>
      <c r="U179" s="307"/>
      <c r="V179" s="307"/>
      <c r="W179" s="307"/>
    </row>
    <row r="180" spans="2:23" ht="38.25" customHeight="1">
      <c r="B180" s="39">
        <v>2</v>
      </c>
      <c r="C180" s="308" t="s">
        <v>4</v>
      </c>
      <c r="D180" s="308"/>
      <c r="E180" s="40">
        <v>90</v>
      </c>
      <c r="F180" s="41">
        <v>60</v>
      </c>
      <c r="G180" s="42">
        <f>+F180/E180</f>
        <v>0.6666666666666666</v>
      </c>
      <c r="H180" s="91">
        <f>+F180/E180</f>
        <v>0.6666666666666666</v>
      </c>
      <c r="I180" s="44">
        <v>4000</v>
      </c>
      <c r="J180" s="46">
        <v>5000</v>
      </c>
      <c r="K180" s="46"/>
      <c r="L180" s="46"/>
      <c r="M180" s="45"/>
      <c r="N180" s="45"/>
      <c r="O180" s="45"/>
      <c r="P180" s="74"/>
      <c r="Q180" s="75">
        <f>+SUM(I180:P180)</f>
        <v>9000</v>
      </c>
      <c r="R180" s="76">
        <f>10000+6300-4500</f>
        <v>11800</v>
      </c>
      <c r="S180" s="36">
        <f>R180/Q180</f>
        <v>1.3111111111111111</v>
      </c>
      <c r="T180" s="37" t="s">
        <v>3</v>
      </c>
      <c r="U180" s="322"/>
      <c r="V180" s="322"/>
      <c r="W180" s="322"/>
    </row>
    <row r="181" spans="2:23" ht="38.25" customHeight="1">
      <c r="B181" s="39">
        <v>3</v>
      </c>
      <c r="C181" s="308" t="s">
        <v>5</v>
      </c>
      <c r="D181" s="308"/>
      <c r="E181" s="40">
        <v>100</v>
      </c>
      <c r="F181" s="41">
        <v>30</v>
      </c>
      <c r="G181" s="42">
        <f>+F181/E181</f>
        <v>0.3</v>
      </c>
      <c r="H181" s="91">
        <f>+F181/E181</f>
        <v>0.3</v>
      </c>
      <c r="I181" s="44">
        <v>2500</v>
      </c>
      <c r="J181" s="46"/>
      <c r="K181" s="46"/>
      <c r="L181" s="46"/>
      <c r="M181" s="45"/>
      <c r="N181" s="45"/>
      <c r="O181" s="45"/>
      <c r="P181" s="74"/>
      <c r="Q181" s="75">
        <f>+SUM(I181:P181)</f>
        <v>2500</v>
      </c>
      <c r="R181" s="76">
        <v>2500</v>
      </c>
      <c r="S181" s="36">
        <f>R181/Q181</f>
        <v>1</v>
      </c>
      <c r="T181" s="37" t="s">
        <v>3</v>
      </c>
      <c r="U181" s="322"/>
      <c r="V181" s="322"/>
      <c r="W181" s="322"/>
    </row>
    <row r="182" spans="2:23" ht="38.25" customHeight="1">
      <c r="B182" s="39">
        <v>4</v>
      </c>
      <c r="C182" s="308" t="s">
        <v>6</v>
      </c>
      <c r="D182" s="308"/>
      <c r="E182" s="40">
        <v>5</v>
      </c>
      <c r="F182" s="41">
        <v>5</v>
      </c>
      <c r="G182" s="42">
        <f>+F182/E182</f>
        <v>1</v>
      </c>
      <c r="H182" s="91">
        <f>+F182/E182</f>
        <v>1</v>
      </c>
      <c r="I182" s="44"/>
      <c r="J182" s="46">
        <v>5000</v>
      </c>
      <c r="K182" s="46"/>
      <c r="L182" s="46"/>
      <c r="M182" s="45"/>
      <c r="N182" s="45"/>
      <c r="O182" s="45"/>
      <c r="P182" s="74"/>
      <c r="Q182" s="75">
        <f>+SUM(I182:P182)</f>
        <v>5000</v>
      </c>
      <c r="R182" s="76">
        <v>10000</v>
      </c>
      <c r="S182" s="36">
        <f>R182/Q182</f>
        <v>2</v>
      </c>
      <c r="T182" s="37" t="s">
        <v>3</v>
      </c>
      <c r="U182" s="322"/>
      <c r="V182" s="322"/>
      <c r="W182" s="322"/>
    </row>
    <row r="183" spans="2:23" ht="38.25" customHeight="1">
      <c r="B183" s="39">
        <v>5</v>
      </c>
      <c r="C183" s="308" t="s">
        <v>7</v>
      </c>
      <c r="D183" s="308"/>
      <c r="E183" s="40">
        <v>5</v>
      </c>
      <c r="F183" s="41">
        <v>5</v>
      </c>
      <c r="G183" s="42">
        <f>+F183/E183</f>
        <v>1</v>
      </c>
      <c r="H183" s="91">
        <f>+F183/E183</f>
        <v>1</v>
      </c>
      <c r="I183" s="95"/>
      <c r="J183" s="46"/>
      <c r="K183" s="45"/>
      <c r="L183" s="45"/>
      <c r="M183" s="45"/>
      <c r="N183" s="45"/>
      <c r="O183" s="45"/>
      <c r="P183" s="56"/>
      <c r="Q183" s="75">
        <f>+SUM(I183:P183)</f>
        <v>0</v>
      </c>
      <c r="R183" s="76"/>
      <c r="S183" s="36"/>
      <c r="T183" s="37"/>
      <c r="U183" s="322"/>
      <c r="V183" s="322"/>
      <c r="W183" s="322"/>
    </row>
    <row r="184" spans="2:23" ht="38.25" customHeight="1" thickBot="1">
      <c r="B184" s="59"/>
      <c r="C184" s="310" t="s">
        <v>541</v>
      </c>
      <c r="D184" s="310"/>
      <c r="E184" s="60"/>
      <c r="F184" s="61"/>
      <c r="G184" s="62"/>
      <c r="H184" s="63"/>
      <c r="I184" s="64">
        <f aca="true" t="shared" si="7" ref="I184:R184">+SUM(I179:I183)</f>
        <v>27008</v>
      </c>
      <c r="J184" s="64">
        <f t="shared" si="7"/>
        <v>15000</v>
      </c>
      <c r="K184" s="64">
        <f t="shared" si="7"/>
        <v>0</v>
      </c>
      <c r="L184" s="64">
        <f t="shared" si="7"/>
        <v>0</v>
      </c>
      <c r="M184" s="64">
        <f t="shared" si="7"/>
        <v>0</v>
      </c>
      <c r="N184" s="64">
        <f t="shared" si="7"/>
        <v>0</v>
      </c>
      <c r="O184" s="64">
        <f t="shared" si="7"/>
        <v>0</v>
      </c>
      <c r="P184" s="64">
        <f t="shared" si="7"/>
        <v>0</v>
      </c>
      <c r="Q184" s="79">
        <f t="shared" si="7"/>
        <v>42008</v>
      </c>
      <c r="R184" s="79">
        <f t="shared" si="7"/>
        <v>58281</v>
      </c>
      <c r="S184" s="66">
        <f>+R184/Q184</f>
        <v>1.3873785945534185</v>
      </c>
      <c r="T184" s="67"/>
      <c r="U184" s="311"/>
      <c r="V184" s="311"/>
      <c r="W184" s="311"/>
    </row>
    <row r="185" ht="25.5" customHeight="1" thickBot="1"/>
    <row r="186" spans="2:23" ht="15.75">
      <c r="B186" s="267" t="s">
        <v>479</v>
      </c>
      <c r="C186" s="267"/>
      <c r="D186" s="267"/>
      <c r="E186" s="267"/>
      <c r="F186" s="267"/>
      <c r="G186" s="267"/>
      <c r="H186" s="267"/>
      <c r="I186" s="267"/>
      <c r="J186" s="267"/>
      <c r="K186" s="267"/>
      <c r="L186" s="267"/>
      <c r="M186" s="267"/>
      <c r="N186" s="267"/>
      <c r="O186" s="267"/>
      <c r="P186" s="267"/>
      <c r="Q186" s="267"/>
      <c r="R186" s="267"/>
      <c r="S186" s="267"/>
      <c r="T186" s="267"/>
      <c r="U186" s="267"/>
      <c r="V186" s="267"/>
      <c r="W186" s="267"/>
    </row>
    <row r="187" spans="2:23" ht="15">
      <c r="B187" s="5"/>
      <c r="C187" s="6"/>
      <c r="D187" s="6"/>
      <c r="E187" s="6"/>
      <c r="F187" s="6"/>
      <c r="G187" s="6"/>
      <c r="H187" s="6"/>
      <c r="I187" s="6"/>
      <c r="J187" s="6"/>
      <c r="K187" s="6"/>
      <c r="L187" s="6"/>
      <c r="M187" s="6"/>
      <c r="N187" s="6"/>
      <c r="O187" s="6"/>
      <c r="P187" s="6"/>
      <c r="Q187" s="6"/>
      <c r="R187" s="6"/>
      <c r="S187" s="6"/>
      <c r="T187" s="6"/>
      <c r="U187" s="6"/>
      <c r="V187" s="6"/>
      <c r="W187" s="7"/>
    </row>
    <row r="188" spans="2:23" ht="20.25">
      <c r="B188" s="268" t="s">
        <v>480</v>
      </c>
      <c r="C188" s="269"/>
      <c r="D188" s="269"/>
      <c r="E188" s="269"/>
      <c r="F188" s="269"/>
      <c r="G188" s="269"/>
      <c r="H188" s="269"/>
      <c r="I188" s="269"/>
      <c r="J188" s="269"/>
      <c r="K188" s="269"/>
      <c r="L188" s="269"/>
      <c r="M188" s="269"/>
      <c r="N188" s="269"/>
      <c r="O188" s="269"/>
      <c r="P188" s="269"/>
      <c r="Q188" s="269"/>
      <c r="R188" s="269"/>
      <c r="S188" s="269"/>
      <c r="T188" s="269"/>
      <c r="U188" s="269"/>
      <c r="V188" s="269"/>
      <c r="W188" s="270"/>
    </row>
    <row r="189" spans="2:23" ht="18">
      <c r="B189" s="271" t="s">
        <v>481</v>
      </c>
      <c r="C189" s="272"/>
      <c r="D189" s="272"/>
      <c r="E189" s="272"/>
      <c r="F189" s="272"/>
      <c r="G189" s="272"/>
      <c r="H189" s="272"/>
      <c r="I189" s="272"/>
      <c r="J189" s="272"/>
      <c r="K189" s="272"/>
      <c r="L189" s="272"/>
      <c r="M189" s="272"/>
      <c r="N189" s="272"/>
      <c r="O189" s="272"/>
      <c r="P189" s="272"/>
      <c r="Q189" s="272"/>
      <c r="R189" s="272"/>
      <c r="S189" s="272"/>
      <c r="T189" s="272"/>
      <c r="U189" s="272"/>
      <c r="V189" s="272"/>
      <c r="W189" s="273"/>
    </row>
    <row r="190" spans="2:23" ht="18">
      <c r="B190" s="274" t="s">
        <v>482</v>
      </c>
      <c r="C190" s="275"/>
      <c r="D190" s="275"/>
      <c r="E190" s="275"/>
      <c r="F190" s="275"/>
      <c r="G190" s="275"/>
      <c r="H190" s="275"/>
      <c r="I190" s="275"/>
      <c r="J190" s="275"/>
      <c r="K190" s="275"/>
      <c r="L190" s="275"/>
      <c r="M190" s="275"/>
      <c r="N190" s="275"/>
      <c r="O190" s="275"/>
      <c r="P190" s="275"/>
      <c r="Q190" s="275"/>
      <c r="R190" s="275"/>
      <c r="S190" s="275"/>
      <c r="T190" s="275"/>
      <c r="U190" s="275"/>
      <c r="V190" s="275"/>
      <c r="W190" s="276"/>
    </row>
    <row r="191" spans="2:23" ht="15">
      <c r="B191" s="5"/>
      <c r="C191" s="6"/>
      <c r="D191" s="8"/>
      <c r="E191" s="8"/>
      <c r="F191" s="8"/>
      <c r="G191" s="8"/>
      <c r="H191" s="8"/>
      <c r="I191" s="6"/>
      <c r="J191" s="6"/>
      <c r="K191" s="6"/>
      <c r="L191" s="6"/>
      <c r="M191" s="6"/>
      <c r="N191" s="6"/>
      <c r="O191" s="6"/>
      <c r="P191" s="6"/>
      <c r="Q191" s="6"/>
      <c r="R191" s="6"/>
      <c r="S191" s="6"/>
      <c r="T191" s="6"/>
      <c r="U191" s="6"/>
      <c r="V191" s="6"/>
      <c r="W191" s="7"/>
    </row>
    <row r="192" spans="2:23" ht="15">
      <c r="B192" s="279" t="s">
        <v>483</v>
      </c>
      <c r="C192" s="280"/>
      <c r="D192" s="10" t="s">
        <v>484</v>
      </c>
      <c r="E192" s="10"/>
      <c r="F192" s="10"/>
      <c r="G192" s="11"/>
      <c r="H192" s="11"/>
      <c r="I192" s="11"/>
      <c r="J192" s="11"/>
      <c r="K192" s="11"/>
      <c r="L192" s="10" t="s">
        <v>485</v>
      </c>
      <c r="M192" s="10"/>
      <c r="N192" s="10"/>
      <c r="O192" s="281" t="s">
        <v>486</v>
      </c>
      <c r="P192" s="282"/>
      <c r="Q192" s="282"/>
      <c r="R192" s="282"/>
      <c r="S192" s="282"/>
      <c r="T192" s="282" t="s">
        <v>487</v>
      </c>
      <c r="U192" s="280"/>
      <c r="V192" s="280"/>
      <c r="W192" s="285"/>
    </row>
    <row r="193" spans="2:23" ht="15">
      <c r="B193" s="279" t="s">
        <v>488</v>
      </c>
      <c r="C193" s="280"/>
      <c r="D193" s="10" t="s">
        <v>489</v>
      </c>
      <c r="E193" s="10"/>
      <c r="F193" s="10"/>
      <c r="G193" s="11"/>
      <c r="H193" s="11"/>
      <c r="I193" s="11"/>
      <c r="J193" s="11"/>
      <c r="K193" s="11"/>
      <c r="L193" s="282" t="s">
        <v>490</v>
      </c>
      <c r="M193" s="280"/>
      <c r="N193" s="280"/>
      <c r="O193" s="282" t="s">
        <v>491</v>
      </c>
      <c r="P193" s="282"/>
      <c r="Q193" s="282"/>
      <c r="R193" s="282"/>
      <c r="S193" s="282"/>
      <c r="T193" s="12" t="s">
        <v>492</v>
      </c>
      <c r="U193" s="11">
        <v>1</v>
      </c>
      <c r="V193" s="11" t="s">
        <v>493</v>
      </c>
      <c r="W193" s="13">
        <v>9</v>
      </c>
    </row>
    <row r="194" spans="2:23" ht="15.75" thickBot="1">
      <c r="B194" s="83"/>
      <c r="C194" s="11"/>
      <c r="D194" s="11"/>
      <c r="E194" s="11"/>
      <c r="F194" s="11"/>
      <c r="G194" s="11"/>
      <c r="H194" s="11"/>
      <c r="I194" s="11"/>
      <c r="J194" s="11"/>
      <c r="K194" s="11"/>
      <c r="L194" s="283"/>
      <c r="M194" s="283"/>
      <c r="N194" s="283"/>
      <c r="O194" s="282" t="s">
        <v>494</v>
      </c>
      <c r="P194" s="282"/>
      <c r="Q194" s="282"/>
      <c r="R194" s="284"/>
      <c r="S194" s="284"/>
      <c r="T194" s="278"/>
      <c r="U194" s="278"/>
      <c r="V194" s="11"/>
      <c r="W194" s="16"/>
    </row>
    <row r="195" spans="2:23" ht="30.75" customHeight="1" thickBot="1">
      <c r="B195" s="325" t="s">
        <v>495</v>
      </c>
      <c r="C195" s="326"/>
      <c r="D195" s="327" t="s">
        <v>496</v>
      </c>
      <c r="E195" s="327"/>
      <c r="F195" s="327"/>
      <c r="G195" s="327"/>
      <c r="H195" s="327"/>
      <c r="I195" s="258" t="s">
        <v>497</v>
      </c>
      <c r="J195" s="248"/>
      <c r="K195" s="296" t="s">
        <v>8</v>
      </c>
      <c r="L195" s="261" t="s">
        <v>9</v>
      </c>
      <c r="M195" s="262"/>
      <c r="N195" s="261" t="s">
        <v>10</v>
      </c>
      <c r="O195" s="291"/>
      <c r="P195" s="262"/>
      <c r="Q195" s="296" t="s">
        <v>11</v>
      </c>
      <c r="R195" s="259" t="s">
        <v>502</v>
      </c>
      <c r="S195" s="260"/>
      <c r="T195" s="296" t="s">
        <v>12</v>
      </c>
      <c r="U195" s="296" t="s">
        <v>13</v>
      </c>
      <c r="V195" s="296" t="s">
        <v>14</v>
      </c>
      <c r="W195" s="296" t="s">
        <v>15</v>
      </c>
    </row>
    <row r="196" spans="2:23" ht="67.5" customHeight="1" thickBot="1">
      <c r="B196" s="328" t="s">
        <v>506</v>
      </c>
      <c r="C196" s="252"/>
      <c r="D196" s="294" t="s">
        <v>599</v>
      </c>
      <c r="E196" s="295"/>
      <c r="F196" s="295"/>
      <c r="G196" s="295"/>
      <c r="H196" s="295"/>
      <c r="I196" s="249"/>
      <c r="J196" s="250"/>
      <c r="K196" s="297"/>
      <c r="L196" s="263"/>
      <c r="M196" s="264"/>
      <c r="N196" s="263"/>
      <c r="O196" s="292"/>
      <c r="P196" s="264"/>
      <c r="Q196" s="297"/>
      <c r="R196" s="259"/>
      <c r="S196" s="260"/>
      <c r="T196" s="297"/>
      <c r="U196" s="297"/>
      <c r="V196" s="297"/>
      <c r="W196" s="297"/>
    </row>
    <row r="197" spans="2:23" ht="68.25" customHeight="1" thickBot="1">
      <c r="B197" s="331" t="s">
        <v>508</v>
      </c>
      <c r="C197" s="332"/>
      <c r="D197" s="333" t="s">
        <v>16</v>
      </c>
      <c r="E197" s="334"/>
      <c r="F197" s="334"/>
      <c r="G197" s="334"/>
      <c r="H197" s="335"/>
      <c r="I197" s="251"/>
      <c r="J197" s="247"/>
      <c r="K197" s="298"/>
      <c r="L197" s="265"/>
      <c r="M197" s="266"/>
      <c r="N197" s="265"/>
      <c r="O197" s="293"/>
      <c r="P197" s="266"/>
      <c r="Q197" s="298"/>
      <c r="R197" s="259"/>
      <c r="S197" s="260"/>
      <c r="T197" s="298"/>
      <c r="U197" s="298"/>
      <c r="V197" s="298"/>
      <c r="W197" s="298"/>
    </row>
    <row r="198" spans="2:23" ht="18.75" thickBot="1">
      <c r="B198" s="84"/>
      <c r="C198" s="85"/>
      <c r="D198" s="86"/>
      <c r="E198" s="87"/>
      <c r="F198" s="87"/>
      <c r="G198" s="87"/>
      <c r="H198" s="87"/>
      <c r="I198" s="84"/>
      <c r="J198" s="84"/>
      <c r="K198" s="84"/>
      <c r="L198" s="84"/>
      <c r="M198" s="84"/>
      <c r="N198" s="84"/>
      <c r="O198" s="84"/>
      <c r="P198" s="84"/>
      <c r="Q198" s="84"/>
      <c r="R198" s="84"/>
      <c r="S198" s="84"/>
      <c r="T198" s="19"/>
      <c r="U198" s="19"/>
      <c r="V198" s="19"/>
      <c r="W198" s="19"/>
    </row>
    <row r="199" spans="2:23" ht="15.75" thickBot="1">
      <c r="B199" s="341" t="s">
        <v>510</v>
      </c>
      <c r="C199" s="342"/>
      <c r="D199" s="342"/>
      <c r="E199" s="342"/>
      <c r="F199" s="342"/>
      <c r="G199" s="342"/>
      <c r="H199" s="342"/>
      <c r="I199" s="343" t="s">
        <v>511</v>
      </c>
      <c r="J199" s="343"/>
      <c r="K199" s="343"/>
      <c r="L199" s="343"/>
      <c r="M199" s="343"/>
      <c r="N199" s="343"/>
      <c r="O199" s="343"/>
      <c r="P199" s="343"/>
      <c r="Q199" s="343"/>
      <c r="R199" s="343"/>
      <c r="S199" s="344"/>
      <c r="T199" s="345" t="s">
        <v>512</v>
      </c>
      <c r="U199" s="287" t="s">
        <v>513</v>
      </c>
      <c r="V199" s="287"/>
      <c r="W199" s="287"/>
    </row>
    <row r="200" spans="2:23" ht="15.75" thickBot="1">
      <c r="B200" s="346" t="s">
        <v>514</v>
      </c>
      <c r="C200" s="347" t="s">
        <v>515</v>
      </c>
      <c r="D200" s="347"/>
      <c r="E200" s="329" t="s">
        <v>516</v>
      </c>
      <c r="F200" s="329" t="s">
        <v>517</v>
      </c>
      <c r="G200" s="329" t="s">
        <v>518</v>
      </c>
      <c r="H200" s="330" t="s">
        <v>519</v>
      </c>
      <c r="I200" s="337" t="s">
        <v>520</v>
      </c>
      <c r="J200" s="338"/>
      <c r="K200" s="338"/>
      <c r="L200" s="338"/>
      <c r="M200" s="338"/>
      <c r="N200" s="338"/>
      <c r="O200" s="338"/>
      <c r="P200" s="338"/>
      <c r="Q200" s="339" t="s">
        <v>521</v>
      </c>
      <c r="R200" s="340" t="s">
        <v>522</v>
      </c>
      <c r="S200" s="336" t="s">
        <v>523</v>
      </c>
      <c r="T200" s="287"/>
      <c r="U200" s="287"/>
      <c r="V200" s="287"/>
      <c r="W200" s="287"/>
    </row>
    <row r="201" spans="2:23" ht="72.75" customHeight="1" thickBot="1">
      <c r="B201" s="317"/>
      <c r="C201" s="319"/>
      <c r="D201" s="319"/>
      <c r="E201" s="315"/>
      <c r="F201" s="315"/>
      <c r="G201" s="315"/>
      <c r="H201" s="301"/>
      <c r="I201" s="20" t="s">
        <v>524</v>
      </c>
      <c r="J201" s="21" t="s">
        <v>525</v>
      </c>
      <c r="K201" s="22" t="s">
        <v>526</v>
      </c>
      <c r="L201" s="22" t="s">
        <v>527</v>
      </c>
      <c r="M201" s="22" t="s">
        <v>528</v>
      </c>
      <c r="N201" s="22" t="s">
        <v>529</v>
      </c>
      <c r="O201" s="22" t="s">
        <v>530</v>
      </c>
      <c r="P201" s="23" t="s">
        <v>531</v>
      </c>
      <c r="Q201" s="305"/>
      <c r="R201" s="320"/>
      <c r="S201" s="299"/>
      <c r="T201" s="287"/>
      <c r="U201" s="287"/>
      <c r="V201" s="287"/>
      <c r="W201" s="287"/>
    </row>
    <row r="202" spans="2:23" ht="45.75" customHeight="1">
      <c r="B202" s="25">
        <v>1</v>
      </c>
      <c r="C202" s="306" t="s">
        <v>17</v>
      </c>
      <c r="D202" s="306"/>
      <c r="E202" s="26">
        <v>90</v>
      </c>
      <c r="F202" s="27">
        <v>60</v>
      </c>
      <c r="G202" s="28">
        <f>+F202/E202</f>
        <v>0.6666666666666666</v>
      </c>
      <c r="H202" s="29">
        <f>+F202/E202</f>
        <v>0.6666666666666666</v>
      </c>
      <c r="I202" s="30"/>
      <c r="J202" s="32">
        <v>7500</v>
      </c>
      <c r="K202" s="32"/>
      <c r="L202" s="32"/>
      <c r="M202" s="31"/>
      <c r="N202" s="31"/>
      <c r="O202" s="31"/>
      <c r="P202" s="74"/>
      <c r="Q202" s="75">
        <f>+SUM(I202:P202)</f>
        <v>7500</v>
      </c>
      <c r="R202" s="76">
        <f>16569+14593</f>
        <v>31162</v>
      </c>
      <c r="S202" s="36">
        <f>R202/Q202</f>
        <v>4.154933333333333</v>
      </c>
      <c r="T202" s="37" t="s">
        <v>18</v>
      </c>
      <c r="U202" s="365" t="s">
        <v>19</v>
      </c>
      <c r="V202" s="365"/>
      <c r="W202" s="365"/>
    </row>
    <row r="203" spans="2:23" ht="45.75" customHeight="1">
      <c r="B203" s="39">
        <v>2</v>
      </c>
      <c r="C203" s="308" t="s">
        <v>20</v>
      </c>
      <c r="D203" s="308"/>
      <c r="E203" s="40">
        <v>25</v>
      </c>
      <c r="F203" s="41">
        <v>10</v>
      </c>
      <c r="G203" s="42">
        <f>+F203/E203</f>
        <v>0.4</v>
      </c>
      <c r="H203" s="91">
        <f>+F203/E203</f>
        <v>0.4</v>
      </c>
      <c r="I203" s="30">
        <f>3500+20505</f>
        <v>24005</v>
      </c>
      <c r="J203" s="32"/>
      <c r="K203" s="46"/>
      <c r="L203" s="46"/>
      <c r="M203" s="45"/>
      <c r="N203" s="45"/>
      <c r="O203" s="45"/>
      <c r="P203" s="74"/>
      <c r="Q203" s="75">
        <f>+SUM(I203:P203)</f>
        <v>24005</v>
      </c>
      <c r="R203" s="76">
        <f>53206+15748+17500</f>
        <v>86454</v>
      </c>
      <c r="S203" s="36">
        <f>R203/Q203</f>
        <v>3.6014996875650906</v>
      </c>
      <c r="T203" s="37" t="s">
        <v>18</v>
      </c>
      <c r="U203" s="309" t="s">
        <v>21</v>
      </c>
      <c r="V203" s="309"/>
      <c r="W203" s="309"/>
    </row>
    <row r="204" spans="2:23" ht="45.75" customHeight="1">
      <c r="B204" s="39">
        <v>3</v>
      </c>
      <c r="C204" s="308" t="s">
        <v>22</v>
      </c>
      <c r="D204" s="308"/>
      <c r="E204" s="40">
        <v>8</v>
      </c>
      <c r="F204" s="41">
        <v>2</v>
      </c>
      <c r="G204" s="42">
        <f>+F204/E204</f>
        <v>0.25</v>
      </c>
      <c r="H204" s="91">
        <f>+F204/E204</f>
        <v>0.25</v>
      </c>
      <c r="I204" s="30"/>
      <c r="J204" s="32"/>
      <c r="K204" s="46"/>
      <c r="L204" s="46"/>
      <c r="M204" s="45"/>
      <c r="N204" s="45"/>
      <c r="O204" s="45"/>
      <c r="P204" s="74"/>
      <c r="Q204" s="75">
        <f>+SUM(I204:P204)</f>
        <v>0</v>
      </c>
      <c r="R204" s="76"/>
      <c r="S204" s="36"/>
      <c r="T204" s="37" t="s">
        <v>18</v>
      </c>
      <c r="U204" s="309" t="s">
        <v>535</v>
      </c>
      <c r="V204" s="309"/>
      <c r="W204" s="309"/>
    </row>
    <row r="205" spans="2:23" ht="45.75" customHeight="1">
      <c r="B205" s="39">
        <v>4</v>
      </c>
      <c r="C205" s="308" t="s">
        <v>23</v>
      </c>
      <c r="D205" s="308"/>
      <c r="E205" s="40">
        <v>50</v>
      </c>
      <c r="F205" s="41">
        <v>20</v>
      </c>
      <c r="G205" s="42">
        <f>+F205/E205</f>
        <v>0.4</v>
      </c>
      <c r="H205" s="91">
        <f>+F205/E205</f>
        <v>0.4</v>
      </c>
      <c r="I205" s="30">
        <v>3000</v>
      </c>
      <c r="J205" s="32"/>
      <c r="K205" s="46"/>
      <c r="L205" s="46"/>
      <c r="M205" s="45"/>
      <c r="N205" s="45"/>
      <c r="O205" s="45"/>
      <c r="P205" s="74"/>
      <c r="Q205" s="75">
        <f>+SUM(I205:P205)</f>
        <v>3000</v>
      </c>
      <c r="R205" s="76">
        <v>9000</v>
      </c>
      <c r="S205" s="36">
        <f>R205/Q205</f>
        <v>3</v>
      </c>
      <c r="T205" s="37" t="s">
        <v>18</v>
      </c>
      <c r="U205" s="309"/>
      <c r="V205" s="309"/>
      <c r="W205" s="309"/>
    </row>
    <row r="206" spans="2:23" ht="45.75" customHeight="1">
      <c r="B206" s="39"/>
      <c r="C206" s="308"/>
      <c r="D206" s="308"/>
      <c r="E206" s="40"/>
      <c r="F206" s="41"/>
      <c r="G206" s="42"/>
      <c r="H206" s="91"/>
      <c r="I206" s="95"/>
      <c r="J206" s="46"/>
      <c r="K206" s="45"/>
      <c r="L206" s="45"/>
      <c r="M206" s="45"/>
      <c r="N206" s="45"/>
      <c r="O206" s="45"/>
      <c r="P206" s="56"/>
      <c r="Q206" s="75"/>
      <c r="R206" s="76"/>
      <c r="S206" s="36"/>
      <c r="T206" s="96"/>
      <c r="U206" s="309"/>
      <c r="V206" s="309"/>
      <c r="W206" s="309"/>
    </row>
    <row r="207" spans="2:23" ht="33.75" customHeight="1" thickBot="1">
      <c r="B207" s="59"/>
      <c r="C207" s="310" t="s">
        <v>541</v>
      </c>
      <c r="D207" s="310"/>
      <c r="E207" s="60"/>
      <c r="F207" s="61"/>
      <c r="G207" s="62"/>
      <c r="H207" s="63"/>
      <c r="I207" s="64">
        <f aca="true" t="shared" si="8" ref="I207:R207">+SUM(I202:I206)</f>
        <v>27005</v>
      </c>
      <c r="J207" s="64">
        <f t="shared" si="8"/>
        <v>7500</v>
      </c>
      <c r="K207" s="64">
        <f t="shared" si="8"/>
        <v>0</v>
      </c>
      <c r="L207" s="64">
        <f t="shared" si="8"/>
        <v>0</v>
      </c>
      <c r="M207" s="64">
        <f t="shared" si="8"/>
        <v>0</v>
      </c>
      <c r="N207" s="64">
        <f t="shared" si="8"/>
        <v>0</v>
      </c>
      <c r="O207" s="64">
        <f t="shared" si="8"/>
        <v>0</v>
      </c>
      <c r="P207" s="64">
        <f t="shared" si="8"/>
        <v>0</v>
      </c>
      <c r="Q207" s="79">
        <f t="shared" si="8"/>
        <v>34505</v>
      </c>
      <c r="R207" s="79">
        <f t="shared" si="8"/>
        <v>126616</v>
      </c>
      <c r="S207" s="66">
        <f>+R207/Q207</f>
        <v>3.669497174322562</v>
      </c>
      <c r="T207" s="67"/>
      <c r="U207" s="364"/>
      <c r="V207" s="364"/>
      <c r="W207" s="364"/>
    </row>
    <row r="209" ht="15.75" thickBot="1"/>
    <row r="210" spans="2:23" ht="15.75">
      <c r="B210" s="267" t="s">
        <v>479</v>
      </c>
      <c r="C210" s="267"/>
      <c r="D210" s="267"/>
      <c r="E210" s="267"/>
      <c r="F210" s="267"/>
      <c r="G210" s="267"/>
      <c r="H210" s="267"/>
      <c r="I210" s="267"/>
      <c r="J210" s="267"/>
      <c r="K210" s="267"/>
      <c r="L210" s="267"/>
      <c r="M210" s="267"/>
      <c r="N210" s="267"/>
      <c r="O210" s="267"/>
      <c r="P210" s="267"/>
      <c r="Q210" s="267"/>
      <c r="R210" s="267"/>
      <c r="S210" s="267"/>
      <c r="T210" s="267"/>
      <c r="U210" s="267"/>
      <c r="V210" s="267"/>
      <c r="W210" s="267"/>
    </row>
    <row r="211" spans="2:23" ht="15">
      <c r="B211" s="5"/>
      <c r="C211" s="6"/>
      <c r="D211" s="6"/>
      <c r="E211" s="6"/>
      <c r="F211" s="6"/>
      <c r="G211" s="6"/>
      <c r="H211" s="6"/>
      <c r="I211" s="6"/>
      <c r="J211" s="6"/>
      <c r="K211" s="6"/>
      <c r="L211" s="6"/>
      <c r="M211" s="6"/>
      <c r="N211" s="6"/>
      <c r="O211" s="6"/>
      <c r="P211" s="6"/>
      <c r="Q211" s="6"/>
      <c r="R211" s="6"/>
      <c r="S211" s="6"/>
      <c r="T211" s="6"/>
      <c r="U211" s="6"/>
      <c r="V211" s="6"/>
      <c r="W211" s="7"/>
    </row>
    <row r="212" spans="2:23" ht="20.25">
      <c r="B212" s="268" t="s">
        <v>480</v>
      </c>
      <c r="C212" s="269"/>
      <c r="D212" s="269"/>
      <c r="E212" s="269"/>
      <c r="F212" s="269"/>
      <c r="G212" s="269"/>
      <c r="H212" s="269"/>
      <c r="I212" s="269"/>
      <c r="J212" s="269"/>
      <c r="K212" s="269"/>
      <c r="L212" s="269"/>
      <c r="M212" s="269"/>
      <c r="N212" s="269"/>
      <c r="O212" s="269"/>
      <c r="P212" s="269"/>
      <c r="Q212" s="269"/>
      <c r="R212" s="269"/>
      <c r="S212" s="269"/>
      <c r="T212" s="269"/>
      <c r="U212" s="269"/>
      <c r="V212" s="269"/>
      <c r="W212" s="270"/>
    </row>
    <row r="213" spans="2:23" ht="27" customHeight="1">
      <c r="B213" s="271" t="s">
        <v>481</v>
      </c>
      <c r="C213" s="272"/>
      <c r="D213" s="272"/>
      <c r="E213" s="272"/>
      <c r="F213" s="272"/>
      <c r="G213" s="272"/>
      <c r="H213" s="272"/>
      <c r="I213" s="272"/>
      <c r="J213" s="272"/>
      <c r="K213" s="272"/>
      <c r="L213" s="272"/>
      <c r="M213" s="272"/>
      <c r="N213" s="272"/>
      <c r="O213" s="272"/>
      <c r="P213" s="272"/>
      <c r="Q213" s="272"/>
      <c r="R213" s="272"/>
      <c r="S213" s="272"/>
      <c r="T213" s="272"/>
      <c r="U213" s="272"/>
      <c r="V213" s="272"/>
      <c r="W213" s="273"/>
    </row>
    <row r="214" spans="2:23" ht="18">
      <c r="B214" s="274" t="s">
        <v>482</v>
      </c>
      <c r="C214" s="275"/>
      <c r="D214" s="275"/>
      <c r="E214" s="275"/>
      <c r="F214" s="275"/>
      <c r="G214" s="275"/>
      <c r="H214" s="275"/>
      <c r="I214" s="275"/>
      <c r="J214" s="275"/>
      <c r="K214" s="275"/>
      <c r="L214" s="275"/>
      <c r="M214" s="275"/>
      <c r="N214" s="275"/>
      <c r="O214" s="275"/>
      <c r="P214" s="275"/>
      <c r="Q214" s="275"/>
      <c r="R214" s="275"/>
      <c r="S214" s="275"/>
      <c r="T214" s="275"/>
      <c r="U214" s="275"/>
      <c r="V214" s="275"/>
      <c r="W214" s="276"/>
    </row>
    <row r="215" spans="2:23" ht="15">
      <c r="B215" s="5"/>
      <c r="C215" s="6"/>
      <c r="D215" s="8"/>
      <c r="E215" s="8"/>
      <c r="F215" s="8"/>
      <c r="G215" s="8"/>
      <c r="H215" s="8"/>
      <c r="I215" s="6"/>
      <c r="J215" s="6"/>
      <c r="K215" s="6"/>
      <c r="L215" s="6"/>
      <c r="M215" s="6"/>
      <c r="N215" s="6"/>
      <c r="O215" s="6"/>
      <c r="P215" s="6"/>
      <c r="Q215" s="6"/>
      <c r="R215" s="6"/>
      <c r="S215" s="6"/>
      <c r="T215" s="6"/>
      <c r="U215" s="6"/>
      <c r="V215" s="6"/>
      <c r="W215" s="7"/>
    </row>
    <row r="216" spans="2:23" ht="15">
      <c r="B216" s="279" t="s">
        <v>483</v>
      </c>
      <c r="C216" s="280"/>
      <c r="D216" s="10" t="s">
        <v>484</v>
      </c>
      <c r="E216" s="10"/>
      <c r="F216" s="10"/>
      <c r="G216" s="11"/>
      <c r="H216" s="11"/>
      <c r="I216" s="11"/>
      <c r="J216" s="11"/>
      <c r="K216" s="11"/>
      <c r="L216" s="10" t="s">
        <v>485</v>
      </c>
      <c r="M216" s="10"/>
      <c r="N216" s="10"/>
      <c r="O216" s="281" t="s">
        <v>486</v>
      </c>
      <c r="P216" s="282"/>
      <c r="Q216" s="282"/>
      <c r="R216" s="282"/>
      <c r="S216" s="282"/>
      <c r="T216" s="282" t="s">
        <v>487</v>
      </c>
      <c r="U216" s="280"/>
      <c r="V216" s="280"/>
      <c r="W216" s="285"/>
    </row>
    <row r="217" spans="2:23" ht="15">
      <c r="B217" s="279" t="s">
        <v>488</v>
      </c>
      <c r="C217" s="280"/>
      <c r="D217" s="10" t="s">
        <v>489</v>
      </c>
      <c r="E217" s="10"/>
      <c r="F217" s="10"/>
      <c r="G217" s="11"/>
      <c r="H217" s="11"/>
      <c r="I217" s="11"/>
      <c r="J217" s="11"/>
      <c r="K217" s="11"/>
      <c r="L217" s="282" t="s">
        <v>490</v>
      </c>
      <c r="M217" s="280"/>
      <c r="N217" s="280"/>
      <c r="O217" s="282" t="s">
        <v>491</v>
      </c>
      <c r="P217" s="282"/>
      <c r="Q217" s="282"/>
      <c r="R217" s="282"/>
      <c r="S217" s="282"/>
      <c r="T217" s="12" t="s">
        <v>492</v>
      </c>
      <c r="U217" s="11">
        <v>1</v>
      </c>
      <c r="V217" s="11" t="s">
        <v>493</v>
      </c>
      <c r="W217" s="13">
        <v>10</v>
      </c>
    </row>
    <row r="218" spans="2:23" ht="15.75" thickBot="1">
      <c r="B218" s="83"/>
      <c r="C218" s="11"/>
      <c r="D218" s="11"/>
      <c r="E218" s="11"/>
      <c r="F218" s="11"/>
      <c r="G218" s="11"/>
      <c r="H218" s="11"/>
      <c r="I218" s="11"/>
      <c r="J218" s="11"/>
      <c r="K218" s="11"/>
      <c r="L218" s="283"/>
      <c r="M218" s="283"/>
      <c r="N218" s="283"/>
      <c r="O218" s="282" t="s">
        <v>494</v>
      </c>
      <c r="P218" s="282"/>
      <c r="Q218" s="282"/>
      <c r="R218" s="284"/>
      <c r="S218" s="284"/>
      <c r="T218" s="278"/>
      <c r="U218" s="278"/>
      <c r="V218" s="11"/>
      <c r="W218" s="16"/>
    </row>
    <row r="219" spans="2:23" ht="28.5" customHeight="1" thickBot="1">
      <c r="B219" s="325" t="s">
        <v>495</v>
      </c>
      <c r="C219" s="326"/>
      <c r="D219" s="327" t="s">
        <v>496</v>
      </c>
      <c r="E219" s="327"/>
      <c r="F219" s="327"/>
      <c r="G219" s="327"/>
      <c r="H219" s="327"/>
      <c r="I219" s="258" t="s">
        <v>497</v>
      </c>
      <c r="J219" s="248"/>
      <c r="K219" s="261" t="s">
        <v>24</v>
      </c>
      <c r="L219" s="291"/>
      <c r="M219" s="262"/>
      <c r="N219" s="261" t="s">
        <v>25</v>
      </c>
      <c r="O219" s="291"/>
      <c r="P219" s="291"/>
      <c r="Q219" s="262"/>
      <c r="R219" s="259" t="s">
        <v>502</v>
      </c>
      <c r="S219" s="260"/>
      <c r="T219" s="261" t="s">
        <v>26</v>
      </c>
      <c r="U219" s="262"/>
      <c r="V219" s="261" t="s">
        <v>25</v>
      </c>
      <c r="W219" s="262"/>
    </row>
    <row r="220" spans="2:23" ht="57" customHeight="1" thickBot="1">
      <c r="B220" s="328" t="s">
        <v>506</v>
      </c>
      <c r="C220" s="252"/>
      <c r="D220" s="294" t="s">
        <v>599</v>
      </c>
      <c r="E220" s="295"/>
      <c r="F220" s="295"/>
      <c r="G220" s="295"/>
      <c r="H220" s="295"/>
      <c r="I220" s="249"/>
      <c r="J220" s="250"/>
      <c r="K220" s="263"/>
      <c r="L220" s="292"/>
      <c r="M220" s="264"/>
      <c r="N220" s="263"/>
      <c r="O220" s="292"/>
      <c r="P220" s="292"/>
      <c r="Q220" s="264"/>
      <c r="R220" s="259"/>
      <c r="S220" s="260"/>
      <c r="T220" s="263"/>
      <c r="U220" s="264"/>
      <c r="V220" s="263"/>
      <c r="W220" s="264"/>
    </row>
    <row r="221" spans="2:23" ht="36.75" customHeight="1" thickBot="1">
      <c r="B221" s="331" t="s">
        <v>508</v>
      </c>
      <c r="C221" s="332"/>
      <c r="D221" s="333" t="s">
        <v>27</v>
      </c>
      <c r="E221" s="334"/>
      <c r="F221" s="334"/>
      <c r="G221" s="334"/>
      <c r="H221" s="335"/>
      <c r="I221" s="251"/>
      <c r="J221" s="247"/>
      <c r="K221" s="265"/>
      <c r="L221" s="293"/>
      <c r="M221" s="266"/>
      <c r="N221" s="265"/>
      <c r="O221" s="293"/>
      <c r="P221" s="293"/>
      <c r="Q221" s="266"/>
      <c r="R221" s="259"/>
      <c r="S221" s="260"/>
      <c r="T221" s="265"/>
      <c r="U221" s="266"/>
      <c r="V221" s="265"/>
      <c r="W221" s="266"/>
    </row>
    <row r="222" spans="2:23" ht="18.75" thickBot="1">
      <c r="B222" s="84"/>
      <c r="C222" s="85"/>
      <c r="D222" s="86"/>
      <c r="E222" s="87"/>
      <c r="F222" s="87"/>
      <c r="G222" s="87"/>
      <c r="H222" s="87"/>
      <c r="I222" s="84"/>
      <c r="J222" s="84"/>
      <c r="K222" s="84"/>
      <c r="L222" s="84"/>
      <c r="M222" s="84"/>
      <c r="N222" s="84"/>
      <c r="O222" s="84"/>
      <c r="P222" s="84"/>
      <c r="Q222" s="84"/>
      <c r="R222" s="84"/>
      <c r="S222" s="84"/>
      <c r="T222" s="19"/>
      <c r="U222" s="19"/>
      <c r="V222" s="19"/>
      <c r="W222" s="19"/>
    </row>
    <row r="223" spans="2:23" ht="15.75" thickBot="1">
      <c r="B223" s="341" t="s">
        <v>510</v>
      </c>
      <c r="C223" s="342"/>
      <c r="D223" s="342"/>
      <c r="E223" s="342"/>
      <c r="F223" s="342"/>
      <c r="G223" s="342"/>
      <c r="H223" s="342"/>
      <c r="I223" s="343" t="s">
        <v>511</v>
      </c>
      <c r="J223" s="343"/>
      <c r="K223" s="343"/>
      <c r="L223" s="343"/>
      <c r="M223" s="343"/>
      <c r="N223" s="343"/>
      <c r="O223" s="343"/>
      <c r="P223" s="343"/>
      <c r="Q223" s="343"/>
      <c r="R223" s="343"/>
      <c r="S223" s="344"/>
      <c r="T223" s="345" t="s">
        <v>512</v>
      </c>
      <c r="U223" s="287" t="s">
        <v>513</v>
      </c>
      <c r="V223" s="287"/>
      <c r="W223" s="287"/>
    </row>
    <row r="224" spans="2:23" ht="15.75" thickBot="1">
      <c r="B224" s="346" t="s">
        <v>514</v>
      </c>
      <c r="C224" s="347" t="s">
        <v>515</v>
      </c>
      <c r="D224" s="347"/>
      <c r="E224" s="329" t="s">
        <v>516</v>
      </c>
      <c r="F224" s="329" t="s">
        <v>517</v>
      </c>
      <c r="G224" s="329" t="s">
        <v>518</v>
      </c>
      <c r="H224" s="330" t="s">
        <v>519</v>
      </c>
      <c r="I224" s="337" t="s">
        <v>520</v>
      </c>
      <c r="J224" s="338"/>
      <c r="K224" s="338"/>
      <c r="L224" s="338"/>
      <c r="M224" s="338"/>
      <c r="N224" s="338"/>
      <c r="O224" s="338"/>
      <c r="P224" s="338"/>
      <c r="Q224" s="339" t="s">
        <v>521</v>
      </c>
      <c r="R224" s="340" t="s">
        <v>522</v>
      </c>
      <c r="S224" s="336" t="s">
        <v>523</v>
      </c>
      <c r="T224" s="287"/>
      <c r="U224" s="287"/>
      <c r="V224" s="287"/>
      <c r="W224" s="287"/>
    </row>
    <row r="225" spans="2:23" ht="55.5" thickBot="1">
      <c r="B225" s="317"/>
      <c r="C225" s="319"/>
      <c r="D225" s="319"/>
      <c r="E225" s="315"/>
      <c r="F225" s="315"/>
      <c r="G225" s="315"/>
      <c r="H225" s="301"/>
      <c r="I225" s="20" t="s">
        <v>524</v>
      </c>
      <c r="J225" s="21" t="s">
        <v>525</v>
      </c>
      <c r="K225" s="22" t="s">
        <v>526</v>
      </c>
      <c r="L225" s="22" t="s">
        <v>527</v>
      </c>
      <c r="M225" s="22" t="s">
        <v>528</v>
      </c>
      <c r="N225" s="22" t="s">
        <v>529</v>
      </c>
      <c r="O225" s="22" t="s">
        <v>530</v>
      </c>
      <c r="P225" s="23" t="s">
        <v>531</v>
      </c>
      <c r="Q225" s="305"/>
      <c r="R225" s="320"/>
      <c r="S225" s="299"/>
      <c r="T225" s="287"/>
      <c r="U225" s="287"/>
      <c r="V225" s="287"/>
      <c r="W225" s="287"/>
    </row>
    <row r="226" spans="2:23" ht="42" customHeight="1">
      <c r="B226" s="25">
        <v>1</v>
      </c>
      <c r="C226" s="306" t="s">
        <v>28</v>
      </c>
      <c r="D226" s="306"/>
      <c r="E226" s="26">
        <v>200</v>
      </c>
      <c r="F226" s="27">
        <v>50</v>
      </c>
      <c r="G226" s="28">
        <f>+F226/E226</f>
        <v>0.25</v>
      </c>
      <c r="H226" s="29">
        <f>+F226/E226</f>
        <v>0.25</v>
      </c>
      <c r="I226" s="30">
        <f>12000+16953</f>
        <v>28953</v>
      </c>
      <c r="J226" s="97">
        <f>16000+16000</f>
        <v>32000</v>
      </c>
      <c r="K226" s="32"/>
      <c r="L226" s="32"/>
      <c r="M226" s="31"/>
      <c r="N226" s="31"/>
      <c r="O226" s="31"/>
      <c r="P226" s="74"/>
      <c r="Q226" s="75">
        <f>+SUM(I226:P226)</f>
        <v>60953</v>
      </c>
      <c r="R226" s="76">
        <v>13284</v>
      </c>
      <c r="S226" s="36">
        <f>R226/Q226</f>
        <v>0.21793841156300756</v>
      </c>
      <c r="T226" s="37" t="s">
        <v>29</v>
      </c>
      <c r="U226" s="309" t="s">
        <v>30</v>
      </c>
      <c r="V226" s="309"/>
      <c r="W226" s="309"/>
    </row>
    <row r="227" spans="2:23" ht="89.25" customHeight="1">
      <c r="B227" s="39">
        <v>2</v>
      </c>
      <c r="C227" s="308" t="s">
        <v>31</v>
      </c>
      <c r="D227" s="308"/>
      <c r="E227" s="40">
        <v>300</v>
      </c>
      <c r="F227" s="41">
        <v>5</v>
      </c>
      <c r="G227" s="42">
        <f>+F227/E227</f>
        <v>0.016666666666666666</v>
      </c>
      <c r="H227" s="91">
        <f>+F227/E227</f>
        <v>0.016666666666666666</v>
      </c>
      <c r="I227" s="30">
        <f>3000+9128</f>
        <v>12128</v>
      </c>
      <c r="J227" s="97">
        <f>4000+4000</f>
        <v>8000</v>
      </c>
      <c r="K227" s="95"/>
      <c r="L227" s="46"/>
      <c r="M227" s="45"/>
      <c r="N227" s="45"/>
      <c r="O227" s="45"/>
      <c r="P227" s="74"/>
      <c r="Q227" s="75">
        <f>+SUM(I227:P227)</f>
        <v>20128</v>
      </c>
      <c r="R227" s="76">
        <v>0</v>
      </c>
      <c r="S227" s="36">
        <f>R227/Q227</f>
        <v>0</v>
      </c>
      <c r="T227" s="37" t="s">
        <v>29</v>
      </c>
      <c r="U227" s="309" t="s">
        <v>32</v>
      </c>
      <c r="V227" s="309"/>
      <c r="W227" s="309"/>
    </row>
    <row r="228" spans="2:23" ht="42" customHeight="1">
      <c r="B228" s="39"/>
      <c r="C228" s="308"/>
      <c r="D228" s="308"/>
      <c r="E228" s="40"/>
      <c r="F228" s="41"/>
      <c r="G228" s="42"/>
      <c r="H228" s="91"/>
      <c r="I228" s="30"/>
      <c r="J228" s="98"/>
      <c r="K228" s="95"/>
      <c r="L228" s="46"/>
      <c r="M228" s="45"/>
      <c r="N228" s="45"/>
      <c r="O228" s="45"/>
      <c r="P228" s="74"/>
      <c r="Q228" s="75"/>
      <c r="R228" s="76"/>
      <c r="S228" s="36"/>
      <c r="T228" s="37"/>
      <c r="U228" s="309"/>
      <c r="V228" s="309"/>
      <c r="W228" s="309"/>
    </row>
    <row r="229" spans="2:23" ht="42" customHeight="1">
      <c r="B229" s="39"/>
      <c r="C229" s="308"/>
      <c r="D229" s="308"/>
      <c r="E229" s="40"/>
      <c r="F229" s="41"/>
      <c r="G229" s="42"/>
      <c r="H229" s="91"/>
      <c r="I229" s="30"/>
      <c r="J229" s="32"/>
      <c r="K229" s="46"/>
      <c r="L229" s="46"/>
      <c r="M229" s="45"/>
      <c r="N229" s="45"/>
      <c r="O229" s="45"/>
      <c r="P229" s="74"/>
      <c r="Q229" s="75"/>
      <c r="R229" s="76"/>
      <c r="S229" s="36"/>
      <c r="T229" s="37"/>
      <c r="U229" s="309"/>
      <c r="V229" s="309"/>
      <c r="W229" s="309"/>
    </row>
    <row r="230" spans="2:23" ht="42" customHeight="1">
      <c r="B230" s="39"/>
      <c r="C230" s="308"/>
      <c r="D230" s="308"/>
      <c r="E230" s="40"/>
      <c r="F230" s="41"/>
      <c r="G230" s="42"/>
      <c r="H230" s="91"/>
      <c r="I230" s="95"/>
      <c r="J230" s="46"/>
      <c r="K230" s="45"/>
      <c r="L230" s="45"/>
      <c r="M230" s="45"/>
      <c r="N230" s="45"/>
      <c r="O230" s="45"/>
      <c r="P230" s="56"/>
      <c r="Q230" s="75"/>
      <c r="R230" s="76"/>
      <c r="S230" s="36"/>
      <c r="T230" s="37"/>
      <c r="U230" s="309"/>
      <c r="V230" s="309"/>
      <c r="W230" s="309"/>
    </row>
    <row r="231" spans="2:23" ht="42" customHeight="1" thickBot="1">
      <c r="B231" s="59"/>
      <c r="C231" s="310" t="s">
        <v>541</v>
      </c>
      <c r="D231" s="310"/>
      <c r="E231" s="60"/>
      <c r="F231" s="61"/>
      <c r="G231" s="62"/>
      <c r="H231" s="63"/>
      <c r="I231" s="64">
        <f aca="true" t="shared" si="9" ref="I231:R231">+SUM(I226:I230)</f>
        <v>41081</v>
      </c>
      <c r="J231" s="64">
        <f t="shared" si="9"/>
        <v>40000</v>
      </c>
      <c r="K231" s="64">
        <f t="shared" si="9"/>
        <v>0</v>
      </c>
      <c r="L231" s="64">
        <f t="shared" si="9"/>
        <v>0</v>
      </c>
      <c r="M231" s="64">
        <f t="shared" si="9"/>
        <v>0</v>
      </c>
      <c r="N231" s="64">
        <f t="shared" si="9"/>
        <v>0</v>
      </c>
      <c r="O231" s="64">
        <f t="shared" si="9"/>
        <v>0</v>
      </c>
      <c r="P231" s="64">
        <f t="shared" si="9"/>
        <v>0</v>
      </c>
      <c r="Q231" s="79">
        <f t="shared" si="9"/>
        <v>81081</v>
      </c>
      <c r="R231" s="79">
        <f t="shared" si="9"/>
        <v>13284</v>
      </c>
      <c r="S231" s="66">
        <f>+R231/Q231</f>
        <v>0.16383616383616384</v>
      </c>
      <c r="T231" s="67"/>
      <c r="U231" s="364"/>
      <c r="V231" s="364"/>
      <c r="W231" s="364"/>
    </row>
    <row r="232" ht="15.75" thickBot="1"/>
    <row r="233" spans="2:23" ht="15.75">
      <c r="B233" s="267" t="s">
        <v>479</v>
      </c>
      <c r="C233" s="267"/>
      <c r="D233" s="267"/>
      <c r="E233" s="267"/>
      <c r="F233" s="267"/>
      <c r="G233" s="267"/>
      <c r="H233" s="267"/>
      <c r="I233" s="267"/>
      <c r="J233" s="267"/>
      <c r="K233" s="267"/>
      <c r="L233" s="267"/>
      <c r="M233" s="267"/>
      <c r="N233" s="267"/>
      <c r="O233" s="267"/>
      <c r="P233" s="267"/>
      <c r="Q233" s="267"/>
      <c r="R233" s="267"/>
      <c r="S233" s="267"/>
      <c r="T233" s="267"/>
      <c r="U233" s="267"/>
      <c r="V233" s="267"/>
      <c r="W233" s="267"/>
    </row>
    <row r="234" spans="2:23" ht="15">
      <c r="B234" s="5"/>
      <c r="C234" s="6"/>
      <c r="D234" s="6"/>
      <c r="E234" s="6"/>
      <c r="F234" s="6"/>
      <c r="G234" s="6"/>
      <c r="H234" s="6"/>
      <c r="I234" s="6"/>
      <c r="J234" s="6"/>
      <c r="K234" s="6"/>
      <c r="L234" s="6"/>
      <c r="M234" s="6"/>
      <c r="N234" s="6"/>
      <c r="O234" s="6"/>
      <c r="P234" s="6"/>
      <c r="Q234" s="6"/>
      <c r="R234" s="6"/>
      <c r="S234" s="6"/>
      <c r="T234" s="6"/>
      <c r="U234" s="6"/>
      <c r="V234" s="6"/>
      <c r="W234" s="7"/>
    </row>
    <row r="235" spans="1:24" s="100" customFormat="1" ht="29.25" customHeight="1">
      <c r="A235" s="99"/>
      <c r="B235" s="268" t="s">
        <v>480</v>
      </c>
      <c r="C235" s="269"/>
      <c r="D235" s="269"/>
      <c r="E235" s="269"/>
      <c r="F235" s="269"/>
      <c r="G235" s="269"/>
      <c r="H235" s="269"/>
      <c r="I235" s="269"/>
      <c r="J235" s="269"/>
      <c r="K235" s="269"/>
      <c r="L235" s="269"/>
      <c r="M235" s="269"/>
      <c r="N235" s="269"/>
      <c r="O235" s="269"/>
      <c r="P235" s="269"/>
      <c r="Q235" s="269"/>
      <c r="R235" s="269"/>
      <c r="S235" s="269"/>
      <c r="T235" s="269"/>
      <c r="U235" s="269"/>
      <c r="V235" s="269"/>
      <c r="W235" s="270"/>
      <c r="X235" s="9"/>
    </row>
    <row r="236" spans="1:24" s="100" customFormat="1" ht="29.25" customHeight="1">
      <c r="A236" s="99"/>
      <c r="B236" s="271" t="s">
        <v>481</v>
      </c>
      <c r="C236" s="272"/>
      <c r="D236" s="272"/>
      <c r="E236" s="272"/>
      <c r="F236" s="272"/>
      <c r="G236" s="272"/>
      <c r="H236" s="272"/>
      <c r="I236" s="272"/>
      <c r="J236" s="272"/>
      <c r="K236" s="272"/>
      <c r="L236" s="272"/>
      <c r="M236" s="272"/>
      <c r="N236" s="272"/>
      <c r="O236" s="272"/>
      <c r="P236" s="272"/>
      <c r="Q236" s="272"/>
      <c r="R236" s="272"/>
      <c r="S236" s="272"/>
      <c r="T236" s="272"/>
      <c r="U236" s="272"/>
      <c r="V236" s="272"/>
      <c r="W236" s="273"/>
      <c r="X236" s="9"/>
    </row>
    <row r="237" spans="1:24" s="100" customFormat="1" ht="29.25" customHeight="1">
      <c r="A237" s="99"/>
      <c r="B237" s="274" t="s">
        <v>482</v>
      </c>
      <c r="C237" s="275"/>
      <c r="D237" s="275"/>
      <c r="E237" s="275"/>
      <c r="F237" s="275"/>
      <c r="G237" s="275"/>
      <c r="H237" s="275"/>
      <c r="I237" s="275"/>
      <c r="J237" s="275"/>
      <c r="K237" s="275"/>
      <c r="L237" s="275"/>
      <c r="M237" s="275"/>
      <c r="N237" s="275"/>
      <c r="O237" s="275"/>
      <c r="P237" s="275"/>
      <c r="Q237" s="275"/>
      <c r="R237" s="275"/>
      <c r="S237" s="275"/>
      <c r="T237" s="275"/>
      <c r="U237" s="275"/>
      <c r="V237" s="275"/>
      <c r="W237" s="276"/>
      <c r="X237" s="9"/>
    </row>
    <row r="238" spans="2:23" ht="15">
      <c r="B238" s="5"/>
      <c r="C238" s="6"/>
      <c r="D238" s="8"/>
      <c r="E238" s="8"/>
      <c r="F238" s="8"/>
      <c r="G238" s="8"/>
      <c r="H238" s="8"/>
      <c r="I238" s="6"/>
      <c r="J238" s="6"/>
      <c r="K238" s="6"/>
      <c r="L238" s="6"/>
      <c r="M238" s="6"/>
      <c r="N238" s="6"/>
      <c r="O238" s="6"/>
      <c r="P238" s="6"/>
      <c r="Q238" s="6"/>
      <c r="R238" s="6"/>
      <c r="S238" s="6"/>
      <c r="T238" s="6"/>
      <c r="U238" s="6"/>
      <c r="V238" s="6"/>
      <c r="W238" s="7"/>
    </row>
    <row r="239" spans="2:23" ht="15">
      <c r="B239" s="279" t="s">
        <v>483</v>
      </c>
      <c r="C239" s="280"/>
      <c r="D239" s="10" t="s">
        <v>484</v>
      </c>
      <c r="E239" s="10"/>
      <c r="F239" s="10"/>
      <c r="G239" s="11"/>
      <c r="H239" s="11"/>
      <c r="I239" s="11"/>
      <c r="J239" s="11"/>
      <c r="K239" s="11"/>
      <c r="L239" s="10" t="s">
        <v>485</v>
      </c>
      <c r="M239" s="10"/>
      <c r="N239" s="10"/>
      <c r="O239" s="281" t="s">
        <v>486</v>
      </c>
      <c r="P239" s="282"/>
      <c r="Q239" s="282"/>
      <c r="R239" s="282"/>
      <c r="S239" s="282"/>
      <c r="T239" s="282" t="s">
        <v>487</v>
      </c>
      <c r="U239" s="280"/>
      <c r="V239" s="280"/>
      <c r="W239" s="285"/>
    </row>
    <row r="240" spans="2:23" ht="15">
      <c r="B240" s="279" t="s">
        <v>488</v>
      </c>
      <c r="C240" s="280"/>
      <c r="D240" s="10" t="s">
        <v>489</v>
      </c>
      <c r="E240" s="10"/>
      <c r="F240" s="10"/>
      <c r="G240" s="11"/>
      <c r="H240" s="11"/>
      <c r="I240" s="11"/>
      <c r="J240" s="11"/>
      <c r="K240" s="11"/>
      <c r="L240" s="282" t="s">
        <v>490</v>
      </c>
      <c r="M240" s="280"/>
      <c r="N240" s="280"/>
      <c r="O240" s="282" t="s">
        <v>491</v>
      </c>
      <c r="P240" s="282"/>
      <c r="Q240" s="282"/>
      <c r="R240" s="282"/>
      <c r="S240" s="282"/>
      <c r="T240" s="12" t="s">
        <v>492</v>
      </c>
      <c r="U240" s="11">
        <v>1</v>
      </c>
      <c r="V240" s="11" t="s">
        <v>493</v>
      </c>
      <c r="W240" s="13">
        <v>11</v>
      </c>
    </row>
    <row r="241" spans="2:23" ht="15.75" thickBot="1">
      <c r="B241" s="83"/>
      <c r="C241" s="11"/>
      <c r="D241" s="11"/>
      <c r="E241" s="11"/>
      <c r="F241" s="11"/>
      <c r="G241" s="11"/>
      <c r="H241" s="11"/>
      <c r="I241" s="11"/>
      <c r="J241" s="11"/>
      <c r="K241" s="11"/>
      <c r="L241" s="283"/>
      <c r="M241" s="283"/>
      <c r="N241" s="283"/>
      <c r="O241" s="282" t="s">
        <v>494</v>
      </c>
      <c r="P241" s="282"/>
      <c r="Q241" s="282"/>
      <c r="R241" s="284"/>
      <c r="S241" s="284"/>
      <c r="T241" s="278"/>
      <c r="U241" s="278"/>
      <c r="V241" s="11"/>
      <c r="W241" s="16"/>
    </row>
    <row r="242" spans="2:23" ht="15.75" customHeight="1" thickBot="1">
      <c r="B242" s="325" t="s">
        <v>495</v>
      </c>
      <c r="C242" s="326"/>
      <c r="D242" s="327" t="s">
        <v>33</v>
      </c>
      <c r="E242" s="327"/>
      <c r="F242" s="327"/>
      <c r="G242" s="327"/>
      <c r="H242" s="327"/>
      <c r="I242" s="258" t="s">
        <v>497</v>
      </c>
      <c r="J242" s="248"/>
      <c r="K242" s="261" t="s">
        <v>34</v>
      </c>
      <c r="L242" s="291"/>
      <c r="M242" s="291"/>
      <c r="N242" s="291"/>
      <c r="O242" s="291"/>
      <c r="P242" s="291"/>
      <c r="Q242" s="262"/>
      <c r="R242" s="259" t="s">
        <v>502</v>
      </c>
      <c r="S242" s="260"/>
      <c r="T242" s="261" t="s">
        <v>35</v>
      </c>
      <c r="U242" s="291"/>
      <c r="V242" s="291"/>
      <c r="W242" s="262"/>
    </row>
    <row r="243" spans="2:23" ht="42" customHeight="1" thickBot="1">
      <c r="B243" s="328" t="s">
        <v>506</v>
      </c>
      <c r="C243" s="252"/>
      <c r="D243" s="294" t="s">
        <v>36</v>
      </c>
      <c r="E243" s="295"/>
      <c r="F243" s="295"/>
      <c r="G243" s="295"/>
      <c r="H243" s="295"/>
      <c r="I243" s="249"/>
      <c r="J243" s="250"/>
      <c r="K243" s="263"/>
      <c r="L243" s="292"/>
      <c r="M243" s="292"/>
      <c r="N243" s="292"/>
      <c r="O243" s="292"/>
      <c r="P243" s="292"/>
      <c r="Q243" s="264"/>
      <c r="R243" s="259"/>
      <c r="S243" s="260"/>
      <c r="T243" s="263"/>
      <c r="U243" s="292"/>
      <c r="V243" s="292"/>
      <c r="W243" s="264"/>
    </row>
    <row r="244" spans="2:23" ht="42" customHeight="1" thickBot="1">
      <c r="B244" s="331" t="s">
        <v>508</v>
      </c>
      <c r="C244" s="332"/>
      <c r="D244" s="333" t="s">
        <v>37</v>
      </c>
      <c r="E244" s="334"/>
      <c r="F244" s="334"/>
      <c r="G244" s="334"/>
      <c r="H244" s="335"/>
      <c r="I244" s="251"/>
      <c r="J244" s="247"/>
      <c r="K244" s="265"/>
      <c r="L244" s="293"/>
      <c r="M244" s="293"/>
      <c r="N244" s="293"/>
      <c r="O244" s="293"/>
      <c r="P244" s="293"/>
      <c r="Q244" s="266"/>
      <c r="R244" s="259"/>
      <c r="S244" s="260"/>
      <c r="T244" s="265"/>
      <c r="U244" s="293"/>
      <c r="V244" s="293"/>
      <c r="W244" s="266"/>
    </row>
    <row r="245" spans="2:23" ht="18.75" thickBot="1">
      <c r="B245" s="84"/>
      <c r="C245" s="85"/>
      <c r="D245" s="86"/>
      <c r="E245" s="87"/>
      <c r="F245" s="87"/>
      <c r="G245" s="87"/>
      <c r="H245" s="87"/>
      <c r="I245" s="84"/>
      <c r="J245" s="84"/>
      <c r="K245" s="84"/>
      <c r="L245" s="84"/>
      <c r="M245" s="84"/>
      <c r="N245" s="84"/>
      <c r="O245" s="84"/>
      <c r="P245" s="84"/>
      <c r="Q245" s="84"/>
      <c r="R245" s="84"/>
      <c r="S245" s="84"/>
      <c r="T245" s="19"/>
      <c r="U245" s="19"/>
      <c r="V245" s="19"/>
      <c r="W245" s="19"/>
    </row>
    <row r="246" spans="2:23" ht="15.75" thickBot="1">
      <c r="B246" s="341" t="s">
        <v>510</v>
      </c>
      <c r="C246" s="342"/>
      <c r="D246" s="342"/>
      <c r="E246" s="342"/>
      <c r="F246" s="342"/>
      <c r="G246" s="342"/>
      <c r="H246" s="342"/>
      <c r="I246" s="343" t="s">
        <v>511</v>
      </c>
      <c r="J246" s="343"/>
      <c r="K246" s="343"/>
      <c r="L246" s="343"/>
      <c r="M246" s="343"/>
      <c r="N246" s="343"/>
      <c r="O246" s="343"/>
      <c r="P246" s="343"/>
      <c r="Q246" s="343"/>
      <c r="R246" s="343"/>
      <c r="S246" s="344"/>
      <c r="T246" s="345" t="s">
        <v>512</v>
      </c>
      <c r="U246" s="287" t="s">
        <v>513</v>
      </c>
      <c r="V246" s="287"/>
      <c r="W246" s="287"/>
    </row>
    <row r="247" spans="2:23" ht="15.75" thickBot="1">
      <c r="B247" s="346" t="s">
        <v>514</v>
      </c>
      <c r="C247" s="347" t="s">
        <v>515</v>
      </c>
      <c r="D247" s="347"/>
      <c r="E247" s="329" t="s">
        <v>516</v>
      </c>
      <c r="F247" s="329" t="s">
        <v>517</v>
      </c>
      <c r="G247" s="329" t="s">
        <v>518</v>
      </c>
      <c r="H247" s="330" t="s">
        <v>519</v>
      </c>
      <c r="I247" s="337" t="s">
        <v>520</v>
      </c>
      <c r="J247" s="338"/>
      <c r="K247" s="338"/>
      <c r="L247" s="338"/>
      <c r="M247" s="338"/>
      <c r="N247" s="338"/>
      <c r="O247" s="338"/>
      <c r="P247" s="338"/>
      <c r="Q247" s="339" t="s">
        <v>521</v>
      </c>
      <c r="R247" s="340" t="s">
        <v>522</v>
      </c>
      <c r="S247" s="336" t="s">
        <v>523</v>
      </c>
      <c r="T247" s="287"/>
      <c r="U247" s="287"/>
      <c r="V247" s="287"/>
      <c r="W247" s="287"/>
    </row>
    <row r="248" spans="2:23" ht="55.5" thickBot="1">
      <c r="B248" s="317"/>
      <c r="C248" s="319"/>
      <c r="D248" s="319"/>
      <c r="E248" s="315"/>
      <c r="F248" s="315"/>
      <c r="G248" s="315"/>
      <c r="H248" s="301"/>
      <c r="I248" s="20" t="s">
        <v>524</v>
      </c>
      <c r="J248" s="21" t="s">
        <v>525</v>
      </c>
      <c r="K248" s="22" t="s">
        <v>526</v>
      </c>
      <c r="L248" s="22" t="s">
        <v>527</v>
      </c>
      <c r="M248" s="22" t="s">
        <v>528</v>
      </c>
      <c r="N248" s="22" t="s">
        <v>529</v>
      </c>
      <c r="O248" s="22" t="s">
        <v>530</v>
      </c>
      <c r="P248" s="23" t="s">
        <v>531</v>
      </c>
      <c r="Q248" s="305"/>
      <c r="R248" s="320"/>
      <c r="S248" s="299"/>
      <c r="T248" s="287"/>
      <c r="U248" s="287"/>
      <c r="V248" s="287"/>
      <c r="W248" s="287"/>
    </row>
    <row r="249" spans="2:23" ht="44.25" customHeight="1">
      <c r="B249" s="25">
        <v>1</v>
      </c>
      <c r="C249" s="306" t="s">
        <v>38</v>
      </c>
      <c r="D249" s="306"/>
      <c r="E249" s="26">
        <v>600</v>
      </c>
      <c r="F249" s="27">
        <v>150</v>
      </c>
      <c r="G249" s="28">
        <f>+F249/E249</f>
        <v>0.25</v>
      </c>
      <c r="H249" s="29">
        <f>+F249/E249</f>
        <v>0.25</v>
      </c>
      <c r="I249" s="30">
        <f>16000</f>
        <v>16000</v>
      </c>
      <c r="J249" s="97">
        <v>2500</v>
      </c>
      <c r="K249" s="32"/>
      <c r="L249" s="32"/>
      <c r="M249" s="31"/>
      <c r="N249" s="31"/>
      <c r="O249" s="31"/>
      <c r="P249" s="74"/>
      <c r="Q249" s="75">
        <f>+SUM(I249:P249)</f>
        <v>18500</v>
      </c>
      <c r="R249" s="76">
        <f>12000+2420</f>
        <v>14420</v>
      </c>
      <c r="S249" s="36">
        <f>R249/Q249</f>
        <v>0.7794594594594595</v>
      </c>
      <c r="T249" s="37" t="s">
        <v>39</v>
      </c>
      <c r="U249" s="307"/>
      <c r="V249" s="307"/>
      <c r="W249" s="307"/>
    </row>
    <row r="250" spans="2:23" ht="38.25" customHeight="1">
      <c r="B250" s="39"/>
      <c r="C250" s="308"/>
      <c r="D250" s="308"/>
      <c r="E250" s="40"/>
      <c r="F250" s="41"/>
      <c r="G250" s="42"/>
      <c r="H250" s="91"/>
      <c r="I250" s="30"/>
      <c r="J250" s="97"/>
      <c r="K250" s="95"/>
      <c r="L250" s="46"/>
      <c r="M250" s="45"/>
      <c r="N250" s="45"/>
      <c r="O250" s="45"/>
      <c r="P250" s="74"/>
      <c r="Q250" s="75"/>
      <c r="R250" s="76"/>
      <c r="S250" s="36"/>
      <c r="T250" s="37"/>
      <c r="U250" s="322"/>
      <c r="V250" s="322"/>
      <c r="W250" s="322"/>
    </row>
    <row r="251" spans="2:23" ht="38.25" customHeight="1">
      <c r="B251" s="39"/>
      <c r="C251" s="308"/>
      <c r="D251" s="308"/>
      <c r="E251" s="40"/>
      <c r="F251" s="41"/>
      <c r="G251" s="42"/>
      <c r="H251" s="91"/>
      <c r="I251" s="30"/>
      <c r="J251" s="98"/>
      <c r="K251" s="95"/>
      <c r="L251" s="46"/>
      <c r="M251" s="45"/>
      <c r="N251" s="45"/>
      <c r="O251" s="45"/>
      <c r="P251" s="74"/>
      <c r="Q251" s="75"/>
      <c r="R251" s="76"/>
      <c r="S251" s="36"/>
      <c r="T251" s="37"/>
      <c r="U251" s="322"/>
      <c r="V251" s="322"/>
      <c r="W251" s="322"/>
    </row>
    <row r="252" spans="2:23" ht="38.25" customHeight="1">
      <c r="B252" s="39"/>
      <c r="C252" s="308"/>
      <c r="D252" s="308"/>
      <c r="E252" s="40"/>
      <c r="F252" s="41"/>
      <c r="G252" s="42"/>
      <c r="H252" s="91"/>
      <c r="I252" s="30"/>
      <c r="J252" s="32"/>
      <c r="K252" s="46"/>
      <c r="L252" s="46"/>
      <c r="M252" s="45"/>
      <c r="N252" s="45"/>
      <c r="O252" s="45"/>
      <c r="P252" s="74"/>
      <c r="Q252" s="75"/>
      <c r="R252" s="76"/>
      <c r="S252" s="36"/>
      <c r="T252" s="37"/>
      <c r="U252" s="322"/>
      <c r="V252" s="322"/>
      <c r="W252" s="322"/>
    </row>
    <row r="253" spans="2:23" ht="38.25" customHeight="1">
      <c r="B253" s="39"/>
      <c r="C253" s="308"/>
      <c r="D253" s="308"/>
      <c r="E253" s="40"/>
      <c r="F253" s="41"/>
      <c r="G253" s="42"/>
      <c r="H253" s="91"/>
      <c r="I253" s="95"/>
      <c r="J253" s="46"/>
      <c r="K253" s="45"/>
      <c r="L253" s="45"/>
      <c r="M253" s="45"/>
      <c r="N253" s="45"/>
      <c r="O253" s="45"/>
      <c r="P253" s="56"/>
      <c r="Q253" s="75"/>
      <c r="R253" s="76"/>
      <c r="S253" s="36"/>
      <c r="T253" s="37"/>
      <c r="U253" s="322"/>
      <c r="V253" s="322"/>
      <c r="W253" s="322"/>
    </row>
    <row r="254" spans="2:23" ht="38.25" customHeight="1" thickBot="1">
      <c r="B254" s="59"/>
      <c r="C254" s="310" t="s">
        <v>541</v>
      </c>
      <c r="D254" s="310"/>
      <c r="E254" s="60"/>
      <c r="F254" s="61"/>
      <c r="G254" s="62"/>
      <c r="H254" s="63"/>
      <c r="I254" s="64">
        <f aca="true" t="shared" si="10" ref="I254:R254">+SUM(I249:I253)</f>
        <v>16000</v>
      </c>
      <c r="J254" s="64">
        <f t="shared" si="10"/>
        <v>2500</v>
      </c>
      <c r="K254" s="64">
        <f t="shared" si="10"/>
        <v>0</v>
      </c>
      <c r="L254" s="64">
        <f t="shared" si="10"/>
        <v>0</v>
      </c>
      <c r="M254" s="64">
        <f t="shared" si="10"/>
        <v>0</v>
      </c>
      <c r="N254" s="64">
        <f t="shared" si="10"/>
        <v>0</v>
      </c>
      <c r="O254" s="64">
        <f t="shared" si="10"/>
        <v>0</v>
      </c>
      <c r="P254" s="64">
        <f t="shared" si="10"/>
        <v>0</v>
      </c>
      <c r="Q254" s="79">
        <f t="shared" si="10"/>
        <v>18500</v>
      </c>
      <c r="R254" s="79">
        <f t="shared" si="10"/>
        <v>14420</v>
      </c>
      <c r="S254" s="66">
        <f>+R254/Q254</f>
        <v>0.7794594594594595</v>
      </c>
      <c r="T254" s="67"/>
      <c r="U254" s="311"/>
      <c r="V254" s="311"/>
      <c r="W254" s="311"/>
    </row>
    <row r="255" ht="15.75" thickBot="1"/>
    <row r="256" spans="2:23" ht="15.75">
      <c r="B256" s="267" t="s">
        <v>479</v>
      </c>
      <c r="C256" s="267"/>
      <c r="D256" s="267"/>
      <c r="E256" s="267"/>
      <c r="F256" s="267"/>
      <c r="G256" s="267"/>
      <c r="H256" s="267"/>
      <c r="I256" s="267"/>
      <c r="J256" s="267"/>
      <c r="K256" s="267"/>
      <c r="L256" s="267"/>
      <c r="M256" s="267"/>
      <c r="N256" s="267"/>
      <c r="O256" s="267"/>
      <c r="P256" s="267"/>
      <c r="Q256" s="267"/>
      <c r="R256" s="267"/>
      <c r="S256" s="267"/>
      <c r="T256" s="267"/>
      <c r="U256" s="267"/>
      <c r="V256" s="267"/>
      <c r="W256" s="267"/>
    </row>
    <row r="257" spans="2:23" ht="15">
      <c r="B257" s="5"/>
      <c r="C257" s="6"/>
      <c r="D257" s="6"/>
      <c r="E257" s="6"/>
      <c r="F257" s="6"/>
      <c r="G257" s="6"/>
      <c r="H257" s="6"/>
      <c r="I257" s="6"/>
      <c r="J257" s="6"/>
      <c r="K257" s="6"/>
      <c r="L257" s="6"/>
      <c r="M257" s="6"/>
      <c r="N257" s="6"/>
      <c r="O257" s="6"/>
      <c r="P257" s="6"/>
      <c r="Q257" s="6"/>
      <c r="R257" s="6"/>
      <c r="S257" s="6"/>
      <c r="T257" s="6"/>
      <c r="U257" s="6"/>
      <c r="V257" s="6"/>
      <c r="W257" s="7"/>
    </row>
    <row r="258" spans="1:24" s="100" customFormat="1" ht="28.5" customHeight="1">
      <c r="A258" s="99"/>
      <c r="B258" s="268" t="s">
        <v>480</v>
      </c>
      <c r="C258" s="269"/>
      <c r="D258" s="269"/>
      <c r="E258" s="269"/>
      <c r="F258" s="269"/>
      <c r="G258" s="269"/>
      <c r="H258" s="269"/>
      <c r="I258" s="269"/>
      <c r="J258" s="269"/>
      <c r="K258" s="269"/>
      <c r="L258" s="269"/>
      <c r="M258" s="269"/>
      <c r="N258" s="269"/>
      <c r="O258" s="269"/>
      <c r="P258" s="269"/>
      <c r="Q258" s="269"/>
      <c r="R258" s="269"/>
      <c r="S258" s="269"/>
      <c r="T258" s="269"/>
      <c r="U258" s="269"/>
      <c r="V258" s="269"/>
      <c r="W258" s="270"/>
      <c r="X258" s="9"/>
    </row>
    <row r="259" spans="1:24" s="100" customFormat="1" ht="28.5" customHeight="1">
      <c r="A259" s="99"/>
      <c r="B259" s="271" t="s">
        <v>481</v>
      </c>
      <c r="C259" s="272"/>
      <c r="D259" s="272"/>
      <c r="E259" s="272"/>
      <c r="F259" s="272"/>
      <c r="G259" s="272"/>
      <c r="H259" s="272"/>
      <c r="I259" s="272"/>
      <c r="J259" s="272"/>
      <c r="K259" s="272"/>
      <c r="L259" s="272"/>
      <c r="M259" s="272"/>
      <c r="N259" s="272"/>
      <c r="O259" s="272"/>
      <c r="P259" s="272"/>
      <c r="Q259" s="272"/>
      <c r="R259" s="272"/>
      <c r="S259" s="272"/>
      <c r="T259" s="272"/>
      <c r="U259" s="272"/>
      <c r="V259" s="272"/>
      <c r="W259" s="273"/>
      <c r="X259" s="9"/>
    </row>
    <row r="260" spans="1:24" s="100" customFormat="1" ht="28.5" customHeight="1">
      <c r="A260" s="99"/>
      <c r="B260" s="274" t="s">
        <v>482</v>
      </c>
      <c r="C260" s="275"/>
      <c r="D260" s="275"/>
      <c r="E260" s="275"/>
      <c r="F260" s="275"/>
      <c r="G260" s="275"/>
      <c r="H260" s="275"/>
      <c r="I260" s="275"/>
      <c r="J260" s="275"/>
      <c r="K260" s="275"/>
      <c r="L260" s="275"/>
      <c r="M260" s="275"/>
      <c r="N260" s="275"/>
      <c r="O260" s="275"/>
      <c r="P260" s="275"/>
      <c r="Q260" s="275"/>
      <c r="R260" s="275"/>
      <c r="S260" s="275"/>
      <c r="T260" s="275"/>
      <c r="U260" s="275"/>
      <c r="V260" s="275"/>
      <c r="W260" s="276"/>
      <c r="X260" s="9"/>
    </row>
    <row r="261" spans="2:23" ht="15">
      <c r="B261" s="5"/>
      <c r="C261" s="6"/>
      <c r="D261" s="8"/>
      <c r="E261" s="8"/>
      <c r="F261" s="8"/>
      <c r="G261" s="8"/>
      <c r="H261" s="8"/>
      <c r="I261" s="6"/>
      <c r="J261" s="6"/>
      <c r="K261" s="6"/>
      <c r="L261" s="6"/>
      <c r="M261" s="6"/>
      <c r="N261" s="6"/>
      <c r="O261" s="6"/>
      <c r="P261" s="6"/>
      <c r="Q261" s="6"/>
      <c r="R261" s="6"/>
      <c r="S261" s="6"/>
      <c r="T261" s="6"/>
      <c r="U261" s="6"/>
      <c r="V261" s="6"/>
      <c r="W261" s="7"/>
    </row>
    <row r="262" spans="2:23" ht="15">
      <c r="B262" s="279" t="s">
        <v>483</v>
      </c>
      <c r="C262" s="280"/>
      <c r="D262" s="10" t="s">
        <v>484</v>
      </c>
      <c r="E262" s="10"/>
      <c r="F262" s="10"/>
      <c r="G262" s="11"/>
      <c r="H262" s="11"/>
      <c r="I262" s="11"/>
      <c r="J262" s="11"/>
      <c r="K262" s="11"/>
      <c r="L262" s="10" t="s">
        <v>485</v>
      </c>
      <c r="M262" s="10"/>
      <c r="N262" s="10"/>
      <c r="O262" s="281" t="s">
        <v>486</v>
      </c>
      <c r="P262" s="282"/>
      <c r="Q262" s="282"/>
      <c r="R262" s="282"/>
      <c r="S262" s="282"/>
      <c r="T262" s="282" t="s">
        <v>487</v>
      </c>
      <c r="U262" s="280"/>
      <c r="V262" s="280"/>
      <c r="W262" s="285"/>
    </row>
    <row r="263" spans="2:23" ht="15">
      <c r="B263" s="279" t="s">
        <v>488</v>
      </c>
      <c r="C263" s="280"/>
      <c r="D263" s="10" t="s">
        <v>489</v>
      </c>
      <c r="E263" s="10"/>
      <c r="F263" s="10"/>
      <c r="G263" s="11"/>
      <c r="H263" s="11"/>
      <c r="I263" s="11"/>
      <c r="J263" s="11"/>
      <c r="K263" s="11"/>
      <c r="L263" s="282" t="s">
        <v>490</v>
      </c>
      <c r="M263" s="280"/>
      <c r="N263" s="280"/>
      <c r="O263" s="282" t="s">
        <v>491</v>
      </c>
      <c r="P263" s="282"/>
      <c r="Q263" s="282"/>
      <c r="R263" s="282"/>
      <c r="S263" s="282"/>
      <c r="T263" s="12" t="s">
        <v>492</v>
      </c>
      <c r="U263" s="11">
        <v>1</v>
      </c>
      <c r="V263" s="11" t="s">
        <v>493</v>
      </c>
      <c r="W263" s="13">
        <v>12</v>
      </c>
    </row>
    <row r="264" spans="2:23" ht="15.75" thickBot="1">
      <c r="B264" s="83"/>
      <c r="C264" s="11"/>
      <c r="D264" s="11"/>
      <c r="E264" s="11"/>
      <c r="F264" s="11"/>
      <c r="G264" s="11"/>
      <c r="H264" s="11"/>
      <c r="I264" s="11"/>
      <c r="J264" s="11"/>
      <c r="K264" s="11"/>
      <c r="L264" s="283"/>
      <c r="M264" s="283"/>
      <c r="N264" s="283"/>
      <c r="O264" s="282" t="s">
        <v>494</v>
      </c>
      <c r="P264" s="282"/>
      <c r="Q264" s="282"/>
      <c r="R264" s="284"/>
      <c r="S264" s="284"/>
      <c r="T264" s="278"/>
      <c r="U264" s="278"/>
      <c r="V264" s="11"/>
      <c r="W264" s="16"/>
    </row>
    <row r="265" spans="2:23" ht="24.75" customHeight="1" thickBot="1">
      <c r="B265" s="325" t="s">
        <v>495</v>
      </c>
      <c r="C265" s="326"/>
      <c r="D265" s="327" t="s">
        <v>33</v>
      </c>
      <c r="E265" s="327"/>
      <c r="F265" s="327"/>
      <c r="G265" s="327"/>
      <c r="H265" s="327"/>
      <c r="I265" s="258" t="s">
        <v>497</v>
      </c>
      <c r="J265" s="248"/>
      <c r="K265" s="261" t="s">
        <v>40</v>
      </c>
      <c r="L265" s="262"/>
      <c r="M265" s="261" t="s">
        <v>41</v>
      </c>
      <c r="N265" s="291"/>
      <c r="O265" s="262"/>
      <c r="P265" s="261" t="s">
        <v>42</v>
      </c>
      <c r="Q265" s="262"/>
      <c r="R265" s="259" t="s">
        <v>502</v>
      </c>
      <c r="S265" s="260"/>
      <c r="T265" s="296" t="s">
        <v>43</v>
      </c>
      <c r="U265" s="261" t="s">
        <v>44</v>
      </c>
      <c r="V265" s="262"/>
      <c r="W265" s="296" t="s">
        <v>45</v>
      </c>
    </row>
    <row r="266" spans="2:23" ht="24" customHeight="1" thickBot="1">
      <c r="B266" s="328" t="s">
        <v>506</v>
      </c>
      <c r="C266" s="252"/>
      <c r="D266" s="294" t="s">
        <v>36</v>
      </c>
      <c r="E266" s="295"/>
      <c r="F266" s="295"/>
      <c r="G266" s="295"/>
      <c r="H266" s="295"/>
      <c r="I266" s="249"/>
      <c r="J266" s="250"/>
      <c r="K266" s="263"/>
      <c r="L266" s="264"/>
      <c r="M266" s="263"/>
      <c r="N266" s="292"/>
      <c r="O266" s="264"/>
      <c r="P266" s="263"/>
      <c r="Q266" s="264"/>
      <c r="R266" s="259"/>
      <c r="S266" s="260"/>
      <c r="T266" s="297"/>
      <c r="U266" s="263"/>
      <c r="V266" s="264"/>
      <c r="W266" s="297"/>
    </row>
    <row r="267" spans="2:23" ht="45" customHeight="1" thickBot="1">
      <c r="B267" s="331" t="s">
        <v>508</v>
      </c>
      <c r="C267" s="332"/>
      <c r="D267" s="333" t="s">
        <v>46</v>
      </c>
      <c r="E267" s="334"/>
      <c r="F267" s="334"/>
      <c r="G267" s="334"/>
      <c r="H267" s="335"/>
      <c r="I267" s="251"/>
      <c r="J267" s="247"/>
      <c r="K267" s="265"/>
      <c r="L267" s="266"/>
      <c r="M267" s="265"/>
      <c r="N267" s="293"/>
      <c r="O267" s="266"/>
      <c r="P267" s="265"/>
      <c r="Q267" s="266"/>
      <c r="R267" s="259"/>
      <c r="S267" s="260"/>
      <c r="T267" s="298"/>
      <c r="U267" s="265"/>
      <c r="V267" s="266"/>
      <c r="W267" s="298"/>
    </row>
    <row r="268" spans="2:23" ht="18.75" thickBot="1">
      <c r="B268" s="84"/>
      <c r="C268" s="85"/>
      <c r="D268" s="86"/>
      <c r="E268" s="87"/>
      <c r="F268" s="87"/>
      <c r="G268" s="87"/>
      <c r="H268" s="87"/>
      <c r="I268" s="84"/>
      <c r="J268" s="84"/>
      <c r="K268" s="84"/>
      <c r="L268" s="84"/>
      <c r="M268" s="84"/>
      <c r="N268" s="84"/>
      <c r="O268" s="84"/>
      <c r="P268" s="84"/>
      <c r="Q268" s="84"/>
      <c r="R268" s="84"/>
      <c r="S268" s="84"/>
      <c r="T268" s="19"/>
      <c r="U268" s="19"/>
      <c r="V268" s="19"/>
      <c r="W268" s="19"/>
    </row>
    <row r="269" spans="2:23" ht="15.75" thickBot="1">
      <c r="B269" s="341" t="s">
        <v>510</v>
      </c>
      <c r="C269" s="342"/>
      <c r="D269" s="342"/>
      <c r="E269" s="342"/>
      <c r="F269" s="342"/>
      <c r="G269" s="342"/>
      <c r="H269" s="342"/>
      <c r="I269" s="343" t="s">
        <v>511</v>
      </c>
      <c r="J269" s="343"/>
      <c r="K269" s="343"/>
      <c r="L269" s="343"/>
      <c r="M269" s="343"/>
      <c r="N269" s="343"/>
      <c r="O269" s="343"/>
      <c r="P269" s="343"/>
      <c r="Q269" s="343"/>
      <c r="R269" s="343"/>
      <c r="S269" s="344"/>
      <c r="T269" s="345" t="s">
        <v>512</v>
      </c>
      <c r="U269" s="287" t="s">
        <v>513</v>
      </c>
      <c r="V269" s="287"/>
      <c r="W269" s="287"/>
    </row>
    <row r="270" spans="2:23" ht="36" customHeight="1" thickBot="1">
      <c r="B270" s="346" t="s">
        <v>514</v>
      </c>
      <c r="C270" s="347" t="s">
        <v>515</v>
      </c>
      <c r="D270" s="347"/>
      <c r="E270" s="329" t="s">
        <v>516</v>
      </c>
      <c r="F270" s="329" t="s">
        <v>517</v>
      </c>
      <c r="G270" s="329" t="s">
        <v>518</v>
      </c>
      <c r="H270" s="330" t="s">
        <v>519</v>
      </c>
      <c r="I270" s="337" t="s">
        <v>520</v>
      </c>
      <c r="J270" s="338"/>
      <c r="K270" s="338"/>
      <c r="L270" s="338"/>
      <c r="M270" s="338"/>
      <c r="N270" s="338"/>
      <c r="O270" s="338"/>
      <c r="P270" s="338"/>
      <c r="Q270" s="339" t="s">
        <v>521</v>
      </c>
      <c r="R270" s="340" t="s">
        <v>522</v>
      </c>
      <c r="S270" s="336" t="s">
        <v>523</v>
      </c>
      <c r="T270" s="287"/>
      <c r="U270" s="287"/>
      <c r="V270" s="287"/>
      <c r="W270" s="287"/>
    </row>
    <row r="271" spans="2:23" ht="55.5" thickBot="1">
      <c r="B271" s="317"/>
      <c r="C271" s="319"/>
      <c r="D271" s="319"/>
      <c r="E271" s="315"/>
      <c r="F271" s="315"/>
      <c r="G271" s="315"/>
      <c r="H271" s="301"/>
      <c r="I271" s="20" t="s">
        <v>524</v>
      </c>
      <c r="J271" s="21" t="s">
        <v>525</v>
      </c>
      <c r="K271" s="22" t="s">
        <v>526</v>
      </c>
      <c r="L271" s="22" t="s">
        <v>527</v>
      </c>
      <c r="M271" s="22" t="s">
        <v>528</v>
      </c>
      <c r="N271" s="22" t="s">
        <v>529</v>
      </c>
      <c r="O271" s="22" t="s">
        <v>530</v>
      </c>
      <c r="P271" s="23" t="s">
        <v>531</v>
      </c>
      <c r="Q271" s="305"/>
      <c r="R271" s="320"/>
      <c r="S271" s="299"/>
      <c r="T271" s="287"/>
      <c r="U271" s="287"/>
      <c r="V271" s="287"/>
      <c r="W271" s="287"/>
    </row>
    <row r="272" spans="2:23" ht="32.25" customHeight="1">
      <c r="B272" s="25">
        <v>1</v>
      </c>
      <c r="C272" s="306" t="s">
        <v>47</v>
      </c>
      <c r="D272" s="306"/>
      <c r="E272" s="101">
        <v>80</v>
      </c>
      <c r="F272" s="27">
        <v>50</v>
      </c>
      <c r="G272" s="28">
        <f>+F272/E272</f>
        <v>0.625</v>
      </c>
      <c r="H272" s="29">
        <f>+F272/E272</f>
        <v>0.625</v>
      </c>
      <c r="I272" s="97">
        <v>11000</v>
      </c>
      <c r="J272" s="97">
        <v>3500</v>
      </c>
      <c r="K272" s="32"/>
      <c r="L272" s="32"/>
      <c r="M272" s="31"/>
      <c r="N272" s="31"/>
      <c r="O272" s="31"/>
      <c r="P272" s="74"/>
      <c r="Q272" s="75">
        <f>+SUM(I272:P272)</f>
        <v>14500</v>
      </c>
      <c r="R272" s="76">
        <f>61985+9500</f>
        <v>71485</v>
      </c>
      <c r="S272" s="36">
        <f>R272/Q272</f>
        <v>4.93</v>
      </c>
      <c r="T272" s="37" t="s">
        <v>39</v>
      </c>
      <c r="U272" s="307"/>
      <c r="V272" s="307"/>
      <c r="W272" s="307"/>
    </row>
    <row r="273" spans="2:23" ht="32.25" customHeight="1">
      <c r="B273" s="39">
        <v>2</v>
      </c>
      <c r="C273" s="308" t="s">
        <v>48</v>
      </c>
      <c r="D273" s="308"/>
      <c r="E273" s="102">
        <v>600</v>
      </c>
      <c r="F273" s="41">
        <v>150</v>
      </c>
      <c r="G273" s="42">
        <f>+F273/E273</f>
        <v>0.25</v>
      </c>
      <c r="H273" s="91">
        <f>+F273/E273</f>
        <v>0.25</v>
      </c>
      <c r="I273" s="97">
        <v>3000</v>
      </c>
      <c r="J273" s="97"/>
      <c r="K273" s="32"/>
      <c r="L273" s="32"/>
      <c r="M273" s="31"/>
      <c r="N273" s="31"/>
      <c r="O273" s="31"/>
      <c r="P273" s="74"/>
      <c r="Q273" s="75">
        <f>+SUM(I273:P273)</f>
        <v>3000</v>
      </c>
      <c r="R273" s="76">
        <v>3000</v>
      </c>
      <c r="S273" s="36">
        <f>R273/Q273</f>
        <v>1</v>
      </c>
      <c r="T273" s="37" t="s">
        <v>39</v>
      </c>
      <c r="U273" s="322"/>
      <c r="V273" s="322"/>
      <c r="W273" s="322"/>
    </row>
    <row r="274" spans="2:23" ht="32.25" customHeight="1">
      <c r="B274" s="39">
        <v>3</v>
      </c>
      <c r="C274" s="308" t="s">
        <v>49</v>
      </c>
      <c r="D274" s="308"/>
      <c r="E274" s="102">
        <v>80</v>
      </c>
      <c r="F274" s="41">
        <v>50</v>
      </c>
      <c r="G274" s="42">
        <f>+F274/E274</f>
        <v>0.625</v>
      </c>
      <c r="H274" s="91">
        <f>+F274/E274</f>
        <v>0.625</v>
      </c>
      <c r="I274" s="97">
        <v>10000</v>
      </c>
      <c r="J274" s="97">
        <v>20000</v>
      </c>
      <c r="K274" s="32"/>
      <c r="L274" s="32"/>
      <c r="M274" s="31"/>
      <c r="N274" s="31"/>
      <c r="O274" s="31"/>
      <c r="P274" s="74"/>
      <c r="Q274" s="75">
        <f>+SUM(I274:P274)</f>
        <v>30000</v>
      </c>
      <c r="R274" s="76">
        <v>1438</v>
      </c>
      <c r="S274" s="36">
        <f>R274/Q274</f>
        <v>0.047933333333333335</v>
      </c>
      <c r="T274" s="37" t="s">
        <v>29</v>
      </c>
      <c r="U274" s="322"/>
      <c r="V274" s="322"/>
      <c r="W274" s="322"/>
    </row>
    <row r="275" spans="2:23" ht="32.25" customHeight="1">
      <c r="B275" s="39"/>
      <c r="C275" s="308"/>
      <c r="D275" s="308"/>
      <c r="E275" s="40"/>
      <c r="F275" s="41"/>
      <c r="G275" s="42"/>
      <c r="H275" s="91"/>
      <c r="I275" s="30"/>
      <c r="J275" s="32"/>
      <c r="K275" s="46"/>
      <c r="L275" s="46"/>
      <c r="M275" s="45"/>
      <c r="N275" s="45"/>
      <c r="O275" s="45"/>
      <c r="P275" s="74"/>
      <c r="Q275" s="75"/>
      <c r="R275" s="76"/>
      <c r="S275" s="36"/>
      <c r="T275" s="37"/>
      <c r="U275" s="322"/>
      <c r="V275" s="322"/>
      <c r="W275" s="322"/>
    </row>
    <row r="276" spans="2:23" ht="32.25" customHeight="1">
      <c r="B276" s="39"/>
      <c r="C276" s="308"/>
      <c r="D276" s="308"/>
      <c r="E276" s="40"/>
      <c r="F276" s="41"/>
      <c r="G276" s="42"/>
      <c r="H276" s="91"/>
      <c r="I276" s="95"/>
      <c r="J276" s="46"/>
      <c r="K276" s="45"/>
      <c r="L276" s="45"/>
      <c r="M276" s="45"/>
      <c r="N276" s="45"/>
      <c r="O276" s="45"/>
      <c r="P276" s="56"/>
      <c r="Q276" s="75"/>
      <c r="R276" s="76"/>
      <c r="S276" s="36"/>
      <c r="T276" s="37"/>
      <c r="U276" s="322"/>
      <c r="V276" s="322"/>
      <c r="W276" s="322"/>
    </row>
    <row r="277" spans="2:23" ht="32.25" customHeight="1" thickBot="1">
      <c r="B277" s="59"/>
      <c r="C277" s="310" t="s">
        <v>541</v>
      </c>
      <c r="D277" s="310"/>
      <c r="E277" s="60"/>
      <c r="F277" s="61"/>
      <c r="G277" s="62"/>
      <c r="H277" s="63"/>
      <c r="I277" s="64">
        <f aca="true" t="shared" si="11" ref="I277:R277">+SUM(I272:I276)</f>
        <v>24000</v>
      </c>
      <c r="J277" s="64">
        <f t="shared" si="11"/>
        <v>23500</v>
      </c>
      <c r="K277" s="64">
        <f t="shared" si="11"/>
        <v>0</v>
      </c>
      <c r="L277" s="64">
        <f t="shared" si="11"/>
        <v>0</v>
      </c>
      <c r="M277" s="64">
        <f t="shared" si="11"/>
        <v>0</v>
      </c>
      <c r="N277" s="64">
        <f t="shared" si="11"/>
        <v>0</v>
      </c>
      <c r="O277" s="64">
        <f t="shared" si="11"/>
        <v>0</v>
      </c>
      <c r="P277" s="64">
        <f t="shared" si="11"/>
        <v>0</v>
      </c>
      <c r="Q277" s="79">
        <f t="shared" si="11"/>
        <v>47500</v>
      </c>
      <c r="R277" s="79">
        <f t="shared" si="11"/>
        <v>75923</v>
      </c>
      <c r="S277" s="66">
        <f>+R277/Q277</f>
        <v>1.5983789473684211</v>
      </c>
      <c r="T277" s="67"/>
      <c r="U277" s="311"/>
      <c r="V277" s="311"/>
      <c r="W277" s="311"/>
    </row>
    <row r="278" ht="15.75" thickBot="1"/>
    <row r="279" spans="2:23" ht="15.75">
      <c r="B279" s="267" t="s">
        <v>479</v>
      </c>
      <c r="C279" s="267"/>
      <c r="D279" s="267"/>
      <c r="E279" s="267"/>
      <c r="F279" s="267"/>
      <c r="G279" s="267"/>
      <c r="H279" s="267"/>
      <c r="I279" s="267"/>
      <c r="J279" s="267"/>
      <c r="K279" s="267"/>
      <c r="L279" s="267"/>
      <c r="M279" s="267"/>
      <c r="N279" s="267"/>
      <c r="O279" s="267"/>
      <c r="P279" s="267"/>
      <c r="Q279" s="267"/>
      <c r="R279" s="267"/>
      <c r="S279" s="267"/>
      <c r="T279" s="267"/>
      <c r="U279" s="267"/>
      <c r="V279" s="267"/>
      <c r="W279" s="267"/>
    </row>
    <row r="280" spans="2:23" ht="15">
      <c r="B280" s="5"/>
      <c r="C280" s="6"/>
      <c r="D280" s="6"/>
      <c r="E280" s="6"/>
      <c r="F280" s="6"/>
      <c r="G280" s="6"/>
      <c r="H280" s="6"/>
      <c r="I280" s="6"/>
      <c r="J280" s="6"/>
      <c r="K280" s="6"/>
      <c r="L280" s="6"/>
      <c r="M280" s="6"/>
      <c r="N280" s="6"/>
      <c r="O280" s="6"/>
      <c r="P280" s="6"/>
      <c r="Q280" s="6"/>
      <c r="R280" s="6"/>
      <c r="S280" s="6"/>
      <c r="T280" s="6"/>
      <c r="U280" s="6"/>
      <c r="V280" s="6"/>
      <c r="W280" s="7"/>
    </row>
    <row r="281" spans="1:24" s="100" customFormat="1" ht="27" customHeight="1">
      <c r="A281" s="99"/>
      <c r="B281" s="268" t="s">
        <v>480</v>
      </c>
      <c r="C281" s="269"/>
      <c r="D281" s="269"/>
      <c r="E281" s="269"/>
      <c r="F281" s="269"/>
      <c r="G281" s="269"/>
      <c r="H281" s="269"/>
      <c r="I281" s="269"/>
      <c r="J281" s="269"/>
      <c r="K281" s="269"/>
      <c r="L281" s="269"/>
      <c r="M281" s="269"/>
      <c r="N281" s="269"/>
      <c r="O281" s="269"/>
      <c r="P281" s="269"/>
      <c r="Q281" s="269"/>
      <c r="R281" s="269"/>
      <c r="S281" s="269"/>
      <c r="T281" s="269"/>
      <c r="U281" s="269"/>
      <c r="V281" s="269"/>
      <c r="W281" s="270"/>
      <c r="X281" s="9"/>
    </row>
    <row r="282" spans="1:24" s="100" customFormat="1" ht="27" customHeight="1">
      <c r="A282" s="99"/>
      <c r="B282" s="271" t="s">
        <v>481</v>
      </c>
      <c r="C282" s="272"/>
      <c r="D282" s="272"/>
      <c r="E282" s="272"/>
      <c r="F282" s="272"/>
      <c r="G282" s="272"/>
      <c r="H282" s="272"/>
      <c r="I282" s="272"/>
      <c r="J282" s="272"/>
      <c r="K282" s="272"/>
      <c r="L282" s="272"/>
      <c r="M282" s="272"/>
      <c r="N282" s="272"/>
      <c r="O282" s="272"/>
      <c r="P282" s="272"/>
      <c r="Q282" s="272"/>
      <c r="R282" s="272"/>
      <c r="S282" s="272"/>
      <c r="T282" s="272"/>
      <c r="U282" s="272"/>
      <c r="V282" s="272"/>
      <c r="W282" s="273"/>
      <c r="X282" s="9"/>
    </row>
    <row r="283" spans="1:24" s="100" customFormat="1" ht="27" customHeight="1">
      <c r="A283" s="99"/>
      <c r="B283" s="274" t="s">
        <v>482</v>
      </c>
      <c r="C283" s="275"/>
      <c r="D283" s="275"/>
      <c r="E283" s="275"/>
      <c r="F283" s="275"/>
      <c r="G283" s="275"/>
      <c r="H283" s="275"/>
      <c r="I283" s="275"/>
      <c r="J283" s="275"/>
      <c r="K283" s="275"/>
      <c r="L283" s="275"/>
      <c r="M283" s="275"/>
      <c r="N283" s="275"/>
      <c r="O283" s="275"/>
      <c r="P283" s="275"/>
      <c r="Q283" s="275"/>
      <c r="R283" s="275"/>
      <c r="S283" s="275"/>
      <c r="T283" s="275"/>
      <c r="U283" s="275"/>
      <c r="V283" s="275"/>
      <c r="W283" s="276"/>
      <c r="X283" s="9"/>
    </row>
    <row r="284" spans="2:23" ht="15">
      <c r="B284" s="5"/>
      <c r="C284" s="6"/>
      <c r="D284" s="8"/>
      <c r="E284" s="8"/>
      <c r="F284" s="8"/>
      <c r="G284" s="8"/>
      <c r="H284" s="8"/>
      <c r="I284" s="6"/>
      <c r="J284" s="6"/>
      <c r="K284" s="6"/>
      <c r="L284" s="6"/>
      <c r="M284" s="6"/>
      <c r="N284" s="6"/>
      <c r="O284" s="6"/>
      <c r="P284" s="6"/>
      <c r="Q284" s="6"/>
      <c r="R284" s="6"/>
      <c r="S284" s="6"/>
      <c r="T284" s="6"/>
      <c r="U284" s="6"/>
      <c r="V284" s="6"/>
      <c r="W284" s="7"/>
    </row>
    <row r="285" spans="2:23" ht="15">
      <c r="B285" s="279" t="s">
        <v>483</v>
      </c>
      <c r="C285" s="280"/>
      <c r="D285" s="10" t="s">
        <v>484</v>
      </c>
      <c r="E285" s="10"/>
      <c r="F285" s="10"/>
      <c r="G285" s="11"/>
      <c r="H285" s="11"/>
      <c r="I285" s="11"/>
      <c r="J285" s="11"/>
      <c r="K285" s="11"/>
      <c r="L285" s="10" t="s">
        <v>485</v>
      </c>
      <c r="M285" s="10"/>
      <c r="N285" s="10"/>
      <c r="O285" s="281" t="s">
        <v>486</v>
      </c>
      <c r="P285" s="282"/>
      <c r="Q285" s="282"/>
      <c r="R285" s="282"/>
      <c r="S285" s="282"/>
      <c r="T285" s="282" t="s">
        <v>487</v>
      </c>
      <c r="U285" s="280"/>
      <c r="V285" s="280"/>
      <c r="W285" s="285"/>
    </row>
    <row r="286" spans="2:23" ht="15">
      <c r="B286" s="279" t="s">
        <v>488</v>
      </c>
      <c r="C286" s="280"/>
      <c r="D286" s="10" t="s">
        <v>489</v>
      </c>
      <c r="E286" s="10"/>
      <c r="F286" s="10"/>
      <c r="G286" s="11"/>
      <c r="H286" s="11"/>
      <c r="I286" s="11"/>
      <c r="J286" s="11"/>
      <c r="K286" s="11"/>
      <c r="L286" s="282" t="s">
        <v>490</v>
      </c>
      <c r="M286" s="280"/>
      <c r="N286" s="280"/>
      <c r="O286" s="282" t="s">
        <v>491</v>
      </c>
      <c r="P286" s="282"/>
      <c r="Q286" s="282"/>
      <c r="R286" s="282"/>
      <c r="S286" s="282"/>
      <c r="T286" s="12" t="s">
        <v>492</v>
      </c>
      <c r="U286" s="11">
        <v>1</v>
      </c>
      <c r="V286" s="11" t="s">
        <v>493</v>
      </c>
      <c r="W286" s="13">
        <v>13</v>
      </c>
    </row>
    <row r="287" spans="2:23" ht="15.75" thickBot="1">
      <c r="B287" s="83"/>
      <c r="C287" s="11"/>
      <c r="D287" s="11"/>
      <c r="E287" s="11"/>
      <c r="F287" s="11"/>
      <c r="G287" s="11"/>
      <c r="H287" s="11"/>
      <c r="I287" s="11"/>
      <c r="J287" s="11"/>
      <c r="K287" s="11"/>
      <c r="L287" s="283"/>
      <c r="M287" s="283"/>
      <c r="N287" s="283"/>
      <c r="O287" s="282" t="s">
        <v>494</v>
      </c>
      <c r="P287" s="282"/>
      <c r="Q287" s="282"/>
      <c r="R287" s="284"/>
      <c r="S287" s="284"/>
      <c r="T287" s="278"/>
      <c r="U287" s="278"/>
      <c r="V287" s="11"/>
      <c r="W287" s="16"/>
    </row>
    <row r="288" spans="2:23" ht="15.75" customHeight="1" thickBot="1">
      <c r="B288" s="325" t="s">
        <v>495</v>
      </c>
      <c r="C288" s="326"/>
      <c r="D288" s="327" t="s">
        <v>33</v>
      </c>
      <c r="E288" s="327"/>
      <c r="F288" s="327"/>
      <c r="G288" s="327"/>
      <c r="H288" s="327"/>
      <c r="I288" s="258" t="s">
        <v>497</v>
      </c>
      <c r="J288" s="248"/>
      <c r="K288" s="261" t="s">
        <v>40</v>
      </c>
      <c r="L288" s="262"/>
      <c r="M288" s="261" t="s">
        <v>41</v>
      </c>
      <c r="N288" s="291"/>
      <c r="O288" s="262"/>
      <c r="P288" s="261" t="s">
        <v>42</v>
      </c>
      <c r="Q288" s="262"/>
      <c r="R288" s="259" t="s">
        <v>502</v>
      </c>
      <c r="S288" s="260"/>
      <c r="T288" s="296" t="s">
        <v>43</v>
      </c>
      <c r="U288" s="261" t="s">
        <v>44</v>
      </c>
      <c r="V288" s="262"/>
      <c r="W288" s="296" t="s">
        <v>45</v>
      </c>
    </row>
    <row r="289" spans="2:23" ht="15.75" thickBot="1">
      <c r="B289" s="328" t="s">
        <v>506</v>
      </c>
      <c r="C289" s="252"/>
      <c r="D289" s="294" t="s">
        <v>36</v>
      </c>
      <c r="E289" s="295"/>
      <c r="F289" s="295"/>
      <c r="G289" s="295"/>
      <c r="H289" s="295"/>
      <c r="I289" s="249"/>
      <c r="J289" s="250"/>
      <c r="K289" s="263"/>
      <c r="L289" s="264"/>
      <c r="M289" s="263"/>
      <c r="N289" s="292"/>
      <c r="O289" s="264"/>
      <c r="P289" s="263"/>
      <c r="Q289" s="264"/>
      <c r="R289" s="259"/>
      <c r="S289" s="260"/>
      <c r="T289" s="297"/>
      <c r="U289" s="263"/>
      <c r="V289" s="264"/>
      <c r="W289" s="297"/>
    </row>
    <row r="290" spans="2:23" ht="44.25" customHeight="1" thickBot="1">
      <c r="B290" s="331" t="s">
        <v>508</v>
      </c>
      <c r="C290" s="332"/>
      <c r="D290" s="333" t="s">
        <v>50</v>
      </c>
      <c r="E290" s="334"/>
      <c r="F290" s="334"/>
      <c r="G290" s="334"/>
      <c r="H290" s="335"/>
      <c r="I290" s="251"/>
      <c r="J290" s="247"/>
      <c r="K290" s="265"/>
      <c r="L290" s="266"/>
      <c r="M290" s="265"/>
      <c r="N290" s="293"/>
      <c r="O290" s="266"/>
      <c r="P290" s="265"/>
      <c r="Q290" s="266"/>
      <c r="R290" s="259"/>
      <c r="S290" s="260"/>
      <c r="T290" s="298"/>
      <c r="U290" s="265"/>
      <c r="V290" s="266"/>
      <c r="W290" s="298"/>
    </row>
    <row r="291" spans="2:23" ht="25.5" customHeight="1" thickBot="1">
      <c r="B291" s="84"/>
      <c r="C291" s="85"/>
      <c r="D291" s="86"/>
      <c r="E291" s="87"/>
      <c r="F291" s="87"/>
      <c r="G291" s="87"/>
      <c r="H291" s="87"/>
      <c r="I291" s="84"/>
      <c r="J291" s="84"/>
      <c r="K291" s="84"/>
      <c r="L291" s="84"/>
      <c r="M291" s="84"/>
      <c r="N291" s="84"/>
      <c r="O291" s="84"/>
      <c r="P291" s="84"/>
      <c r="Q291" s="84"/>
      <c r="R291" s="84"/>
      <c r="S291" s="84"/>
      <c r="T291" s="19"/>
      <c r="U291" s="19"/>
      <c r="V291" s="19"/>
      <c r="W291" s="19"/>
    </row>
    <row r="292" spans="2:23" ht="15.75" thickBot="1">
      <c r="B292" s="341" t="s">
        <v>510</v>
      </c>
      <c r="C292" s="342"/>
      <c r="D292" s="342"/>
      <c r="E292" s="342"/>
      <c r="F292" s="342"/>
      <c r="G292" s="342"/>
      <c r="H292" s="342"/>
      <c r="I292" s="343" t="s">
        <v>511</v>
      </c>
      <c r="J292" s="343"/>
      <c r="K292" s="343"/>
      <c r="L292" s="343"/>
      <c r="M292" s="343"/>
      <c r="N292" s="343"/>
      <c r="O292" s="343"/>
      <c r="P292" s="343"/>
      <c r="Q292" s="343"/>
      <c r="R292" s="343"/>
      <c r="S292" s="344"/>
      <c r="T292" s="345" t="s">
        <v>512</v>
      </c>
      <c r="U292" s="287" t="s">
        <v>513</v>
      </c>
      <c r="V292" s="287"/>
      <c r="W292" s="287"/>
    </row>
    <row r="293" spans="2:23" ht="15.75" thickBot="1">
      <c r="B293" s="316" t="s">
        <v>514</v>
      </c>
      <c r="C293" s="318" t="s">
        <v>515</v>
      </c>
      <c r="D293" s="318"/>
      <c r="E293" s="314" t="s">
        <v>516</v>
      </c>
      <c r="F293" s="314" t="s">
        <v>517</v>
      </c>
      <c r="G293" s="314" t="s">
        <v>518</v>
      </c>
      <c r="H293" s="300" t="s">
        <v>519</v>
      </c>
      <c r="I293" s="337" t="s">
        <v>520</v>
      </c>
      <c r="J293" s="338"/>
      <c r="K293" s="338"/>
      <c r="L293" s="338"/>
      <c r="M293" s="338"/>
      <c r="N293" s="338"/>
      <c r="O293" s="338"/>
      <c r="P293" s="338"/>
      <c r="Q293" s="339" t="s">
        <v>521</v>
      </c>
      <c r="R293" s="340" t="s">
        <v>522</v>
      </c>
      <c r="S293" s="336" t="s">
        <v>523</v>
      </c>
      <c r="T293" s="287"/>
      <c r="U293" s="287"/>
      <c r="V293" s="287"/>
      <c r="W293" s="287"/>
    </row>
    <row r="294" spans="2:23" ht="55.5" thickBot="1">
      <c r="B294" s="368"/>
      <c r="C294" s="369"/>
      <c r="D294" s="369"/>
      <c r="E294" s="366"/>
      <c r="F294" s="366"/>
      <c r="G294" s="366"/>
      <c r="H294" s="367"/>
      <c r="I294" s="20" t="s">
        <v>524</v>
      </c>
      <c r="J294" s="21" t="s">
        <v>525</v>
      </c>
      <c r="K294" s="22" t="s">
        <v>526</v>
      </c>
      <c r="L294" s="22" t="s">
        <v>527</v>
      </c>
      <c r="M294" s="22" t="s">
        <v>528</v>
      </c>
      <c r="N294" s="22" t="s">
        <v>529</v>
      </c>
      <c r="O294" s="22" t="s">
        <v>530</v>
      </c>
      <c r="P294" s="23" t="s">
        <v>531</v>
      </c>
      <c r="Q294" s="305"/>
      <c r="R294" s="320"/>
      <c r="S294" s="299"/>
      <c r="T294" s="287"/>
      <c r="U294" s="287"/>
      <c r="V294" s="287"/>
      <c r="W294" s="287"/>
    </row>
    <row r="295" spans="2:23" ht="36.75" customHeight="1">
      <c r="B295" s="103">
        <v>1</v>
      </c>
      <c r="C295" s="321" t="s">
        <v>51</v>
      </c>
      <c r="D295" s="321"/>
      <c r="E295" s="104">
        <v>80</v>
      </c>
      <c r="F295" s="105">
        <v>65</v>
      </c>
      <c r="G295" s="106">
        <f>+F295/E295</f>
        <v>0.8125</v>
      </c>
      <c r="H295" s="43">
        <f>+F295/E295</f>
        <v>0.8125</v>
      </c>
      <c r="I295" s="97">
        <v>3000</v>
      </c>
      <c r="J295" s="97"/>
      <c r="K295" s="32"/>
      <c r="L295" s="32"/>
      <c r="M295" s="31"/>
      <c r="N295" s="31"/>
      <c r="O295" s="31"/>
      <c r="P295" s="74"/>
      <c r="Q295" s="75">
        <f>+SUM(I295:P295)</f>
        <v>3000</v>
      </c>
      <c r="R295" s="76">
        <f>9000+3785</f>
        <v>12785</v>
      </c>
      <c r="S295" s="36">
        <f>R295/Q295</f>
        <v>4.261666666666667</v>
      </c>
      <c r="T295" s="37" t="s">
        <v>39</v>
      </c>
      <c r="U295" s="307" t="s">
        <v>52</v>
      </c>
      <c r="V295" s="307"/>
      <c r="W295" s="307"/>
    </row>
    <row r="296" spans="2:23" ht="33.75" customHeight="1">
      <c r="B296" s="39">
        <v>2</v>
      </c>
      <c r="C296" s="308" t="s">
        <v>53</v>
      </c>
      <c r="D296" s="308"/>
      <c r="E296" s="102">
        <v>400</v>
      </c>
      <c r="F296" s="41">
        <v>100</v>
      </c>
      <c r="G296" s="42">
        <f>+F296/E296</f>
        <v>0.25</v>
      </c>
      <c r="H296" s="91">
        <f>+F296/E296</f>
        <v>0.25</v>
      </c>
      <c r="I296" s="97"/>
      <c r="J296" s="97">
        <v>2500</v>
      </c>
      <c r="K296" s="32"/>
      <c r="L296" s="32"/>
      <c r="M296" s="31"/>
      <c r="N296" s="31"/>
      <c r="O296" s="31"/>
      <c r="P296" s="74"/>
      <c r="Q296" s="75">
        <f>+SUM(I296:P296)</f>
        <v>2500</v>
      </c>
      <c r="R296" s="76">
        <v>7400</v>
      </c>
      <c r="S296" s="36">
        <f>R296/Q296</f>
        <v>2.96</v>
      </c>
      <c r="T296" s="37" t="s">
        <v>39</v>
      </c>
      <c r="U296" s="322"/>
      <c r="V296" s="322"/>
      <c r="W296" s="322"/>
    </row>
    <row r="297" spans="2:23" ht="48" customHeight="1">
      <c r="B297" s="39">
        <v>3</v>
      </c>
      <c r="C297" s="308" t="s">
        <v>54</v>
      </c>
      <c r="D297" s="308"/>
      <c r="E297" s="102">
        <v>100</v>
      </c>
      <c r="F297" s="41">
        <v>0</v>
      </c>
      <c r="G297" s="42">
        <f>+F297/E297</f>
        <v>0</v>
      </c>
      <c r="H297" s="91">
        <f>+F297/E297</f>
        <v>0</v>
      </c>
      <c r="I297" s="97">
        <v>25000</v>
      </c>
      <c r="J297" s="97">
        <v>2500</v>
      </c>
      <c r="K297" s="32"/>
      <c r="L297" s="32"/>
      <c r="M297" s="31"/>
      <c r="N297" s="31"/>
      <c r="O297" s="31"/>
      <c r="P297" s="74"/>
      <c r="Q297" s="75">
        <f>+SUM(I297:P297)</f>
        <v>27500</v>
      </c>
      <c r="R297" s="76">
        <v>34587</v>
      </c>
      <c r="S297" s="36">
        <f>R297/Q297</f>
        <v>1.2577090909090909</v>
      </c>
      <c r="T297" s="37" t="s">
        <v>29</v>
      </c>
      <c r="U297" s="322"/>
      <c r="V297" s="322"/>
      <c r="W297" s="322"/>
    </row>
    <row r="298" spans="2:23" ht="30" customHeight="1">
      <c r="B298" s="39"/>
      <c r="C298" s="308"/>
      <c r="D298" s="308"/>
      <c r="E298" s="40"/>
      <c r="F298" s="41"/>
      <c r="G298" s="42"/>
      <c r="H298" s="91"/>
      <c r="I298" s="30"/>
      <c r="J298" s="32"/>
      <c r="K298" s="46"/>
      <c r="L298" s="46"/>
      <c r="M298" s="45"/>
      <c r="N298" s="45"/>
      <c r="O298" s="45"/>
      <c r="P298" s="74"/>
      <c r="Q298" s="75"/>
      <c r="R298" s="76"/>
      <c r="S298" s="36"/>
      <c r="T298" s="37"/>
      <c r="U298" s="322"/>
      <c r="V298" s="322"/>
      <c r="W298" s="322"/>
    </row>
    <row r="299" spans="2:23" ht="30" customHeight="1">
      <c r="B299" s="39"/>
      <c r="C299" s="308"/>
      <c r="D299" s="308"/>
      <c r="E299" s="40"/>
      <c r="F299" s="41"/>
      <c r="G299" s="42"/>
      <c r="H299" s="91"/>
      <c r="I299" s="95"/>
      <c r="J299" s="46"/>
      <c r="K299" s="45"/>
      <c r="L299" s="45"/>
      <c r="M299" s="45"/>
      <c r="N299" s="45"/>
      <c r="O299" s="45"/>
      <c r="P299" s="56"/>
      <c r="Q299" s="75"/>
      <c r="R299" s="76"/>
      <c r="S299" s="36"/>
      <c r="T299" s="37"/>
      <c r="U299" s="322"/>
      <c r="V299" s="322"/>
      <c r="W299" s="322"/>
    </row>
    <row r="300" spans="2:23" ht="30" customHeight="1" thickBot="1">
      <c r="B300" s="59"/>
      <c r="C300" s="310" t="s">
        <v>541</v>
      </c>
      <c r="D300" s="310"/>
      <c r="E300" s="60"/>
      <c r="F300" s="61"/>
      <c r="G300" s="62"/>
      <c r="H300" s="63"/>
      <c r="I300" s="64">
        <f aca="true" t="shared" si="12" ref="I300:R300">+SUM(I295:I299)</f>
        <v>28000</v>
      </c>
      <c r="J300" s="64">
        <f t="shared" si="12"/>
        <v>5000</v>
      </c>
      <c r="K300" s="64">
        <f t="shared" si="12"/>
        <v>0</v>
      </c>
      <c r="L300" s="64">
        <f t="shared" si="12"/>
        <v>0</v>
      </c>
      <c r="M300" s="64">
        <f t="shared" si="12"/>
        <v>0</v>
      </c>
      <c r="N300" s="64">
        <f t="shared" si="12"/>
        <v>0</v>
      </c>
      <c r="O300" s="64">
        <f t="shared" si="12"/>
        <v>0</v>
      </c>
      <c r="P300" s="64">
        <f t="shared" si="12"/>
        <v>0</v>
      </c>
      <c r="Q300" s="79">
        <f t="shared" si="12"/>
        <v>33000</v>
      </c>
      <c r="R300" s="79">
        <f t="shared" si="12"/>
        <v>54772</v>
      </c>
      <c r="S300" s="66">
        <f>+R300/Q300</f>
        <v>1.6597575757575758</v>
      </c>
      <c r="T300" s="67"/>
      <c r="U300" s="311"/>
      <c r="V300" s="311"/>
      <c r="W300" s="311"/>
    </row>
    <row r="301" ht="15.75" thickBot="1"/>
    <row r="302" spans="2:23" ht="15.75">
      <c r="B302" s="267" t="s">
        <v>479</v>
      </c>
      <c r="C302" s="267"/>
      <c r="D302" s="267"/>
      <c r="E302" s="267"/>
      <c r="F302" s="267"/>
      <c r="G302" s="267"/>
      <c r="H302" s="267"/>
      <c r="I302" s="267"/>
      <c r="J302" s="267"/>
      <c r="K302" s="267"/>
      <c r="L302" s="267"/>
      <c r="M302" s="267"/>
      <c r="N302" s="267"/>
      <c r="O302" s="267"/>
      <c r="P302" s="267"/>
      <c r="Q302" s="267"/>
      <c r="R302" s="267"/>
      <c r="S302" s="267"/>
      <c r="T302" s="267"/>
      <c r="U302" s="267"/>
      <c r="V302" s="267"/>
      <c r="W302" s="267"/>
    </row>
    <row r="303" spans="2:23" ht="15">
      <c r="B303" s="5"/>
      <c r="C303" s="6"/>
      <c r="D303" s="6"/>
      <c r="E303" s="6"/>
      <c r="F303" s="6"/>
      <c r="G303" s="6"/>
      <c r="H303" s="6"/>
      <c r="I303" s="6"/>
      <c r="J303" s="6"/>
      <c r="K303" s="6"/>
      <c r="L303" s="6"/>
      <c r="M303" s="6"/>
      <c r="N303" s="6"/>
      <c r="O303" s="6"/>
      <c r="P303" s="6"/>
      <c r="Q303" s="6"/>
      <c r="R303" s="6"/>
      <c r="S303" s="6"/>
      <c r="T303" s="6"/>
      <c r="U303" s="6"/>
      <c r="V303" s="6"/>
      <c r="W303" s="7"/>
    </row>
    <row r="304" spans="1:24" s="100" customFormat="1" ht="27" customHeight="1">
      <c r="A304" s="99"/>
      <c r="B304" s="268" t="s">
        <v>480</v>
      </c>
      <c r="C304" s="269"/>
      <c r="D304" s="269"/>
      <c r="E304" s="269"/>
      <c r="F304" s="269"/>
      <c r="G304" s="269"/>
      <c r="H304" s="269"/>
      <c r="I304" s="269"/>
      <c r="J304" s="269"/>
      <c r="K304" s="269"/>
      <c r="L304" s="269"/>
      <c r="M304" s="269"/>
      <c r="N304" s="269"/>
      <c r="O304" s="269"/>
      <c r="P304" s="269"/>
      <c r="Q304" s="269"/>
      <c r="R304" s="269"/>
      <c r="S304" s="269"/>
      <c r="T304" s="269"/>
      <c r="U304" s="269"/>
      <c r="V304" s="269"/>
      <c r="W304" s="270"/>
      <c r="X304" s="9"/>
    </row>
    <row r="305" spans="1:24" s="100" customFormat="1" ht="27" customHeight="1">
      <c r="A305" s="99"/>
      <c r="B305" s="271" t="s">
        <v>481</v>
      </c>
      <c r="C305" s="272"/>
      <c r="D305" s="272"/>
      <c r="E305" s="272"/>
      <c r="F305" s="272"/>
      <c r="G305" s="272"/>
      <c r="H305" s="272"/>
      <c r="I305" s="272"/>
      <c r="J305" s="272"/>
      <c r="K305" s="272"/>
      <c r="L305" s="272"/>
      <c r="M305" s="272"/>
      <c r="N305" s="272"/>
      <c r="O305" s="272"/>
      <c r="P305" s="272"/>
      <c r="Q305" s="272"/>
      <c r="R305" s="272"/>
      <c r="S305" s="272"/>
      <c r="T305" s="272"/>
      <c r="U305" s="272"/>
      <c r="V305" s="272"/>
      <c r="W305" s="273"/>
      <c r="X305" s="9"/>
    </row>
    <row r="306" spans="1:24" s="100" customFormat="1" ht="27" customHeight="1">
      <c r="A306" s="99"/>
      <c r="B306" s="274" t="s">
        <v>482</v>
      </c>
      <c r="C306" s="275"/>
      <c r="D306" s="275"/>
      <c r="E306" s="275"/>
      <c r="F306" s="275"/>
      <c r="G306" s="275"/>
      <c r="H306" s="275"/>
      <c r="I306" s="275"/>
      <c r="J306" s="275"/>
      <c r="K306" s="275"/>
      <c r="L306" s="275"/>
      <c r="M306" s="275"/>
      <c r="N306" s="275"/>
      <c r="O306" s="275"/>
      <c r="P306" s="275"/>
      <c r="Q306" s="275"/>
      <c r="R306" s="275"/>
      <c r="S306" s="275"/>
      <c r="T306" s="275"/>
      <c r="U306" s="275"/>
      <c r="V306" s="275"/>
      <c r="W306" s="276"/>
      <c r="X306" s="9"/>
    </row>
    <row r="307" spans="2:23" ht="15">
      <c r="B307" s="5"/>
      <c r="C307" s="6"/>
      <c r="D307" s="8"/>
      <c r="E307" s="8"/>
      <c r="F307" s="8"/>
      <c r="G307" s="8"/>
      <c r="H307" s="8"/>
      <c r="I307" s="6"/>
      <c r="J307" s="6"/>
      <c r="K307" s="6"/>
      <c r="L307" s="6"/>
      <c r="M307" s="6"/>
      <c r="N307" s="6"/>
      <c r="O307" s="6"/>
      <c r="P307" s="6"/>
      <c r="Q307" s="6"/>
      <c r="R307" s="6"/>
      <c r="S307" s="6"/>
      <c r="T307" s="6"/>
      <c r="U307" s="6"/>
      <c r="V307" s="6"/>
      <c r="W307" s="7"/>
    </row>
    <row r="308" spans="2:23" ht="15">
      <c r="B308" s="279" t="s">
        <v>483</v>
      </c>
      <c r="C308" s="280"/>
      <c r="D308" s="10" t="s">
        <v>484</v>
      </c>
      <c r="E308" s="10"/>
      <c r="F308" s="10"/>
      <c r="G308" s="11"/>
      <c r="H308" s="11"/>
      <c r="I308" s="11"/>
      <c r="J308" s="11"/>
      <c r="K308" s="11"/>
      <c r="L308" s="10" t="s">
        <v>485</v>
      </c>
      <c r="M308" s="10"/>
      <c r="N308" s="10"/>
      <c r="O308" s="281" t="s">
        <v>486</v>
      </c>
      <c r="P308" s="282"/>
      <c r="Q308" s="282"/>
      <c r="R308" s="282"/>
      <c r="S308" s="282"/>
      <c r="T308" s="282" t="s">
        <v>487</v>
      </c>
      <c r="U308" s="280"/>
      <c r="V308" s="280"/>
      <c r="W308" s="285"/>
    </row>
    <row r="309" spans="2:23" ht="15">
      <c r="B309" s="279" t="s">
        <v>488</v>
      </c>
      <c r="C309" s="280"/>
      <c r="D309" s="10" t="s">
        <v>489</v>
      </c>
      <c r="E309" s="10"/>
      <c r="F309" s="10"/>
      <c r="G309" s="11"/>
      <c r="H309" s="11"/>
      <c r="I309" s="11"/>
      <c r="J309" s="11"/>
      <c r="K309" s="11"/>
      <c r="L309" s="282" t="s">
        <v>490</v>
      </c>
      <c r="M309" s="280"/>
      <c r="N309" s="280"/>
      <c r="O309" s="282" t="s">
        <v>491</v>
      </c>
      <c r="P309" s="282"/>
      <c r="Q309" s="282"/>
      <c r="R309" s="282"/>
      <c r="S309" s="282"/>
      <c r="T309" s="12" t="s">
        <v>492</v>
      </c>
      <c r="U309" s="11">
        <v>1</v>
      </c>
      <c r="V309" s="11" t="s">
        <v>493</v>
      </c>
      <c r="W309" s="13">
        <v>14</v>
      </c>
    </row>
    <row r="310" spans="2:23" ht="15.75" thickBot="1">
      <c r="B310" s="83"/>
      <c r="C310" s="11"/>
      <c r="D310" s="11"/>
      <c r="E310" s="11"/>
      <c r="F310" s="11"/>
      <c r="G310" s="11"/>
      <c r="H310" s="11"/>
      <c r="I310" s="11"/>
      <c r="J310" s="11"/>
      <c r="K310" s="11"/>
      <c r="L310" s="283"/>
      <c r="M310" s="283"/>
      <c r="N310" s="283"/>
      <c r="O310" s="282" t="s">
        <v>494</v>
      </c>
      <c r="P310" s="282"/>
      <c r="Q310" s="282"/>
      <c r="R310" s="284"/>
      <c r="S310" s="284"/>
      <c r="T310" s="278"/>
      <c r="U310" s="278"/>
      <c r="V310" s="11"/>
      <c r="W310" s="16"/>
    </row>
    <row r="311" spans="2:23" ht="15.75" customHeight="1" thickBot="1">
      <c r="B311" s="325" t="s">
        <v>495</v>
      </c>
      <c r="C311" s="326"/>
      <c r="D311" s="327" t="s">
        <v>33</v>
      </c>
      <c r="E311" s="327"/>
      <c r="F311" s="327"/>
      <c r="G311" s="327"/>
      <c r="H311" s="327"/>
      <c r="I311" s="258" t="s">
        <v>497</v>
      </c>
      <c r="J311" s="248"/>
      <c r="K311" s="261" t="s">
        <v>55</v>
      </c>
      <c r="L311" s="291"/>
      <c r="M311" s="291"/>
      <c r="N311" s="291"/>
      <c r="O311" s="291"/>
      <c r="P311" s="291"/>
      <c r="Q311" s="262"/>
      <c r="R311" s="259" t="s">
        <v>502</v>
      </c>
      <c r="S311" s="260"/>
      <c r="T311" s="261" t="s">
        <v>56</v>
      </c>
      <c r="U311" s="291"/>
      <c r="V311" s="291"/>
      <c r="W311" s="262"/>
    </row>
    <row r="312" spans="2:23" ht="27" customHeight="1" thickBot="1">
      <c r="B312" s="328" t="s">
        <v>506</v>
      </c>
      <c r="C312" s="252"/>
      <c r="D312" s="294" t="s">
        <v>57</v>
      </c>
      <c r="E312" s="295"/>
      <c r="F312" s="295"/>
      <c r="G312" s="295"/>
      <c r="H312" s="295"/>
      <c r="I312" s="249"/>
      <c r="J312" s="250"/>
      <c r="K312" s="263"/>
      <c r="L312" s="292"/>
      <c r="M312" s="292"/>
      <c r="N312" s="292"/>
      <c r="O312" s="292"/>
      <c r="P312" s="292"/>
      <c r="Q312" s="264"/>
      <c r="R312" s="259"/>
      <c r="S312" s="260"/>
      <c r="T312" s="263"/>
      <c r="U312" s="292"/>
      <c r="V312" s="292"/>
      <c r="W312" s="264"/>
    </row>
    <row r="313" spans="2:23" ht="53.25" customHeight="1" thickBot="1">
      <c r="B313" s="331" t="s">
        <v>508</v>
      </c>
      <c r="C313" s="332"/>
      <c r="D313" s="333" t="s">
        <v>58</v>
      </c>
      <c r="E313" s="334"/>
      <c r="F313" s="334"/>
      <c r="G313" s="334"/>
      <c r="H313" s="335"/>
      <c r="I313" s="251"/>
      <c r="J313" s="247"/>
      <c r="K313" s="265"/>
      <c r="L313" s="293"/>
      <c r="M313" s="293"/>
      <c r="N313" s="293"/>
      <c r="O313" s="293"/>
      <c r="P313" s="293"/>
      <c r="Q313" s="266"/>
      <c r="R313" s="259"/>
      <c r="S313" s="260"/>
      <c r="T313" s="265"/>
      <c r="U313" s="293"/>
      <c r="V313" s="293"/>
      <c r="W313" s="266"/>
    </row>
    <row r="314" spans="2:23" ht="18.75" thickBot="1">
      <c r="B314" s="84"/>
      <c r="C314" s="85"/>
      <c r="D314" s="86"/>
      <c r="E314" s="87"/>
      <c r="F314" s="87"/>
      <c r="G314" s="87"/>
      <c r="H314" s="87"/>
      <c r="I314" s="84"/>
      <c r="J314" s="84"/>
      <c r="K314" s="84"/>
      <c r="L314" s="84"/>
      <c r="M314" s="84"/>
      <c r="N314" s="84"/>
      <c r="O314" s="84"/>
      <c r="P314" s="84"/>
      <c r="Q314" s="84"/>
      <c r="R314" s="84"/>
      <c r="S314" s="84"/>
      <c r="T314" s="19"/>
      <c r="U314" s="19"/>
      <c r="V314" s="19"/>
      <c r="W314" s="19"/>
    </row>
    <row r="315" spans="2:23" ht="15.75" thickBot="1">
      <c r="B315" s="341" t="s">
        <v>510</v>
      </c>
      <c r="C315" s="342"/>
      <c r="D315" s="342"/>
      <c r="E315" s="342"/>
      <c r="F315" s="342"/>
      <c r="G315" s="342"/>
      <c r="H315" s="342"/>
      <c r="I315" s="343" t="s">
        <v>511</v>
      </c>
      <c r="J315" s="343"/>
      <c r="K315" s="343"/>
      <c r="L315" s="343"/>
      <c r="M315" s="343"/>
      <c r="N315" s="343"/>
      <c r="O315" s="343"/>
      <c r="P315" s="343"/>
      <c r="Q315" s="343"/>
      <c r="R315" s="343"/>
      <c r="S315" s="344"/>
      <c r="T315" s="345" t="s">
        <v>512</v>
      </c>
      <c r="U315" s="287" t="s">
        <v>513</v>
      </c>
      <c r="V315" s="287"/>
      <c r="W315" s="287"/>
    </row>
    <row r="316" spans="2:23" ht="15.75" thickBot="1">
      <c r="B316" s="316" t="s">
        <v>514</v>
      </c>
      <c r="C316" s="318" t="s">
        <v>515</v>
      </c>
      <c r="D316" s="318"/>
      <c r="E316" s="314" t="s">
        <v>516</v>
      </c>
      <c r="F316" s="314" t="s">
        <v>517</v>
      </c>
      <c r="G316" s="314" t="s">
        <v>518</v>
      </c>
      <c r="H316" s="300" t="s">
        <v>519</v>
      </c>
      <c r="I316" s="337" t="s">
        <v>520</v>
      </c>
      <c r="J316" s="338"/>
      <c r="K316" s="338"/>
      <c r="L316" s="338"/>
      <c r="M316" s="338"/>
      <c r="N316" s="338"/>
      <c r="O316" s="338"/>
      <c r="P316" s="338"/>
      <c r="Q316" s="339" t="s">
        <v>521</v>
      </c>
      <c r="R316" s="340" t="s">
        <v>522</v>
      </c>
      <c r="S316" s="336" t="s">
        <v>523</v>
      </c>
      <c r="T316" s="287"/>
      <c r="U316" s="287"/>
      <c r="V316" s="287"/>
      <c r="W316" s="287"/>
    </row>
    <row r="317" spans="2:23" ht="55.5" thickBot="1">
      <c r="B317" s="368"/>
      <c r="C317" s="369"/>
      <c r="D317" s="369"/>
      <c r="E317" s="366"/>
      <c r="F317" s="366"/>
      <c r="G317" s="366"/>
      <c r="H317" s="367"/>
      <c r="I317" s="20" t="s">
        <v>524</v>
      </c>
      <c r="J317" s="21" t="s">
        <v>525</v>
      </c>
      <c r="K317" s="22" t="s">
        <v>526</v>
      </c>
      <c r="L317" s="22" t="s">
        <v>527</v>
      </c>
      <c r="M317" s="22" t="s">
        <v>528</v>
      </c>
      <c r="N317" s="22" t="s">
        <v>529</v>
      </c>
      <c r="O317" s="22" t="s">
        <v>530</v>
      </c>
      <c r="P317" s="23" t="s">
        <v>531</v>
      </c>
      <c r="Q317" s="305"/>
      <c r="R317" s="320"/>
      <c r="S317" s="299"/>
      <c r="T317" s="287"/>
      <c r="U317" s="287"/>
      <c r="V317" s="287"/>
      <c r="W317" s="287"/>
    </row>
    <row r="318" spans="2:23" ht="36" customHeight="1">
      <c r="B318" s="103">
        <v>1</v>
      </c>
      <c r="C318" s="321" t="s">
        <v>59</v>
      </c>
      <c r="D318" s="321"/>
      <c r="E318" s="104">
        <v>80</v>
      </c>
      <c r="F318" s="105">
        <v>50</v>
      </c>
      <c r="G318" s="106">
        <f>+F318/E318</f>
        <v>0.625</v>
      </c>
      <c r="H318" s="43">
        <f>+F318/E318</f>
        <v>0.625</v>
      </c>
      <c r="I318" s="97">
        <v>80000</v>
      </c>
      <c r="J318" s="97">
        <f>50000+86191</f>
        <v>136191</v>
      </c>
      <c r="K318" s="32"/>
      <c r="L318" s="32"/>
      <c r="M318" s="31"/>
      <c r="N318" s="31"/>
      <c r="O318" s="31"/>
      <c r="P318" s="74"/>
      <c r="Q318" s="75">
        <f>+SUM(I318:P318)</f>
        <v>216191</v>
      </c>
      <c r="R318" s="76">
        <f>78882+7287+12000</f>
        <v>98169</v>
      </c>
      <c r="S318" s="36">
        <f>R318/Q318</f>
        <v>0.4540845826144474</v>
      </c>
      <c r="T318" s="37" t="s">
        <v>29</v>
      </c>
      <c r="U318" s="307"/>
      <c r="V318" s="307"/>
      <c r="W318" s="307"/>
    </row>
    <row r="319" spans="2:23" ht="36" customHeight="1">
      <c r="B319" s="39"/>
      <c r="C319" s="308"/>
      <c r="D319" s="308"/>
      <c r="E319" s="102"/>
      <c r="F319" s="41"/>
      <c r="G319" s="42"/>
      <c r="H319" s="91"/>
      <c r="I319" s="97"/>
      <c r="J319" s="97"/>
      <c r="K319" s="32"/>
      <c r="L319" s="32"/>
      <c r="M319" s="31"/>
      <c r="N319" s="31"/>
      <c r="O319" s="31"/>
      <c r="P319" s="74"/>
      <c r="Q319" s="75"/>
      <c r="R319" s="76"/>
      <c r="S319" s="36"/>
      <c r="T319" s="37"/>
      <c r="U319" s="322"/>
      <c r="V319" s="322"/>
      <c r="W319" s="322"/>
    </row>
    <row r="320" spans="2:23" ht="36" customHeight="1">
      <c r="B320" s="39"/>
      <c r="C320" s="308"/>
      <c r="D320" s="308"/>
      <c r="E320" s="102"/>
      <c r="F320" s="41"/>
      <c r="G320" s="42"/>
      <c r="H320" s="91"/>
      <c r="I320" s="97"/>
      <c r="J320" s="97"/>
      <c r="K320" s="32"/>
      <c r="L320" s="32"/>
      <c r="M320" s="31"/>
      <c r="N320" s="31"/>
      <c r="O320" s="31"/>
      <c r="P320" s="74"/>
      <c r="Q320" s="75"/>
      <c r="R320" s="76"/>
      <c r="S320" s="36"/>
      <c r="T320" s="37"/>
      <c r="U320" s="322"/>
      <c r="V320" s="322"/>
      <c r="W320" s="322"/>
    </row>
    <row r="321" spans="2:23" ht="36" customHeight="1">
      <c r="B321" s="39"/>
      <c r="C321" s="308"/>
      <c r="D321" s="308"/>
      <c r="E321" s="40"/>
      <c r="F321" s="41"/>
      <c r="G321" s="42"/>
      <c r="H321" s="91"/>
      <c r="I321" s="30"/>
      <c r="J321" s="32"/>
      <c r="K321" s="46"/>
      <c r="L321" s="46"/>
      <c r="M321" s="45"/>
      <c r="N321" s="45"/>
      <c r="O321" s="45"/>
      <c r="P321" s="74"/>
      <c r="Q321" s="75"/>
      <c r="R321" s="76"/>
      <c r="S321" s="36"/>
      <c r="T321" s="37"/>
      <c r="U321" s="322"/>
      <c r="V321" s="322"/>
      <c r="W321" s="322"/>
    </row>
    <row r="322" spans="2:23" ht="36" customHeight="1">
      <c r="B322" s="39"/>
      <c r="C322" s="308"/>
      <c r="D322" s="308"/>
      <c r="E322" s="40"/>
      <c r="F322" s="41"/>
      <c r="G322" s="42"/>
      <c r="H322" s="91"/>
      <c r="I322" s="95"/>
      <c r="J322" s="46"/>
      <c r="K322" s="45"/>
      <c r="L322" s="45"/>
      <c r="M322" s="45"/>
      <c r="N322" s="45"/>
      <c r="O322" s="45"/>
      <c r="P322" s="56"/>
      <c r="Q322" s="75"/>
      <c r="R322" s="76"/>
      <c r="S322" s="36"/>
      <c r="T322" s="37"/>
      <c r="U322" s="322"/>
      <c r="V322" s="322"/>
      <c r="W322" s="322"/>
    </row>
    <row r="323" spans="2:23" ht="36" customHeight="1" thickBot="1">
      <c r="B323" s="59"/>
      <c r="C323" s="310" t="s">
        <v>541</v>
      </c>
      <c r="D323" s="310"/>
      <c r="E323" s="60"/>
      <c r="F323" s="61"/>
      <c r="G323" s="62"/>
      <c r="H323" s="63"/>
      <c r="I323" s="64">
        <f aca="true" t="shared" si="13" ref="I323:R323">+SUM(I318:I322)</f>
        <v>80000</v>
      </c>
      <c r="J323" s="64">
        <f t="shared" si="13"/>
        <v>136191</v>
      </c>
      <c r="K323" s="64">
        <f t="shared" si="13"/>
        <v>0</v>
      </c>
      <c r="L323" s="64">
        <f t="shared" si="13"/>
        <v>0</v>
      </c>
      <c r="M323" s="64">
        <f t="shared" si="13"/>
        <v>0</v>
      </c>
      <c r="N323" s="64">
        <f t="shared" si="13"/>
        <v>0</v>
      </c>
      <c r="O323" s="64">
        <f t="shared" si="13"/>
        <v>0</v>
      </c>
      <c r="P323" s="64">
        <f t="shared" si="13"/>
        <v>0</v>
      </c>
      <c r="Q323" s="79">
        <f t="shared" si="13"/>
        <v>216191</v>
      </c>
      <c r="R323" s="79">
        <f t="shared" si="13"/>
        <v>98169</v>
      </c>
      <c r="S323" s="66">
        <f>+R323/Q323</f>
        <v>0.4540845826144474</v>
      </c>
      <c r="T323" s="67"/>
      <c r="U323" s="311"/>
      <c r="V323" s="311"/>
      <c r="W323" s="311"/>
    </row>
    <row r="324" ht="15.75" thickBot="1"/>
    <row r="325" spans="2:23" ht="15.75">
      <c r="B325" s="267" t="s">
        <v>479</v>
      </c>
      <c r="C325" s="267"/>
      <c r="D325" s="267"/>
      <c r="E325" s="267"/>
      <c r="F325" s="267"/>
      <c r="G325" s="267"/>
      <c r="H325" s="267"/>
      <c r="I325" s="267"/>
      <c r="J325" s="267"/>
      <c r="K325" s="267"/>
      <c r="L325" s="267"/>
      <c r="M325" s="267"/>
      <c r="N325" s="267"/>
      <c r="O325" s="267"/>
      <c r="P325" s="267"/>
      <c r="Q325" s="267"/>
      <c r="R325" s="267"/>
      <c r="S325" s="267"/>
      <c r="T325" s="267"/>
      <c r="U325" s="267"/>
      <c r="V325" s="267"/>
      <c r="W325" s="267"/>
    </row>
    <row r="326" spans="2:23" ht="15">
      <c r="B326" s="5"/>
      <c r="C326" s="6"/>
      <c r="D326" s="6"/>
      <c r="E326" s="6"/>
      <c r="F326" s="6"/>
      <c r="G326" s="6"/>
      <c r="H326" s="6"/>
      <c r="I326" s="6"/>
      <c r="J326" s="6"/>
      <c r="K326" s="6"/>
      <c r="L326" s="6"/>
      <c r="M326" s="6"/>
      <c r="N326" s="6"/>
      <c r="O326" s="6"/>
      <c r="P326" s="6"/>
      <c r="Q326" s="6"/>
      <c r="R326" s="6"/>
      <c r="S326" s="6"/>
      <c r="T326" s="6"/>
      <c r="U326" s="6"/>
      <c r="V326" s="6"/>
      <c r="W326" s="7"/>
    </row>
    <row r="327" spans="1:24" s="100" customFormat="1" ht="23.25" customHeight="1">
      <c r="A327" s="99"/>
      <c r="B327" s="268" t="s">
        <v>480</v>
      </c>
      <c r="C327" s="269"/>
      <c r="D327" s="269"/>
      <c r="E327" s="269"/>
      <c r="F327" s="269"/>
      <c r="G327" s="269"/>
      <c r="H327" s="269"/>
      <c r="I327" s="269"/>
      <c r="J327" s="269"/>
      <c r="K327" s="269"/>
      <c r="L327" s="269"/>
      <c r="M327" s="269"/>
      <c r="N327" s="269"/>
      <c r="O327" s="269"/>
      <c r="P327" s="269"/>
      <c r="Q327" s="269"/>
      <c r="R327" s="269"/>
      <c r="S327" s="269"/>
      <c r="T327" s="269"/>
      <c r="U327" s="269"/>
      <c r="V327" s="269"/>
      <c r="W327" s="270"/>
      <c r="X327" s="9"/>
    </row>
    <row r="328" spans="1:24" s="100" customFormat="1" ht="23.25" customHeight="1">
      <c r="A328" s="99"/>
      <c r="B328" s="271" t="s">
        <v>481</v>
      </c>
      <c r="C328" s="272"/>
      <c r="D328" s="272"/>
      <c r="E328" s="272"/>
      <c r="F328" s="272"/>
      <c r="G328" s="272"/>
      <c r="H328" s="272"/>
      <c r="I328" s="272"/>
      <c r="J328" s="272"/>
      <c r="K328" s="272"/>
      <c r="L328" s="272"/>
      <c r="M328" s="272"/>
      <c r="N328" s="272"/>
      <c r="O328" s="272"/>
      <c r="P328" s="272"/>
      <c r="Q328" s="272"/>
      <c r="R328" s="272"/>
      <c r="S328" s="272"/>
      <c r="T328" s="272"/>
      <c r="U328" s="272"/>
      <c r="V328" s="272"/>
      <c r="W328" s="273"/>
      <c r="X328" s="9"/>
    </row>
    <row r="329" spans="1:24" s="100" customFormat="1" ht="23.25" customHeight="1">
      <c r="A329" s="99"/>
      <c r="B329" s="274" t="s">
        <v>482</v>
      </c>
      <c r="C329" s="275"/>
      <c r="D329" s="275"/>
      <c r="E329" s="275"/>
      <c r="F329" s="275"/>
      <c r="G329" s="275"/>
      <c r="H329" s="275"/>
      <c r="I329" s="275"/>
      <c r="J329" s="275"/>
      <c r="K329" s="275"/>
      <c r="L329" s="275"/>
      <c r="M329" s="275"/>
      <c r="N329" s="275"/>
      <c r="O329" s="275"/>
      <c r="P329" s="275"/>
      <c r="Q329" s="275"/>
      <c r="R329" s="275"/>
      <c r="S329" s="275"/>
      <c r="T329" s="275"/>
      <c r="U329" s="275"/>
      <c r="V329" s="275"/>
      <c r="W329" s="276"/>
      <c r="X329" s="9"/>
    </row>
    <row r="330" spans="2:23" ht="15">
      <c r="B330" s="5"/>
      <c r="C330" s="6"/>
      <c r="D330" s="8"/>
      <c r="E330" s="8"/>
      <c r="F330" s="8"/>
      <c r="G330" s="8"/>
      <c r="H330" s="8"/>
      <c r="I330" s="6"/>
      <c r="J330" s="6"/>
      <c r="K330" s="6"/>
      <c r="L330" s="6"/>
      <c r="M330" s="6"/>
      <c r="N330" s="6"/>
      <c r="O330" s="6"/>
      <c r="P330" s="6"/>
      <c r="Q330" s="6"/>
      <c r="R330" s="6"/>
      <c r="S330" s="6"/>
      <c r="T330" s="6"/>
      <c r="U330" s="6"/>
      <c r="V330" s="6"/>
      <c r="W330" s="7"/>
    </row>
    <row r="331" spans="2:23" ht="15">
      <c r="B331" s="279" t="s">
        <v>483</v>
      </c>
      <c r="C331" s="280"/>
      <c r="D331" s="10" t="s">
        <v>484</v>
      </c>
      <c r="E331" s="10"/>
      <c r="F331" s="10"/>
      <c r="G331" s="11"/>
      <c r="H331" s="11"/>
      <c r="I331" s="11"/>
      <c r="J331" s="11"/>
      <c r="K331" s="11"/>
      <c r="L331" s="10" t="s">
        <v>485</v>
      </c>
      <c r="M331" s="10"/>
      <c r="N331" s="10"/>
      <c r="O331" s="281" t="s">
        <v>486</v>
      </c>
      <c r="P331" s="282"/>
      <c r="Q331" s="282"/>
      <c r="R331" s="282"/>
      <c r="S331" s="282"/>
      <c r="T331" s="282" t="s">
        <v>487</v>
      </c>
      <c r="U331" s="280"/>
      <c r="V331" s="280"/>
      <c r="W331" s="285"/>
    </row>
    <row r="332" spans="2:23" ht="15">
      <c r="B332" s="279" t="s">
        <v>488</v>
      </c>
      <c r="C332" s="280"/>
      <c r="D332" s="10" t="s">
        <v>489</v>
      </c>
      <c r="E332" s="10"/>
      <c r="F332" s="10"/>
      <c r="G332" s="11"/>
      <c r="H332" s="11"/>
      <c r="I332" s="11"/>
      <c r="J332" s="11"/>
      <c r="K332" s="11"/>
      <c r="L332" s="282" t="s">
        <v>490</v>
      </c>
      <c r="M332" s="280"/>
      <c r="N332" s="280"/>
      <c r="O332" s="282" t="s">
        <v>491</v>
      </c>
      <c r="P332" s="282"/>
      <c r="Q332" s="282"/>
      <c r="R332" s="282"/>
      <c r="S332" s="282"/>
      <c r="T332" s="12" t="s">
        <v>492</v>
      </c>
      <c r="U332" s="11">
        <v>1</v>
      </c>
      <c r="V332" s="11" t="s">
        <v>493</v>
      </c>
      <c r="W332" s="13">
        <v>15</v>
      </c>
    </row>
    <row r="333" spans="2:23" ht="15.75" thickBot="1">
      <c r="B333" s="83"/>
      <c r="C333" s="11"/>
      <c r="D333" s="11"/>
      <c r="E333" s="11"/>
      <c r="F333" s="11"/>
      <c r="G333" s="11"/>
      <c r="H333" s="11"/>
      <c r="I333" s="11"/>
      <c r="J333" s="11"/>
      <c r="K333" s="11"/>
      <c r="L333" s="283"/>
      <c r="M333" s="283"/>
      <c r="N333" s="283"/>
      <c r="O333" s="282" t="s">
        <v>494</v>
      </c>
      <c r="P333" s="282"/>
      <c r="Q333" s="282"/>
      <c r="R333" s="284"/>
      <c r="S333" s="284"/>
      <c r="T333" s="278"/>
      <c r="U333" s="278"/>
      <c r="V333" s="11"/>
      <c r="W333" s="16"/>
    </row>
    <row r="334" spans="2:23" ht="15.75" thickBot="1">
      <c r="B334" s="325" t="s">
        <v>495</v>
      </c>
      <c r="C334" s="326"/>
      <c r="D334" s="327" t="s">
        <v>33</v>
      </c>
      <c r="E334" s="327"/>
      <c r="F334" s="327"/>
      <c r="G334" s="327"/>
      <c r="H334" s="327"/>
      <c r="I334" s="258" t="s">
        <v>497</v>
      </c>
      <c r="J334" s="248"/>
      <c r="K334" s="261" t="s">
        <v>60</v>
      </c>
      <c r="L334" s="291"/>
      <c r="M334" s="291"/>
      <c r="N334" s="291"/>
      <c r="O334" s="291"/>
      <c r="P334" s="291"/>
      <c r="Q334" s="262"/>
      <c r="R334" s="259" t="s">
        <v>502</v>
      </c>
      <c r="S334" s="260"/>
      <c r="T334" s="261" t="s">
        <v>61</v>
      </c>
      <c r="U334" s="291"/>
      <c r="V334" s="291"/>
      <c r="W334" s="262"/>
    </row>
    <row r="335" spans="2:23" ht="15.75" thickBot="1">
      <c r="B335" s="328" t="s">
        <v>506</v>
      </c>
      <c r="C335" s="252"/>
      <c r="D335" s="294" t="s">
        <v>57</v>
      </c>
      <c r="E335" s="295"/>
      <c r="F335" s="295"/>
      <c r="G335" s="295"/>
      <c r="H335" s="295"/>
      <c r="I335" s="249"/>
      <c r="J335" s="250"/>
      <c r="K335" s="263"/>
      <c r="L335" s="292"/>
      <c r="M335" s="292"/>
      <c r="N335" s="292"/>
      <c r="O335" s="292"/>
      <c r="P335" s="292"/>
      <c r="Q335" s="264"/>
      <c r="R335" s="259"/>
      <c r="S335" s="260"/>
      <c r="T335" s="263"/>
      <c r="U335" s="292"/>
      <c r="V335" s="292"/>
      <c r="W335" s="264"/>
    </row>
    <row r="336" spans="2:23" ht="15.75" thickBot="1">
      <c r="B336" s="331" t="s">
        <v>508</v>
      </c>
      <c r="C336" s="332"/>
      <c r="D336" s="333" t="s">
        <v>62</v>
      </c>
      <c r="E336" s="334"/>
      <c r="F336" s="334"/>
      <c r="G336" s="334"/>
      <c r="H336" s="335"/>
      <c r="I336" s="251"/>
      <c r="J336" s="247"/>
      <c r="K336" s="265"/>
      <c r="L336" s="293"/>
      <c r="M336" s="293"/>
      <c r="N336" s="293"/>
      <c r="O336" s="293"/>
      <c r="P336" s="293"/>
      <c r="Q336" s="266"/>
      <c r="R336" s="259"/>
      <c r="S336" s="260"/>
      <c r="T336" s="265"/>
      <c r="U336" s="293"/>
      <c r="V336" s="293"/>
      <c r="W336" s="266"/>
    </row>
    <row r="337" spans="2:23" ht="18.75" thickBot="1">
      <c r="B337" s="84"/>
      <c r="C337" s="85"/>
      <c r="D337" s="86"/>
      <c r="E337" s="87"/>
      <c r="F337" s="87"/>
      <c r="G337" s="87"/>
      <c r="H337" s="87"/>
      <c r="I337" s="84"/>
      <c r="J337" s="84"/>
      <c r="K337" s="84"/>
      <c r="L337" s="84"/>
      <c r="M337" s="84"/>
      <c r="N337" s="84"/>
      <c r="O337" s="84"/>
      <c r="P337" s="84"/>
      <c r="Q337" s="84"/>
      <c r="R337" s="84"/>
      <c r="S337" s="84"/>
      <c r="T337" s="19"/>
      <c r="U337" s="19"/>
      <c r="V337" s="19"/>
      <c r="W337" s="19"/>
    </row>
    <row r="338" spans="2:23" ht="15.75" thickBot="1">
      <c r="B338" s="341" t="s">
        <v>510</v>
      </c>
      <c r="C338" s="342"/>
      <c r="D338" s="342"/>
      <c r="E338" s="342"/>
      <c r="F338" s="342"/>
      <c r="G338" s="342"/>
      <c r="H338" s="342"/>
      <c r="I338" s="343" t="s">
        <v>511</v>
      </c>
      <c r="J338" s="343"/>
      <c r="K338" s="343"/>
      <c r="L338" s="343"/>
      <c r="M338" s="343"/>
      <c r="N338" s="343"/>
      <c r="O338" s="343"/>
      <c r="P338" s="343"/>
      <c r="Q338" s="343"/>
      <c r="R338" s="343"/>
      <c r="S338" s="344"/>
      <c r="T338" s="345" t="s">
        <v>512</v>
      </c>
      <c r="U338" s="287" t="s">
        <v>513</v>
      </c>
      <c r="V338" s="287"/>
      <c r="W338" s="287"/>
    </row>
    <row r="339" spans="2:23" ht="15.75" thickBot="1">
      <c r="B339" s="316" t="s">
        <v>514</v>
      </c>
      <c r="C339" s="318" t="s">
        <v>515</v>
      </c>
      <c r="D339" s="318"/>
      <c r="E339" s="314" t="s">
        <v>516</v>
      </c>
      <c r="F339" s="314" t="s">
        <v>517</v>
      </c>
      <c r="G339" s="314" t="s">
        <v>518</v>
      </c>
      <c r="H339" s="300" t="s">
        <v>519</v>
      </c>
      <c r="I339" s="337" t="s">
        <v>520</v>
      </c>
      <c r="J339" s="338"/>
      <c r="K339" s="338"/>
      <c r="L339" s="338"/>
      <c r="M339" s="338"/>
      <c r="N339" s="338"/>
      <c r="O339" s="338"/>
      <c r="P339" s="338"/>
      <c r="Q339" s="339" t="s">
        <v>521</v>
      </c>
      <c r="R339" s="340" t="s">
        <v>522</v>
      </c>
      <c r="S339" s="336" t="s">
        <v>523</v>
      </c>
      <c r="T339" s="287"/>
      <c r="U339" s="287"/>
      <c r="V339" s="287"/>
      <c r="W339" s="287"/>
    </row>
    <row r="340" spans="2:23" ht="75" customHeight="1" thickBot="1">
      <c r="B340" s="368"/>
      <c r="C340" s="369"/>
      <c r="D340" s="369"/>
      <c r="E340" s="366"/>
      <c r="F340" s="366"/>
      <c r="G340" s="366"/>
      <c r="H340" s="367"/>
      <c r="I340" s="20" t="s">
        <v>524</v>
      </c>
      <c r="J340" s="21" t="s">
        <v>525</v>
      </c>
      <c r="K340" s="22" t="s">
        <v>526</v>
      </c>
      <c r="L340" s="22" t="s">
        <v>527</v>
      </c>
      <c r="M340" s="22" t="s">
        <v>528</v>
      </c>
      <c r="N340" s="22" t="s">
        <v>529</v>
      </c>
      <c r="O340" s="22" t="s">
        <v>530</v>
      </c>
      <c r="P340" s="23" t="s">
        <v>531</v>
      </c>
      <c r="Q340" s="305"/>
      <c r="R340" s="320"/>
      <c r="S340" s="299"/>
      <c r="T340" s="287"/>
      <c r="U340" s="287"/>
      <c r="V340" s="287"/>
      <c r="W340" s="287"/>
    </row>
    <row r="341" spans="2:23" ht="27.75" customHeight="1">
      <c r="B341" s="103">
        <v>1</v>
      </c>
      <c r="C341" s="321" t="s">
        <v>63</v>
      </c>
      <c r="D341" s="321"/>
      <c r="E341" s="104">
        <v>90</v>
      </c>
      <c r="F341" s="107">
        <v>82.5</v>
      </c>
      <c r="G341" s="106">
        <f>+F341/E341</f>
        <v>0.9166666666666666</v>
      </c>
      <c r="H341" s="43">
        <f>+F341/E341</f>
        <v>0.9166666666666666</v>
      </c>
      <c r="I341" s="97">
        <v>60000</v>
      </c>
      <c r="J341" s="97">
        <f>50000+100000</f>
        <v>150000</v>
      </c>
      <c r="K341" s="32"/>
      <c r="L341" s="32"/>
      <c r="M341" s="31"/>
      <c r="N341" s="31"/>
      <c r="O341" s="31"/>
      <c r="P341" s="74"/>
      <c r="Q341" s="75">
        <f>+SUM(I341:P341)</f>
        <v>210000</v>
      </c>
      <c r="R341" s="76">
        <f>333500+251287+213825+4557+30000</f>
        <v>833169</v>
      </c>
      <c r="S341" s="36">
        <f>R341/Q341</f>
        <v>3.9674714285714288</v>
      </c>
      <c r="T341" s="37" t="s">
        <v>29</v>
      </c>
      <c r="U341" s="307"/>
      <c r="V341" s="307"/>
      <c r="W341" s="307"/>
    </row>
    <row r="342" spans="2:23" ht="27.75" customHeight="1">
      <c r="B342" s="39"/>
      <c r="C342" s="308"/>
      <c r="D342" s="308"/>
      <c r="E342" s="102"/>
      <c r="F342" s="41"/>
      <c r="G342" s="42"/>
      <c r="H342" s="91"/>
      <c r="I342" s="97"/>
      <c r="J342" s="97"/>
      <c r="K342" s="32"/>
      <c r="L342" s="32"/>
      <c r="M342" s="31"/>
      <c r="N342" s="31"/>
      <c r="O342" s="31"/>
      <c r="P342" s="74"/>
      <c r="Q342" s="75"/>
      <c r="R342" s="76"/>
      <c r="S342" s="36"/>
      <c r="T342" s="37"/>
      <c r="U342" s="322"/>
      <c r="V342" s="322"/>
      <c r="W342" s="322"/>
    </row>
    <row r="343" spans="2:23" ht="27.75" customHeight="1">
      <c r="B343" s="39"/>
      <c r="C343" s="308"/>
      <c r="D343" s="308"/>
      <c r="E343" s="102"/>
      <c r="F343" s="41"/>
      <c r="G343" s="42"/>
      <c r="H343" s="91"/>
      <c r="I343" s="97"/>
      <c r="J343" s="97"/>
      <c r="K343" s="32"/>
      <c r="L343" s="32"/>
      <c r="M343" s="31"/>
      <c r="N343" s="31"/>
      <c r="O343" s="31"/>
      <c r="P343" s="74"/>
      <c r="Q343" s="75"/>
      <c r="R343" s="76"/>
      <c r="S343" s="36"/>
      <c r="T343" s="37"/>
      <c r="U343" s="322"/>
      <c r="V343" s="322"/>
      <c r="W343" s="322"/>
    </row>
    <row r="344" spans="2:23" ht="27.75" customHeight="1">
      <c r="B344" s="39"/>
      <c r="C344" s="308"/>
      <c r="D344" s="308"/>
      <c r="E344" s="40"/>
      <c r="F344" s="41"/>
      <c r="G344" s="42"/>
      <c r="H344" s="91"/>
      <c r="I344" s="30"/>
      <c r="J344" s="32"/>
      <c r="K344" s="46"/>
      <c r="L344" s="46"/>
      <c r="M344" s="45"/>
      <c r="N344" s="45"/>
      <c r="O344" s="45"/>
      <c r="P344" s="74"/>
      <c r="Q344" s="75"/>
      <c r="R344" s="76"/>
      <c r="S344" s="36"/>
      <c r="T344" s="37"/>
      <c r="U344" s="322"/>
      <c r="V344" s="322"/>
      <c r="W344" s="322"/>
    </row>
    <row r="345" spans="2:23" ht="27.75" customHeight="1">
      <c r="B345" s="39"/>
      <c r="C345" s="308"/>
      <c r="D345" s="308"/>
      <c r="E345" s="40"/>
      <c r="F345" s="41"/>
      <c r="G345" s="42"/>
      <c r="H345" s="91"/>
      <c r="I345" s="95"/>
      <c r="J345" s="46"/>
      <c r="K345" s="45"/>
      <c r="L345" s="45"/>
      <c r="M345" s="45"/>
      <c r="N345" s="45"/>
      <c r="O345" s="45"/>
      <c r="P345" s="56"/>
      <c r="Q345" s="75"/>
      <c r="R345" s="76"/>
      <c r="S345" s="36"/>
      <c r="T345" s="37"/>
      <c r="U345" s="322"/>
      <c r="V345" s="322"/>
      <c r="W345" s="322"/>
    </row>
    <row r="346" spans="2:23" ht="27.75" customHeight="1" thickBot="1">
      <c r="B346" s="59"/>
      <c r="C346" s="310" t="s">
        <v>541</v>
      </c>
      <c r="D346" s="310"/>
      <c r="E346" s="60"/>
      <c r="F346" s="61"/>
      <c r="G346" s="62"/>
      <c r="H346" s="63"/>
      <c r="I346" s="64">
        <f aca="true" t="shared" si="14" ref="I346:R346">+SUM(I341:I345)</f>
        <v>60000</v>
      </c>
      <c r="J346" s="64">
        <f t="shared" si="14"/>
        <v>150000</v>
      </c>
      <c r="K346" s="64">
        <f t="shared" si="14"/>
        <v>0</v>
      </c>
      <c r="L346" s="64">
        <f t="shared" si="14"/>
        <v>0</v>
      </c>
      <c r="M346" s="64">
        <f t="shared" si="14"/>
        <v>0</v>
      </c>
      <c r="N346" s="64">
        <f t="shared" si="14"/>
        <v>0</v>
      </c>
      <c r="O346" s="64">
        <f t="shared" si="14"/>
        <v>0</v>
      </c>
      <c r="P346" s="64">
        <f t="shared" si="14"/>
        <v>0</v>
      </c>
      <c r="Q346" s="79">
        <f t="shared" si="14"/>
        <v>210000</v>
      </c>
      <c r="R346" s="79">
        <f t="shared" si="14"/>
        <v>833169</v>
      </c>
      <c r="S346" s="66">
        <f>+R346/Q346</f>
        <v>3.9674714285714288</v>
      </c>
      <c r="T346" s="67"/>
      <c r="U346" s="311"/>
      <c r="V346" s="311"/>
      <c r="W346" s="311"/>
    </row>
    <row r="347" ht="15.75" thickBot="1"/>
    <row r="348" spans="2:23" ht="15.75">
      <c r="B348" s="267" t="s">
        <v>479</v>
      </c>
      <c r="C348" s="267"/>
      <c r="D348" s="267"/>
      <c r="E348" s="267"/>
      <c r="F348" s="267"/>
      <c r="G348" s="267"/>
      <c r="H348" s="267"/>
      <c r="I348" s="267"/>
      <c r="J348" s="267"/>
      <c r="K348" s="267"/>
      <c r="L348" s="267"/>
      <c r="M348" s="267"/>
      <c r="N348" s="267"/>
      <c r="O348" s="267"/>
      <c r="P348" s="267"/>
      <c r="Q348" s="267"/>
      <c r="R348" s="267"/>
      <c r="S348" s="267"/>
      <c r="T348" s="267"/>
      <c r="U348" s="267"/>
      <c r="V348" s="267"/>
      <c r="W348" s="267"/>
    </row>
    <row r="349" spans="2:23" ht="15">
      <c r="B349" s="5"/>
      <c r="C349" s="6"/>
      <c r="D349" s="6"/>
      <c r="E349" s="6"/>
      <c r="F349" s="6"/>
      <c r="G349" s="6"/>
      <c r="H349" s="6"/>
      <c r="I349" s="6"/>
      <c r="J349" s="6"/>
      <c r="K349" s="6"/>
      <c r="L349" s="6"/>
      <c r="M349" s="6"/>
      <c r="N349" s="6"/>
      <c r="O349" s="6"/>
      <c r="P349" s="6"/>
      <c r="Q349" s="6"/>
      <c r="R349" s="6"/>
      <c r="S349" s="6"/>
      <c r="T349" s="6"/>
      <c r="U349" s="6"/>
      <c r="V349" s="6"/>
      <c r="W349" s="7"/>
    </row>
    <row r="350" spans="1:24" s="100" customFormat="1" ht="28.5" customHeight="1">
      <c r="A350" s="99"/>
      <c r="B350" s="268" t="s">
        <v>480</v>
      </c>
      <c r="C350" s="269"/>
      <c r="D350" s="269"/>
      <c r="E350" s="269"/>
      <c r="F350" s="269"/>
      <c r="G350" s="269"/>
      <c r="H350" s="269"/>
      <c r="I350" s="269"/>
      <c r="J350" s="269"/>
      <c r="K350" s="269"/>
      <c r="L350" s="269"/>
      <c r="M350" s="269"/>
      <c r="N350" s="269"/>
      <c r="O350" s="269"/>
      <c r="P350" s="269"/>
      <c r="Q350" s="269"/>
      <c r="R350" s="269"/>
      <c r="S350" s="269"/>
      <c r="T350" s="269"/>
      <c r="U350" s="269"/>
      <c r="V350" s="269"/>
      <c r="W350" s="270"/>
      <c r="X350" s="9"/>
    </row>
    <row r="351" spans="1:24" s="100" customFormat="1" ht="28.5" customHeight="1">
      <c r="A351" s="99"/>
      <c r="B351" s="271" t="s">
        <v>481</v>
      </c>
      <c r="C351" s="272"/>
      <c r="D351" s="272"/>
      <c r="E351" s="272"/>
      <c r="F351" s="272"/>
      <c r="G351" s="272"/>
      <c r="H351" s="272"/>
      <c r="I351" s="272"/>
      <c r="J351" s="272"/>
      <c r="K351" s="272"/>
      <c r="L351" s="272"/>
      <c r="M351" s="272"/>
      <c r="N351" s="272"/>
      <c r="O351" s="272"/>
      <c r="P351" s="272"/>
      <c r="Q351" s="272"/>
      <c r="R351" s="272"/>
      <c r="S351" s="272"/>
      <c r="T351" s="272"/>
      <c r="U351" s="272"/>
      <c r="V351" s="272"/>
      <c r="W351" s="273"/>
      <c r="X351" s="9"/>
    </row>
    <row r="352" spans="1:24" s="100" customFormat="1" ht="28.5" customHeight="1">
      <c r="A352" s="99"/>
      <c r="B352" s="274" t="s">
        <v>482</v>
      </c>
      <c r="C352" s="275"/>
      <c r="D352" s="275"/>
      <c r="E352" s="275"/>
      <c r="F352" s="275"/>
      <c r="G352" s="275"/>
      <c r="H352" s="275"/>
      <c r="I352" s="275"/>
      <c r="J352" s="275"/>
      <c r="K352" s="275"/>
      <c r="L352" s="275"/>
      <c r="M352" s="275"/>
      <c r="N352" s="275"/>
      <c r="O352" s="275"/>
      <c r="P352" s="275"/>
      <c r="Q352" s="275"/>
      <c r="R352" s="275"/>
      <c r="S352" s="275"/>
      <c r="T352" s="275"/>
      <c r="U352" s="275"/>
      <c r="V352" s="275"/>
      <c r="W352" s="276"/>
      <c r="X352" s="9"/>
    </row>
    <row r="353" spans="2:23" ht="15">
      <c r="B353" s="5"/>
      <c r="C353" s="6"/>
      <c r="D353" s="8"/>
      <c r="E353" s="8"/>
      <c r="F353" s="8"/>
      <c r="G353" s="8"/>
      <c r="H353" s="8"/>
      <c r="I353" s="6"/>
      <c r="J353" s="6"/>
      <c r="K353" s="6"/>
      <c r="L353" s="6"/>
      <c r="M353" s="6"/>
      <c r="N353" s="6"/>
      <c r="O353" s="6"/>
      <c r="P353" s="6"/>
      <c r="Q353" s="6"/>
      <c r="R353" s="6"/>
      <c r="S353" s="6"/>
      <c r="T353" s="6"/>
      <c r="U353" s="6"/>
      <c r="V353" s="6"/>
      <c r="W353" s="7"/>
    </row>
    <row r="354" spans="2:23" ht="15">
      <c r="B354" s="279" t="s">
        <v>483</v>
      </c>
      <c r="C354" s="280"/>
      <c r="D354" s="10" t="s">
        <v>484</v>
      </c>
      <c r="E354" s="10"/>
      <c r="F354" s="10"/>
      <c r="G354" s="11"/>
      <c r="H354" s="11"/>
      <c r="I354" s="11"/>
      <c r="J354" s="11"/>
      <c r="K354" s="11"/>
      <c r="L354" s="10" t="s">
        <v>485</v>
      </c>
      <c r="M354" s="10"/>
      <c r="N354" s="10"/>
      <c r="O354" s="281" t="s">
        <v>486</v>
      </c>
      <c r="P354" s="282"/>
      <c r="Q354" s="282"/>
      <c r="R354" s="282"/>
      <c r="S354" s="282"/>
      <c r="T354" s="282" t="s">
        <v>487</v>
      </c>
      <c r="U354" s="280"/>
      <c r="V354" s="280"/>
      <c r="W354" s="285"/>
    </row>
    <row r="355" spans="2:23" ht="15">
      <c r="B355" s="279" t="s">
        <v>488</v>
      </c>
      <c r="C355" s="280"/>
      <c r="D355" s="10" t="s">
        <v>489</v>
      </c>
      <c r="E355" s="10"/>
      <c r="F355" s="10"/>
      <c r="G355" s="11"/>
      <c r="H355" s="11"/>
      <c r="I355" s="11"/>
      <c r="J355" s="11"/>
      <c r="K355" s="11"/>
      <c r="L355" s="282" t="s">
        <v>490</v>
      </c>
      <c r="M355" s="280"/>
      <c r="N355" s="280"/>
      <c r="O355" s="282" t="s">
        <v>491</v>
      </c>
      <c r="P355" s="282"/>
      <c r="Q355" s="282"/>
      <c r="R355" s="282"/>
      <c r="S355" s="282"/>
      <c r="T355" s="12" t="s">
        <v>492</v>
      </c>
      <c r="U355" s="11">
        <v>1</v>
      </c>
      <c r="V355" s="11" t="s">
        <v>493</v>
      </c>
      <c r="W355" s="13">
        <v>16</v>
      </c>
    </row>
    <row r="356" spans="2:23" ht="15.75" thickBot="1">
      <c r="B356" s="83"/>
      <c r="C356" s="11"/>
      <c r="D356" s="11"/>
      <c r="E356" s="11"/>
      <c r="F356" s="11"/>
      <c r="G356" s="11"/>
      <c r="H356" s="11"/>
      <c r="I356" s="11"/>
      <c r="J356" s="11"/>
      <c r="K356" s="11"/>
      <c r="L356" s="283"/>
      <c r="M356" s="283"/>
      <c r="N356" s="283"/>
      <c r="O356" s="282" t="s">
        <v>494</v>
      </c>
      <c r="P356" s="282"/>
      <c r="Q356" s="282"/>
      <c r="R356" s="284"/>
      <c r="S356" s="284"/>
      <c r="T356" s="278"/>
      <c r="U356" s="278"/>
      <c r="V356" s="11"/>
      <c r="W356" s="16"/>
    </row>
    <row r="357" spans="2:23" ht="15.75" customHeight="1" thickBot="1">
      <c r="B357" s="325" t="s">
        <v>495</v>
      </c>
      <c r="C357" s="326"/>
      <c r="D357" s="327" t="s">
        <v>33</v>
      </c>
      <c r="E357" s="327"/>
      <c r="F357" s="327"/>
      <c r="G357" s="327"/>
      <c r="H357" s="327"/>
      <c r="I357" s="258" t="s">
        <v>497</v>
      </c>
      <c r="J357" s="248"/>
      <c r="K357" s="261" t="s">
        <v>64</v>
      </c>
      <c r="L357" s="262"/>
      <c r="M357" s="261" t="s">
        <v>65</v>
      </c>
      <c r="N357" s="291"/>
      <c r="O357" s="262"/>
      <c r="P357" s="261" t="s">
        <v>66</v>
      </c>
      <c r="Q357" s="262"/>
      <c r="R357" s="259" t="s">
        <v>502</v>
      </c>
      <c r="S357" s="260"/>
      <c r="T357" s="296" t="s">
        <v>64</v>
      </c>
      <c r="U357" s="261" t="s">
        <v>65</v>
      </c>
      <c r="V357" s="262"/>
      <c r="W357" s="296" t="s">
        <v>66</v>
      </c>
    </row>
    <row r="358" spans="2:23" ht="27.75" customHeight="1" thickBot="1">
      <c r="B358" s="328" t="s">
        <v>506</v>
      </c>
      <c r="C358" s="252"/>
      <c r="D358" s="294" t="s">
        <v>67</v>
      </c>
      <c r="E358" s="295"/>
      <c r="F358" s="295"/>
      <c r="G358" s="295"/>
      <c r="H358" s="295"/>
      <c r="I358" s="249"/>
      <c r="J358" s="250"/>
      <c r="K358" s="263"/>
      <c r="L358" s="264"/>
      <c r="M358" s="263"/>
      <c r="N358" s="292"/>
      <c r="O358" s="264"/>
      <c r="P358" s="263"/>
      <c r="Q358" s="264"/>
      <c r="R358" s="259"/>
      <c r="S358" s="260"/>
      <c r="T358" s="297"/>
      <c r="U358" s="263"/>
      <c r="V358" s="264"/>
      <c r="W358" s="297"/>
    </row>
    <row r="359" spans="2:23" ht="27.75" customHeight="1" thickBot="1">
      <c r="B359" s="331" t="s">
        <v>508</v>
      </c>
      <c r="C359" s="332"/>
      <c r="D359" s="333" t="s">
        <v>68</v>
      </c>
      <c r="E359" s="334"/>
      <c r="F359" s="334"/>
      <c r="G359" s="334"/>
      <c r="H359" s="335"/>
      <c r="I359" s="251"/>
      <c r="J359" s="247"/>
      <c r="K359" s="265"/>
      <c r="L359" s="266"/>
      <c r="M359" s="265"/>
      <c r="N359" s="293"/>
      <c r="O359" s="266"/>
      <c r="P359" s="265"/>
      <c r="Q359" s="266"/>
      <c r="R359" s="259"/>
      <c r="S359" s="260"/>
      <c r="T359" s="298"/>
      <c r="U359" s="265"/>
      <c r="V359" s="266"/>
      <c r="W359" s="298"/>
    </row>
    <row r="360" spans="2:23" ht="18.75" thickBot="1">
      <c r="B360" s="84"/>
      <c r="C360" s="85"/>
      <c r="D360" s="86"/>
      <c r="E360" s="87"/>
      <c r="F360" s="87"/>
      <c r="G360" s="87"/>
      <c r="H360" s="87"/>
      <c r="I360" s="84"/>
      <c r="J360" s="84"/>
      <c r="K360" s="84"/>
      <c r="L360" s="84"/>
      <c r="M360" s="84"/>
      <c r="N360" s="84"/>
      <c r="O360" s="84"/>
      <c r="P360" s="84"/>
      <c r="Q360" s="84"/>
      <c r="R360" s="84"/>
      <c r="S360" s="84"/>
      <c r="T360" s="19"/>
      <c r="U360" s="19"/>
      <c r="V360" s="19"/>
      <c r="W360" s="19"/>
    </row>
    <row r="361" spans="2:23" ht="15.75" thickBot="1">
      <c r="B361" s="341" t="s">
        <v>510</v>
      </c>
      <c r="C361" s="342"/>
      <c r="D361" s="342"/>
      <c r="E361" s="342"/>
      <c r="F361" s="342"/>
      <c r="G361" s="342"/>
      <c r="H361" s="342"/>
      <c r="I361" s="343" t="s">
        <v>511</v>
      </c>
      <c r="J361" s="343"/>
      <c r="K361" s="343"/>
      <c r="L361" s="343"/>
      <c r="M361" s="343"/>
      <c r="N361" s="343"/>
      <c r="O361" s="343"/>
      <c r="P361" s="343"/>
      <c r="Q361" s="343"/>
      <c r="R361" s="343"/>
      <c r="S361" s="344"/>
      <c r="T361" s="345" t="s">
        <v>512</v>
      </c>
      <c r="U361" s="287" t="s">
        <v>513</v>
      </c>
      <c r="V361" s="287"/>
      <c r="W361" s="287"/>
    </row>
    <row r="362" spans="2:23" ht="15.75" thickBot="1">
      <c r="B362" s="316" t="s">
        <v>514</v>
      </c>
      <c r="C362" s="318" t="s">
        <v>515</v>
      </c>
      <c r="D362" s="318"/>
      <c r="E362" s="314" t="s">
        <v>516</v>
      </c>
      <c r="F362" s="314" t="s">
        <v>517</v>
      </c>
      <c r="G362" s="314" t="s">
        <v>518</v>
      </c>
      <c r="H362" s="300" t="s">
        <v>519</v>
      </c>
      <c r="I362" s="337" t="s">
        <v>520</v>
      </c>
      <c r="J362" s="338"/>
      <c r="K362" s="338"/>
      <c r="L362" s="338"/>
      <c r="M362" s="338"/>
      <c r="N362" s="338"/>
      <c r="O362" s="338"/>
      <c r="P362" s="338"/>
      <c r="Q362" s="339" t="s">
        <v>521</v>
      </c>
      <c r="R362" s="340" t="s">
        <v>522</v>
      </c>
      <c r="S362" s="336" t="s">
        <v>523</v>
      </c>
      <c r="T362" s="287"/>
      <c r="U362" s="287"/>
      <c r="V362" s="287"/>
      <c r="W362" s="287"/>
    </row>
    <row r="363" spans="2:23" ht="55.5" thickBot="1">
      <c r="B363" s="368"/>
      <c r="C363" s="369"/>
      <c r="D363" s="369"/>
      <c r="E363" s="366"/>
      <c r="F363" s="366"/>
      <c r="G363" s="366"/>
      <c r="H363" s="367"/>
      <c r="I363" s="20" t="s">
        <v>524</v>
      </c>
      <c r="J363" s="21" t="s">
        <v>525</v>
      </c>
      <c r="K363" s="22" t="s">
        <v>526</v>
      </c>
      <c r="L363" s="22" t="s">
        <v>527</v>
      </c>
      <c r="M363" s="22" t="s">
        <v>528</v>
      </c>
      <c r="N363" s="22" t="s">
        <v>529</v>
      </c>
      <c r="O363" s="22" t="s">
        <v>530</v>
      </c>
      <c r="P363" s="23" t="s">
        <v>531</v>
      </c>
      <c r="Q363" s="305"/>
      <c r="R363" s="320"/>
      <c r="S363" s="299"/>
      <c r="T363" s="287"/>
      <c r="U363" s="287"/>
      <c r="V363" s="287"/>
      <c r="W363" s="287"/>
    </row>
    <row r="364" spans="2:23" ht="39.75" customHeight="1">
      <c r="B364" s="108">
        <v>1</v>
      </c>
      <c r="C364" s="321" t="s">
        <v>69</v>
      </c>
      <c r="D364" s="321"/>
      <c r="E364" s="109">
        <v>1</v>
      </c>
      <c r="F364" s="107">
        <v>0</v>
      </c>
      <c r="G364" s="106">
        <f>+F364/E364</f>
        <v>0</v>
      </c>
      <c r="H364" s="43">
        <f>+F364/E364</f>
        <v>0</v>
      </c>
      <c r="I364" s="97"/>
      <c r="J364" s="97"/>
      <c r="K364" s="32"/>
      <c r="L364" s="32"/>
      <c r="M364" s="31"/>
      <c r="N364" s="31"/>
      <c r="O364" s="31"/>
      <c r="P364" s="74"/>
      <c r="Q364" s="75">
        <f>+SUM(I364:P364)</f>
        <v>0</v>
      </c>
      <c r="R364" s="76"/>
      <c r="S364" s="36" t="e">
        <f>R364/Q364</f>
        <v>#DIV/0!</v>
      </c>
      <c r="T364" s="37" t="s">
        <v>18</v>
      </c>
      <c r="U364" s="307"/>
      <c r="V364" s="307"/>
      <c r="W364" s="307"/>
    </row>
    <row r="365" spans="2:23" ht="39.75" customHeight="1">
      <c r="B365" s="77">
        <v>2</v>
      </c>
      <c r="C365" s="308" t="s">
        <v>70</v>
      </c>
      <c r="D365" s="308"/>
      <c r="E365" s="110">
        <v>40</v>
      </c>
      <c r="F365" s="107">
        <v>25</v>
      </c>
      <c r="G365" s="106">
        <f>+F365/E365</f>
        <v>0.625</v>
      </c>
      <c r="H365" s="43">
        <f>+F365/E365</f>
        <v>0.625</v>
      </c>
      <c r="I365" s="97"/>
      <c r="J365" s="97"/>
      <c r="K365" s="32"/>
      <c r="L365" s="32"/>
      <c r="M365" s="31"/>
      <c r="N365" s="31"/>
      <c r="O365" s="31"/>
      <c r="P365" s="74"/>
      <c r="Q365" s="75">
        <f>+SUM(I365:P365)</f>
        <v>0</v>
      </c>
      <c r="R365" s="76"/>
      <c r="S365" s="36" t="e">
        <f>R365/Q365</f>
        <v>#DIV/0!</v>
      </c>
      <c r="T365" s="37" t="s">
        <v>18</v>
      </c>
      <c r="U365" s="322"/>
      <c r="V365" s="322"/>
      <c r="W365" s="322"/>
    </row>
    <row r="366" spans="2:23" ht="39.75" customHeight="1">
      <c r="B366" s="77">
        <v>3</v>
      </c>
      <c r="C366" s="308" t="s">
        <v>71</v>
      </c>
      <c r="D366" s="308"/>
      <c r="E366" s="110">
        <v>2</v>
      </c>
      <c r="F366" s="107">
        <v>2</v>
      </c>
      <c r="G366" s="106">
        <f>+F366/E366</f>
        <v>1</v>
      </c>
      <c r="H366" s="43">
        <f>+F366/E366</f>
        <v>1</v>
      </c>
      <c r="I366" s="97"/>
      <c r="J366" s="97"/>
      <c r="K366" s="32"/>
      <c r="L366" s="32"/>
      <c r="M366" s="31"/>
      <c r="N366" s="31"/>
      <c r="O366" s="31"/>
      <c r="P366" s="74"/>
      <c r="Q366" s="75">
        <f>+SUM(I366:P366)</f>
        <v>0</v>
      </c>
      <c r="R366" s="76"/>
      <c r="S366" s="36" t="e">
        <f>R366/Q366</f>
        <v>#DIV/0!</v>
      </c>
      <c r="T366" s="37" t="s">
        <v>18</v>
      </c>
      <c r="U366" s="322"/>
      <c r="V366" s="322"/>
      <c r="W366" s="322"/>
    </row>
    <row r="367" spans="2:23" ht="15">
      <c r="B367" s="39"/>
      <c r="C367" s="321"/>
      <c r="D367" s="321"/>
      <c r="E367" s="40"/>
      <c r="F367" s="41"/>
      <c r="G367" s="42"/>
      <c r="H367" s="91"/>
      <c r="I367" s="30"/>
      <c r="J367" s="32"/>
      <c r="K367" s="46"/>
      <c r="L367" s="46"/>
      <c r="M367" s="45"/>
      <c r="N367" s="45"/>
      <c r="O367" s="45"/>
      <c r="P367" s="74"/>
      <c r="Q367" s="75"/>
      <c r="R367" s="76"/>
      <c r="S367" s="36"/>
      <c r="T367" s="37"/>
      <c r="U367" s="322"/>
      <c r="V367" s="322"/>
      <c r="W367" s="322"/>
    </row>
    <row r="368" spans="2:23" ht="15">
      <c r="B368" s="39"/>
      <c r="C368" s="308"/>
      <c r="D368" s="308"/>
      <c r="E368" s="40"/>
      <c r="F368" s="41"/>
      <c r="G368" s="42"/>
      <c r="H368" s="91"/>
      <c r="I368" s="95"/>
      <c r="J368" s="46"/>
      <c r="K368" s="45"/>
      <c r="L368" s="45"/>
      <c r="M368" s="45"/>
      <c r="N368" s="45"/>
      <c r="O368" s="45"/>
      <c r="P368" s="56"/>
      <c r="Q368" s="75"/>
      <c r="R368" s="76"/>
      <c r="S368" s="36"/>
      <c r="T368" s="37"/>
      <c r="U368" s="322"/>
      <c r="V368" s="322"/>
      <c r="W368" s="322"/>
    </row>
    <row r="369" spans="2:23" ht="15.75" thickBot="1">
      <c r="B369" s="59"/>
      <c r="C369" s="310" t="s">
        <v>541</v>
      </c>
      <c r="D369" s="310"/>
      <c r="E369" s="60"/>
      <c r="F369" s="61"/>
      <c r="G369" s="62"/>
      <c r="H369" s="63"/>
      <c r="I369" s="64">
        <f aca="true" t="shared" si="15" ref="I369:R369">+SUM(I364:I368)</f>
        <v>0</v>
      </c>
      <c r="J369" s="64">
        <f t="shared" si="15"/>
        <v>0</v>
      </c>
      <c r="K369" s="64">
        <f t="shared" si="15"/>
        <v>0</v>
      </c>
      <c r="L369" s="64">
        <f t="shared" si="15"/>
        <v>0</v>
      </c>
      <c r="M369" s="64">
        <f t="shared" si="15"/>
        <v>0</v>
      </c>
      <c r="N369" s="64">
        <f t="shared" si="15"/>
        <v>0</v>
      </c>
      <c r="O369" s="64">
        <f t="shared" si="15"/>
        <v>0</v>
      </c>
      <c r="P369" s="64">
        <f t="shared" si="15"/>
        <v>0</v>
      </c>
      <c r="Q369" s="79">
        <f t="shared" si="15"/>
        <v>0</v>
      </c>
      <c r="R369" s="79">
        <f t="shared" si="15"/>
        <v>0</v>
      </c>
      <c r="S369" s="66" t="e">
        <f>+R369/Q369</f>
        <v>#DIV/0!</v>
      </c>
      <c r="T369" s="67"/>
      <c r="U369" s="311"/>
      <c r="V369" s="311"/>
      <c r="W369" s="311"/>
    </row>
    <row r="370" ht="15.75" thickBot="1"/>
    <row r="371" spans="2:23" ht="15.75">
      <c r="B371" s="267" t="s">
        <v>479</v>
      </c>
      <c r="C371" s="267"/>
      <c r="D371" s="267"/>
      <c r="E371" s="267"/>
      <c r="F371" s="267"/>
      <c r="G371" s="267"/>
      <c r="H371" s="267"/>
      <c r="I371" s="267"/>
      <c r="J371" s="267"/>
      <c r="K371" s="267"/>
      <c r="L371" s="267"/>
      <c r="M371" s="267"/>
      <c r="N371" s="267"/>
      <c r="O371" s="267"/>
      <c r="P371" s="267"/>
      <c r="Q371" s="267"/>
      <c r="R371" s="267"/>
      <c r="S371" s="267"/>
      <c r="T371" s="267"/>
      <c r="U371" s="267"/>
      <c r="V371" s="267"/>
      <c r="W371" s="267"/>
    </row>
    <row r="372" spans="2:23" ht="15">
      <c r="B372" s="5"/>
      <c r="C372" s="6"/>
      <c r="D372" s="6"/>
      <c r="E372" s="6"/>
      <c r="F372" s="6"/>
      <c r="G372" s="6"/>
      <c r="H372" s="6"/>
      <c r="I372" s="6"/>
      <c r="J372" s="6"/>
      <c r="K372" s="6"/>
      <c r="L372" s="6"/>
      <c r="M372" s="6"/>
      <c r="N372" s="6"/>
      <c r="O372" s="6"/>
      <c r="P372" s="6"/>
      <c r="Q372" s="6"/>
      <c r="R372" s="6"/>
      <c r="S372" s="6"/>
      <c r="T372" s="6"/>
      <c r="U372" s="6"/>
      <c r="V372" s="6"/>
      <c r="W372" s="7"/>
    </row>
    <row r="373" spans="1:24" s="100" customFormat="1" ht="27.75" customHeight="1">
      <c r="A373" s="99"/>
      <c r="B373" s="268" t="s">
        <v>480</v>
      </c>
      <c r="C373" s="269"/>
      <c r="D373" s="269"/>
      <c r="E373" s="269"/>
      <c r="F373" s="269"/>
      <c r="G373" s="269"/>
      <c r="H373" s="269"/>
      <c r="I373" s="269"/>
      <c r="J373" s="269"/>
      <c r="K373" s="269"/>
      <c r="L373" s="269"/>
      <c r="M373" s="269"/>
      <c r="N373" s="269"/>
      <c r="O373" s="269"/>
      <c r="P373" s="269"/>
      <c r="Q373" s="269"/>
      <c r="R373" s="269"/>
      <c r="S373" s="269"/>
      <c r="T373" s="269"/>
      <c r="U373" s="269"/>
      <c r="V373" s="269"/>
      <c r="W373" s="270"/>
      <c r="X373" s="9"/>
    </row>
    <row r="374" spans="1:24" s="100" customFormat="1" ht="27.75" customHeight="1">
      <c r="A374" s="99"/>
      <c r="B374" s="271" t="s">
        <v>481</v>
      </c>
      <c r="C374" s="272"/>
      <c r="D374" s="272"/>
      <c r="E374" s="272"/>
      <c r="F374" s="272"/>
      <c r="G374" s="272"/>
      <c r="H374" s="272"/>
      <c r="I374" s="272"/>
      <c r="J374" s="272"/>
      <c r="K374" s="272"/>
      <c r="L374" s="272"/>
      <c r="M374" s="272"/>
      <c r="N374" s="272"/>
      <c r="O374" s="272"/>
      <c r="P374" s="272"/>
      <c r="Q374" s="272"/>
      <c r="R374" s="272"/>
      <c r="S374" s="272"/>
      <c r="T374" s="272"/>
      <c r="U374" s="272"/>
      <c r="V374" s="272"/>
      <c r="W374" s="273"/>
      <c r="X374" s="9"/>
    </row>
    <row r="375" spans="1:24" s="100" customFormat="1" ht="27.75" customHeight="1">
      <c r="A375" s="99"/>
      <c r="B375" s="274" t="s">
        <v>482</v>
      </c>
      <c r="C375" s="275"/>
      <c r="D375" s="275"/>
      <c r="E375" s="275"/>
      <c r="F375" s="275"/>
      <c r="G375" s="275"/>
      <c r="H375" s="275"/>
      <c r="I375" s="275"/>
      <c r="J375" s="275"/>
      <c r="K375" s="275"/>
      <c r="L375" s="275"/>
      <c r="M375" s="275"/>
      <c r="N375" s="275"/>
      <c r="O375" s="275"/>
      <c r="P375" s="275"/>
      <c r="Q375" s="275"/>
      <c r="R375" s="275"/>
      <c r="S375" s="275"/>
      <c r="T375" s="275"/>
      <c r="U375" s="275"/>
      <c r="V375" s="275"/>
      <c r="W375" s="276"/>
      <c r="X375" s="9"/>
    </row>
    <row r="376" spans="2:23" ht="15">
      <c r="B376" s="5"/>
      <c r="C376" s="6"/>
      <c r="D376" s="8"/>
      <c r="E376" s="8"/>
      <c r="F376" s="8"/>
      <c r="G376" s="8"/>
      <c r="H376" s="8"/>
      <c r="I376" s="6"/>
      <c r="J376" s="6"/>
      <c r="K376" s="6"/>
      <c r="L376" s="6"/>
      <c r="M376" s="6"/>
      <c r="N376" s="6"/>
      <c r="O376" s="6"/>
      <c r="P376" s="6"/>
      <c r="Q376" s="6"/>
      <c r="R376" s="6"/>
      <c r="S376" s="6"/>
      <c r="T376" s="6"/>
      <c r="U376" s="6"/>
      <c r="V376" s="6"/>
      <c r="W376" s="7"/>
    </row>
    <row r="377" spans="2:23" ht="15">
      <c r="B377" s="279" t="s">
        <v>483</v>
      </c>
      <c r="C377" s="280"/>
      <c r="D377" s="10" t="s">
        <v>484</v>
      </c>
      <c r="E377" s="10"/>
      <c r="F377" s="10"/>
      <c r="G377" s="11"/>
      <c r="H377" s="11"/>
      <c r="I377" s="11"/>
      <c r="J377" s="11"/>
      <c r="K377" s="11"/>
      <c r="L377" s="10" t="s">
        <v>485</v>
      </c>
      <c r="M377" s="10"/>
      <c r="N377" s="10"/>
      <c r="O377" s="281" t="s">
        <v>486</v>
      </c>
      <c r="P377" s="282"/>
      <c r="Q377" s="282"/>
      <c r="R377" s="282"/>
      <c r="S377" s="282"/>
      <c r="T377" s="282" t="s">
        <v>487</v>
      </c>
      <c r="U377" s="280"/>
      <c r="V377" s="280"/>
      <c r="W377" s="285"/>
    </row>
    <row r="378" spans="2:23" ht="15">
      <c r="B378" s="279" t="s">
        <v>488</v>
      </c>
      <c r="C378" s="280"/>
      <c r="D378" s="10" t="s">
        <v>489</v>
      </c>
      <c r="E378" s="10"/>
      <c r="F378" s="10"/>
      <c r="G378" s="11"/>
      <c r="H378" s="11"/>
      <c r="I378" s="11"/>
      <c r="J378" s="11"/>
      <c r="K378" s="11"/>
      <c r="L378" s="282" t="s">
        <v>490</v>
      </c>
      <c r="M378" s="280"/>
      <c r="N378" s="280"/>
      <c r="O378" s="282" t="s">
        <v>491</v>
      </c>
      <c r="P378" s="282"/>
      <c r="Q378" s="282"/>
      <c r="R378" s="282"/>
      <c r="S378" s="282"/>
      <c r="T378" s="12" t="s">
        <v>492</v>
      </c>
      <c r="U378" s="11">
        <v>1</v>
      </c>
      <c r="V378" s="11" t="s">
        <v>493</v>
      </c>
      <c r="W378" s="13">
        <v>17</v>
      </c>
    </row>
    <row r="379" spans="2:23" ht="15.75" thickBot="1">
      <c r="B379" s="83"/>
      <c r="C379" s="11"/>
      <c r="D379" s="11"/>
      <c r="E379" s="11"/>
      <c r="F379" s="11"/>
      <c r="G379" s="11"/>
      <c r="H379" s="11"/>
      <c r="I379" s="11"/>
      <c r="J379" s="11"/>
      <c r="K379" s="11"/>
      <c r="L379" s="283"/>
      <c r="M379" s="283"/>
      <c r="N379" s="283"/>
      <c r="O379" s="282" t="s">
        <v>494</v>
      </c>
      <c r="P379" s="282"/>
      <c r="Q379" s="282"/>
      <c r="R379" s="284"/>
      <c r="S379" s="284"/>
      <c r="T379" s="278"/>
      <c r="U379" s="278"/>
      <c r="V379" s="11"/>
      <c r="W379" s="16"/>
    </row>
    <row r="380" spans="2:23" ht="15.75" customHeight="1" thickBot="1">
      <c r="B380" s="325" t="s">
        <v>495</v>
      </c>
      <c r="C380" s="326"/>
      <c r="D380" s="327" t="s">
        <v>72</v>
      </c>
      <c r="E380" s="327"/>
      <c r="F380" s="327"/>
      <c r="G380" s="327"/>
      <c r="H380" s="327"/>
      <c r="I380" s="258" t="s">
        <v>497</v>
      </c>
      <c r="J380" s="248"/>
      <c r="K380" s="261" t="s">
        <v>73</v>
      </c>
      <c r="L380" s="291"/>
      <c r="M380" s="262"/>
      <c r="N380" s="261" t="s">
        <v>74</v>
      </c>
      <c r="O380" s="291"/>
      <c r="P380" s="291"/>
      <c r="Q380" s="262"/>
      <c r="R380" s="259" t="s">
        <v>502</v>
      </c>
      <c r="S380" s="260"/>
      <c r="T380" s="261" t="s">
        <v>73</v>
      </c>
      <c r="U380" s="262"/>
      <c r="V380" s="261" t="s">
        <v>75</v>
      </c>
      <c r="W380" s="262"/>
    </row>
    <row r="381" spans="2:23" ht="24" customHeight="1" thickBot="1">
      <c r="B381" s="328" t="s">
        <v>506</v>
      </c>
      <c r="C381" s="252"/>
      <c r="D381" s="294" t="s">
        <v>76</v>
      </c>
      <c r="E381" s="295"/>
      <c r="F381" s="295"/>
      <c r="G381" s="295"/>
      <c r="H381" s="295"/>
      <c r="I381" s="249"/>
      <c r="J381" s="250"/>
      <c r="K381" s="263"/>
      <c r="L381" s="292"/>
      <c r="M381" s="264"/>
      <c r="N381" s="263"/>
      <c r="O381" s="292"/>
      <c r="P381" s="292"/>
      <c r="Q381" s="264"/>
      <c r="R381" s="259"/>
      <c r="S381" s="260"/>
      <c r="T381" s="263"/>
      <c r="U381" s="264"/>
      <c r="V381" s="263"/>
      <c r="W381" s="264"/>
    </row>
    <row r="382" spans="2:23" ht="45.75" customHeight="1" thickBot="1">
      <c r="B382" s="331" t="s">
        <v>508</v>
      </c>
      <c r="C382" s="332"/>
      <c r="D382" s="333" t="s">
        <v>77</v>
      </c>
      <c r="E382" s="334"/>
      <c r="F382" s="334"/>
      <c r="G382" s="334"/>
      <c r="H382" s="335"/>
      <c r="I382" s="251"/>
      <c r="J382" s="247"/>
      <c r="K382" s="265"/>
      <c r="L382" s="293"/>
      <c r="M382" s="266"/>
      <c r="N382" s="265"/>
      <c r="O382" s="293"/>
      <c r="P382" s="293"/>
      <c r="Q382" s="266"/>
      <c r="R382" s="259"/>
      <c r="S382" s="260"/>
      <c r="T382" s="265"/>
      <c r="U382" s="266"/>
      <c r="V382" s="265"/>
      <c r="W382" s="266"/>
    </row>
    <row r="383" spans="2:23" ht="18.75" thickBot="1">
      <c r="B383" s="84"/>
      <c r="C383" s="85"/>
      <c r="D383" s="86"/>
      <c r="E383" s="87"/>
      <c r="F383" s="87"/>
      <c r="G383" s="87"/>
      <c r="H383" s="87"/>
      <c r="I383" s="84"/>
      <c r="J383" s="84"/>
      <c r="K383" s="84"/>
      <c r="L383" s="84"/>
      <c r="M383" s="84"/>
      <c r="N383" s="84"/>
      <c r="O383" s="84"/>
      <c r="P383" s="84"/>
      <c r="Q383" s="84"/>
      <c r="R383" s="84"/>
      <c r="S383" s="84"/>
      <c r="T383" s="19"/>
      <c r="U383" s="19"/>
      <c r="V383" s="19"/>
      <c r="W383" s="19"/>
    </row>
    <row r="384" spans="2:23" ht="15.75" thickBot="1">
      <c r="B384" s="341" t="s">
        <v>510</v>
      </c>
      <c r="C384" s="342"/>
      <c r="D384" s="342"/>
      <c r="E384" s="342"/>
      <c r="F384" s="342"/>
      <c r="G384" s="342"/>
      <c r="H384" s="342"/>
      <c r="I384" s="343" t="s">
        <v>511</v>
      </c>
      <c r="J384" s="343"/>
      <c r="K384" s="343"/>
      <c r="L384" s="343"/>
      <c r="M384" s="343"/>
      <c r="N384" s="343"/>
      <c r="O384" s="343"/>
      <c r="P384" s="343"/>
      <c r="Q384" s="343"/>
      <c r="R384" s="343"/>
      <c r="S384" s="344"/>
      <c r="T384" s="345" t="s">
        <v>512</v>
      </c>
      <c r="U384" s="287" t="s">
        <v>513</v>
      </c>
      <c r="V384" s="287"/>
      <c r="W384" s="287"/>
    </row>
    <row r="385" spans="2:23" ht="15.75" thickBot="1">
      <c r="B385" s="316" t="s">
        <v>514</v>
      </c>
      <c r="C385" s="318" t="s">
        <v>515</v>
      </c>
      <c r="D385" s="318"/>
      <c r="E385" s="314" t="s">
        <v>516</v>
      </c>
      <c r="F385" s="314" t="s">
        <v>517</v>
      </c>
      <c r="G385" s="314" t="s">
        <v>518</v>
      </c>
      <c r="H385" s="300" t="s">
        <v>519</v>
      </c>
      <c r="I385" s="337" t="s">
        <v>520</v>
      </c>
      <c r="J385" s="338"/>
      <c r="K385" s="338"/>
      <c r="L385" s="338"/>
      <c r="M385" s="338"/>
      <c r="N385" s="338"/>
      <c r="O385" s="338"/>
      <c r="P385" s="338"/>
      <c r="Q385" s="339" t="s">
        <v>521</v>
      </c>
      <c r="R385" s="340" t="s">
        <v>522</v>
      </c>
      <c r="S385" s="336" t="s">
        <v>523</v>
      </c>
      <c r="T385" s="287"/>
      <c r="U385" s="287"/>
      <c r="V385" s="287"/>
      <c r="W385" s="287"/>
    </row>
    <row r="386" spans="2:23" ht="81" customHeight="1" thickBot="1">
      <c r="B386" s="368"/>
      <c r="C386" s="369"/>
      <c r="D386" s="369"/>
      <c r="E386" s="366"/>
      <c r="F386" s="366"/>
      <c r="G386" s="366"/>
      <c r="H386" s="367"/>
      <c r="I386" s="20" t="s">
        <v>524</v>
      </c>
      <c r="J386" s="21" t="s">
        <v>525</v>
      </c>
      <c r="K386" s="22" t="s">
        <v>526</v>
      </c>
      <c r="L386" s="22" t="s">
        <v>527</v>
      </c>
      <c r="M386" s="22" t="s">
        <v>528</v>
      </c>
      <c r="N386" s="22" t="s">
        <v>529</v>
      </c>
      <c r="O386" s="22" t="s">
        <v>530</v>
      </c>
      <c r="P386" s="23" t="s">
        <v>531</v>
      </c>
      <c r="Q386" s="305"/>
      <c r="R386" s="320"/>
      <c r="S386" s="299"/>
      <c r="T386" s="287"/>
      <c r="U386" s="287"/>
      <c r="V386" s="287"/>
      <c r="W386" s="287"/>
    </row>
    <row r="387" spans="2:23" ht="36.75" customHeight="1">
      <c r="B387" s="108">
        <v>1</v>
      </c>
      <c r="C387" s="321" t="s">
        <v>78</v>
      </c>
      <c r="D387" s="321"/>
      <c r="E387" s="109">
        <v>1</v>
      </c>
      <c r="F387" s="107">
        <v>0</v>
      </c>
      <c r="G387" s="106">
        <f>+F387/E387</f>
        <v>0</v>
      </c>
      <c r="H387" s="43">
        <f>+F387/E387</f>
        <v>0</v>
      </c>
      <c r="I387" s="97">
        <f>60953+10000</f>
        <v>70953</v>
      </c>
      <c r="J387" s="97">
        <f>2500+120000</f>
        <v>122500</v>
      </c>
      <c r="K387" s="32"/>
      <c r="L387" s="32"/>
      <c r="M387" s="31"/>
      <c r="N387" s="31"/>
      <c r="O387" s="32">
        <v>40000</v>
      </c>
      <c r="P387" s="74"/>
      <c r="Q387" s="75">
        <f>+SUM(I387:P387)</f>
        <v>233453</v>
      </c>
      <c r="R387" s="76">
        <f>38664+5500+21306+215293</f>
        <v>280763</v>
      </c>
      <c r="S387" s="36">
        <f>R387/Q387</f>
        <v>1.202653210710507</v>
      </c>
      <c r="T387" s="37" t="s">
        <v>79</v>
      </c>
      <c r="U387" s="365" t="s">
        <v>124</v>
      </c>
      <c r="V387" s="365"/>
      <c r="W387" s="365"/>
    </row>
    <row r="388" spans="2:23" ht="36.75" customHeight="1">
      <c r="B388" s="77">
        <v>2</v>
      </c>
      <c r="C388" s="308" t="s">
        <v>80</v>
      </c>
      <c r="D388" s="308"/>
      <c r="E388" s="110">
        <v>40</v>
      </c>
      <c r="F388" s="107">
        <v>25</v>
      </c>
      <c r="G388" s="106">
        <f>+F388/E388</f>
        <v>0.625</v>
      </c>
      <c r="H388" s="43">
        <f>+F388/E388</f>
        <v>0.625</v>
      </c>
      <c r="I388" s="97">
        <v>20000</v>
      </c>
      <c r="J388" s="97"/>
      <c r="K388" s="32"/>
      <c r="L388" s="32"/>
      <c r="M388" s="31"/>
      <c r="N388" s="31"/>
      <c r="O388" s="32">
        <v>20000</v>
      </c>
      <c r="P388" s="74"/>
      <c r="Q388" s="75">
        <f>+SUM(I388:P388)</f>
        <v>40000</v>
      </c>
      <c r="R388" s="76">
        <f>4560+12900+44307</f>
        <v>61767</v>
      </c>
      <c r="S388" s="36">
        <f>R388/Q388</f>
        <v>1.544175</v>
      </c>
      <c r="T388" s="37" t="s">
        <v>79</v>
      </c>
      <c r="U388" s="309"/>
      <c r="V388" s="309"/>
      <c r="W388" s="309"/>
    </row>
    <row r="389" spans="2:23" ht="36.75" customHeight="1">
      <c r="B389" s="77"/>
      <c r="C389" s="308"/>
      <c r="D389" s="308"/>
      <c r="E389" s="110"/>
      <c r="F389" s="107"/>
      <c r="G389" s="106"/>
      <c r="H389" s="43"/>
      <c r="I389" s="97"/>
      <c r="J389" s="97"/>
      <c r="K389" s="32"/>
      <c r="L389" s="32"/>
      <c r="M389" s="31"/>
      <c r="N389" s="31"/>
      <c r="O389" s="31"/>
      <c r="P389" s="74"/>
      <c r="Q389" s="75"/>
      <c r="R389" s="76"/>
      <c r="S389" s="36"/>
      <c r="T389" s="37"/>
      <c r="U389" s="309"/>
      <c r="V389" s="309"/>
      <c r="W389" s="309"/>
    </row>
    <row r="390" spans="2:23" ht="36.75" customHeight="1">
      <c r="B390" s="39"/>
      <c r="C390" s="321"/>
      <c r="D390" s="321"/>
      <c r="E390" s="40"/>
      <c r="F390" s="41"/>
      <c r="G390" s="42"/>
      <c r="H390" s="91"/>
      <c r="I390" s="30"/>
      <c r="J390" s="32"/>
      <c r="K390" s="46"/>
      <c r="L390" s="46"/>
      <c r="M390" s="45"/>
      <c r="N390" s="45"/>
      <c r="O390" s="45"/>
      <c r="P390" s="74"/>
      <c r="Q390" s="75"/>
      <c r="R390" s="76"/>
      <c r="S390" s="36"/>
      <c r="T390" s="37"/>
      <c r="U390" s="309"/>
      <c r="V390" s="309"/>
      <c r="W390" s="309"/>
    </row>
    <row r="391" spans="2:23" ht="36.75" customHeight="1">
      <c r="B391" s="39"/>
      <c r="C391" s="308"/>
      <c r="D391" s="308"/>
      <c r="E391" s="40"/>
      <c r="F391" s="41"/>
      <c r="G391" s="42"/>
      <c r="H391" s="91"/>
      <c r="I391" s="95"/>
      <c r="J391" s="46"/>
      <c r="K391" s="45"/>
      <c r="L391" s="45"/>
      <c r="M391" s="45"/>
      <c r="N391" s="45"/>
      <c r="O391" s="45"/>
      <c r="P391" s="56"/>
      <c r="Q391" s="75"/>
      <c r="R391" s="76"/>
      <c r="S391" s="36"/>
      <c r="T391" s="37"/>
      <c r="U391" s="309"/>
      <c r="V391" s="309"/>
      <c r="W391" s="309"/>
    </row>
    <row r="392" spans="2:23" ht="36.75" customHeight="1" thickBot="1">
      <c r="B392" s="59"/>
      <c r="C392" s="310" t="s">
        <v>541</v>
      </c>
      <c r="D392" s="310"/>
      <c r="E392" s="60"/>
      <c r="F392" s="61"/>
      <c r="G392" s="62"/>
      <c r="H392" s="63"/>
      <c r="I392" s="64">
        <f>+SUM(I387:I391)</f>
        <v>90953</v>
      </c>
      <c r="J392" s="64">
        <f>+SUM(J387:J391)</f>
        <v>122500</v>
      </c>
      <c r="K392" s="64">
        <f>+SUM(K387:K391)</f>
        <v>0</v>
      </c>
      <c r="L392" s="64"/>
      <c r="M392" s="64">
        <f aca="true" t="shared" si="16" ref="M392:R392">+SUM(M387:M391)</f>
        <v>0</v>
      </c>
      <c r="N392" s="64">
        <f t="shared" si="16"/>
        <v>0</v>
      </c>
      <c r="O392" s="64">
        <f t="shared" si="16"/>
        <v>60000</v>
      </c>
      <c r="P392" s="64">
        <f t="shared" si="16"/>
        <v>0</v>
      </c>
      <c r="Q392" s="79">
        <f t="shared" si="16"/>
        <v>273453</v>
      </c>
      <c r="R392" s="79">
        <f t="shared" si="16"/>
        <v>342530</v>
      </c>
      <c r="S392" s="66">
        <f>+R392/Q392</f>
        <v>1.2526101377567627</v>
      </c>
      <c r="T392" s="67"/>
      <c r="U392" s="311"/>
      <c r="V392" s="311"/>
      <c r="W392" s="311"/>
    </row>
    <row r="393" ht="15.75" thickBot="1"/>
    <row r="394" spans="2:23" ht="15.75">
      <c r="B394" s="267" t="s">
        <v>479</v>
      </c>
      <c r="C394" s="267"/>
      <c r="D394" s="267"/>
      <c r="E394" s="267"/>
      <c r="F394" s="267"/>
      <c r="G394" s="267"/>
      <c r="H394" s="267"/>
      <c r="I394" s="267"/>
      <c r="J394" s="267"/>
      <c r="K394" s="267"/>
      <c r="L394" s="267"/>
      <c r="M394" s="267"/>
      <c r="N394" s="267"/>
      <c r="O394" s="267"/>
      <c r="P394" s="267"/>
      <c r="Q394" s="267"/>
      <c r="R394" s="267"/>
      <c r="S394" s="267"/>
      <c r="T394" s="267"/>
      <c r="U394" s="267"/>
      <c r="V394" s="267"/>
      <c r="W394" s="267"/>
    </row>
    <row r="395" spans="2:23" ht="15">
      <c r="B395" s="5"/>
      <c r="C395" s="6"/>
      <c r="D395" s="6"/>
      <c r="E395" s="6"/>
      <c r="F395" s="6"/>
      <c r="G395" s="6"/>
      <c r="H395" s="6"/>
      <c r="I395" s="6"/>
      <c r="J395" s="6"/>
      <c r="K395" s="6"/>
      <c r="L395" s="6"/>
      <c r="M395" s="6"/>
      <c r="N395" s="6"/>
      <c r="O395" s="6"/>
      <c r="P395" s="6"/>
      <c r="Q395" s="6"/>
      <c r="R395" s="6"/>
      <c r="S395" s="6"/>
      <c r="T395" s="6"/>
      <c r="U395" s="6"/>
      <c r="V395" s="6"/>
      <c r="W395" s="7"/>
    </row>
    <row r="396" spans="1:24" s="100" customFormat="1" ht="27" customHeight="1">
      <c r="A396" s="99"/>
      <c r="B396" s="268" t="s">
        <v>480</v>
      </c>
      <c r="C396" s="269"/>
      <c r="D396" s="269"/>
      <c r="E396" s="269"/>
      <c r="F396" s="269"/>
      <c r="G396" s="269"/>
      <c r="H396" s="269"/>
      <c r="I396" s="269"/>
      <c r="J396" s="269"/>
      <c r="K396" s="269"/>
      <c r="L396" s="269"/>
      <c r="M396" s="269"/>
      <c r="N396" s="269"/>
      <c r="O396" s="269"/>
      <c r="P396" s="269"/>
      <c r="Q396" s="269"/>
      <c r="R396" s="269"/>
      <c r="S396" s="269"/>
      <c r="T396" s="269"/>
      <c r="U396" s="269"/>
      <c r="V396" s="269"/>
      <c r="W396" s="270"/>
      <c r="X396" s="9"/>
    </row>
    <row r="397" spans="1:24" s="100" customFormat="1" ht="27" customHeight="1">
      <c r="A397" s="99"/>
      <c r="B397" s="271" t="s">
        <v>481</v>
      </c>
      <c r="C397" s="272"/>
      <c r="D397" s="272"/>
      <c r="E397" s="272"/>
      <c r="F397" s="272"/>
      <c r="G397" s="272"/>
      <c r="H397" s="272"/>
      <c r="I397" s="272"/>
      <c r="J397" s="272"/>
      <c r="K397" s="272"/>
      <c r="L397" s="272"/>
      <c r="M397" s="272"/>
      <c r="N397" s="272"/>
      <c r="O397" s="272"/>
      <c r="P397" s="272"/>
      <c r="Q397" s="272"/>
      <c r="R397" s="272"/>
      <c r="S397" s="272"/>
      <c r="T397" s="272"/>
      <c r="U397" s="272"/>
      <c r="V397" s="272"/>
      <c r="W397" s="273"/>
      <c r="X397" s="9"/>
    </row>
    <row r="398" spans="1:24" s="100" customFormat="1" ht="27" customHeight="1">
      <c r="A398" s="99"/>
      <c r="B398" s="274" t="s">
        <v>482</v>
      </c>
      <c r="C398" s="275"/>
      <c r="D398" s="275"/>
      <c r="E398" s="275"/>
      <c r="F398" s="275"/>
      <c r="G398" s="275"/>
      <c r="H398" s="275"/>
      <c r="I398" s="275"/>
      <c r="J398" s="275"/>
      <c r="K398" s="275"/>
      <c r="L398" s="275"/>
      <c r="M398" s="275"/>
      <c r="N398" s="275"/>
      <c r="O398" s="275"/>
      <c r="P398" s="275"/>
      <c r="Q398" s="275"/>
      <c r="R398" s="275"/>
      <c r="S398" s="275"/>
      <c r="T398" s="275"/>
      <c r="U398" s="275"/>
      <c r="V398" s="275"/>
      <c r="W398" s="276"/>
      <c r="X398" s="9"/>
    </row>
    <row r="399" spans="2:23" ht="15">
      <c r="B399" s="5"/>
      <c r="C399" s="6"/>
      <c r="D399" s="8"/>
      <c r="E399" s="8"/>
      <c r="F399" s="8"/>
      <c r="G399" s="8"/>
      <c r="H399" s="8"/>
      <c r="I399" s="6"/>
      <c r="J399" s="6"/>
      <c r="K399" s="6"/>
      <c r="L399" s="6"/>
      <c r="M399" s="6"/>
      <c r="N399" s="6"/>
      <c r="O399" s="6"/>
      <c r="P399" s="6"/>
      <c r="Q399" s="6"/>
      <c r="R399" s="6"/>
      <c r="S399" s="6"/>
      <c r="T399" s="6"/>
      <c r="U399" s="6"/>
      <c r="V399" s="6"/>
      <c r="W399" s="7"/>
    </row>
    <row r="400" spans="2:23" ht="15">
      <c r="B400" s="279" t="s">
        <v>483</v>
      </c>
      <c r="C400" s="280"/>
      <c r="D400" s="10" t="s">
        <v>484</v>
      </c>
      <c r="E400" s="10"/>
      <c r="F400" s="10"/>
      <c r="G400" s="11"/>
      <c r="H400" s="11"/>
      <c r="I400" s="11"/>
      <c r="J400" s="11"/>
      <c r="K400" s="11"/>
      <c r="L400" s="10" t="s">
        <v>485</v>
      </c>
      <c r="M400" s="10"/>
      <c r="N400" s="10"/>
      <c r="O400" s="281" t="s">
        <v>486</v>
      </c>
      <c r="P400" s="282"/>
      <c r="Q400" s="282"/>
      <c r="R400" s="282"/>
      <c r="S400" s="282"/>
      <c r="T400" s="282" t="s">
        <v>487</v>
      </c>
      <c r="U400" s="280"/>
      <c r="V400" s="280"/>
      <c r="W400" s="285"/>
    </row>
    <row r="401" spans="2:23" ht="15">
      <c r="B401" s="279" t="s">
        <v>488</v>
      </c>
      <c r="C401" s="280"/>
      <c r="D401" s="10" t="s">
        <v>489</v>
      </c>
      <c r="E401" s="10"/>
      <c r="F401" s="10"/>
      <c r="G401" s="11"/>
      <c r="H401" s="11"/>
      <c r="I401" s="11"/>
      <c r="J401" s="11"/>
      <c r="K401" s="11"/>
      <c r="L401" s="282" t="s">
        <v>490</v>
      </c>
      <c r="M401" s="280"/>
      <c r="N401" s="280"/>
      <c r="O401" s="282" t="s">
        <v>491</v>
      </c>
      <c r="P401" s="282"/>
      <c r="Q401" s="282"/>
      <c r="R401" s="282"/>
      <c r="S401" s="282"/>
      <c r="T401" s="12" t="s">
        <v>492</v>
      </c>
      <c r="U401" s="11">
        <v>1</v>
      </c>
      <c r="V401" s="11" t="s">
        <v>493</v>
      </c>
      <c r="W401" s="13">
        <v>18</v>
      </c>
    </row>
    <row r="402" spans="2:23" ht="15.75" thickBot="1">
      <c r="B402" s="83"/>
      <c r="C402" s="11"/>
      <c r="D402" s="11"/>
      <c r="E402" s="11"/>
      <c r="F402" s="11"/>
      <c r="G402" s="11"/>
      <c r="H402" s="11"/>
      <c r="I402" s="11"/>
      <c r="J402" s="11"/>
      <c r="K402" s="11"/>
      <c r="L402" s="283"/>
      <c r="M402" s="283"/>
      <c r="N402" s="283"/>
      <c r="O402" s="282" t="s">
        <v>494</v>
      </c>
      <c r="P402" s="282"/>
      <c r="Q402" s="282"/>
      <c r="R402" s="284"/>
      <c r="S402" s="284"/>
      <c r="T402" s="278"/>
      <c r="U402" s="278"/>
      <c r="V402" s="11"/>
      <c r="W402" s="16"/>
    </row>
    <row r="403" spans="2:23" ht="15.75" customHeight="1" thickBot="1">
      <c r="B403" s="325" t="s">
        <v>495</v>
      </c>
      <c r="C403" s="326"/>
      <c r="D403" s="327" t="s">
        <v>72</v>
      </c>
      <c r="E403" s="327"/>
      <c r="F403" s="327"/>
      <c r="G403" s="327"/>
      <c r="H403" s="327"/>
      <c r="I403" s="258" t="s">
        <v>497</v>
      </c>
      <c r="J403" s="248"/>
      <c r="K403" s="261" t="s">
        <v>81</v>
      </c>
      <c r="L403" s="291"/>
      <c r="M403" s="262"/>
      <c r="N403" s="261" t="s">
        <v>82</v>
      </c>
      <c r="O403" s="262"/>
      <c r="P403" s="261" t="s">
        <v>83</v>
      </c>
      <c r="Q403" s="262"/>
      <c r="R403" s="259" t="s">
        <v>502</v>
      </c>
      <c r="S403" s="260"/>
      <c r="T403" s="261" t="s">
        <v>84</v>
      </c>
      <c r="U403" s="296" t="s">
        <v>85</v>
      </c>
      <c r="V403" s="261" t="s">
        <v>86</v>
      </c>
      <c r="W403" s="262"/>
    </row>
    <row r="404" spans="2:23" ht="42.75" customHeight="1" thickBot="1">
      <c r="B404" s="328" t="s">
        <v>506</v>
      </c>
      <c r="C404" s="252"/>
      <c r="D404" s="294" t="s">
        <v>76</v>
      </c>
      <c r="E404" s="295"/>
      <c r="F404" s="295"/>
      <c r="G404" s="295"/>
      <c r="H404" s="295"/>
      <c r="I404" s="249"/>
      <c r="J404" s="250"/>
      <c r="K404" s="263"/>
      <c r="L404" s="292"/>
      <c r="M404" s="264"/>
      <c r="N404" s="263"/>
      <c r="O404" s="264"/>
      <c r="P404" s="263"/>
      <c r="Q404" s="264"/>
      <c r="R404" s="259"/>
      <c r="S404" s="260"/>
      <c r="T404" s="263"/>
      <c r="U404" s="297"/>
      <c r="V404" s="263"/>
      <c r="W404" s="264"/>
    </row>
    <row r="405" spans="2:23" ht="66" customHeight="1" thickBot="1">
      <c r="B405" s="331" t="s">
        <v>508</v>
      </c>
      <c r="C405" s="332"/>
      <c r="D405" s="333" t="s">
        <v>87</v>
      </c>
      <c r="E405" s="334"/>
      <c r="F405" s="334"/>
      <c r="G405" s="334"/>
      <c r="H405" s="335"/>
      <c r="I405" s="251"/>
      <c r="J405" s="247"/>
      <c r="K405" s="265"/>
      <c r="L405" s="293"/>
      <c r="M405" s="266"/>
      <c r="N405" s="265"/>
      <c r="O405" s="266"/>
      <c r="P405" s="265"/>
      <c r="Q405" s="266"/>
      <c r="R405" s="259"/>
      <c r="S405" s="260"/>
      <c r="T405" s="265"/>
      <c r="U405" s="298"/>
      <c r="V405" s="265"/>
      <c r="W405" s="266"/>
    </row>
    <row r="406" spans="2:23" ht="18.75" thickBot="1">
      <c r="B406" s="84"/>
      <c r="C406" s="85"/>
      <c r="D406" s="86"/>
      <c r="E406" s="87"/>
      <c r="F406" s="87"/>
      <c r="G406" s="87"/>
      <c r="H406" s="87"/>
      <c r="I406" s="84"/>
      <c r="J406" s="84"/>
      <c r="K406" s="84"/>
      <c r="L406" s="84"/>
      <c r="M406" s="84"/>
      <c r="N406" s="84"/>
      <c r="O406" s="84"/>
      <c r="P406" s="84"/>
      <c r="Q406" s="84"/>
      <c r="R406" s="84"/>
      <c r="S406" s="84"/>
      <c r="T406" s="19"/>
      <c r="U406" s="19"/>
      <c r="V406" s="19"/>
      <c r="W406" s="19"/>
    </row>
    <row r="407" spans="2:23" ht="15.75" thickBot="1">
      <c r="B407" s="341" t="s">
        <v>510</v>
      </c>
      <c r="C407" s="342"/>
      <c r="D407" s="342"/>
      <c r="E407" s="342"/>
      <c r="F407" s="342"/>
      <c r="G407" s="342"/>
      <c r="H407" s="342"/>
      <c r="I407" s="343" t="s">
        <v>511</v>
      </c>
      <c r="J407" s="343"/>
      <c r="K407" s="343"/>
      <c r="L407" s="343"/>
      <c r="M407" s="343"/>
      <c r="N407" s="343"/>
      <c r="O407" s="343"/>
      <c r="P407" s="343"/>
      <c r="Q407" s="343"/>
      <c r="R407" s="343"/>
      <c r="S407" s="344"/>
      <c r="T407" s="345" t="s">
        <v>512</v>
      </c>
      <c r="U407" s="287" t="s">
        <v>513</v>
      </c>
      <c r="V407" s="287"/>
      <c r="W407" s="287"/>
    </row>
    <row r="408" spans="2:23" ht="15.75" thickBot="1">
      <c r="B408" s="316" t="s">
        <v>514</v>
      </c>
      <c r="C408" s="318" t="s">
        <v>515</v>
      </c>
      <c r="D408" s="318"/>
      <c r="E408" s="314" t="s">
        <v>516</v>
      </c>
      <c r="F408" s="314" t="s">
        <v>517</v>
      </c>
      <c r="G408" s="314" t="s">
        <v>518</v>
      </c>
      <c r="H408" s="300" t="s">
        <v>519</v>
      </c>
      <c r="I408" s="337" t="s">
        <v>520</v>
      </c>
      <c r="J408" s="338"/>
      <c r="K408" s="338"/>
      <c r="L408" s="338"/>
      <c r="M408" s="338"/>
      <c r="N408" s="338"/>
      <c r="O408" s="338"/>
      <c r="P408" s="338"/>
      <c r="Q408" s="339" t="s">
        <v>521</v>
      </c>
      <c r="R408" s="340" t="s">
        <v>522</v>
      </c>
      <c r="S408" s="336" t="s">
        <v>523</v>
      </c>
      <c r="T408" s="287"/>
      <c r="U408" s="287"/>
      <c r="V408" s="287"/>
      <c r="W408" s="287"/>
    </row>
    <row r="409" spans="2:23" ht="78.75" customHeight="1" thickBot="1">
      <c r="B409" s="368"/>
      <c r="C409" s="369"/>
      <c r="D409" s="369"/>
      <c r="E409" s="366"/>
      <c r="F409" s="366"/>
      <c r="G409" s="366"/>
      <c r="H409" s="367"/>
      <c r="I409" s="20" t="s">
        <v>524</v>
      </c>
      <c r="J409" s="21" t="s">
        <v>525</v>
      </c>
      <c r="K409" s="22" t="s">
        <v>526</v>
      </c>
      <c r="L409" s="22" t="s">
        <v>527</v>
      </c>
      <c r="M409" s="22" t="s">
        <v>528</v>
      </c>
      <c r="N409" s="22" t="s">
        <v>529</v>
      </c>
      <c r="O409" s="22" t="s">
        <v>530</v>
      </c>
      <c r="P409" s="23" t="s">
        <v>531</v>
      </c>
      <c r="Q409" s="305"/>
      <c r="R409" s="320"/>
      <c r="S409" s="299"/>
      <c r="T409" s="287"/>
      <c r="U409" s="287"/>
      <c r="V409" s="287"/>
      <c r="W409" s="287"/>
    </row>
    <row r="410" spans="2:23" ht="35.25" customHeight="1">
      <c r="B410" s="108">
        <v>1</v>
      </c>
      <c r="C410" s="387" t="s">
        <v>88</v>
      </c>
      <c r="D410" s="387"/>
      <c r="E410" s="111">
        <v>80</v>
      </c>
      <c r="F410" s="107">
        <v>50</v>
      </c>
      <c r="G410" s="106">
        <f>+F410/E410</f>
        <v>0.625</v>
      </c>
      <c r="H410" s="43">
        <f>+F410/E410</f>
        <v>0.625</v>
      </c>
      <c r="I410" s="97">
        <f>80000+50000+10000</f>
        <v>140000</v>
      </c>
      <c r="J410" s="97">
        <f>2500+30000</f>
        <v>32500</v>
      </c>
      <c r="K410" s="32"/>
      <c r="L410" s="32"/>
      <c r="M410" s="31"/>
      <c r="N410" s="31"/>
      <c r="O410" s="32">
        <v>30000</v>
      </c>
      <c r="P410" s="74"/>
      <c r="Q410" s="75">
        <f>+SUM(I410:P410)</f>
        <v>202500</v>
      </c>
      <c r="R410" s="76">
        <f>6240+55089+5500</f>
        <v>66829</v>
      </c>
      <c r="S410" s="36">
        <f>R410/Q410</f>
        <v>0.33001975308641973</v>
      </c>
      <c r="T410" s="37" t="s">
        <v>79</v>
      </c>
      <c r="U410" s="307"/>
      <c r="V410" s="307"/>
      <c r="W410" s="307"/>
    </row>
    <row r="411" spans="2:23" ht="35.25" customHeight="1">
      <c r="B411" s="77">
        <v>2</v>
      </c>
      <c r="C411" s="388" t="s">
        <v>89</v>
      </c>
      <c r="D411" s="388"/>
      <c r="E411" s="112">
        <v>100</v>
      </c>
      <c r="F411" s="107">
        <v>70</v>
      </c>
      <c r="G411" s="106">
        <f>+F411/E411</f>
        <v>0.7</v>
      </c>
      <c r="H411" s="43">
        <f>+F411/E411</f>
        <v>0.7</v>
      </c>
      <c r="I411" s="97"/>
      <c r="J411" s="97"/>
      <c r="K411" s="32"/>
      <c r="L411" s="32"/>
      <c r="M411" s="31"/>
      <c r="N411" s="31"/>
      <c r="O411" s="31"/>
      <c r="P411" s="74"/>
      <c r="Q411" s="75">
        <f>+SUM(I411:P411)</f>
        <v>0</v>
      </c>
      <c r="R411" s="76">
        <v>149685</v>
      </c>
      <c r="S411" s="36"/>
      <c r="T411" s="37" t="s">
        <v>79</v>
      </c>
      <c r="U411" s="322"/>
      <c r="V411" s="322"/>
      <c r="W411" s="322"/>
    </row>
    <row r="412" spans="2:23" ht="35.25" customHeight="1">
      <c r="B412" s="108">
        <v>3</v>
      </c>
      <c r="C412" s="388" t="s">
        <v>90</v>
      </c>
      <c r="D412" s="388"/>
      <c r="E412" s="112">
        <v>100</v>
      </c>
      <c r="F412" s="107">
        <v>70</v>
      </c>
      <c r="G412" s="106">
        <f>+F412/E412</f>
        <v>0.7</v>
      </c>
      <c r="H412" s="43">
        <f>+F412/E412</f>
        <v>0.7</v>
      </c>
      <c r="I412" s="97"/>
      <c r="J412" s="97"/>
      <c r="K412" s="32"/>
      <c r="L412" s="32"/>
      <c r="M412" s="31"/>
      <c r="N412" s="31"/>
      <c r="O412" s="31"/>
      <c r="P412" s="74"/>
      <c r="Q412" s="75">
        <f>+SUM(I412:P412)</f>
        <v>0</v>
      </c>
      <c r="R412" s="76"/>
      <c r="S412" s="36"/>
      <c r="T412" s="37" t="s">
        <v>79</v>
      </c>
      <c r="U412" s="322"/>
      <c r="V412" s="322"/>
      <c r="W412" s="322"/>
    </row>
    <row r="413" spans="2:23" ht="35.25" customHeight="1">
      <c r="B413" s="39"/>
      <c r="C413" s="321"/>
      <c r="D413" s="321"/>
      <c r="E413" s="40"/>
      <c r="F413" s="41"/>
      <c r="G413" s="42"/>
      <c r="H413" s="91"/>
      <c r="I413" s="30"/>
      <c r="J413" s="32"/>
      <c r="K413" s="46"/>
      <c r="L413" s="46"/>
      <c r="M413" s="45"/>
      <c r="N413" s="45"/>
      <c r="O413" s="45"/>
      <c r="P413" s="74"/>
      <c r="Q413" s="75"/>
      <c r="R413" s="76"/>
      <c r="S413" s="36"/>
      <c r="T413" s="37"/>
      <c r="U413" s="322"/>
      <c r="V413" s="322"/>
      <c r="W413" s="322"/>
    </row>
    <row r="414" spans="1:23" ht="35.25" customHeight="1">
      <c r="A414" s="1"/>
      <c r="B414" s="39"/>
      <c r="C414" s="308"/>
      <c r="D414" s="308"/>
      <c r="E414" s="40"/>
      <c r="F414" s="41"/>
      <c r="G414" s="42"/>
      <c r="H414" s="91"/>
      <c r="I414" s="95"/>
      <c r="J414" s="46"/>
      <c r="K414" s="45"/>
      <c r="L414" s="45"/>
      <c r="M414" s="45"/>
      <c r="N414" s="45"/>
      <c r="O414" s="45"/>
      <c r="P414" s="56"/>
      <c r="Q414" s="75"/>
      <c r="R414" s="76"/>
      <c r="S414" s="36"/>
      <c r="T414" s="37"/>
      <c r="U414" s="322"/>
      <c r="V414" s="322"/>
      <c r="W414" s="322"/>
    </row>
    <row r="415" spans="1:23" ht="35.25" customHeight="1" thickBot="1">
      <c r="A415" s="1"/>
      <c r="B415" s="59"/>
      <c r="C415" s="310" t="s">
        <v>541</v>
      </c>
      <c r="D415" s="310"/>
      <c r="E415" s="60"/>
      <c r="F415" s="61"/>
      <c r="G415" s="62"/>
      <c r="H415" s="63"/>
      <c r="I415" s="64">
        <f>+SUM(I410:I414)</f>
        <v>140000</v>
      </c>
      <c r="J415" s="64">
        <f>+SUM(J410:J414)</f>
        <v>32500</v>
      </c>
      <c r="K415" s="64">
        <f>+SUM(K410:K414)</f>
        <v>0</v>
      </c>
      <c r="L415" s="64"/>
      <c r="M415" s="64">
        <f aca="true" t="shared" si="17" ref="M415:R415">+SUM(M410:M414)</f>
        <v>0</v>
      </c>
      <c r="N415" s="64">
        <f t="shared" si="17"/>
        <v>0</v>
      </c>
      <c r="O415" s="64">
        <f t="shared" si="17"/>
        <v>30000</v>
      </c>
      <c r="P415" s="64">
        <f t="shared" si="17"/>
        <v>0</v>
      </c>
      <c r="Q415" s="79">
        <f t="shared" si="17"/>
        <v>202500</v>
      </c>
      <c r="R415" s="79">
        <f t="shared" si="17"/>
        <v>216514</v>
      </c>
      <c r="S415" s="66">
        <f>+R415/Q415</f>
        <v>1.069204938271605</v>
      </c>
      <c r="T415" s="67"/>
      <c r="U415" s="311"/>
      <c r="V415" s="311"/>
      <c r="W415" s="311"/>
    </row>
    <row r="416" ht="15.75" thickBot="1"/>
    <row r="417" spans="2:23" ht="15.75">
      <c r="B417" s="267" t="s">
        <v>479</v>
      </c>
      <c r="C417" s="267"/>
      <c r="D417" s="267"/>
      <c r="E417" s="267"/>
      <c r="F417" s="267"/>
      <c r="G417" s="267"/>
      <c r="H417" s="267"/>
      <c r="I417" s="267"/>
      <c r="J417" s="267"/>
      <c r="K417" s="267"/>
      <c r="L417" s="267"/>
      <c r="M417" s="267"/>
      <c r="N417" s="267"/>
      <c r="O417" s="267"/>
      <c r="P417" s="267"/>
      <c r="Q417" s="267"/>
      <c r="R417" s="267"/>
      <c r="S417" s="267"/>
      <c r="T417" s="267"/>
      <c r="U417" s="267"/>
      <c r="V417" s="267"/>
      <c r="W417" s="267"/>
    </row>
    <row r="418" spans="2:23" ht="15">
      <c r="B418" s="5"/>
      <c r="C418" s="6"/>
      <c r="D418" s="6"/>
      <c r="E418" s="6"/>
      <c r="F418" s="6"/>
      <c r="G418" s="6"/>
      <c r="H418" s="6"/>
      <c r="I418" s="6"/>
      <c r="J418" s="6"/>
      <c r="K418" s="6"/>
      <c r="L418" s="6"/>
      <c r="M418" s="6"/>
      <c r="N418" s="6"/>
      <c r="O418" s="6"/>
      <c r="P418" s="6"/>
      <c r="Q418" s="6"/>
      <c r="R418" s="6"/>
      <c r="S418" s="6"/>
      <c r="T418" s="6"/>
      <c r="U418" s="6"/>
      <c r="V418" s="6"/>
      <c r="W418" s="7"/>
    </row>
    <row r="419" spans="1:24" s="100" customFormat="1" ht="25.5" customHeight="1">
      <c r="A419" s="99"/>
      <c r="B419" s="268" t="s">
        <v>480</v>
      </c>
      <c r="C419" s="269"/>
      <c r="D419" s="269"/>
      <c r="E419" s="269"/>
      <c r="F419" s="269"/>
      <c r="G419" s="269"/>
      <c r="H419" s="269"/>
      <c r="I419" s="269"/>
      <c r="J419" s="269"/>
      <c r="K419" s="269"/>
      <c r="L419" s="269"/>
      <c r="M419" s="269"/>
      <c r="N419" s="269"/>
      <c r="O419" s="269"/>
      <c r="P419" s="269"/>
      <c r="Q419" s="269"/>
      <c r="R419" s="269"/>
      <c r="S419" s="269"/>
      <c r="T419" s="269"/>
      <c r="U419" s="269"/>
      <c r="V419" s="269"/>
      <c r="W419" s="270"/>
      <c r="X419" s="9"/>
    </row>
    <row r="420" spans="1:24" s="100" customFormat="1" ht="25.5" customHeight="1">
      <c r="A420" s="99"/>
      <c r="B420" s="271" t="s">
        <v>481</v>
      </c>
      <c r="C420" s="272"/>
      <c r="D420" s="272"/>
      <c r="E420" s="272"/>
      <c r="F420" s="272"/>
      <c r="G420" s="272"/>
      <c r="H420" s="272"/>
      <c r="I420" s="272"/>
      <c r="J420" s="272"/>
      <c r="K420" s="272"/>
      <c r="L420" s="272"/>
      <c r="M420" s="272"/>
      <c r="N420" s="272"/>
      <c r="O420" s="272"/>
      <c r="P420" s="272"/>
      <c r="Q420" s="272"/>
      <c r="R420" s="272"/>
      <c r="S420" s="272"/>
      <c r="T420" s="272"/>
      <c r="U420" s="272"/>
      <c r="V420" s="272"/>
      <c r="W420" s="273"/>
      <c r="X420" s="9"/>
    </row>
    <row r="421" spans="1:24" s="100" customFormat="1" ht="25.5" customHeight="1">
      <c r="A421" s="99"/>
      <c r="B421" s="274" t="s">
        <v>482</v>
      </c>
      <c r="C421" s="275"/>
      <c r="D421" s="275"/>
      <c r="E421" s="275"/>
      <c r="F421" s="275"/>
      <c r="G421" s="275"/>
      <c r="H421" s="275"/>
      <c r="I421" s="275"/>
      <c r="J421" s="275"/>
      <c r="K421" s="275"/>
      <c r="L421" s="275"/>
      <c r="M421" s="275"/>
      <c r="N421" s="275"/>
      <c r="O421" s="275"/>
      <c r="P421" s="275"/>
      <c r="Q421" s="275"/>
      <c r="R421" s="275"/>
      <c r="S421" s="275"/>
      <c r="T421" s="275"/>
      <c r="U421" s="275"/>
      <c r="V421" s="275"/>
      <c r="W421" s="276"/>
      <c r="X421" s="9"/>
    </row>
    <row r="422" spans="2:23" ht="15">
      <c r="B422" s="5"/>
      <c r="C422" s="6"/>
      <c r="D422" s="8"/>
      <c r="E422" s="8"/>
      <c r="F422" s="8"/>
      <c r="G422" s="8"/>
      <c r="H422" s="8"/>
      <c r="I422" s="6"/>
      <c r="J422" s="6"/>
      <c r="K422" s="6"/>
      <c r="L422" s="6"/>
      <c r="M422" s="6"/>
      <c r="N422" s="6"/>
      <c r="O422" s="6"/>
      <c r="P422" s="6"/>
      <c r="Q422" s="6"/>
      <c r="R422" s="6"/>
      <c r="S422" s="6"/>
      <c r="T422" s="6"/>
      <c r="U422" s="6"/>
      <c r="V422" s="6"/>
      <c r="W422" s="7"/>
    </row>
    <row r="423" spans="2:23" ht="15">
      <c r="B423" s="279" t="s">
        <v>483</v>
      </c>
      <c r="C423" s="280"/>
      <c r="D423" s="10" t="s">
        <v>484</v>
      </c>
      <c r="E423" s="10"/>
      <c r="F423" s="10"/>
      <c r="G423" s="11"/>
      <c r="H423" s="11"/>
      <c r="I423" s="11"/>
      <c r="J423" s="11"/>
      <c r="K423" s="11"/>
      <c r="L423" s="10" t="s">
        <v>485</v>
      </c>
      <c r="M423" s="10"/>
      <c r="N423" s="10"/>
      <c r="O423" s="281" t="s">
        <v>486</v>
      </c>
      <c r="P423" s="282"/>
      <c r="Q423" s="282"/>
      <c r="R423" s="282"/>
      <c r="S423" s="282"/>
      <c r="T423" s="282" t="s">
        <v>487</v>
      </c>
      <c r="U423" s="280"/>
      <c r="V423" s="280"/>
      <c r="W423" s="285"/>
    </row>
    <row r="424" spans="2:23" ht="15">
      <c r="B424" s="279" t="s">
        <v>488</v>
      </c>
      <c r="C424" s="280"/>
      <c r="D424" s="10" t="s">
        <v>489</v>
      </c>
      <c r="E424" s="10"/>
      <c r="F424" s="10"/>
      <c r="G424" s="11"/>
      <c r="H424" s="11"/>
      <c r="I424" s="11"/>
      <c r="J424" s="11"/>
      <c r="K424" s="11"/>
      <c r="L424" s="282" t="s">
        <v>490</v>
      </c>
      <c r="M424" s="280"/>
      <c r="N424" s="280"/>
      <c r="O424" s="282" t="s">
        <v>491</v>
      </c>
      <c r="P424" s="282"/>
      <c r="Q424" s="282"/>
      <c r="R424" s="282"/>
      <c r="S424" s="282"/>
      <c r="T424" s="12" t="s">
        <v>492</v>
      </c>
      <c r="U424" s="11">
        <v>1</v>
      </c>
      <c r="V424" s="11" t="s">
        <v>493</v>
      </c>
      <c r="W424" s="13">
        <v>19</v>
      </c>
    </row>
    <row r="425" spans="2:23" ht="15.75" thickBot="1">
      <c r="B425" s="83"/>
      <c r="C425" s="11"/>
      <c r="D425" s="11"/>
      <c r="E425" s="11"/>
      <c r="F425" s="11"/>
      <c r="G425" s="11"/>
      <c r="H425" s="11"/>
      <c r="I425" s="11"/>
      <c r="J425" s="11"/>
      <c r="K425" s="11"/>
      <c r="L425" s="283"/>
      <c r="M425" s="283"/>
      <c r="N425" s="283"/>
      <c r="O425" s="282" t="s">
        <v>494</v>
      </c>
      <c r="P425" s="282"/>
      <c r="Q425" s="282"/>
      <c r="R425" s="284"/>
      <c r="S425" s="284"/>
      <c r="T425" s="278"/>
      <c r="U425" s="278"/>
      <c r="V425" s="11"/>
      <c r="W425" s="16"/>
    </row>
    <row r="426" spans="2:23" ht="15.75" customHeight="1" thickBot="1">
      <c r="B426" s="325" t="s">
        <v>495</v>
      </c>
      <c r="C426" s="326"/>
      <c r="D426" s="327" t="s">
        <v>72</v>
      </c>
      <c r="E426" s="327"/>
      <c r="F426" s="327"/>
      <c r="G426" s="327"/>
      <c r="H426" s="327"/>
      <c r="I426" s="258" t="s">
        <v>497</v>
      </c>
      <c r="J426" s="248"/>
      <c r="K426" s="261" t="s">
        <v>91</v>
      </c>
      <c r="L426" s="291"/>
      <c r="M426" s="262"/>
      <c r="N426" s="261" t="s">
        <v>92</v>
      </c>
      <c r="O426" s="262"/>
      <c r="P426" s="261" t="s">
        <v>83</v>
      </c>
      <c r="Q426" s="262"/>
      <c r="R426" s="259" t="s">
        <v>502</v>
      </c>
      <c r="S426" s="260"/>
      <c r="T426" s="261" t="s">
        <v>93</v>
      </c>
      <c r="U426" s="296" t="s">
        <v>94</v>
      </c>
      <c r="V426" s="261" t="s">
        <v>95</v>
      </c>
      <c r="W426" s="262"/>
    </row>
    <row r="427" spans="2:23" ht="34.5" customHeight="1" thickBot="1">
      <c r="B427" s="328" t="s">
        <v>506</v>
      </c>
      <c r="C427" s="252"/>
      <c r="D427" s="294" t="s">
        <v>76</v>
      </c>
      <c r="E427" s="295"/>
      <c r="F427" s="295"/>
      <c r="G427" s="295"/>
      <c r="H427" s="295"/>
      <c r="I427" s="249"/>
      <c r="J427" s="250"/>
      <c r="K427" s="263"/>
      <c r="L427" s="292"/>
      <c r="M427" s="264"/>
      <c r="N427" s="263"/>
      <c r="O427" s="264"/>
      <c r="P427" s="263"/>
      <c r="Q427" s="264"/>
      <c r="R427" s="259"/>
      <c r="S427" s="260"/>
      <c r="T427" s="263"/>
      <c r="U427" s="297"/>
      <c r="V427" s="263"/>
      <c r="W427" s="264"/>
    </row>
    <row r="428" spans="2:23" ht="54.75" customHeight="1" thickBot="1">
      <c r="B428" s="331" t="s">
        <v>508</v>
      </c>
      <c r="C428" s="332"/>
      <c r="D428" s="333" t="s">
        <v>96</v>
      </c>
      <c r="E428" s="334"/>
      <c r="F428" s="334"/>
      <c r="G428" s="334"/>
      <c r="H428" s="335"/>
      <c r="I428" s="251"/>
      <c r="J428" s="247"/>
      <c r="K428" s="265"/>
      <c r="L428" s="293"/>
      <c r="M428" s="266"/>
      <c r="N428" s="265"/>
      <c r="O428" s="266"/>
      <c r="P428" s="265"/>
      <c r="Q428" s="266"/>
      <c r="R428" s="259"/>
      <c r="S428" s="260"/>
      <c r="T428" s="265"/>
      <c r="U428" s="298"/>
      <c r="V428" s="265"/>
      <c r="W428" s="266"/>
    </row>
    <row r="429" spans="2:23" ht="18.75" thickBot="1">
      <c r="B429" s="84"/>
      <c r="C429" s="85"/>
      <c r="D429" s="86"/>
      <c r="E429" s="87"/>
      <c r="F429" s="87"/>
      <c r="G429" s="87"/>
      <c r="H429" s="87"/>
      <c r="I429" s="84"/>
      <c r="J429" s="84"/>
      <c r="K429" s="84"/>
      <c r="L429" s="84"/>
      <c r="M429" s="84"/>
      <c r="N429" s="84"/>
      <c r="O429" s="84"/>
      <c r="P429" s="84"/>
      <c r="Q429" s="84"/>
      <c r="R429" s="84"/>
      <c r="S429" s="84"/>
      <c r="T429" s="19"/>
      <c r="U429" s="19"/>
      <c r="V429" s="19"/>
      <c r="W429" s="19"/>
    </row>
    <row r="430" spans="2:23" ht="15.75" thickBot="1">
      <c r="B430" s="341" t="s">
        <v>510</v>
      </c>
      <c r="C430" s="342"/>
      <c r="D430" s="342"/>
      <c r="E430" s="342"/>
      <c r="F430" s="342"/>
      <c r="G430" s="342"/>
      <c r="H430" s="342"/>
      <c r="I430" s="343" t="s">
        <v>511</v>
      </c>
      <c r="J430" s="343"/>
      <c r="K430" s="343"/>
      <c r="L430" s="343"/>
      <c r="M430" s="343"/>
      <c r="N430" s="343"/>
      <c r="O430" s="343"/>
      <c r="P430" s="343"/>
      <c r="Q430" s="343"/>
      <c r="R430" s="343"/>
      <c r="S430" s="344"/>
      <c r="T430" s="345" t="s">
        <v>512</v>
      </c>
      <c r="U430" s="287" t="s">
        <v>513</v>
      </c>
      <c r="V430" s="287"/>
      <c r="W430" s="287"/>
    </row>
    <row r="431" spans="2:23" ht="15.75" thickBot="1">
      <c r="B431" s="316" t="s">
        <v>514</v>
      </c>
      <c r="C431" s="318" t="s">
        <v>515</v>
      </c>
      <c r="D431" s="318"/>
      <c r="E431" s="314" t="s">
        <v>516</v>
      </c>
      <c r="F431" s="314" t="s">
        <v>517</v>
      </c>
      <c r="G431" s="314" t="s">
        <v>518</v>
      </c>
      <c r="H431" s="300" t="s">
        <v>519</v>
      </c>
      <c r="I431" s="337" t="s">
        <v>520</v>
      </c>
      <c r="J431" s="338"/>
      <c r="K431" s="338"/>
      <c r="L431" s="338"/>
      <c r="M431" s="338"/>
      <c r="N431" s="338"/>
      <c r="O431" s="338"/>
      <c r="P431" s="338"/>
      <c r="Q431" s="339" t="s">
        <v>521</v>
      </c>
      <c r="R431" s="340" t="s">
        <v>522</v>
      </c>
      <c r="S431" s="336" t="s">
        <v>523</v>
      </c>
      <c r="T431" s="287"/>
      <c r="U431" s="287"/>
      <c r="V431" s="287"/>
      <c r="W431" s="287"/>
    </row>
    <row r="432" spans="2:23" ht="85.5" customHeight="1" thickBot="1">
      <c r="B432" s="368"/>
      <c r="C432" s="369"/>
      <c r="D432" s="369"/>
      <c r="E432" s="366"/>
      <c r="F432" s="366"/>
      <c r="G432" s="366"/>
      <c r="H432" s="367"/>
      <c r="I432" s="20" t="s">
        <v>524</v>
      </c>
      <c r="J432" s="21" t="s">
        <v>525</v>
      </c>
      <c r="K432" s="22" t="s">
        <v>526</v>
      </c>
      <c r="L432" s="22" t="s">
        <v>527</v>
      </c>
      <c r="M432" s="22" t="s">
        <v>528</v>
      </c>
      <c r="N432" s="22" t="s">
        <v>529</v>
      </c>
      <c r="O432" s="22" t="s">
        <v>530</v>
      </c>
      <c r="P432" s="23" t="s">
        <v>531</v>
      </c>
      <c r="Q432" s="305"/>
      <c r="R432" s="320"/>
      <c r="S432" s="299"/>
      <c r="T432" s="287"/>
      <c r="U432" s="287"/>
      <c r="V432" s="287"/>
      <c r="W432" s="287"/>
    </row>
    <row r="433" spans="2:23" ht="31.5" customHeight="1">
      <c r="B433" s="108">
        <v>1</v>
      </c>
      <c r="C433" s="387" t="s">
        <v>97</v>
      </c>
      <c r="D433" s="387"/>
      <c r="E433" s="111">
        <v>90</v>
      </c>
      <c r="F433" s="107">
        <v>60</v>
      </c>
      <c r="G433" s="106">
        <f>+F433/E433</f>
        <v>0.6666666666666666</v>
      </c>
      <c r="H433" s="43">
        <f>+F433/E433</f>
        <v>0.6666666666666666</v>
      </c>
      <c r="I433" s="97"/>
      <c r="J433" s="97">
        <v>30000</v>
      </c>
      <c r="K433" s="32"/>
      <c r="L433" s="32"/>
      <c r="M433" s="31"/>
      <c r="N433" s="31"/>
      <c r="O433" s="31"/>
      <c r="P433" s="74"/>
      <c r="Q433" s="75">
        <f>+SUM(I433:P433)</f>
        <v>30000</v>
      </c>
      <c r="R433" s="76">
        <v>24963</v>
      </c>
      <c r="S433" s="36">
        <f>R433/Q433</f>
        <v>0.8321</v>
      </c>
      <c r="T433" s="37" t="s">
        <v>79</v>
      </c>
      <c r="U433" s="307"/>
      <c r="V433" s="307"/>
      <c r="W433" s="307"/>
    </row>
    <row r="434" spans="2:23" ht="46.5" customHeight="1">
      <c r="B434" s="77">
        <v>2</v>
      </c>
      <c r="C434" s="388" t="s">
        <v>98</v>
      </c>
      <c r="D434" s="388"/>
      <c r="E434" s="112">
        <v>80</v>
      </c>
      <c r="F434" s="107">
        <v>65</v>
      </c>
      <c r="G434" s="106">
        <f>+F434/E434</f>
        <v>0.8125</v>
      </c>
      <c r="H434" s="43">
        <f>+F434/E434</f>
        <v>0.8125</v>
      </c>
      <c r="I434" s="97"/>
      <c r="J434" s="97">
        <v>10000</v>
      </c>
      <c r="K434" s="32"/>
      <c r="L434" s="32"/>
      <c r="M434" s="31"/>
      <c r="N434" s="31"/>
      <c r="O434" s="31"/>
      <c r="P434" s="74"/>
      <c r="Q434" s="75">
        <f>+SUM(I434:P434)</f>
        <v>10000</v>
      </c>
      <c r="R434" s="76"/>
      <c r="S434" s="36">
        <f>R434/Q434</f>
        <v>0</v>
      </c>
      <c r="T434" s="37" t="s">
        <v>79</v>
      </c>
      <c r="U434" s="322"/>
      <c r="V434" s="322"/>
      <c r="W434" s="322"/>
    </row>
    <row r="435" spans="2:23" ht="31.5" customHeight="1">
      <c r="B435" s="108">
        <v>3</v>
      </c>
      <c r="C435" s="388" t="s">
        <v>99</v>
      </c>
      <c r="D435" s="388"/>
      <c r="E435" s="112">
        <v>80</v>
      </c>
      <c r="F435" s="107">
        <v>65</v>
      </c>
      <c r="G435" s="106">
        <f>+F435/E435</f>
        <v>0.8125</v>
      </c>
      <c r="H435" s="43">
        <f>+F435/E435</f>
        <v>0.8125</v>
      </c>
      <c r="I435" s="97">
        <v>80000</v>
      </c>
      <c r="J435" s="97">
        <v>30000</v>
      </c>
      <c r="K435" s="32"/>
      <c r="L435" s="32"/>
      <c r="M435" s="31"/>
      <c r="N435" s="31"/>
      <c r="O435" s="32">
        <v>15000</v>
      </c>
      <c r="P435" s="74"/>
      <c r="Q435" s="75">
        <f>+SUM(I435:P435)</f>
        <v>125000</v>
      </c>
      <c r="R435" s="76">
        <f>42647+73596+69405+62390</f>
        <v>248038</v>
      </c>
      <c r="S435" s="36">
        <f>R435/Q435</f>
        <v>1.984304</v>
      </c>
      <c r="T435" s="37" t="s">
        <v>79</v>
      </c>
      <c r="U435" s="322"/>
      <c r="V435" s="322"/>
      <c r="W435" s="322"/>
    </row>
    <row r="436" spans="2:23" ht="31.5" customHeight="1">
      <c r="B436" s="39"/>
      <c r="C436" s="321"/>
      <c r="D436" s="321"/>
      <c r="E436" s="40"/>
      <c r="F436" s="41"/>
      <c r="G436" s="42"/>
      <c r="H436" s="91"/>
      <c r="I436" s="30"/>
      <c r="J436" s="32"/>
      <c r="K436" s="46"/>
      <c r="L436" s="46"/>
      <c r="M436" s="45"/>
      <c r="N436" s="45"/>
      <c r="O436" s="45"/>
      <c r="P436" s="74"/>
      <c r="Q436" s="75"/>
      <c r="R436" s="76"/>
      <c r="S436" s="36"/>
      <c r="T436" s="37"/>
      <c r="U436" s="322"/>
      <c r="V436" s="322"/>
      <c r="W436" s="322"/>
    </row>
    <row r="437" spans="2:23" ht="31.5" customHeight="1">
      <c r="B437" s="39"/>
      <c r="C437" s="308"/>
      <c r="D437" s="308"/>
      <c r="E437" s="40"/>
      <c r="F437" s="41"/>
      <c r="G437" s="42"/>
      <c r="H437" s="91"/>
      <c r="I437" s="95"/>
      <c r="J437" s="46"/>
      <c r="K437" s="45"/>
      <c r="L437" s="45"/>
      <c r="M437" s="45"/>
      <c r="N437" s="45"/>
      <c r="O437" s="45"/>
      <c r="P437" s="56"/>
      <c r="Q437" s="75"/>
      <c r="R437" s="76"/>
      <c r="S437" s="36"/>
      <c r="T437" s="37"/>
      <c r="U437" s="322"/>
      <c r="V437" s="322"/>
      <c r="W437" s="322"/>
    </row>
    <row r="438" spans="2:23" ht="15.75" thickBot="1">
      <c r="B438" s="59"/>
      <c r="C438" s="310" t="s">
        <v>541</v>
      </c>
      <c r="D438" s="310"/>
      <c r="E438" s="60"/>
      <c r="F438" s="61"/>
      <c r="G438" s="62"/>
      <c r="H438" s="63"/>
      <c r="I438" s="64">
        <f>+SUM(I433:I437)</f>
        <v>80000</v>
      </c>
      <c r="J438" s="64">
        <f>+SUM(J433:J437)</f>
        <v>70000</v>
      </c>
      <c r="K438" s="64">
        <f>+SUM(K433:K437)</f>
        <v>0</v>
      </c>
      <c r="L438" s="64"/>
      <c r="M438" s="64">
        <f aca="true" t="shared" si="18" ref="M438:R438">+SUM(M433:M437)</f>
        <v>0</v>
      </c>
      <c r="N438" s="64">
        <f t="shared" si="18"/>
        <v>0</v>
      </c>
      <c r="O438" s="64">
        <f t="shared" si="18"/>
        <v>15000</v>
      </c>
      <c r="P438" s="64">
        <f t="shared" si="18"/>
        <v>0</v>
      </c>
      <c r="Q438" s="79">
        <f t="shared" si="18"/>
        <v>165000</v>
      </c>
      <c r="R438" s="79">
        <f t="shared" si="18"/>
        <v>273001</v>
      </c>
      <c r="S438" s="66">
        <f>+R438/Q438</f>
        <v>1.654551515151515</v>
      </c>
      <c r="T438" s="67"/>
      <c r="U438" s="311"/>
      <c r="V438" s="311"/>
      <c r="W438" s="311"/>
    </row>
    <row r="439" ht="15.75" thickBot="1"/>
    <row r="440" spans="2:23" ht="15.75">
      <c r="B440" s="267" t="s">
        <v>479</v>
      </c>
      <c r="C440" s="267"/>
      <c r="D440" s="267"/>
      <c r="E440" s="267"/>
      <c r="F440" s="267"/>
      <c r="G440" s="267"/>
      <c r="H440" s="267"/>
      <c r="I440" s="267"/>
      <c r="J440" s="267"/>
      <c r="K440" s="267"/>
      <c r="L440" s="267"/>
      <c r="M440" s="267"/>
      <c r="N440" s="267"/>
      <c r="O440" s="267"/>
      <c r="P440" s="267"/>
      <c r="Q440" s="267"/>
      <c r="R440" s="267"/>
      <c r="S440" s="267"/>
      <c r="T440" s="267"/>
      <c r="U440" s="267"/>
      <c r="V440" s="267"/>
      <c r="W440" s="267"/>
    </row>
    <row r="441" spans="2:23" ht="15">
      <c r="B441" s="5"/>
      <c r="C441" s="6"/>
      <c r="D441" s="6"/>
      <c r="E441" s="6"/>
      <c r="F441" s="6"/>
      <c r="G441" s="6"/>
      <c r="H441" s="6"/>
      <c r="I441" s="6"/>
      <c r="J441" s="6"/>
      <c r="K441" s="6"/>
      <c r="L441" s="6"/>
      <c r="M441" s="6"/>
      <c r="N441" s="6"/>
      <c r="O441" s="6"/>
      <c r="P441" s="6"/>
      <c r="Q441" s="6"/>
      <c r="R441" s="6"/>
      <c r="S441" s="6"/>
      <c r="T441" s="6"/>
      <c r="U441" s="6"/>
      <c r="V441" s="6"/>
      <c r="W441" s="7"/>
    </row>
    <row r="442" spans="2:23" ht="20.25">
      <c r="B442" s="268" t="s">
        <v>480</v>
      </c>
      <c r="C442" s="269"/>
      <c r="D442" s="269"/>
      <c r="E442" s="269"/>
      <c r="F442" s="269"/>
      <c r="G442" s="269"/>
      <c r="H442" s="269"/>
      <c r="I442" s="269"/>
      <c r="J442" s="269"/>
      <c r="K442" s="269"/>
      <c r="L442" s="269"/>
      <c r="M442" s="269"/>
      <c r="N442" s="269"/>
      <c r="O442" s="269"/>
      <c r="P442" s="269"/>
      <c r="Q442" s="269"/>
      <c r="R442" s="269"/>
      <c r="S442" s="269"/>
      <c r="T442" s="269"/>
      <c r="U442" s="269"/>
      <c r="V442" s="269"/>
      <c r="W442" s="270"/>
    </row>
    <row r="443" spans="2:23" ht="18">
      <c r="B443" s="271" t="s">
        <v>481</v>
      </c>
      <c r="C443" s="272"/>
      <c r="D443" s="272"/>
      <c r="E443" s="272"/>
      <c r="F443" s="272"/>
      <c r="G443" s="272"/>
      <c r="H443" s="272"/>
      <c r="I443" s="272"/>
      <c r="J443" s="272"/>
      <c r="K443" s="272"/>
      <c r="L443" s="272"/>
      <c r="M443" s="272"/>
      <c r="N443" s="272"/>
      <c r="O443" s="272"/>
      <c r="P443" s="272"/>
      <c r="Q443" s="272"/>
      <c r="R443" s="272"/>
      <c r="S443" s="272"/>
      <c r="T443" s="272"/>
      <c r="U443" s="272"/>
      <c r="V443" s="272"/>
      <c r="W443" s="273"/>
    </row>
    <row r="444" spans="2:23" ht="18">
      <c r="B444" s="274" t="s">
        <v>482</v>
      </c>
      <c r="C444" s="275"/>
      <c r="D444" s="275"/>
      <c r="E444" s="275"/>
      <c r="F444" s="275"/>
      <c r="G444" s="275"/>
      <c r="H444" s="275"/>
      <c r="I444" s="275"/>
      <c r="J444" s="275"/>
      <c r="K444" s="275"/>
      <c r="L444" s="275"/>
      <c r="M444" s="275"/>
      <c r="N444" s="275"/>
      <c r="O444" s="275"/>
      <c r="P444" s="275"/>
      <c r="Q444" s="275"/>
      <c r="R444" s="275"/>
      <c r="S444" s="275"/>
      <c r="T444" s="275"/>
      <c r="U444" s="275"/>
      <c r="V444" s="275"/>
      <c r="W444" s="276"/>
    </row>
    <row r="445" spans="2:23" ht="15">
      <c r="B445" s="5"/>
      <c r="C445" s="6"/>
      <c r="D445" s="8"/>
      <c r="E445" s="8"/>
      <c r="F445" s="8"/>
      <c r="G445" s="8"/>
      <c r="H445" s="8"/>
      <c r="I445" s="6"/>
      <c r="J445" s="6"/>
      <c r="K445" s="6"/>
      <c r="L445" s="6"/>
      <c r="M445" s="6"/>
      <c r="N445" s="6"/>
      <c r="O445" s="6"/>
      <c r="P445" s="6"/>
      <c r="Q445" s="6"/>
      <c r="R445" s="6"/>
      <c r="S445" s="6"/>
      <c r="T445" s="6"/>
      <c r="U445" s="6"/>
      <c r="V445" s="6"/>
      <c r="W445" s="7"/>
    </row>
    <row r="446" spans="2:23" ht="15">
      <c r="B446" s="279" t="s">
        <v>483</v>
      </c>
      <c r="C446" s="280"/>
      <c r="D446" s="10" t="s">
        <v>484</v>
      </c>
      <c r="E446" s="10"/>
      <c r="F446" s="10"/>
      <c r="G446" s="11"/>
      <c r="H446" s="11"/>
      <c r="I446" s="11"/>
      <c r="J446" s="11"/>
      <c r="K446" s="11"/>
      <c r="L446" s="10" t="s">
        <v>485</v>
      </c>
      <c r="M446" s="10"/>
      <c r="N446" s="10"/>
      <c r="O446" s="281" t="s">
        <v>486</v>
      </c>
      <c r="P446" s="282"/>
      <c r="Q446" s="282"/>
      <c r="R446" s="282"/>
      <c r="S446" s="282"/>
      <c r="T446" s="282" t="s">
        <v>487</v>
      </c>
      <c r="U446" s="280"/>
      <c r="V446" s="280"/>
      <c r="W446" s="285"/>
    </row>
    <row r="447" spans="2:23" ht="15">
      <c r="B447" s="279" t="s">
        <v>488</v>
      </c>
      <c r="C447" s="280"/>
      <c r="D447" s="10" t="s">
        <v>489</v>
      </c>
      <c r="E447" s="10"/>
      <c r="F447" s="10"/>
      <c r="G447" s="11"/>
      <c r="H447" s="11"/>
      <c r="I447" s="11"/>
      <c r="J447" s="11"/>
      <c r="K447" s="11"/>
      <c r="L447" s="282" t="s">
        <v>490</v>
      </c>
      <c r="M447" s="280"/>
      <c r="N447" s="280"/>
      <c r="O447" s="282" t="s">
        <v>491</v>
      </c>
      <c r="P447" s="282"/>
      <c r="Q447" s="282"/>
      <c r="R447" s="282"/>
      <c r="S447" s="282"/>
      <c r="T447" s="12" t="s">
        <v>492</v>
      </c>
      <c r="U447" s="11">
        <v>1</v>
      </c>
      <c r="V447" s="11" t="s">
        <v>493</v>
      </c>
      <c r="W447" s="13">
        <v>20</v>
      </c>
    </row>
    <row r="448" spans="2:23" ht="15.75" thickBot="1">
      <c r="B448" s="83"/>
      <c r="C448" s="11"/>
      <c r="D448" s="11"/>
      <c r="E448" s="11"/>
      <c r="F448" s="11"/>
      <c r="G448" s="11"/>
      <c r="H448" s="11"/>
      <c r="I448" s="11"/>
      <c r="J448" s="11"/>
      <c r="K448" s="11"/>
      <c r="L448" s="283"/>
      <c r="M448" s="283"/>
      <c r="N448" s="283"/>
      <c r="O448" s="282" t="s">
        <v>494</v>
      </c>
      <c r="P448" s="282"/>
      <c r="Q448" s="282"/>
      <c r="R448" s="284"/>
      <c r="S448" s="284"/>
      <c r="T448" s="278"/>
      <c r="U448" s="278"/>
      <c r="V448" s="11"/>
      <c r="W448" s="16"/>
    </row>
    <row r="449" spans="2:23" ht="15.75" customHeight="1" thickBot="1">
      <c r="B449" s="325" t="s">
        <v>495</v>
      </c>
      <c r="C449" s="326"/>
      <c r="D449" s="327" t="s">
        <v>72</v>
      </c>
      <c r="E449" s="327"/>
      <c r="F449" s="327"/>
      <c r="G449" s="327"/>
      <c r="H449" s="327"/>
      <c r="I449" s="258" t="s">
        <v>497</v>
      </c>
      <c r="J449" s="248"/>
      <c r="K449" s="261" t="s">
        <v>100</v>
      </c>
      <c r="L449" s="291"/>
      <c r="M449" s="262"/>
      <c r="N449" s="261" t="s">
        <v>101</v>
      </c>
      <c r="O449" s="291"/>
      <c r="P449" s="291"/>
      <c r="Q449" s="262"/>
      <c r="R449" s="259" t="s">
        <v>502</v>
      </c>
      <c r="S449" s="260"/>
      <c r="T449" s="261" t="s">
        <v>102</v>
      </c>
      <c r="U449" s="262"/>
      <c r="V449" s="261" t="s">
        <v>103</v>
      </c>
      <c r="W449" s="262"/>
    </row>
    <row r="450" spans="2:23" ht="27" customHeight="1" thickBot="1">
      <c r="B450" s="328" t="s">
        <v>506</v>
      </c>
      <c r="C450" s="252"/>
      <c r="D450" s="294" t="s">
        <v>104</v>
      </c>
      <c r="E450" s="295"/>
      <c r="F450" s="295"/>
      <c r="G450" s="295"/>
      <c r="H450" s="295"/>
      <c r="I450" s="249"/>
      <c r="J450" s="250"/>
      <c r="K450" s="263"/>
      <c r="L450" s="292"/>
      <c r="M450" s="264"/>
      <c r="N450" s="263"/>
      <c r="O450" s="292"/>
      <c r="P450" s="292"/>
      <c r="Q450" s="264"/>
      <c r="R450" s="259"/>
      <c r="S450" s="260"/>
      <c r="T450" s="263"/>
      <c r="U450" s="264"/>
      <c r="V450" s="263"/>
      <c r="W450" s="264"/>
    </row>
    <row r="451" spans="2:23" ht="78.75" customHeight="1" thickBot="1">
      <c r="B451" s="331" t="s">
        <v>508</v>
      </c>
      <c r="C451" s="332"/>
      <c r="D451" s="333" t="s">
        <v>105</v>
      </c>
      <c r="E451" s="334"/>
      <c r="F451" s="334"/>
      <c r="G451" s="334"/>
      <c r="H451" s="335"/>
      <c r="I451" s="251"/>
      <c r="J451" s="247"/>
      <c r="K451" s="265"/>
      <c r="L451" s="293"/>
      <c r="M451" s="266"/>
      <c r="N451" s="265"/>
      <c r="O451" s="293"/>
      <c r="P451" s="293"/>
      <c r="Q451" s="266"/>
      <c r="R451" s="259"/>
      <c r="S451" s="260"/>
      <c r="T451" s="265"/>
      <c r="U451" s="266"/>
      <c r="V451" s="265"/>
      <c r="W451" s="266"/>
    </row>
    <row r="452" spans="2:23" ht="18.75" thickBot="1">
      <c r="B452" s="84"/>
      <c r="C452" s="85"/>
      <c r="D452" s="86"/>
      <c r="E452" s="87"/>
      <c r="F452" s="87"/>
      <c r="G452" s="87"/>
      <c r="H452" s="87"/>
      <c r="I452" s="84"/>
      <c r="J452" s="84"/>
      <c r="K452" s="84"/>
      <c r="L452" s="84"/>
      <c r="M452" s="84"/>
      <c r="N452" s="84"/>
      <c r="O452" s="84"/>
      <c r="P452" s="84"/>
      <c r="Q452" s="84"/>
      <c r="R452" s="84"/>
      <c r="S452" s="84"/>
      <c r="T452" s="19"/>
      <c r="U452" s="19"/>
      <c r="V452" s="19"/>
      <c r="W452" s="19"/>
    </row>
    <row r="453" spans="2:23" ht="15.75" thickBot="1">
      <c r="B453" s="341" t="s">
        <v>510</v>
      </c>
      <c r="C453" s="342"/>
      <c r="D453" s="342"/>
      <c r="E453" s="342"/>
      <c r="F453" s="342"/>
      <c r="G453" s="342"/>
      <c r="H453" s="342"/>
      <c r="I453" s="343" t="s">
        <v>511</v>
      </c>
      <c r="J453" s="343"/>
      <c r="K453" s="343"/>
      <c r="L453" s="343"/>
      <c r="M453" s="343"/>
      <c r="N453" s="343"/>
      <c r="O453" s="343"/>
      <c r="P453" s="343"/>
      <c r="Q453" s="343"/>
      <c r="R453" s="343"/>
      <c r="S453" s="344"/>
      <c r="T453" s="345" t="s">
        <v>512</v>
      </c>
      <c r="U453" s="287" t="s">
        <v>513</v>
      </c>
      <c r="V453" s="287"/>
      <c r="W453" s="287"/>
    </row>
    <row r="454" spans="2:23" ht="15.75" thickBot="1">
      <c r="B454" s="316" t="s">
        <v>514</v>
      </c>
      <c r="C454" s="318" t="s">
        <v>515</v>
      </c>
      <c r="D454" s="318"/>
      <c r="E454" s="314" t="s">
        <v>516</v>
      </c>
      <c r="F454" s="314" t="s">
        <v>517</v>
      </c>
      <c r="G454" s="314" t="s">
        <v>518</v>
      </c>
      <c r="H454" s="300" t="s">
        <v>519</v>
      </c>
      <c r="I454" s="337" t="s">
        <v>520</v>
      </c>
      <c r="J454" s="338"/>
      <c r="K454" s="338"/>
      <c r="L454" s="338"/>
      <c r="M454" s="338"/>
      <c r="N454" s="338"/>
      <c r="O454" s="338"/>
      <c r="P454" s="338"/>
      <c r="Q454" s="339" t="s">
        <v>521</v>
      </c>
      <c r="R454" s="340" t="s">
        <v>522</v>
      </c>
      <c r="S454" s="336" t="s">
        <v>523</v>
      </c>
      <c r="T454" s="287"/>
      <c r="U454" s="287"/>
      <c r="V454" s="287"/>
      <c r="W454" s="287"/>
    </row>
    <row r="455" spans="2:23" ht="87" customHeight="1" thickBot="1">
      <c r="B455" s="368"/>
      <c r="C455" s="369"/>
      <c r="D455" s="369"/>
      <c r="E455" s="366"/>
      <c r="F455" s="366"/>
      <c r="G455" s="366"/>
      <c r="H455" s="367"/>
      <c r="I455" s="20" t="s">
        <v>524</v>
      </c>
      <c r="J455" s="21" t="s">
        <v>525</v>
      </c>
      <c r="K455" s="22" t="s">
        <v>526</v>
      </c>
      <c r="L455" s="22" t="s">
        <v>527</v>
      </c>
      <c r="M455" s="22" t="s">
        <v>528</v>
      </c>
      <c r="N455" s="22" t="s">
        <v>529</v>
      </c>
      <c r="O455" s="22" t="s">
        <v>530</v>
      </c>
      <c r="P455" s="23" t="s">
        <v>531</v>
      </c>
      <c r="Q455" s="305"/>
      <c r="R455" s="320"/>
      <c r="S455" s="299"/>
      <c r="T455" s="287"/>
      <c r="U455" s="287"/>
      <c r="V455" s="287"/>
      <c r="W455" s="287"/>
    </row>
    <row r="456" spans="2:23" ht="43.5" customHeight="1">
      <c r="B456" s="108">
        <v>1</v>
      </c>
      <c r="C456" s="387" t="s">
        <v>106</v>
      </c>
      <c r="D456" s="387"/>
      <c r="E456" s="111">
        <v>240</v>
      </c>
      <c r="F456" s="107">
        <v>210</v>
      </c>
      <c r="G456" s="106">
        <f>+F456/E456</f>
        <v>0.875</v>
      </c>
      <c r="H456" s="43">
        <f>+F456/E456</f>
        <v>0.875</v>
      </c>
      <c r="I456" s="97">
        <v>5000</v>
      </c>
      <c r="J456" s="97">
        <v>6122</v>
      </c>
      <c r="K456" s="32"/>
      <c r="L456" s="32"/>
      <c r="M456" s="31"/>
      <c r="N456" s="31"/>
      <c r="O456" s="32">
        <v>16968</v>
      </c>
      <c r="P456" s="74"/>
      <c r="Q456" s="75">
        <f>+SUM(I456:P456)</f>
        <v>28090</v>
      </c>
      <c r="R456" s="76">
        <f>10090+17750</f>
        <v>27840</v>
      </c>
      <c r="S456" s="36">
        <f>R456/Q456</f>
        <v>0.9911000355998576</v>
      </c>
      <c r="T456" s="37" t="s">
        <v>29</v>
      </c>
      <c r="U456" s="365"/>
      <c r="V456" s="365"/>
      <c r="W456" s="365"/>
    </row>
    <row r="457" spans="2:23" ht="43.5" customHeight="1">
      <c r="B457" s="77">
        <v>2</v>
      </c>
      <c r="C457" s="388" t="s">
        <v>107</v>
      </c>
      <c r="D457" s="388"/>
      <c r="E457" s="112">
        <v>60</v>
      </c>
      <c r="F457" s="107">
        <v>5</v>
      </c>
      <c r="G457" s="106">
        <f>+F457/E457</f>
        <v>0.08333333333333333</v>
      </c>
      <c r="H457" s="43">
        <f>+F457/E457</f>
        <v>0.08333333333333333</v>
      </c>
      <c r="I457" s="97"/>
      <c r="J457" s="97"/>
      <c r="K457" s="32"/>
      <c r="L457" s="32"/>
      <c r="M457" s="31"/>
      <c r="N457" s="31"/>
      <c r="O457" s="31"/>
      <c r="P457" s="74"/>
      <c r="Q457" s="75">
        <f>+SUM(I457:P457)</f>
        <v>0</v>
      </c>
      <c r="R457" s="76">
        <f>134681+3335</f>
        <v>138016</v>
      </c>
      <c r="S457" s="36" t="e">
        <f>R457/Q457</f>
        <v>#DIV/0!</v>
      </c>
      <c r="T457" s="37" t="s">
        <v>29</v>
      </c>
      <c r="U457" s="309" t="s">
        <v>108</v>
      </c>
      <c r="V457" s="309"/>
      <c r="W457" s="309"/>
    </row>
    <row r="458" spans="2:23" ht="43.5" customHeight="1">
      <c r="B458" s="108"/>
      <c r="C458" s="388"/>
      <c r="D458" s="388"/>
      <c r="E458" s="112"/>
      <c r="F458" s="107"/>
      <c r="G458" s="106"/>
      <c r="H458" s="43"/>
      <c r="I458" s="97"/>
      <c r="J458" s="97"/>
      <c r="K458" s="32"/>
      <c r="L458" s="32"/>
      <c r="M458" s="31"/>
      <c r="N458" s="31"/>
      <c r="O458" s="31"/>
      <c r="P458" s="74"/>
      <c r="Q458" s="75"/>
      <c r="R458" s="76"/>
      <c r="S458" s="36"/>
      <c r="T458" s="37"/>
      <c r="U458" s="309"/>
      <c r="V458" s="309"/>
      <c r="W458" s="309"/>
    </row>
    <row r="459" spans="2:23" ht="43.5" customHeight="1">
      <c r="B459" s="39"/>
      <c r="C459" s="321"/>
      <c r="D459" s="321"/>
      <c r="E459" s="40"/>
      <c r="F459" s="41"/>
      <c r="G459" s="42"/>
      <c r="H459" s="91"/>
      <c r="I459" s="30"/>
      <c r="J459" s="32"/>
      <c r="K459" s="46"/>
      <c r="L459" s="46"/>
      <c r="M459" s="45"/>
      <c r="N459" s="45"/>
      <c r="O459" s="45"/>
      <c r="P459" s="74"/>
      <c r="Q459" s="75"/>
      <c r="R459" s="76"/>
      <c r="S459" s="36"/>
      <c r="T459" s="37"/>
      <c r="U459" s="309"/>
      <c r="V459" s="309"/>
      <c r="W459" s="309"/>
    </row>
    <row r="460" spans="2:23" ht="43.5" customHeight="1">
      <c r="B460" s="39"/>
      <c r="C460" s="308"/>
      <c r="D460" s="308"/>
      <c r="E460" s="40"/>
      <c r="F460" s="41"/>
      <c r="G460" s="42"/>
      <c r="H460" s="91"/>
      <c r="I460" s="95"/>
      <c r="J460" s="46"/>
      <c r="K460" s="45"/>
      <c r="L460" s="45"/>
      <c r="M460" s="45"/>
      <c r="N460" s="45"/>
      <c r="O460" s="45"/>
      <c r="P460" s="56"/>
      <c r="Q460" s="75"/>
      <c r="R460" s="76"/>
      <c r="S460" s="36"/>
      <c r="T460" s="37"/>
      <c r="U460" s="309"/>
      <c r="V460" s="309"/>
      <c r="W460" s="309"/>
    </row>
    <row r="461" spans="2:23" ht="43.5" customHeight="1" thickBot="1">
      <c r="B461" s="59"/>
      <c r="C461" s="310" t="s">
        <v>541</v>
      </c>
      <c r="D461" s="310"/>
      <c r="E461" s="60"/>
      <c r="F461" s="61"/>
      <c r="G461" s="62"/>
      <c r="H461" s="63"/>
      <c r="I461" s="64">
        <f>+SUM(I456:I460)</f>
        <v>5000</v>
      </c>
      <c r="J461" s="64">
        <f>+SUM(J456:J460)</f>
        <v>6122</v>
      </c>
      <c r="K461" s="64">
        <f>+SUM(K456:K460)</f>
        <v>0</v>
      </c>
      <c r="L461" s="64"/>
      <c r="M461" s="64">
        <f aca="true" t="shared" si="19" ref="M461:R461">+SUM(M456:M460)</f>
        <v>0</v>
      </c>
      <c r="N461" s="64">
        <f t="shared" si="19"/>
        <v>0</v>
      </c>
      <c r="O461" s="64">
        <f t="shared" si="19"/>
        <v>16968</v>
      </c>
      <c r="P461" s="64">
        <f t="shared" si="19"/>
        <v>0</v>
      </c>
      <c r="Q461" s="79">
        <f t="shared" si="19"/>
        <v>28090</v>
      </c>
      <c r="R461" s="79">
        <f t="shared" si="19"/>
        <v>165856</v>
      </c>
      <c r="S461" s="66">
        <f>+R461/Q461</f>
        <v>5.904449982200071</v>
      </c>
      <c r="T461" s="67"/>
      <c r="U461" s="364"/>
      <c r="V461" s="364"/>
      <c r="W461" s="364"/>
    </row>
    <row r="462" ht="15.75" thickBot="1"/>
    <row r="463" spans="2:23" ht="15.75">
      <c r="B463" s="267" t="s">
        <v>479</v>
      </c>
      <c r="C463" s="267"/>
      <c r="D463" s="267"/>
      <c r="E463" s="267"/>
      <c r="F463" s="267"/>
      <c r="G463" s="267"/>
      <c r="H463" s="267"/>
      <c r="I463" s="267"/>
      <c r="J463" s="267"/>
      <c r="K463" s="267"/>
      <c r="L463" s="267"/>
      <c r="M463" s="267"/>
      <c r="N463" s="267"/>
      <c r="O463" s="267"/>
      <c r="P463" s="267"/>
      <c r="Q463" s="267"/>
      <c r="R463" s="267"/>
      <c r="S463" s="267"/>
      <c r="T463" s="267"/>
      <c r="U463" s="267"/>
      <c r="V463" s="267"/>
      <c r="W463" s="267"/>
    </row>
    <row r="464" spans="2:23" ht="15">
      <c r="B464" s="5"/>
      <c r="C464" s="6"/>
      <c r="D464" s="6"/>
      <c r="E464" s="6"/>
      <c r="F464" s="6"/>
      <c r="G464" s="6"/>
      <c r="H464" s="6"/>
      <c r="I464" s="6"/>
      <c r="J464" s="6"/>
      <c r="K464" s="6"/>
      <c r="L464" s="6"/>
      <c r="M464" s="6"/>
      <c r="N464" s="6"/>
      <c r="O464" s="6"/>
      <c r="P464" s="6"/>
      <c r="Q464" s="6"/>
      <c r="R464" s="6"/>
      <c r="S464" s="6"/>
      <c r="T464" s="6"/>
      <c r="U464" s="6"/>
      <c r="V464" s="6"/>
      <c r="W464" s="7"/>
    </row>
    <row r="465" spans="2:23" ht="20.25">
      <c r="B465" s="268" t="s">
        <v>480</v>
      </c>
      <c r="C465" s="269"/>
      <c r="D465" s="269"/>
      <c r="E465" s="269"/>
      <c r="F465" s="269"/>
      <c r="G465" s="269"/>
      <c r="H465" s="269"/>
      <c r="I465" s="269"/>
      <c r="J465" s="269"/>
      <c r="K465" s="269"/>
      <c r="L465" s="269"/>
      <c r="M465" s="269"/>
      <c r="N465" s="269"/>
      <c r="O465" s="269"/>
      <c r="P465" s="269"/>
      <c r="Q465" s="269"/>
      <c r="R465" s="269"/>
      <c r="S465" s="269"/>
      <c r="T465" s="269"/>
      <c r="U465" s="269"/>
      <c r="V465" s="269"/>
      <c r="W465" s="270"/>
    </row>
    <row r="466" spans="2:23" ht="18">
      <c r="B466" s="271" t="s">
        <v>481</v>
      </c>
      <c r="C466" s="272"/>
      <c r="D466" s="272"/>
      <c r="E466" s="272"/>
      <c r="F466" s="272"/>
      <c r="G466" s="272"/>
      <c r="H466" s="272"/>
      <c r="I466" s="272"/>
      <c r="J466" s="272"/>
      <c r="K466" s="272"/>
      <c r="L466" s="272"/>
      <c r="M466" s="272"/>
      <c r="N466" s="272"/>
      <c r="O466" s="272"/>
      <c r="P466" s="272"/>
      <c r="Q466" s="272"/>
      <c r="R466" s="272"/>
      <c r="S466" s="272"/>
      <c r="T466" s="272"/>
      <c r="U466" s="272"/>
      <c r="V466" s="272"/>
      <c r="W466" s="273"/>
    </row>
    <row r="467" spans="2:23" ht="18">
      <c r="B467" s="274" t="s">
        <v>482</v>
      </c>
      <c r="C467" s="275"/>
      <c r="D467" s="275"/>
      <c r="E467" s="275"/>
      <c r="F467" s="275"/>
      <c r="G467" s="275"/>
      <c r="H467" s="275"/>
      <c r="I467" s="275"/>
      <c r="J467" s="275"/>
      <c r="K467" s="275"/>
      <c r="L467" s="275"/>
      <c r="M467" s="275"/>
      <c r="N467" s="275"/>
      <c r="O467" s="275"/>
      <c r="P467" s="275"/>
      <c r="Q467" s="275"/>
      <c r="R467" s="275"/>
      <c r="S467" s="275"/>
      <c r="T467" s="275"/>
      <c r="U467" s="275"/>
      <c r="V467" s="275"/>
      <c r="W467" s="276"/>
    </row>
    <row r="468" spans="2:23" ht="15">
      <c r="B468" s="5"/>
      <c r="C468" s="6"/>
      <c r="D468" s="8"/>
      <c r="E468" s="8"/>
      <c r="F468" s="8"/>
      <c r="G468" s="8"/>
      <c r="H468" s="8"/>
      <c r="I468" s="6"/>
      <c r="J468" s="6"/>
      <c r="K468" s="6"/>
      <c r="L468" s="6"/>
      <c r="M468" s="6"/>
      <c r="N468" s="6"/>
      <c r="O468" s="6"/>
      <c r="P468" s="6"/>
      <c r="Q468" s="6"/>
      <c r="R468" s="6"/>
      <c r="S468" s="6"/>
      <c r="T468" s="6"/>
      <c r="U468" s="6"/>
      <c r="V468" s="6"/>
      <c r="W468" s="7"/>
    </row>
    <row r="469" spans="2:23" ht="15">
      <c r="B469" s="279" t="s">
        <v>483</v>
      </c>
      <c r="C469" s="280"/>
      <c r="D469" s="10" t="s">
        <v>484</v>
      </c>
      <c r="E469" s="10"/>
      <c r="F469" s="10"/>
      <c r="G469" s="11"/>
      <c r="H469" s="11"/>
      <c r="I469" s="11"/>
      <c r="J469" s="11"/>
      <c r="K469" s="11"/>
      <c r="L469" s="10" t="s">
        <v>485</v>
      </c>
      <c r="M469" s="10"/>
      <c r="N469" s="10"/>
      <c r="O469" s="281" t="s">
        <v>486</v>
      </c>
      <c r="P469" s="282"/>
      <c r="Q469" s="282"/>
      <c r="R469" s="282"/>
      <c r="S469" s="282"/>
      <c r="T469" s="282" t="s">
        <v>487</v>
      </c>
      <c r="U469" s="280"/>
      <c r="V469" s="280"/>
      <c r="W469" s="285"/>
    </row>
    <row r="470" spans="2:23" ht="15">
      <c r="B470" s="279" t="s">
        <v>488</v>
      </c>
      <c r="C470" s="280"/>
      <c r="D470" s="10" t="s">
        <v>489</v>
      </c>
      <c r="E470" s="10"/>
      <c r="F470" s="10"/>
      <c r="G470" s="11"/>
      <c r="H470" s="11"/>
      <c r="I470" s="11"/>
      <c r="J470" s="11"/>
      <c r="K470" s="11"/>
      <c r="L470" s="282" t="s">
        <v>490</v>
      </c>
      <c r="M470" s="280"/>
      <c r="N470" s="280"/>
      <c r="O470" s="282" t="s">
        <v>491</v>
      </c>
      <c r="P470" s="282"/>
      <c r="Q470" s="282"/>
      <c r="R470" s="282"/>
      <c r="S470" s="282"/>
      <c r="T470" s="12" t="s">
        <v>492</v>
      </c>
      <c r="U470" s="11">
        <v>1</v>
      </c>
      <c r="V470" s="11" t="s">
        <v>493</v>
      </c>
      <c r="W470" s="13">
        <v>21</v>
      </c>
    </row>
    <row r="471" spans="2:23" ht="15.75" thickBot="1">
      <c r="B471" s="83"/>
      <c r="C471" s="11"/>
      <c r="D471" s="11"/>
      <c r="E471" s="11"/>
      <c r="F471" s="11"/>
      <c r="G471" s="11"/>
      <c r="H471" s="11"/>
      <c r="I471" s="11"/>
      <c r="J471" s="11"/>
      <c r="K471" s="11"/>
      <c r="L471" s="283"/>
      <c r="M471" s="283"/>
      <c r="N471" s="283"/>
      <c r="O471" s="282" t="s">
        <v>494</v>
      </c>
      <c r="P471" s="282"/>
      <c r="Q471" s="282"/>
      <c r="R471" s="284"/>
      <c r="S471" s="284"/>
      <c r="T471" s="278"/>
      <c r="U471" s="278"/>
      <c r="V471" s="11"/>
      <c r="W471" s="16"/>
    </row>
    <row r="472" spans="2:23" ht="15.75" customHeight="1" thickBot="1">
      <c r="B472" s="325" t="s">
        <v>495</v>
      </c>
      <c r="C472" s="326"/>
      <c r="D472" s="327" t="s">
        <v>72</v>
      </c>
      <c r="E472" s="327"/>
      <c r="F472" s="327"/>
      <c r="G472" s="327"/>
      <c r="H472" s="327"/>
      <c r="I472" s="258" t="s">
        <v>497</v>
      </c>
      <c r="J472" s="248"/>
      <c r="K472" s="261" t="s">
        <v>109</v>
      </c>
      <c r="L472" s="291"/>
      <c r="M472" s="291"/>
      <c r="N472" s="291"/>
      <c r="O472" s="291"/>
      <c r="P472" s="291"/>
      <c r="Q472" s="262"/>
      <c r="R472" s="259" t="s">
        <v>502</v>
      </c>
      <c r="S472" s="260"/>
      <c r="T472" s="261" t="s">
        <v>110</v>
      </c>
      <c r="U472" s="291"/>
      <c r="V472" s="291"/>
      <c r="W472" s="262"/>
    </row>
    <row r="473" spans="2:23" ht="15.75" thickBot="1">
      <c r="B473" s="328" t="s">
        <v>506</v>
      </c>
      <c r="C473" s="252"/>
      <c r="D473" s="294" t="s">
        <v>104</v>
      </c>
      <c r="E473" s="295"/>
      <c r="F473" s="295"/>
      <c r="G473" s="295"/>
      <c r="H473" s="295"/>
      <c r="I473" s="249"/>
      <c r="J473" s="250"/>
      <c r="K473" s="263"/>
      <c r="L473" s="292"/>
      <c r="M473" s="292"/>
      <c r="N473" s="292"/>
      <c r="O473" s="292"/>
      <c r="P473" s="292"/>
      <c r="Q473" s="264"/>
      <c r="R473" s="259"/>
      <c r="S473" s="260"/>
      <c r="T473" s="263"/>
      <c r="U473" s="292"/>
      <c r="V473" s="292"/>
      <c r="W473" s="264"/>
    </row>
    <row r="474" spans="2:23" ht="28.5" customHeight="1" thickBot="1">
      <c r="B474" s="331" t="s">
        <v>508</v>
      </c>
      <c r="C474" s="332"/>
      <c r="D474" s="333" t="s">
        <v>111</v>
      </c>
      <c r="E474" s="334"/>
      <c r="F474" s="334"/>
      <c r="G474" s="334"/>
      <c r="H474" s="335"/>
      <c r="I474" s="251"/>
      <c r="J474" s="247"/>
      <c r="K474" s="265"/>
      <c r="L474" s="293"/>
      <c r="M474" s="293"/>
      <c r="N474" s="293"/>
      <c r="O474" s="293"/>
      <c r="P474" s="293"/>
      <c r="Q474" s="266"/>
      <c r="R474" s="259"/>
      <c r="S474" s="260"/>
      <c r="T474" s="265"/>
      <c r="U474" s="293"/>
      <c r="V474" s="293"/>
      <c r="W474" s="266"/>
    </row>
    <row r="475" spans="2:23" ht="18.75" thickBot="1">
      <c r="B475" s="84"/>
      <c r="C475" s="85"/>
      <c r="D475" s="86"/>
      <c r="E475" s="87"/>
      <c r="F475" s="87"/>
      <c r="G475" s="87"/>
      <c r="H475" s="87"/>
      <c r="I475" s="84"/>
      <c r="J475" s="84"/>
      <c r="K475" s="84"/>
      <c r="L475" s="84"/>
      <c r="M475" s="84"/>
      <c r="N475" s="84"/>
      <c r="O475" s="84"/>
      <c r="P475" s="84"/>
      <c r="Q475" s="84"/>
      <c r="R475" s="84"/>
      <c r="S475" s="84"/>
      <c r="T475" s="19"/>
      <c r="U475" s="19"/>
      <c r="V475" s="19"/>
      <c r="W475" s="19"/>
    </row>
    <row r="476" spans="2:23" ht="15.75" thickBot="1">
      <c r="B476" s="341" t="s">
        <v>510</v>
      </c>
      <c r="C476" s="342"/>
      <c r="D476" s="342"/>
      <c r="E476" s="342"/>
      <c r="F476" s="342"/>
      <c r="G476" s="342"/>
      <c r="H476" s="342"/>
      <c r="I476" s="343" t="s">
        <v>511</v>
      </c>
      <c r="J476" s="343"/>
      <c r="K476" s="343"/>
      <c r="L476" s="343"/>
      <c r="M476" s="343"/>
      <c r="N476" s="343"/>
      <c r="O476" s="343"/>
      <c r="P476" s="343"/>
      <c r="Q476" s="343"/>
      <c r="R476" s="343"/>
      <c r="S476" s="344"/>
      <c r="T476" s="345" t="s">
        <v>512</v>
      </c>
      <c r="U476" s="287" t="s">
        <v>513</v>
      </c>
      <c r="V476" s="287"/>
      <c r="W476" s="287"/>
    </row>
    <row r="477" spans="2:23" ht="15.75" thickBot="1">
      <c r="B477" s="316" t="s">
        <v>514</v>
      </c>
      <c r="C477" s="318" t="s">
        <v>515</v>
      </c>
      <c r="D477" s="318"/>
      <c r="E477" s="314" t="s">
        <v>516</v>
      </c>
      <c r="F477" s="314" t="s">
        <v>517</v>
      </c>
      <c r="G477" s="314" t="s">
        <v>518</v>
      </c>
      <c r="H477" s="300" t="s">
        <v>519</v>
      </c>
      <c r="I477" s="337" t="s">
        <v>520</v>
      </c>
      <c r="J477" s="338"/>
      <c r="K477" s="338"/>
      <c r="L477" s="338"/>
      <c r="M477" s="338"/>
      <c r="N477" s="338"/>
      <c r="O477" s="338"/>
      <c r="P477" s="338"/>
      <c r="Q477" s="339" t="s">
        <v>521</v>
      </c>
      <c r="R477" s="340" t="s">
        <v>522</v>
      </c>
      <c r="S477" s="336" t="s">
        <v>523</v>
      </c>
      <c r="T477" s="287"/>
      <c r="U477" s="287"/>
      <c r="V477" s="287"/>
      <c r="W477" s="287"/>
    </row>
    <row r="478" spans="2:23" ht="69.75" customHeight="1" thickBot="1">
      <c r="B478" s="368"/>
      <c r="C478" s="369"/>
      <c r="D478" s="369"/>
      <c r="E478" s="366"/>
      <c r="F478" s="366"/>
      <c r="G478" s="366"/>
      <c r="H478" s="367"/>
      <c r="I478" s="20" t="s">
        <v>524</v>
      </c>
      <c r="J478" s="21" t="s">
        <v>525</v>
      </c>
      <c r="K478" s="22" t="s">
        <v>526</v>
      </c>
      <c r="L478" s="22" t="s">
        <v>527</v>
      </c>
      <c r="M478" s="22" t="s">
        <v>528</v>
      </c>
      <c r="N478" s="22" t="s">
        <v>529</v>
      </c>
      <c r="O478" s="22" t="s">
        <v>530</v>
      </c>
      <c r="P478" s="23" t="s">
        <v>531</v>
      </c>
      <c r="Q478" s="305"/>
      <c r="R478" s="320"/>
      <c r="S478" s="299"/>
      <c r="T478" s="287"/>
      <c r="U478" s="287"/>
      <c r="V478" s="287"/>
      <c r="W478" s="287"/>
    </row>
    <row r="479" spans="2:23" ht="45.75" customHeight="1">
      <c r="B479" s="108">
        <v>1</v>
      </c>
      <c r="C479" s="387" t="s">
        <v>112</v>
      </c>
      <c r="D479" s="387"/>
      <c r="E479" s="111">
        <v>240</v>
      </c>
      <c r="F479" s="107">
        <v>210</v>
      </c>
      <c r="G479" s="106">
        <f>+F479/E479</f>
        <v>0.875</v>
      </c>
      <c r="H479" s="43">
        <f>+F479/E479</f>
        <v>0.875</v>
      </c>
      <c r="I479" s="97"/>
      <c r="J479" s="97">
        <v>5000</v>
      </c>
      <c r="K479" s="32"/>
      <c r="L479" s="32"/>
      <c r="M479" s="31"/>
      <c r="N479" s="31"/>
      <c r="O479" s="31"/>
      <c r="P479" s="74"/>
      <c r="Q479" s="75">
        <f>+SUM(I479:P479)</f>
        <v>5000</v>
      </c>
      <c r="R479" s="76"/>
      <c r="S479" s="36">
        <f>R479/Q479</f>
        <v>0</v>
      </c>
      <c r="T479" s="37" t="s">
        <v>29</v>
      </c>
      <c r="U479" s="307"/>
      <c r="V479" s="307"/>
      <c r="W479" s="307"/>
    </row>
    <row r="480" spans="2:23" ht="45.75" customHeight="1">
      <c r="B480" s="77"/>
      <c r="C480" s="388"/>
      <c r="D480" s="388"/>
      <c r="E480" s="112"/>
      <c r="F480" s="107"/>
      <c r="G480" s="106"/>
      <c r="H480" s="43"/>
      <c r="I480" s="97"/>
      <c r="J480" s="97"/>
      <c r="K480" s="32"/>
      <c r="L480" s="32"/>
      <c r="M480" s="31"/>
      <c r="N480" s="31"/>
      <c r="O480" s="31"/>
      <c r="P480" s="74"/>
      <c r="Q480" s="75"/>
      <c r="R480" s="76"/>
      <c r="S480" s="36"/>
      <c r="T480" s="37"/>
      <c r="U480" s="322"/>
      <c r="V480" s="322"/>
      <c r="W480" s="322"/>
    </row>
    <row r="481" spans="2:23" ht="45.75" customHeight="1">
      <c r="B481" s="108"/>
      <c r="C481" s="388"/>
      <c r="D481" s="388"/>
      <c r="E481" s="112"/>
      <c r="F481" s="107"/>
      <c r="G481" s="106"/>
      <c r="H481" s="43"/>
      <c r="I481" s="97"/>
      <c r="J481" s="97"/>
      <c r="K481" s="32"/>
      <c r="L481" s="32"/>
      <c r="M481" s="31"/>
      <c r="N481" s="31"/>
      <c r="O481" s="31"/>
      <c r="P481" s="74"/>
      <c r="Q481" s="75"/>
      <c r="R481" s="76"/>
      <c r="S481" s="36"/>
      <c r="T481" s="37"/>
      <c r="U481" s="322"/>
      <c r="V481" s="322"/>
      <c r="W481" s="322"/>
    </row>
    <row r="482" spans="2:23" ht="45.75" customHeight="1">
      <c r="B482" s="39"/>
      <c r="C482" s="321"/>
      <c r="D482" s="321"/>
      <c r="E482" s="40"/>
      <c r="F482" s="41"/>
      <c r="G482" s="42"/>
      <c r="H482" s="91"/>
      <c r="I482" s="30"/>
      <c r="J482" s="32"/>
      <c r="K482" s="46"/>
      <c r="L482" s="46"/>
      <c r="M482" s="45"/>
      <c r="N482" s="45"/>
      <c r="O482" s="45"/>
      <c r="P482" s="74"/>
      <c r="Q482" s="75"/>
      <c r="R482" s="76"/>
      <c r="S482" s="36"/>
      <c r="T482" s="37"/>
      <c r="U482" s="322"/>
      <c r="V482" s="322"/>
      <c r="W482" s="322"/>
    </row>
    <row r="483" spans="2:23" ht="45.75" customHeight="1">
      <c r="B483" s="39"/>
      <c r="C483" s="308"/>
      <c r="D483" s="308"/>
      <c r="E483" s="40"/>
      <c r="F483" s="41"/>
      <c r="G483" s="42"/>
      <c r="H483" s="91"/>
      <c r="I483" s="95"/>
      <c r="J483" s="46"/>
      <c r="K483" s="45"/>
      <c r="L483" s="45"/>
      <c r="M483" s="45"/>
      <c r="N483" s="45"/>
      <c r="O483" s="45"/>
      <c r="P483" s="56"/>
      <c r="Q483" s="75"/>
      <c r="R483" s="76"/>
      <c r="S483" s="36"/>
      <c r="T483" s="37"/>
      <c r="U483" s="322"/>
      <c r="V483" s="322"/>
      <c r="W483" s="322"/>
    </row>
    <row r="484" spans="2:23" ht="45.75" customHeight="1" thickBot="1">
      <c r="B484" s="59"/>
      <c r="C484" s="310" t="s">
        <v>541</v>
      </c>
      <c r="D484" s="310"/>
      <c r="E484" s="60"/>
      <c r="F484" s="61"/>
      <c r="G484" s="62"/>
      <c r="H484" s="63"/>
      <c r="I484" s="64">
        <f>+SUM(I479:I483)</f>
        <v>0</v>
      </c>
      <c r="J484" s="64">
        <f>+SUM(J479:J483)</f>
        <v>5000</v>
      </c>
      <c r="K484" s="64">
        <f>+SUM(K479:K483)</f>
        <v>0</v>
      </c>
      <c r="L484" s="64"/>
      <c r="M484" s="64">
        <f aca="true" t="shared" si="20" ref="M484:R484">+SUM(M479:M483)</f>
        <v>0</v>
      </c>
      <c r="N484" s="64">
        <f t="shared" si="20"/>
        <v>0</v>
      </c>
      <c r="O484" s="64">
        <f t="shared" si="20"/>
        <v>0</v>
      </c>
      <c r="P484" s="64">
        <f t="shared" si="20"/>
        <v>0</v>
      </c>
      <c r="Q484" s="79">
        <f t="shared" si="20"/>
        <v>5000</v>
      </c>
      <c r="R484" s="79">
        <f t="shared" si="20"/>
        <v>0</v>
      </c>
      <c r="S484" s="66">
        <f>+R484/Q484</f>
        <v>0</v>
      </c>
      <c r="T484" s="67"/>
      <c r="U484" s="311"/>
      <c r="V484" s="311"/>
      <c r="W484" s="311"/>
    </row>
    <row r="485" ht="15.75" thickBot="1"/>
    <row r="486" spans="2:23" ht="15.75">
      <c r="B486" s="267" t="s">
        <v>479</v>
      </c>
      <c r="C486" s="267"/>
      <c r="D486" s="267"/>
      <c r="E486" s="267"/>
      <c r="F486" s="267"/>
      <c r="G486" s="267"/>
      <c r="H486" s="267"/>
      <c r="I486" s="267"/>
      <c r="J486" s="267"/>
      <c r="K486" s="267"/>
      <c r="L486" s="267"/>
      <c r="M486" s="267"/>
      <c r="N486" s="267"/>
      <c r="O486" s="267"/>
      <c r="P486" s="267"/>
      <c r="Q486" s="267"/>
      <c r="R486" s="267"/>
      <c r="S486" s="267"/>
      <c r="T486" s="267"/>
      <c r="U486" s="267"/>
      <c r="V486" s="267"/>
      <c r="W486" s="267"/>
    </row>
    <row r="487" spans="2:23" ht="15">
      <c r="B487" s="5"/>
      <c r="C487" s="6"/>
      <c r="D487" s="6"/>
      <c r="E487" s="6"/>
      <c r="F487" s="6"/>
      <c r="G487" s="6"/>
      <c r="H487" s="6"/>
      <c r="I487" s="6"/>
      <c r="J487" s="6"/>
      <c r="K487" s="6"/>
      <c r="L487" s="6"/>
      <c r="M487" s="6"/>
      <c r="N487" s="6"/>
      <c r="O487" s="6"/>
      <c r="P487" s="6"/>
      <c r="Q487" s="6"/>
      <c r="R487" s="6"/>
      <c r="S487" s="6"/>
      <c r="T487" s="6"/>
      <c r="U487" s="6"/>
      <c r="V487" s="6"/>
      <c r="W487" s="7"/>
    </row>
    <row r="488" spans="2:23" ht="20.25">
      <c r="B488" s="268" t="s">
        <v>480</v>
      </c>
      <c r="C488" s="269"/>
      <c r="D488" s="269"/>
      <c r="E488" s="269"/>
      <c r="F488" s="269"/>
      <c r="G488" s="269"/>
      <c r="H488" s="269"/>
      <c r="I488" s="269"/>
      <c r="J488" s="269"/>
      <c r="K488" s="269"/>
      <c r="L488" s="269"/>
      <c r="M488" s="269"/>
      <c r="N488" s="269"/>
      <c r="O488" s="269"/>
      <c r="P488" s="269"/>
      <c r="Q488" s="269"/>
      <c r="R488" s="269"/>
      <c r="S488" s="269"/>
      <c r="T488" s="269"/>
      <c r="U488" s="269"/>
      <c r="V488" s="269"/>
      <c r="W488" s="270"/>
    </row>
    <row r="489" spans="2:23" ht="18">
      <c r="B489" s="271" t="s">
        <v>481</v>
      </c>
      <c r="C489" s="272"/>
      <c r="D489" s="272"/>
      <c r="E489" s="272"/>
      <c r="F489" s="272"/>
      <c r="G489" s="272"/>
      <c r="H489" s="272"/>
      <c r="I489" s="272"/>
      <c r="J489" s="272"/>
      <c r="K489" s="272"/>
      <c r="L489" s="272"/>
      <c r="M489" s="272"/>
      <c r="N489" s="272"/>
      <c r="O489" s="272"/>
      <c r="P489" s="272"/>
      <c r="Q489" s="272"/>
      <c r="R489" s="272"/>
      <c r="S489" s="272"/>
      <c r="T489" s="272"/>
      <c r="U489" s="272"/>
      <c r="V489" s="272"/>
      <c r="W489" s="273"/>
    </row>
    <row r="490" spans="2:23" ht="18">
      <c r="B490" s="274" t="s">
        <v>482</v>
      </c>
      <c r="C490" s="275"/>
      <c r="D490" s="275"/>
      <c r="E490" s="275"/>
      <c r="F490" s="275"/>
      <c r="G490" s="275"/>
      <c r="H490" s="275"/>
      <c r="I490" s="275"/>
      <c r="J490" s="275"/>
      <c r="K490" s="275"/>
      <c r="L490" s="275"/>
      <c r="M490" s="275"/>
      <c r="N490" s="275"/>
      <c r="O490" s="275"/>
      <c r="P490" s="275"/>
      <c r="Q490" s="275"/>
      <c r="R490" s="275"/>
      <c r="S490" s="275"/>
      <c r="T490" s="275"/>
      <c r="U490" s="275"/>
      <c r="V490" s="275"/>
      <c r="W490" s="276"/>
    </row>
    <row r="491" spans="2:23" ht="15">
      <c r="B491" s="5"/>
      <c r="C491" s="6"/>
      <c r="D491" s="8"/>
      <c r="E491" s="8"/>
      <c r="F491" s="8"/>
      <c r="G491" s="8"/>
      <c r="H491" s="8"/>
      <c r="I491" s="6"/>
      <c r="J491" s="6"/>
      <c r="K491" s="6"/>
      <c r="L491" s="6"/>
      <c r="M491" s="6"/>
      <c r="N491" s="6"/>
      <c r="O491" s="6"/>
      <c r="P491" s="6"/>
      <c r="Q491" s="6"/>
      <c r="R491" s="6"/>
      <c r="S491" s="6"/>
      <c r="T491" s="6"/>
      <c r="U491" s="6"/>
      <c r="V491" s="6"/>
      <c r="W491" s="7"/>
    </row>
    <row r="492" spans="2:23" ht="15">
      <c r="B492" s="279" t="s">
        <v>483</v>
      </c>
      <c r="C492" s="280"/>
      <c r="D492" s="10" t="s">
        <v>484</v>
      </c>
      <c r="E492" s="10"/>
      <c r="F492" s="10"/>
      <c r="G492" s="11"/>
      <c r="H492" s="11"/>
      <c r="I492" s="11"/>
      <c r="J492" s="11"/>
      <c r="K492" s="11"/>
      <c r="L492" s="10" t="s">
        <v>485</v>
      </c>
      <c r="M492" s="10"/>
      <c r="N492" s="10"/>
      <c r="O492" s="281" t="s">
        <v>486</v>
      </c>
      <c r="P492" s="282"/>
      <c r="Q492" s="282"/>
      <c r="R492" s="282"/>
      <c r="S492" s="282"/>
      <c r="T492" s="282" t="s">
        <v>487</v>
      </c>
      <c r="U492" s="280"/>
      <c r="V492" s="280"/>
      <c r="W492" s="285"/>
    </row>
    <row r="493" spans="2:23" ht="15">
      <c r="B493" s="279" t="s">
        <v>488</v>
      </c>
      <c r="C493" s="280"/>
      <c r="D493" s="10" t="s">
        <v>489</v>
      </c>
      <c r="E493" s="10"/>
      <c r="F493" s="10"/>
      <c r="G493" s="11"/>
      <c r="H493" s="11"/>
      <c r="I493" s="11"/>
      <c r="J493" s="11"/>
      <c r="K493" s="11"/>
      <c r="L493" s="282" t="s">
        <v>490</v>
      </c>
      <c r="M493" s="280"/>
      <c r="N493" s="280"/>
      <c r="O493" s="282" t="s">
        <v>491</v>
      </c>
      <c r="P493" s="282"/>
      <c r="Q493" s="282"/>
      <c r="R493" s="282"/>
      <c r="S493" s="282"/>
      <c r="T493" s="12" t="s">
        <v>492</v>
      </c>
      <c r="U493" s="11">
        <v>1</v>
      </c>
      <c r="V493" s="11" t="s">
        <v>493</v>
      </c>
      <c r="W493" s="13">
        <v>22</v>
      </c>
    </row>
    <row r="494" spans="2:23" ht="15.75" thickBot="1">
      <c r="B494" s="83"/>
      <c r="C494" s="11"/>
      <c r="D494" s="11"/>
      <c r="E494" s="11"/>
      <c r="F494" s="11"/>
      <c r="G494" s="11"/>
      <c r="H494" s="11"/>
      <c r="I494" s="11"/>
      <c r="J494" s="11"/>
      <c r="K494" s="11"/>
      <c r="L494" s="283"/>
      <c r="M494" s="283"/>
      <c r="N494" s="283"/>
      <c r="O494" s="282" t="s">
        <v>494</v>
      </c>
      <c r="P494" s="282"/>
      <c r="Q494" s="282"/>
      <c r="R494" s="284"/>
      <c r="S494" s="284"/>
      <c r="T494" s="278"/>
      <c r="U494" s="278"/>
      <c r="V494" s="11"/>
      <c r="W494" s="16"/>
    </row>
    <row r="495" spans="2:23" ht="15.75" customHeight="1" thickBot="1">
      <c r="B495" s="325" t="s">
        <v>495</v>
      </c>
      <c r="C495" s="326"/>
      <c r="D495" s="327" t="s">
        <v>72</v>
      </c>
      <c r="E495" s="327"/>
      <c r="F495" s="327"/>
      <c r="G495" s="327"/>
      <c r="H495" s="327"/>
      <c r="I495" s="258" t="s">
        <v>497</v>
      </c>
      <c r="J495" s="248"/>
      <c r="K495" s="261" t="s">
        <v>113</v>
      </c>
      <c r="L495" s="291"/>
      <c r="M495" s="291"/>
      <c r="N495" s="291"/>
      <c r="O495" s="261" t="s">
        <v>114</v>
      </c>
      <c r="P495" s="291"/>
      <c r="Q495" s="262"/>
      <c r="R495" s="259" t="s">
        <v>502</v>
      </c>
      <c r="S495" s="260"/>
      <c r="T495" s="261" t="s">
        <v>115</v>
      </c>
      <c r="U495" s="262"/>
      <c r="V495" s="261" t="s">
        <v>116</v>
      </c>
      <c r="W495" s="262"/>
    </row>
    <row r="496" spans="2:23" ht="24.75" customHeight="1" thickBot="1">
      <c r="B496" s="328" t="s">
        <v>506</v>
      </c>
      <c r="C496" s="252"/>
      <c r="D496" s="294" t="s">
        <v>117</v>
      </c>
      <c r="E496" s="295"/>
      <c r="F496" s="295"/>
      <c r="G496" s="295"/>
      <c r="H496" s="295"/>
      <c r="I496" s="249"/>
      <c r="J496" s="250"/>
      <c r="K496" s="263"/>
      <c r="L496" s="292"/>
      <c r="M496" s="292"/>
      <c r="N496" s="292"/>
      <c r="O496" s="263"/>
      <c r="P496" s="292"/>
      <c r="Q496" s="264"/>
      <c r="R496" s="259"/>
      <c r="S496" s="260"/>
      <c r="T496" s="263"/>
      <c r="U496" s="264"/>
      <c r="V496" s="263"/>
      <c r="W496" s="264"/>
    </row>
    <row r="497" spans="2:23" ht="39" customHeight="1" thickBot="1">
      <c r="B497" s="331" t="s">
        <v>508</v>
      </c>
      <c r="C497" s="332"/>
      <c r="D497" s="333" t="s">
        <v>118</v>
      </c>
      <c r="E497" s="334"/>
      <c r="F497" s="334"/>
      <c r="G497" s="334"/>
      <c r="H497" s="335"/>
      <c r="I497" s="251"/>
      <c r="J497" s="247"/>
      <c r="K497" s="265"/>
      <c r="L497" s="293"/>
      <c r="M497" s="293"/>
      <c r="N497" s="293"/>
      <c r="O497" s="265"/>
      <c r="P497" s="293"/>
      <c r="Q497" s="266"/>
      <c r="R497" s="259"/>
      <c r="S497" s="260"/>
      <c r="T497" s="265"/>
      <c r="U497" s="266"/>
      <c r="V497" s="265"/>
      <c r="W497" s="266"/>
    </row>
    <row r="498" spans="2:23" ht="18.75" thickBot="1">
      <c r="B498" s="84"/>
      <c r="C498" s="85"/>
      <c r="D498" s="86"/>
      <c r="E498" s="87"/>
      <c r="F498" s="87"/>
      <c r="G498" s="87"/>
      <c r="H498" s="87"/>
      <c r="I498" s="84"/>
      <c r="J498" s="84"/>
      <c r="K498" s="84"/>
      <c r="L498" s="84"/>
      <c r="M498" s="84"/>
      <c r="N498" s="84"/>
      <c r="O498" s="84"/>
      <c r="P498" s="84"/>
      <c r="Q498" s="84"/>
      <c r="R498" s="84"/>
      <c r="S498" s="84"/>
      <c r="T498" s="19"/>
      <c r="U498" s="19"/>
      <c r="V498" s="19"/>
      <c r="W498" s="19"/>
    </row>
    <row r="499" spans="2:23" ht="15.75" thickBot="1">
      <c r="B499" s="341" t="s">
        <v>510</v>
      </c>
      <c r="C499" s="342"/>
      <c r="D499" s="342"/>
      <c r="E499" s="342"/>
      <c r="F499" s="342"/>
      <c r="G499" s="342"/>
      <c r="H499" s="342"/>
      <c r="I499" s="343" t="s">
        <v>511</v>
      </c>
      <c r="J499" s="343"/>
      <c r="K499" s="343"/>
      <c r="L499" s="343"/>
      <c r="M499" s="343"/>
      <c r="N499" s="343"/>
      <c r="O499" s="343"/>
      <c r="P499" s="343"/>
      <c r="Q499" s="343"/>
      <c r="R499" s="343"/>
      <c r="S499" s="344"/>
      <c r="T499" s="345" t="s">
        <v>512</v>
      </c>
      <c r="U499" s="287" t="s">
        <v>513</v>
      </c>
      <c r="V499" s="287"/>
      <c r="W499" s="287"/>
    </row>
    <row r="500" spans="2:23" ht="15.75" thickBot="1">
      <c r="B500" s="316" t="s">
        <v>514</v>
      </c>
      <c r="C500" s="318" t="s">
        <v>515</v>
      </c>
      <c r="D500" s="318"/>
      <c r="E500" s="314" t="s">
        <v>516</v>
      </c>
      <c r="F500" s="314" t="s">
        <v>517</v>
      </c>
      <c r="G500" s="314" t="s">
        <v>518</v>
      </c>
      <c r="H500" s="300" t="s">
        <v>519</v>
      </c>
      <c r="I500" s="337" t="s">
        <v>520</v>
      </c>
      <c r="J500" s="338"/>
      <c r="K500" s="338"/>
      <c r="L500" s="338"/>
      <c r="M500" s="338"/>
      <c r="N500" s="338"/>
      <c r="O500" s="338"/>
      <c r="P500" s="338"/>
      <c r="Q500" s="339" t="s">
        <v>521</v>
      </c>
      <c r="R500" s="340" t="s">
        <v>522</v>
      </c>
      <c r="S500" s="336" t="s">
        <v>523</v>
      </c>
      <c r="T500" s="287"/>
      <c r="U500" s="287"/>
      <c r="V500" s="287"/>
      <c r="W500" s="287"/>
    </row>
    <row r="501" spans="2:23" ht="71.25" customHeight="1" thickBot="1">
      <c r="B501" s="368"/>
      <c r="C501" s="369"/>
      <c r="D501" s="369"/>
      <c r="E501" s="366"/>
      <c r="F501" s="366"/>
      <c r="G501" s="366"/>
      <c r="H501" s="367"/>
      <c r="I501" s="20" t="s">
        <v>524</v>
      </c>
      <c r="J501" s="21" t="s">
        <v>525</v>
      </c>
      <c r="K501" s="22" t="s">
        <v>526</v>
      </c>
      <c r="L501" s="22" t="s">
        <v>527</v>
      </c>
      <c r="M501" s="22" t="s">
        <v>528</v>
      </c>
      <c r="N501" s="22" t="s">
        <v>529</v>
      </c>
      <c r="O501" s="22" t="s">
        <v>530</v>
      </c>
      <c r="P501" s="23" t="s">
        <v>531</v>
      </c>
      <c r="Q501" s="305"/>
      <c r="R501" s="320"/>
      <c r="S501" s="299"/>
      <c r="T501" s="287"/>
      <c r="U501" s="287"/>
      <c r="V501" s="287"/>
      <c r="W501" s="287"/>
    </row>
    <row r="502" spans="2:23" ht="36" customHeight="1">
      <c r="B502" s="108">
        <v>1</v>
      </c>
      <c r="C502" s="387" t="s">
        <v>119</v>
      </c>
      <c r="D502" s="387"/>
      <c r="E502" s="111">
        <v>20</v>
      </c>
      <c r="F502" s="107">
        <v>5</v>
      </c>
      <c r="G502" s="106">
        <f>+F502/E502</f>
        <v>0.25</v>
      </c>
      <c r="H502" s="43">
        <f>+F502/E502</f>
        <v>0.25</v>
      </c>
      <c r="I502" s="97"/>
      <c r="J502" s="97"/>
      <c r="K502" s="32"/>
      <c r="L502" s="32"/>
      <c r="M502" s="31"/>
      <c r="N502" s="31"/>
      <c r="O502" s="31"/>
      <c r="P502" s="74"/>
      <c r="Q502" s="75">
        <f>+SUM(I502:P502)</f>
        <v>0</v>
      </c>
      <c r="R502" s="76"/>
      <c r="S502" s="36" t="e">
        <f>R502/Q502</f>
        <v>#DIV/0!</v>
      </c>
      <c r="T502" s="37" t="s">
        <v>120</v>
      </c>
      <c r="U502" s="307"/>
      <c r="V502" s="307"/>
      <c r="W502" s="307"/>
    </row>
    <row r="503" spans="2:23" ht="36" customHeight="1">
      <c r="B503" s="77">
        <v>2</v>
      </c>
      <c r="C503" s="388" t="s">
        <v>121</v>
      </c>
      <c r="D503" s="388"/>
      <c r="E503" s="111">
        <v>400</v>
      </c>
      <c r="F503" s="107">
        <v>100</v>
      </c>
      <c r="G503" s="106">
        <f>+F503/E503</f>
        <v>0.25</v>
      </c>
      <c r="H503" s="43">
        <f>+F503/E503</f>
        <v>0.25</v>
      </c>
      <c r="I503" s="97"/>
      <c r="J503" s="97"/>
      <c r="K503" s="32"/>
      <c r="L503" s="32"/>
      <c r="M503" s="31"/>
      <c r="N503" s="31"/>
      <c r="O503" s="31"/>
      <c r="P503" s="74"/>
      <c r="Q503" s="75">
        <f>+SUM(I503:P503)</f>
        <v>0</v>
      </c>
      <c r="R503" s="76"/>
      <c r="S503" s="36" t="e">
        <f>R503/Q503</f>
        <v>#DIV/0!</v>
      </c>
      <c r="T503" s="37" t="s">
        <v>120</v>
      </c>
      <c r="U503" s="322"/>
      <c r="V503" s="322"/>
      <c r="W503" s="322"/>
    </row>
    <row r="504" spans="2:23" ht="36" customHeight="1">
      <c r="B504" s="108"/>
      <c r="C504" s="388"/>
      <c r="D504" s="388"/>
      <c r="E504" s="112"/>
      <c r="F504" s="107"/>
      <c r="G504" s="106"/>
      <c r="H504" s="43"/>
      <c r="I504" s="97"/>
      <c r="J504" s="97"/>
      <c r="K504" s="32"/>
      <c r="L504" s="32"/>
      <c r="M504" s="31"/>
      <c r="N504" s="31"/>
      <c r="O504" s="31"/>
      <c r="P504" s="74"/>
      <c r="Q504" s="75"/>
      <c r="R504" s="76"/>
      <c r="S504" s="36"/>
      <c r="T504" s="37"/>
      <c r="U504" s="322"/>
      <c r="V504" s="322"/>
      <c r="W504" s="322"/>
    </row>
    <row r="505" spans="2:23" ht="36" customHeight="1">
      <c r="B505" s="39"/>
      <c r="C505" s="321"/>
      <c r="D505" s="321"/>
      <c r="E505" s="40"/>
      <c r="F505" s="41"/>
      <c r="G505" s="42"/>
      <c r="H505" s="91"/>
      <c r="I505" s="30"/>
      <c r="J505" s="32"/>
      <c r="K505" s="46"/>
      <c r="L505" s="46"/>
      <c r="M505" s="45"/>
      <c r="N505" s="45"/>
      <c r="O505" s="45"/>
      <c r="P505" s="74"/>
      <c r="Q505" s="75"/>
      <c r="R505" s="76"/>
      <c r="S505" s="36"/>
      <c r="T505" s="37"/>
      <c r="U505" s="322"/>
      <c r="V505" s="322"/>
      <c r="W505" s="322"/>
    </row>
    <row r="506" spans="2:23" ht="36" customHeight="1">
      <c r="B506" s="39"/>
      <c r="C506" s="308"/>
      <c r="D506" s="308"/>
      <c r="E506" s="40"/>
      <c r="F506" s="41"/>
      <c r="G506" s="42"/>
      <c r="H506" s="91"/>
      <c r="I506" s="95"/>
      <c r="J506" s="46"/>
      <c r="K506" s="45"/>
      <c r="L506" s="45"/>
      <c r="M506" s="45"/>
      <c r="N506" s="45"/>
      <c r="O506" s="45"/>
      <c r="P506" s="56"/>
      <c r="Q506" s="75"/>
      <c r="R506" s="76"/>
      <c r="S506" s="36"/>
      <c r="T506" s="37"/>
      <c r="U506" s="322"/>
      <c r="V506" s="322"/>
      <c r="W506" s="322"/>
    </row>
    <row r="507" spans="2:23" ht="36" customHeight="1" thickBot="1">
      <c r="B507" s="59"/>
      <c r="C507" s="310" t="s">
        <v>541</v>
      </c>
      <c r="D507" s="310"/>
      <c r="E507" s="60"/>
      <c r="F507" s="61"/>
      <c r="G507" s="62"/>
      <c r="H507" s="63"/>
      <c r="I507" s="64">
        <f>+SUM(I502:I506)</f>
        <v>0</v>
      </c>
      <c r="J507" s="64">
        <f>+SUM(J502:J506)</f>
        <v>0</v>
      </c>
      <c r="K507" s="64">
        <f>+SUM(K502:K506)</f>
        <v>0</v>
      </c>
      <c r="L507" s="64"/>
      <c r="M507" s="64">
        <f aca="true" t="shared" si="21" ref="M507:R507">+SUM(M502:M506)</f>
        <v>0</v>
      </c>
      <c r="N507" s="64">
        <f t="shared" si="21"/>
        <v>0</v>
      </c>
      <c r="O507" s="64">
        <f t="shared" si="21"/>
        <v>0</v>
      </c>
      <c r="P507" s="64">
        <f t="shared" si="21"/>
        <v>0</v>
      </c>
      <c r="Q507" s="79">
        <f t="shared" si="21"/>
        <v>0</v>
      </c>
      <c r="R507" s="79">
        <f t="shared" si="21"/>
        <v>0</v>
      </c>
      <c r="S507" s="66" t="e">
        <f>+R507/Q507</f>
        <v>#DIV/0!</v>
      </c>
      <c r="T507" s="67"/>
      <c r="U507" s="311"/>
      <c r="V507" s="311"/>
      <c r="W507" s="311"/>
    </row>
    <row r="508" ht="15.75" thickBot="1"/>
    <row r="509" spans="2:23" ht="15.75">
      <c r="B509" s="267" t="s">
        <v>479</v>
      </c>
      <c r="C509" s="267"/>
      <c r="D509" s="267"/>
      <c r="E509" s="267"/>
      <c r="F509" s="267"/>
      <c r="G509" s="267"/>
      <c r="H509" s="267"/>
      <c r="I509" s="267"/>
      <c r="J509" s="267"/>
      <c r="K509" s="267"/>
      <c r="L509" s="267"/>
      <c r="M509" s="267"/>
      <c r="N509" s="267"/>
      <c r="O509" s="267"/>
      <c r="P509" s="267"/>
      <c r="Q509" s="267"/>
      <c r="R509" s="267"/>
      <c r="S509" s="267"/>
      <c r="T509" s="267"/>
      <c r="U509" s="267"/>
      <c r="V509" s="267"/>
      <c r="W509" s="267"/>
    </row>
    <row r="510" spans="2:23" ht="15">
      <c r="B510" s="5"/>
      <c r="C510" s="6"/>
      <c r="D510" s="6"/>
      <c r="E510" s="6"/>
      <c r="F510" s="6"/>
      <c r="G510" s="6"/>
      <c r="H510" s="6"/>
      <c r="I510" s="6"/>
      <c r="J510" s="6"/>
      <c r="K510" s="6"/>
      <c r="L510" s="6"/>
      <c r="M510" s="6"/>
      <c r="N510" s="6"/>
      <c r="O510" s="6"/>
      <c r="P510" s="6"/>
      <c r="Q510" s="6"/>
      <c r="R510" s="6"/>
      <c r="S510" s="6"/>
      <c r="T510" s="6"/>
      <c r="U510" s="6"/>
      <c r="V510" s="6"/>
      <c r="W510" s="7"/>
    </row>
    <row r="511" spans="2:23" ht="20.25">
      <c r="B511" s="268" t="s">
        <v>480</v>
      </c>
      <c r="C511" s="269"/>
      <c r="D511" s="269"/>
      <c r="E511" s="269"/>
      <c r="F511" s="269"/>
      <c r="G511" s="269"/>
      <c r="H511" s="269"/>
      <c r="I511" s="269"/>
      <c r="J511" s="269"/>
      <c r="K511" s="269"/>
      <c r="L511" s="269"/>
      <c r="M511" s="269"/>
      <c r="N511" s="269"/>
      <c r="O511" s="269"/>
      <c r="P511" s="269"/>
      <c r="Q511" s="269"/>
      <c r="R511" s="269"/>
      <c r="S511" s="269"/>
      <c r="T511" s="269"/>
      <c r="U511" s="269"/>
      <c r="V511" s="269"/>
      <c r="W511" s="270"/>
    </row>
    <row r="512" spans="2:23" ht="18">
      <c r="B512" s="271" t="s">
        <v>481</v>
      </c>
      <c r="C512" s="272"/>
      <c r="D512" s="272"/>
      <c r="E512" s="272"/>
      <c r="F512" s="272"/>
      <c r="G512" s="272"/>
      <c r="H512" s="272"/>
      <c r="I512" s="272"/>
      <c r="J512" s="272"/>
      <c r="K512" s="272"/>
      <c r="L512" s="272"/>
      <c r="M512" s="272"/>
      <c r="N512" s="272"/>
      <c r="O512" s="272"/>
      <c r="P512" s="272"/>
      <c r="Q512" s="272"/>
      <c r="R512" s="272"/>
      <c r="S512" s="272"/>
      <c r="T512" s="272"/>
      <c r="U512" s="272"/>
      <c r="V512" s="272"/>
      <c r="W512" s="273"/>
    </row>
    <row r="513" spans="2:23" ht="18">
      <c r="B513" s="274" t="s">
        <v>482</v>
      </c>
      <c r="C513" s="275"/>
      <c r="D513" s="275"/>
      <c r="E513" s="275"/>
      <c r="F513" s="275"/>
      <c r="G513" s="275"/>
      <c r="H513" s="275"/>
      <c r="I513" s="275"/>
      <c r="J513" s="275"/>
      <c r="K513" s="275"/>
      <c r="L513" s="275"/>
      <c r="M513" s="275"/>
      <c r="N513" s="275"/>
      <c r="O513" s="275"/>
      <c r="P513" s="275"/>
      <c r="Q513" s="275"/>
      <c r="R513" s="275"/>
      <c r="S513" s="275"/>
      <c r="T513" s="275"/>
      <c r="U513" s="275"/>
      <c r="V513" s="275"/>
      <c r="W513" s="276"/>
    </row>
    <row r="514" spans="2:23" ht="15">
      <c r="B514" s="5"/>
      <c r="C514" s="6"/>
      <c r="D514" s="8"/>
      <c r="E514" s="8"/>
      <c r="F514" s="8"/>
      <c r="G514" s="8"/>
      <c r="H514" s="8"/>
      <c r="I514" s="6"/>
      <c r="J514" s="6"/>
      <c r="K514" s="6"/>
      <c r="L514" s="6"/>
      <c r="M514" s="6"/>
      <c r="N514" s="6"/>
      <c r="O514" s="6"/>
      <c r="P514" s="6"/>
      <c r="Q514" s="6"/>
      <c r="R514" s="6"/>
      <c r="S514" s="6"/>
      <c r="T514" s="6"/>
      <c r="U514" s="6"/>
      <c r="V514" s="6"/>
      <c r="W514" s="7"/>
    </row>
    <row r="515" spans="2:23" ht="15">
      <c r="B515" s="279" t="s">
        <v>483</v>
      </c>
      <c r="C515" s="280"/>
      <c r="D515" s="10" t="s">
        <v>484</v>
      </c>
      <c r="E515" s="10"/>
      <c r="F515" s="10"/>
      <c r="G515" s="11"/>
      <c r="H515" s="11"/>
      <c r="I515" s="11"/>
      <c r="J515" s="11"/>
      <c r="K515" s="11"/>
      <c r="L515" s="10" t="s">
        <v>485</v>
      </c>
      <c r="M515" s="10"/>
      <c r="N515" s="10"/>
      <c r="O515" s="281" t="s">
        <v>486</v>
      </c>
      <c r="P515" s="282"/>
      <c r="Q515" s="282"/>
      <c r="R515" s="282"/>
      <c r="S515" s="282"/>
      <c r="T515" s="282" t="s">
        <v>487</v>
      </c>
      <c r="U515" s="280"/>
      <c r="V515" s="280"/>
      <c r="W515" s="285"/>
    </row>
    <row r="516" spans="2:23" ht="15">
      <c r="B516" s="279" t="s">
        <v>488</v>
      </c>
      <c r="C516" s="280"/>
      <c r="D516" s="10" t="s">
        <v>489</v>
      </c>
      <c r="E516" s="10"/>
      <c r="F516" s="10"/>
      <c r="G516" s="11"/>
      <c r="H516" s="11"/>
      <c r="I516" s="11"/>
      <c r="J516" s="11"/>
      <c r="K516" s="11"/>
      <c r="L516" s="282" t="s">
        <v>490</v>
      </c>
      <c r="M516" s="280"/>
      <c r="N516" s="280"/>
      <c r="O516" s="282" t="s">
        <v>491</v>
      </c>
      <c r="P516" s="282"/>
      <c r="Q516" s="282"/>
      <c r="R516" s="282"/>
      <c r="S516" s="282"/>
      <c r="T516" s="12" t="s">
        <v>492</v>
      </c>
      <c r="U516" s="11">
        <v>1</v>
      </c>
      <c r="V516" s="11" t="s">
        <v>493</v>
      </c>
      <c r="W516" s="13">
        <v>23</v>
      </c>
    </row>
    <row r="517" spans="2:23" ht="15.75" thickBot="1">
      <c r="B517" s="83"/>
      <c r="C517" s="11"/>
      <c r="D517" s="11"/>
      <c r="E517" s="11"/>
      <c r="F517" s="11"/>
      <c r="G517" s="11"/>
      <c r="H517" s="11"/>
      <c r="I517" s="11"/>
      <c r="J517" s="11"/>
      <c r="K517" s="11"/>
      <c r="L517" s="283"/>
      <c r="M517" s="283"/>
      <c r="N517" s="283"/>
      <c r="O517" s="282" t="s">
        <v>494</v>
      </c>
      <c r="P517" s="282"/>
      <c r="Q517" s="282"/>
      <c r="R517" s="284"/>
      <c r="S517" s="284"/>
      <c r="T517" s="278"/>
      <c r="U517" s="278"/>
      <c r="V517" s="11"/>
      <c r="W517" s="16"/>
    </row>
    <row r="518" spans="2:23" ht="15.75" customHeight="1" thickBot="1">
      <c r="B518" s="325" t="s">
        <v>495</v>
      </c>
      <c r="C518" s="326"/>
      <c r="D518" s="327" t="s">
        <v>122</v>
      </c>
      <c r="E518" s="327"/>
      <c r="F518" s="327"/>
      <c r="G518" s="327"/>
      <c r="H518" s="327"/>
      <c r="I518" s="258" t="s">
        <v>497</v>
      </c>
      <c r="J518" s="248"/>
      <c r="K518" s="261" t="s">
        <v>123</v>
      </c>
      <c r="L518" s="291"/>
      <c r="M518" s="261" t="s">
        <v>125</v>
      </c>
      <c r="N518" s="262"/>
      <c r="O518" s="261" t="s">
        <v>126</v>
      </c>
      <c r="P518" s="291"/>
      <c r="Q518" s="262"/>
      <c r="R518" s="259" t="s">
        <v>502</v>
      </c>
      <c r="S518" s="260"/>
      <c r="T518" s="261" t="s">
        <v>127</v>
      </c>
      <c r="U518" s="296" t="s">
        <v>125</v>
      </c>
      <c r="V518" s="261" t="s">
        <v>128</v>
      </c>
      <c r="W518" s="262"/>
    </row>
    <row r="519" spans="2:23" ht="25.5" customHeight="1" thickBot="1">
      <c r="B519" s="328" t="s">
        <v>506</v>
      </c>
      <c r="C519" s="252"/>
      <c r="D519" s="294" t="s">
        <v>129</v>
      </c>
      <c r="E519" s="295"/>
      <c r="F519" s="295"/>
      <c r="G519" s="295"/>
      <c r="H519" s="295"/>
      <c r="I519" s="249"/>
      <c r="J519" s="250"/>
      <c r="K519" s="263"/>
      <c r="L519" s="292"/>
      <c r="M519" s="263"/>
      <c r="N519" s="264"/>
      <c r="O519" s="263"/>
      <c r="P519" s="292"/>
      <c r="Q519" s="264"/>
      <c r="R519" s="259"/>
      <c r="S519" s="260"/>
      <c r="T519" s="263"/>
      <c r="U519" s="297"/>
      <c r="V519" s="263"/>
      <c r="W519" s="264"/>
    </row>
    <row r="520" spans="2:23" ht="63.75" customHeight="1" thickBot="1">
      <c r="B520" s="331" t="s">
        <v>508</v>
      </c>
      <c r="C520" s="332"/>
      <c r="D520" s="333" t="s">
        <v>130</v>
      </c>
      <c r="E520" s="334"/>
      <c r="F520" s="334"/>
      <c r="G520" s="334"/>
      <c r="H520" s="335"/>
      <c r="I520" s="251"/>
      <c r="J520" s="247"/>
      <c r="K520" s="265"/>
      <c r="L520" s="293"/>
      <c r="M520" s="265"/>
      <c r="N520" s="266"/>
      <c r="O520" s="265"/>
      <c r="P520" s="293"/>
      <c r="Q520" s="266"/>
      <c r="R520" s="259"/>
      <c r="S520" s="260"/>
      <c r="T520" s="265"/>
      <c r="U520" s="298"/>
      <c r="V520" s="265"/>
      <c r="W520" s="266"/>
    </row>
    <row r="521" spans="2:23" ht="18.75" thickBot="1">
      <c r="B521" s="84"/>
      <c r="C521" s="85"/>
      <c r="D521" s="86"/>
      <c r="E521" s="87"/>
      <c r="F521" s="87"/>
      <c r="G521" s="87"/>
      <c r="H521" s="87"/>
      <c r="I521" s="84"/>
      <c r="J521" s="84"/>
      <c r="K521" s="84"/>
      <c r="L521" s="84"/>
      <c r="M521" s="84"/>
      <c r="N521" s="84"/>
      <c r="O521" s="84"/>
      <c r="P521" s="84"/>
      <c r="Q521" s="84"/>
      <c r="R521" s="84"/>
      <c r="S521" s="84"/>
      <c r="T521" s="19"/>
      <c r="U521" s="19"/>
      <c r="V521" s="19"/>
      <c r="W521" s="19"/>
    </row>
    <row r="522" spans="2:23" ht="15.75" thickBot="1">
      <c r="B522" s="341" t="s">
        <v>510</v>
      </c>
      <c r="C522" s="342"/>
      <c r="D522" s="342"/>
      <c r="E522" s="342"/>
      <c r="F522" s="342"/>
      <c r="G522" s="342"/>
      <c r="H522" s="342"/>
      <c r="I522" s="343" t="s">
        <v>511</v>
      </c>
      <c r="J522" s="343"/>
      <c r="K522" s="343"/>
      <c r="L522" s="343"/>
      <c r="M522" s="343"/>
      <c r="N522" s="343"/>
      <c r="O522" s="343"/>
      <c r="P522" s="343"/>
      <c r="Q522" s="343"/>
      <c r="R522" s="343"/>
      <c r="S522" s="344"/>
      <c r="T522" s="345" t="s">
        <v>512</v>
      </c>
      <c r="U522" s="287" t="s">
        <v>513</v>
      </c>
      <c r="V522" s="287"/>
      <c r="W522" s="287"/>
    </row>
    <row r="523" spans="2:23" ht="15.75" thickBot="1">
      <c r="B523" s="316" t="s">
        <v>514</v>
      </c>
      <c r="C523" s="318" t="s">
        <v>515</v>
      </c>
      <c r="D523" s="318"/>
      <c r="E523" s="314" t="s">
        <v>516</v>
      </c>
      <c r="F523" s="314" t="s">
        <v>517</v>
      </c>
      <c r="G523" s="314" t="s">
        <v>518</v>
      </c>
      <c r="H523" s="300" t="s">
        <v>519</v>
      </c>
      <c r="I523" s="337" t="s">
        <v>520</v>
      </c>
      <c r="J523" s="338"/>
      <c r="K523" s="338"/>
      <c r="L523" s="338"/>
      <c r="M523" s="338"/>
      <c r="N523" s="338"/>
      <c r="O523" s="338"/>
      <c r="P523" s="338"/>
      <c r="Q523" s="339" t="s">
        <v>521</v>
      </c>
      <c r="R523" s="340" t="s">
        <v>522</v>
      </c>
      <c r="S523" s="336" t="s">
        <v>523</v>
      </c>
      <c r="T523" s="287"/>
      <c r="U523" s="287"/>
      <c r="V523" s="287"/>
      <c r="W523" s="287"/>
    </row>
    <row r="524" spans="2:23" ht="73.5" customHeight="1" thickBot="1">
      <c r="B524" s="368"/>
      <c r="C524" s="369"/>
      <c r="D524" s="369"/>
      <c r="E524" s="366"/>
      <c r="F524" s="366"/>
      <c r="G524" s="366"/>
      <c r="H524" s="367"/>
      <c r="I524" s="20" t="s">
        <v>524</v>
      </c>
      <c r="J524" s="21" t="s">
        <v>525</v>
      </c>
      <c r="K524" s="22" t="s">
        <v>526</v>
      </c>
      <c r="L524" s="22" t="s">
        <v>527</v>
      </c>
      <c r="M524" s="22" t="s">
        <v>528</v>
      </c>
      <c r="N524" s="22" t="s">
        <v>529</v>
      </c>
      <c r="O524" s="22" t="s">
        <v>530</v>
      </c>
      <c r="P524" s="23" t="s">
        <v>531</v>
      </c>
      <c r="Q524" s="305"/>
      <c r="R524" s="320"/>
      <c r="S524" s="299"/>
      <c r="T524" s="287"/>
      <c r="U524" s="287"/>
      <c r="V524" s="287"/>
      <c r="W524" s="287"/>
    </row>
    <row r="525" spans="2:23" ht="60.75" customHeight="1">
      <c r="B525" s="108">
        <v>1</v>
      </c>
      <c r="C525" s="387" t="s">
        <v>131</v>
      </c>
      <c r="D525" s="387"/>
      <c r="E525" s="111">
        <v>100</v>
      </c>
      <c r="F525" s="107">
        <v>70</v>
      </c>
      <c r="G525" s="106">
        <f>+F525/E525</f>
        <v>0.7</v>
      </c>
      <c r="H525" s="43">
        <f>+F525/E525</f>
        <v>0.7</v>
      </c>
      <c r="I525" s="97">
        <v>15000</v>
      </c>
      <c r="J525" s="97">
        <v>5291</v>
      </c>
      <c r="K525" s="32"/>
      <c r="L525" s="32"/>
      <c r="M525" s="31"/>
      <c r="N525" s="31"/>
      <c r="O525" s="31"/>
      <c r="P525" s="74"/>
      <c r="Q525" s="75">
        <f>+SUM(I525:P525)</f>
        <v>20291</v>
      </c>
      <c r="R525" s="76">
        <f>19836+13400</f>
        <v>33236</v>
      </c>
      <c r="S525" s="36">
        <f>R525/Q525</f>
        <v>1.6379675718298754</v>
      </c>
      <c r="T525" s="37" t="s">
        <v>132</v>
      </c>
      <c r="U525" s="307"/>
      <c r="V525" s="307"/>
      <c r="W525" s="307"/>
    </row>
    <row r="526" spans="2:23" ht="51" customHeight="1">
      <c r="B526" s="77">
        <v>2</v>
      </c>
      <c r="C526" s="388" t="s">
        <v>306</v>
      </c>
      <c r="D526" s="388"/>
      <c r="E526" s="111">
        <v>100</v>
      </c>
      <c r="F526" s="107"/>
      <c r="G526" s="106">
        <f>+F526/E526</f>
        <v>0</v>
      </c>
      <c r="H526" s="43">
        <f>+F526/E526</f>
        <v>0</v>
      </c>
      <c r="I526" s="97"/>
      <c r="J526" s="97"/>
      <c r="K526" s="32"/>
      <c r="L526" s="32"/>
      <c r="M526" s="31"/>
      <c r="N526" s="31"/>
      <c r="O526" s="31"/>
      <c r="P526" s="74"/>
      <c r="Q526" s="75">
        <f>+SUM(I526:P526)</f>
        <v>0</v>
      </c>
      <c r="R526" s="76"/>
      <c r="S526" s="36" t="e">
        <f>R526/Q526</f>
        <v>#DIV/0!</v>
      </c>
      <c r="T526" s="37" t="s">
        <v>132</v>
      </c>
      <c r="U526" s="322"/>
      <c r="V526" s="322"/>
      <c r="W526" s="322"/>
    </row>
    <row r="527" spans="2:23" ht="49.5" customHeight="1">
      <c r="B527" s="108">
        <v>3</v>
      </c>
      <c r="C527" s="388" t="s">
        <v>307</v>
      </c>
      <c r="D527" s="388"/>
      <c r="E527" s="111">
        <v>80</v>
      </c>
      <c r="F527" s="107"/>
      <c r="G527" s="106">
        <f>+F527/E527</f>
        <v>0</v>
      </c>
      <c r="H527" s="43">
        <f>+F527/E527</f>
        <v>0</v>
      </c>
      <c r="I527" s="97"/>
      <c r="J527" s="97"/>
      <c r="K527" s="32"/>
      <c r="L527" s="32"/>
      <c r="M527" s="31"/>
      <c r="N527" s="31"/>
      <c r="O527" s="31"/>
      <c r="P527" s="74"/>
      <c r="Q527" s="75">
        <f>+SUM(I527:P527)</f>
        <v>0</v>
      </c>
      <c r="R527" s="76"/>
      <c r="S527" s="36" t="e">
        <f>R527/Q527</f>
        <v>#DIV/0!</v>
      </c>
      <c r="T527" s="37" t="s">
        <v>132</v>
      </c>
      <c r="U527" s="322"/>
      <c r="V527" s="322"/>
      <c r="W527" s="322"/>
    </row>
    <row r="528" spans="2:23" ht="42.75" customHeight="1">
      <c r="B528" s="39"/>
      <c r="C528" s="321"/>
      <c r="D528" s="321"/>
      <c r="E528" s="40"/>
      <c r="F528" s="41"/>
      <c r="G528" s="42"/>
      <c r="H528" s="91"/>
      <c r="I528" s="30"/>
      <c r="J528" s="32"/>
      <c r="K528" s="46"/>
      <c r="L528" s="46"/>
      <c r="M528" s="45"/>
      <c r="N528" s="45"/>
      <c r="O528" s="45"/>
      <c r="P528" s="74"/>
      <c r="Q528" s="75"/>
      <c r="R528" s="76"/>
      <c r="S528" s="36"/>
      <c r="T528" s="37"/>
      <c r="U528" s="322"/>
      <c r="V528" s="322"/>
      <c r="W528" s="322"/>
    </row>
    <row r="529" spans="2:23" ht="42.75" customHeight="1">
      <c r="B529" s="39"/>
      <c r="C529" s="308"/>
      <c r="D529" s="308"/>
      <c r="E529" s="40"/>
      <c r="F529" s="41"/>
      <c r="G529" s="42"/>
      <c r="H529" s="91"/>
      <c r="I529" s="95"/>
      <c r="J529" s="46"/>
      <c r="K529" s="45"/>
      <c r="L529" s="45"/>
      <c r="M529" s="45"/>
      <c r="N529" s="45"/>
      <c r="O529" s="45"/>
      <c r="P529" s="56"/>
      <c r="Q529" s="75"/>
      <c r="R529" s="76"/>
      <c r="S529" s="36"/>
      <c r="T529" s="37"/>
      <c r="U529" s="322"/>
      <c r="V529" s="322"/>
      <c r="W529" s="322"/>
    </row>
    <row r="530" spans="2:23" ht="42.75" customHeight="1" thickBot="1">
      <c r="B530" s="59"/>
      <c r="C530" s="310" t="s">
        <v>541</v>
      </c>
      <c r="D530" s="310"/>
      <c r="E530" s="60"/>
      <c r="F530" s="61"/>
      <c r="G530" s="62"/>
      <c r="H530" s="63"/>
      <c r="I530" s="64">
        <f>+SUM(I525:I529)</f>
        <v>15000</v>
      </c>
      <c r="J530" s="64">
        <f>+SUM(J525:J529)</f>
        <v>5291</v>
      </c>
      <c r="K530" s="64">
        <f>+SUM(K525:K529)</f>
        <v>0</v>
      </c>
      <c r="L530" s="64"/>
      <c r="M530" s="64">
        <f aca="true" t="shared" si="22" ref="M530:R530">+SUM(M525:M529)</f>
        <v>0</v>
      </c>
      <c r="N530" s="64">
        <f t="shared" si="22"/>
        <v>0</v>
      </c>
      <c r="O530" s="64">
        <f t="shared" si="22"/>
        <v>0</v>
      </c>
      <c r="P530" s="64">
        <f t="shared" si="22"/>
        <v>0</v>
      </c>
      <c r="Q530" s="79">
        <f t="shared" si="22"/>
        <v>20291</v>
      </c>
      <c r="R530" s="79">
        <f t="shared" si="22"/>
        <v>33236</v>
      </c>
      <c r="S530" s="66">
        <f>+R530/Q530</f>
        <v>1.6379675718298754</v>
      </c>
      <c r="T530" s="67"/>
      <c r="U530" s="311"/>
      <c r="V530" s="311"/>
      <c r="W530" s="311"/>
    </row>
    <row r="531" ht="15.75" thickBot="1"/>
    <row r="532" spans="2:23" ht="15.75">
      <c r="B532" s="267" t="s">
        <v>479</v>
      </c>
      <c r="C532" s="267"/>
      <c r="D532" s="267"/>
      <c r="E532" s="267"/>
      <c r="F532" s="267"/>
      <c r="G532" s="267"/>
      <c r="H532" s="267"/>
      <c r="I532" s="267"/>
      <c r="J532" s="267"/>
      <c r="K532" s="267"/>
      <c r="L532" s="267"/>
      <c r="M532" s="267"/>
      <c r="N532" s="267"/>
      <c r="O532" s="267"/>
      <c r="P532" s="267"/>
      <c r="Q532" s="267"/>
      <c r="R532" s="267"/>
      <c r="S532" s="267"/>
      <c r="T532" s="267"/>
      <c r="U532" s="267"/>
      <c r="V532" s="267"/>
      <c r="W532" s="267"/>
    </row>
    <row r="533" spans="2:23" ht="15">
      <c r="B533" s="5"/>
      <c r="C533" s="6"/>
      <c r="D533" s="6"/>
      <c r="E533" s="6"/>
      <c r="F533" s="6"/>
      <c r="G533" s="6"/>
      <c r="H533" s="6"/>
      <c r="I533" s="6"/>
      <c r="J533" s="6"/>
      <c r="K533" s="6"/>
      <c r="L533" s="6"/>
      <c r="M533" s="6"/>
      <c r="N533" s="6"/>
      <c r="O533" s="6"/>
      <c r="P533" s="6"/>
      <c r="Q533" s="6"/>
      <c r="R533" s="6"/>
      <c r="S533" s="6"/>
      <c r="T533" s="6"/>
      <c r="U533" s="6"/>
      <c r="V533" s="6"/>
      <c r="W533" s="7"/>
    </row>
    <row r="534" spans="2:23" ht="20.25">
      <c r="B534" s="268" t="s">
        <v>480</v>
      </c>
      <c r="C534" s="269"/>
      <c r="D534" s="269"/>
      <c r="E534" s="269"/>
      <c r="F534" s="269"/>
      <c r="G534" s="269"/>
      <c r="H534" s="269"/>
      <c r="I534" s="269"/>
      <c r="J534" s="269"/>
      <c r="K534" s="269"/>
      <c r="L534" s="269"/>
      <c r="M534" s="269"/>
      <c r="N534" s="269"/>
      <c r="O534" s="269"/>
      <c r="P534" s="269"/>
      <c r="Q534" s="269"/>
      <c r="R534" s="269"/>
      <c r="S534" s="269"/>
      <c r="T534" s="269"/>
      <c r="U534" s="269"/>
      <c r="V534" s="269"/>
      <c r="W534" s="270"/>
    </row>
    <row r="535" spans="2:23" ht="18">
      <c r="B535" s="271" t="s">
        <v>481</v>
      </c>
      <c r="C535" s="272"/>
      <c r="D535" s="272"/>
      <c r="E535" s="272"/>
      <c r="F535" s="272"/>
      <c r="G535" s="272"/>
      <c r="H535" s="272"/>
      <c r="I535" s="272"/>
      <c r="J535" s="272"/>
      <c r="K535" s="272"/>
      <c r="L535" s="272"/>
      <c r="M535" s="272"/>
      <c r="N535" s="272"/>
      <c r="O535" s="272"/>
      <c r="P535" s="272"/>
      <c r="Q535" s="272"/>
      <c r="R535" s="272"/>
      <c r="S535" s="272"/>
      <c r="T535" s="272"/>
      <c r="U535" s="272"/>
      <c r="V535" s="272"/>
      <c r="W535" s="273"/>
    </row>
    <row r="536" spans="2:23" ht="18">
      <c r="B536" s="274" t="s">
        <v>482</v>
      </c>
      <c r="C536" s="275"/>
      <c r="D536" s="275"/>
      <c r="E536" s="275"/>
      <c r="F536" s="275"/>
      <c r="G536" s="275"/>
      <c r="H536" s="275"/>
      <c r="I536" s="275"/>
      <c r="J536" s="275"/>
      <c r="K536" s="275"/>
      <c r="L536" s="275"/>
      <c r="M536" s="275"/>
      <c r="N536" s="275"/>
      <c r="O536" s="275"/>
      <c r="P536" s="275"/>
      <c r="Q536" s="275"/>
      <c r="R536" s="275"/>
      <c r="S536" s="275"/>
      <c r="T536" s="275"/>
      <c r="U536" s="275"/>
      <c r="V536" s="275"/>
      <c r="W536" s="276"/>
    </row>
    <row r="537" spans="2:23" ht="15">
      <c r="B537" s="5"/>
      <c r="C537" s="6"/>
      <c r="D537" s="8"/>
      <c r="E537" s="8"/>
      <c r="F537" s="8"/>
      <c r="G537" s="8"/>
      <c r="H537" s="8"/>
      <c r="I537" s="6"/>
      <c r="J537" s="6"/>
      <c r="K537" s="6"/>
      <c r="L537" s="6"/>
      <c r="M537" s="6"/>
      <c r="N537" s="6"/>
      <c r="O537" s="6"/>
      <c r="P537" s="6"/>
      <c r="Q537" s="6"/>
      <c r="R537" s="6"/>
      <c r="S537" s="6"/>
      <c r="T537" s="6"/>
      <c r="U537" s="6"/>
      <c r="V537" s="6"/>
      <c r="W537" s="7"/>
    </row>
    <row r="538" spans="2:23" ht="15">
      <c r="B538" s="279" t="s">
        <v>483</v>
      </c>
      <c r="C538" s="280"/>
      <c r="D538" s="10" t="s">
        <v>484</v>
      </c>
      <c r="E538" s="10"/>
      <c r="F538" s="10"/>
      <c r="G538" s="11"/>
      <c r="H538" s="11"/>
      <c r="I538" s="11"/>
      <c r="J538" s="11"/>
      <c r="K538" s="11"/>
      <c r="L538" s="10" t="s">
        <v>485</v>
      </c>
      <c r="M538" s="10"/>
      <c r="N538" s="10"/>
      <c r="O538" s="281" t="s">
        <v>486</v>
      </c>
      <c r="P538" s="282"/>
      <c r="Q538" s="282"/>
      <c r="R538" s="282"/>
      <c r="S538" s="282"/>
      <c r="T538" s="282" t="s">
        <v>487</v>
      </c>
      <c r="U538" s="280"/>
      <c r="V538" s="280"/>
      <c r="W538" s="285"/>
    </row>
    <row r="539" spans="2:23" ht="15">
      <c r="B539" s="279" t="s">
        <v>488</v>
      </c>
      <c r="C539" s="280"/>
      <c r="D539" s="10" t="s">
        <v>489</v>
      </c>
      <c r="E539" s="10"/>
      <c r="F539" s="10"/>
      <c r="G539" s="11"/>
      <c r="H539" s="11"/>
      <c r="I539" s="11"/>
      <c r="J539" s="11"/>
      <c r="K539" s="11"/>
      <c r="L539" s="282" t="s">
        <v>490</v>
      </c>
      <c r="M539" s="280"/>
      <c r="N539" s="280"/>
      <c r="O539" s="282" t="s">
        <v>491</v>
      </c>
      <c r="P539" s="282"/>
      <c r="Q539" s="282"/>
      <c r="R539" s="282"/>
      <c r="S539" s="282"/>
      <c r="T539" s="12" t="s">
        <v>492</v>
      </c>
      <c r="U539" s="11">
        <v>1</v>
      </c>
      <c r="V539" s="11" t="s">
        <v>493</v>
      </c>
      <c r="W539" s="13">
        <v>24</v>
      </c>
    </row>
    <row r="540" spans="2:23" ht="15.75" thickBot="1">
      <c r="B540" s="83"/>
      <c r="C540" s="11"/>
      <c r="D540" s="11"/>
      <c r="E540" s="11"/>
      <c r="F540" s="11"/>
      <c r="G540" s="11"/>
      <c r="H540" s="11"/>
      <c r="I540" s="11"/>
      <c r="J540" s="11"/>
      <c r="K540" s="11"/>
      <c r="L540" s="283"/>
      <c r="M540" s="283"/>
      <c r="N540" s="283"/>
      <c r="O540" s="282" t="s">
        <v>494</v>
      </c>
      <c r="P540" s="282"/>
      <c r="Q540" s="282"/>
      <c r="R540" s="284"/>
      <c r="S540" s="284"/>
      <c r="T540" s="278"/>
      <c r="U540" s="278"/>
      <c r="V540" s="11"/>
      <c r="W540" s="16"/>
    </row>
    <row r="541" spans="2:23" ht="15.75" customHeight="1" thickBot="1">
      <c r="B541" s="325" t="s">
        <v>495</v>
      </c>
      <c r="C541" s="326"/>
      <c r="D541" s="327" t="s">
        <v>122</v>
      </c>
      <c r="E541" s="327"/>
      <c r="F541" s="327"/>
      <c r="G541" s="327"/>
      <c r="H541" s="327"/>
      <c r="I541" s="258" t="s">
        <v>497</v>
      </c>
      <c r="J541" s="248"/>
      <c r="K541" s="261" t="s">
        <v>133</v>
      </c>
      <c r="L541" s="291"/>
      <c r="M541" s="291"/>
      <c r="N541" s="291"/>
      <c r="O541" s="291"/>
      <c r="P541" s="291"/>
      <c r="Q541" s="262"/>
      <c r="R541" s="259" t="s">
        <v>502</v>
      </c>
      <c r="S541" s="260"/>
      <c r="T541" s="261" t="s">
        <v>134</v>
      </c>
      <c r="U541" s="291"/>
      <c r="V541" s="291"/>
      <c r="W541" s="262"/>
    </row>
    <row r="542" spans="2:23" ht="27" customHeight="1" thickBot="1">
      <c r="B542" s="328" t="s">
        <v>506</v>
      </c>
      <c r="C542" s="252"/>
      <c r="D542" s="294" t="s">
        <v>129</v>
      </c>
      <c r="E542" s="295"/>
      <c r="F542" s="295"/>
      <c r="G542" s="295"/>
      <c r="H542" s="295"/>
      <c r="I542" s="249"/>
      <c r="J542" s="250"/>
      <c r="K542" s="263"/>
      <c r="L542" s="292"/>
      <c r="M542" s="292"/>
      <c r="N542" s="292"/>
      <c r="O542" s="292"/>
      <c r="P542" s="292"/>
      <c r="Q542" s="264"/>
      <c r="R542" s="259"/>
      <c r="S542" s="260"/>
      <c r="T542" s="263"/>
      <c r="U542" s="292"/>
      <c r="V542" s="292"/>
      <c r="W542" s="264"/>
    </row>
    <row r="543" spans="2:23" ht="45.75" customHeight="1" thickBot="1">
      <c r="B543" s="331" t="s">
        <v>508</v>
      </c>
      <c r="C543" s="332"/>
      <c r="D543" s="333" t="s">
        <v>135</v>
      </c>
      <c r="E543" s="334"/>
      <c r="F543" s="334"/>
      <c r="G543" s="334"/>
      <c r="H543" s="335"/>
      <c r="I543" s="251"/>
      <c r="J543" s="247"/>
      <c r="K543" s="265"/>
      <c r="L543" s="293"/>
      <c r="M543" s="293"/>
      <c r="N543" s="293"/>
      <c r="O543" s="293"/>
      <c r="P543" s="293"/>
      <c r="Q543" s="266"/>
      <c r="R543" s="259"/>
      <c r="S543" s="260"/>
      <c r="T543" s="265"/>
      <c r="U543" s="293"/>
      <c r="V543" s="293"/>
      <c r="W543" s="266"/>
    </row>
    <row r="544" spans="2:23" ht="18.75" thickBot="1">
      <c r="B544" s="84"/>
      <c r="C544" s="85"/>
      <c r="D544" s="86"/>
      <c r="E544" s="87"/>
      <c r="F544" s="87"/>
      <c r="G544" s="87"/>
      <c r="H544" s="87"/>
      <c r="I544" s="84"/>
      <c r="J544" s="84"/>
      <c r="K544" s="84"/>
      <c r="L544" s="84"/>
      <c r="M544" s="84"/>
      <c r="N544" s="84"/>
      <c r="O544" s="84"/>
      <c r="P544" s="84"/>
      <c r="Q544" s="84"/>
      <c r="R544" s="84"/>
      <c r="S544" s="84"/>
      <c r="T544" s="19"/>
      <c r="U544" s="19"/>
      <c r="V544" s="19"/>
      <c r="W544" s="19"/>
    </row>
    <row r="545" spans="2:23" ht="15.75" thickBot="1">
      <c r="B545" s="341" t="s">
        <v>510</v>
      </c>
      <c r="C545" s="342"/>
      <c r="D545" s="342"/>
      <c r="E545" s="342"/>
      <c r="F545" s="342"/>
      <c r="G545" s="342"/>
      <c r="H545" s="342"/>
      <c r="I545" s="343" t="s">
        <v>511</v>
      </c>
      <c r="J545" s="343"/>
      <c r="K545" s="343"/>
      <c r="L545" s="343"/>
      <c r="M545" s="343"/>
      <c r="N545" s="343"/>
      <c r="O545" s="343"/>
      <c r="P545" s="343"/>
      <c r="Q545" s="343"/>
      <c r="R545" s="343"/>
      <c r="S545" s="344"/>
      <c r="T545" s="345" t="s">
        <v>512</v>
      </c>
      <c r="U545" s="287" t="s">
        <v>513</v>
      </c>
      <c r="V545" s="287"/>
      <c r="W545" s="287"/>
    </row>
    <row r="546" spans="2:23" ht="15.75" thickBot="1">
      <c r="B546" s="316" t="s">
        <v>514</v>
      </c>
      <c r="C546" s="318" t="s">
        <v>515</v>
      </c>
      <c r="D546" s="318"/>
      <c r="E546" s="314" t="s">
        <v>516</v>
      </c>
      <c r="F546" s="314" t="s">
        <v>517</v>
      </c>
      <c r="G546" s="314" t="s">
        <v>518</v>
      </c>
      <c r="H546" s="300" t="s">
        <v>519</v>
      </c>
      <c r="I546" s="337" t="s">
        <v>520</v>
      </c>
      <c r="J546" s="338"/>
      <c r="K546" s="338"/>
      <c r="L546" s="338"/>
      <c r="M546" s="338"/>
      <c r="N546" s="338"/>
      <c r="O546" s="338"/>
      <c r="P546" s="338"/>
      <c r="Q546" s="339" t="s">
        <v>521</v>
      </c>
      <c r="R546" s="340" t="s">
        <v>522</v>
      </c>
      <c r="S546" s="336" t="s">
        <v>523</v>
      </c>
      <c r="T546" s="287"/>
      <c r="U546" s="287"/>
      <c r="V546" s="287"/>
      <c r="W546" s="287"/>
    </row>
    <row r="547" spans="2:23" ht="70.5" customHeight="1" thickBot="1">
      <c r="B547" s="368"/>
      <c r="C547" s="369"/>
      <c r="D547" s="369"/>
      <c r="E547" s="366"/>
      <c r="F547" s="366"/>
      <c r="G547" s="366"/>
      <c r="H547" s="367"/>
      <c r="I547" s="20" t="s">
        <v>524</v>
      </c>
      <c r="J547" s="21" t="s">
        <v>525</v>
      </c>
      <c r="K547" s="22" t="s">
        <v>526</v>
      </c>
      <c r="L547" s="22" t="s">
        <v>527</v>
      </c>
      <c r="M547" s="22" t="s">
        <v>528</v>
      </c>
      <c r="N547" s="22" t="s">
        <v>529</v>
      </c>
      <c r="O547" s="22" t="s">
        <v>530</v>
      </c>
      <c r="P547" s="23" t="s">
        <v>531</v>
      </c>
      <c r="Q547" s="305"/>
      <c r="R547" s="320"/>
      <c r="S547" s="299"/>
      <c r="T547" s="287"/>
      <c r="U547" s="287"/>
      <c r="V547" s="287"/>
      <c r="W547" s="287"/>
    </row>
    <row r="548" spans="2:23" ht="48" customHeight="1">
      <c r="B548" s="108">
        <v>1</v>
      </c>
      <c r="C548" s="387" t="s">
        <v>136</v>
      </c>
      <c r="D548" s="387"/>
      <c r="E548" s="111">
        <v>100</v>
      </c>
      <c r="F548" s="107">
        <v>70</v>
      </c>
      <c r="G548" s="106">
        <f>+F548/E548</f>
        <v>0.7</v>
      </c>
      <c r="H548" s="43">
        <f>+F548/E548</f>
        <v>0.7</v>
      </c>
      <c r="I548" s="97"/>
      <c r="J548" s="97"/>
      <c r="K548" s="32"/>
      <c r="L548" s="32"/>
      <c r="M548" s="31"/>
      <c r="N548" s="31"/>
      <c r="O548" s="31"/>
      <c r="P548" s="74"/>
      <c r="Q548" s="75">
        <f>+SUM(I548:P548)</f>
        <v>0</v>
      </c>
      <c r="R548" s="76">
        <v>9000</v>
      </c>
      <c r="S548" s="36" t="e">
        <f>R548/Q548</f>
        <v>#DIV/0!</v>
      </c>
      <c r="T548" s="37" t="s">
        <v>29</v>
      </c>
      <c r="U548" s="307"/>
      <c r="V548" s="307"/>
      <c r="W548" s="307"/>
    </row>
    <row r="549" spans="2:23" ht="48" customHeight="1">
      <c r="B549" s="77"/>
      <c r="C549" s="388"/>
      <c r="D549" s="388"/>
      <c r="E549" s="111"/>
      <c r="F549" s="107"/>
      <c r="G549" s="106"/>
      <c r="H549" s="43"/>
      <c r="I549" s="97"/>
      <c r="J549" s="97"/>
      <c r="K549" s="32"/>
      <c r="L549" s="32"/>
      <c r="M549" s="31"/>
      <c r="N549" s="31"/>
      <c r="O549" s="31"/>
      <c r="P549" s="74"/>
      <c r="Q549" s="75"/>
      <c r="R549" s="76"/>
      <c r="S549" s="36"/>
      <c r="T549" s="37"/>
      <c r="U549" s="322"/>
      <c r="V549" s="322"/>
      <c r="W549" s="322"/>
    </row>
    <row r="550" spans="2:23" ht="48" customHeight="1">
      <c r="B550" s="108"/>
      <c r="C550" s="388"/>
      <c r="D550" s="388"/>
      <c r="E550" s="111"/>
      <c r="F550" s="107"/>
      <c r="G550" s="106"/>
      <c r="H550" s="43"/>
      <c r="I550" s="97"/>
      <c r="J550" s="97"/>
      <c r="K550" s="32"/>
      <c r="L550" s="32"/>
      <c r="M550" s="31"/>
      <c r="N550" s="31"/>
      <c r="O550" s="31"/>
      <c r="P550" s="74"/>
      <c r="Q550" s="75"/>
      <c r="R550" s="76"/>
      <c r="S550" s="36"/>
      <c r="T550" s="37"/>
      <c r="U550" s="322"/>
      <c r="V550" s="322"/>
      <c r="W550" s="322"/>
    </row>
    <row r="551" spans="2:23" ht="48" customHeight="1">
      <c r="B551" s="39"/>
      <c r="C551" s="321"/>
      <c r="D551" s="321"/>
      <c r="E551" s="40"/>
      <c r="F551" s="41"/>
      <c r="G551" s="42"/>
      <c r="H551" s="91"/>
      <c r="I551" s="30"/>
      <c r="J551" s="32"/>
      <c r="K551" s="46"/>
      <c r="L551" s="46"/>
      <c r="M551" s="45"/>
      <c r="N551" s="45"/>
      <c r="O551" s="45"/>
      <c r="P551" s="74"/>
      <c r="Q551" s="75"/>
      <c r="R551" s="76"/>
      <c r="S551" s="36"/>
      <c r="T551" s="37"/>
      <c r="U551" s="322"/>
      <c r="V551" s="322"/>
      <c r="W551" s="322"/>
    </row>
    <row r="552" spans="2:23" ht="48" customHeight="1">
      <c r="B552" s="39"/>
      <c r="C552" s="308"/>
      <c r="D552" s="308"/>
      <c r="E552" s="40"/>
      <c r="F552" s="41"/>
      <c r="G552" s="42"/>
      <c r="H552" s="91"/>
      <c r="I552" s="95"/>
      <c r="J552" s="46"/>
      <c r="K552" s="45"/>
      <c r="L552" s="45"/>
      <c r="M552" s="45"/>
      <c r="N552" s="45"/>
      <c r="O552" s="45"/>
      <c r="P552" s="56"/>
      <c r="Q552" s="75"/>
      <c r="R552" s="76"/>
      <c r="S552" s="36"/>
      <c r="T552" s="37"/>
      <c r="U552" s="322"/>
      <c r="V552" s="322"/>
      <c r="W552" s="322"/>
    </row>
    <row r="553" spans="2:23" ht="48" customHeight="1" thickBot="1">
      <c r="B553" s="59"/>
      <c r="C553" s="310" t="s">
        <v>541</v>
      </c>
      <c r="D553" s="310"/>
      <c r="E553" s="60"/>
      <c r="F553" s="61"/>
      <c r="G553" s="62"/>
      <c r="H553" s="63"/>
      <c r="I553" s="64">
        <f>+SUM(I548:I552)</f>
        <v>0</v>
      </c>
      <c r="J553" s="64">
        <f>+SUM(J548:J552)</f>
        <v>0</v>
      </c>
      <c r="K553" s="64">
        <f>+SUM(K548:K552)</f>
        <v>0</v>
      </c>
      <c r="L553" s="64"/>
      <c r="M553" s="64">
        <f aca="true" t="shared" si="23" ref="M553:R553">+SUM(M548:M552)</f>
        <v>0</v>
      </c>
      <c r="N553" s="64">
        <f t="shared" si="23"/>
        <v>0</v>
      </c>
      <c r="O553" s="64">
        <f t="shared" si="23"/>
        <v>0</v>
      </c>
      <c r="P553" s="64">
        <f t="shared" si="23"/>
        <v>0</v>
      </c>
      <c r="Q553" s="79">
        <f t="shared" si="23"/>
        <v>0</v>
      </c>
      <c r="R553" s="79">
        <f t="shared" si="23"/>
        <v>9000</v>
      </c>
      <c r="S553" s="66" t="e">
        <f>+R553/Q553</f>
        <v>#DIV/0!</v>
      </c>
      <c r="T553" s="67"/>
      <c r="U553" s="311"/>
      <c r="V553" s="311"/>
      <c r="W553" s="311"/>
    </row>
    <row r="554" ht="15.75" thickBot="1"/>
    <row r="555" spans="2:23" ht="15.75">
      <c r="B555" s="267" t="s">
        <v>479</v>
      </c>
      <c r="C555" s="267"/>
      <c r="D555" s="267"/>
      <c r="E555" s="267"/>
      <c r="F555" s="267"/>
      <c r="G555" s="267"/>
      <c r="H555" s="267"/>
      <c r="I555" s="267"/>
      <c r="J555" s="267"/>
      <c r="K555" s="267"/>
      <c r="L555" s="267"/>
      <c r="M555" s="267"/>
      <c r="N555" s="267"/>
      <c r="O555" s="267"/>
      <c r="P555" s="267"/>
      <c r="Q555" s="267"/>
      <c r="R555" s="267"/>
      <c r="S555" s="267"/>
      <c r="T555" s="267"/>
      <c r="U555" s="267"/>
      <c r="V555" s="267"/>
      <c r="W555" s="267"/>
    </row>
    <row r="556" spans="2:23" ht="15">
      <c r="B556" s="5"/>
      <c r="C556" s="6"/>
      <c r="D556" s="6"/>
      <c r="E556" s="6"/>
      <c r="F556" s="6"/>
      <c r="G556" s="6"/>
      <c r="H556" s="6"/>
      <c r="I556" s="6"/>
      <c r="J556" s="6"/>
      <c r="K556" s="6"/>
      <c r="L556" s="6"/>
      <c r="M556" s="6"/>
      <c r="N556" s="6"/>
      <c r="O556" s="6"/>
      <c r="P556" s="6"/>
      <c r="Q556" s="6"/>
      <c r="R556" s="6"/>
      <c r="S556" s="6"/>
      <c r="T556" s="6"/>
      <c r="U556" s="6"/>
      <c r="V556" s="6"/>
      <c r="W556" s="7"/>
    </row>
    <row r="557" spans="2:23" ht="20.25">
      <c r="B557" s="268" t="s">
        <v>480</v>
      </c>
      <c r="C557" s="269"/>
      <c r="D557" s="269"/>
      <c r="E557" s="269"/>
      <c r="F557" s="269"/>
      <c r="G557" s="269"/>
      <c r="H557" s="269"/>
      <c r="I557" s="269"/>
      <c r="J557" s="269"/>
      <c r="K557" s="269"/>
      <c r="L557" s="269"/>
      <c r="M557" s="269"/>
      <c r="N557" s="269"/>
      <c r="O557" s="269"/>
      <c r="P557" s="269"/>
      <c r="Q557" s="269"/>
      <c r="R557" s="269"/>
      <c r="S557" s="269"/>
      <c r="T557" s="269"/>
      <c r="U557" s="269"/>
      <c r="V557" s="269"/>
      <c r="W557" s="270"/>
    </row>
    <row r="558" spans="2:23" ht="18">
      <c r="B558" s="271" t="s">
        <v>481</v>
      </c>
      <c r="C558" s="272"/>
      <c r="D558" s="272"/>
      <c r="E558" s="272"/>
      <c r="F558" s="272"/>
      <c r="G558" s="272"/>
      <c r="H558" s="272"/>
      <c r="I558" s="272"/>
      <c r="J558" s="272"/>
      <c r="K558" s="272"/>
      <c r="L558" s="272"/>
      <c r="M558" s="272"/>
      <c r="N558" s="272"/>
      <c r="O558" s="272"/>
      <c r="P558" s="272"/>
      <c r="Q558" s="272"/>
      <c r="R558" s="272"/>
      <c r="S558" s="272"/>
      <c r="T558" s="272"/>
      <c r="U558" s="272"/>
      <c r="V558" s="272"/>
      <c r="W558" s="273"/>
    </row>
    <row r="559" spans="2:23" ht="18">
      <c r="B559" s="274" t="s">
        <v>482</v>
      </c>
      <c r="C559" s="275"/>
      <c r="D559" s="275"/>
      <c r="E559" s="275"/>
      <c r="F559" s="275"/>
      <c r="G559" s="275"/>
      <c r="H559" s="275"/>
      <c r="I559" s="275"/>
      <c r="J559" s="275"/>
      <c r="K559" s="275"/>
      <c r="L559" s="275"/>
      <c r="M559" s="275"/>
      <c r="N559" s="275"/>
      <c r="O559" s="275"/>
      <c r="P559" s="275"/>
      <c r="Q559" s="275"/>
      <c r="R559" s="275"/>
      <c r="S559" s="275"/>
      <c r="T559" s="275"/>
      <c r="U559" s="275"/>
      <c r="V559" s="275"/>
      <c r="W559" s="276"/>
    </row>
    <row r="560" spans="2:23" ht="15">
      <c r="B560" s="5"/>
      <c r="C560" s="6"/>
      <c r="D560" s="8"/>
      <c r="E560" s="8"/>
      <c r="F560" s="8"/>
      <c r="G560" s="8"/>
      <c r="H560" s="8"/>
      <c r="I560" s="6"/>
      <c r="J560" s="6"/>
      <c r="K560" s="6"/>
      <c r="L560" s="6"/>
      <c r="M560" s="6"/>
      <c r="N560" s="6"/>
      <c r="O560" s="6"/>
      <c r="P560" s="6"/>
      <c r="Q560" s="6"/>
      <c r="R560" s="6"/>
      <c r="S560" s="6"/>
      <c r="T560" s="6"/>
      <c r="U560" s="6"/>
      <c r="V560" s="6"/>
      <c r="W560" s="7"/>
    </row>
    <row r="561" spans="2:23" ht="15">
      <c r="B561" s="279" t="s">
        <v>483</v>
      </c>
      <c r="C561" s="280"/>
      <c r="D561" s="10" t="s">
        <v>484</v>
      </c>
      <c r="E561" s="10"/>
      <c r="F561" s="10"/>
      <c r="G561" s="11"/>
      <c r="H561" s="11"/>
      <c r="I561" s="11"/>
      <c r="J561" s="11"/>
      <c r="K561" s="11"/>
      <c r="L561" s="10" t="s">
        <v>485</v>
      </c>
      <c r="M561" s="10"/>
      <c r="N561" s="10"/>
      <c r="O561" s="281" t="s">
        <v>486</v>
      </c>
      <c r="P561" s="282"/>
      <c r="Q561" s="282"/>
      <c r="R561" s="282"/>
      <c r="S561" s="282"/>
      <c r="T561" s="282" t="s">
        <v>487</v>
      </c>
      <c r="U561" s="280"/>
      <c r="V561" s="280"/>
      <c r="W561" s="285"/>
    </row>
    <row r="562" spans="2:23" ht="15">
      <c r="B562" s="279" t="s">
        <v>488</v>
      </c>
      <c r="C562" s="280"/>
      <c r="D562" s="10" t="s">
        <v>489</v>
      </c>
      <c r="E562" s="10"/>
      <c r="F562" s="10"/>
      <c r="G562" s="11"/>
      <c r="H562" s="11"/>
      <c r="I562" s="11"/>
      <c r="J562" s="11"/>
      <c r="K562" s="11"/>
      <c r="L562" s="282" t="s">
        <v>490</v>
      </c>
      <c r="M562" s="280"/>
      <c r="N562" s="280"/>
      <c r="O562" s="282" t="s">
        <v>491</v>
      </c>
      <c r="P562" s="282"/>
      <c r="Q562" s="282"/>
      <c r="R562" s="282"/>
      <c r="S562" s="282"/>
      <c r="T562" s="12" t="s">
        <v>492</v>
      </c>
      <c r="U562" s="11">
        <v>1</v>
      </c>
      <c r="V562" s="11" t="s">
        <v>493</v>
      </c>
      <c r="W562" s="13">
        <v>25</v>
      </c>
    </row>
    <row r="563" spans="2:23" ht="15.75" thickBot="1">
      <c r="B563" s="83"/>
      <c r="C563" s="11"/>
      <c r="D563" s="11"/>
      <c r="E563" s="11"/>
      <c r="F563" s="11"/>
      <c r="G563" s="11"/>
      <c r="H563" s="11"/>
      <c r="I563" s="11"/>
      <c r="J563" s="11"/>
      <c r="K563" s="11"/>
      <c r="L563" s="283"/>
      <c r="M563" s="283"/>
      <c r="N563" s="283"/>
      <c r="O563" s="282" t="s">
        <v>494</v>
      </c>
      <c r="P563" s="282"/>
      <c r="Q563" s="282"/>
      <c r="R563" s="284"/>
      <c r="S563" s="284"/>
      <c r="T563" s="278"/>
      <c r="U563" s="278"/>
      <c r="V563" s="11"/>
      <c r="W563" s="16"/>
    </row>
    <row r="564" spans="2:23" ht="15.75" customHeight="1" thickBot="1">
      <c r="B564" s="325" t="s">
        <v>495</v>
      </c>
      <c r="C564" s="326"/>
      <c r="D564" s="327" t="s">
        <v>122</v>
      </c>
      <c r="E564" s="327"/>
      <c r="F564" s="327"/>
      <c r="G564" s="327"/>
      <c r="H564" s="327"/>
      <c r="I564" s="258" t="s">
        <v>497</v>
      </c>
      <c r="J564" s="248"/>
      <c r="K564" s="261" t="s">
        <v>137</v>
      </c>
      <c r="L564" s="291"/>
      <c r="M564" s="291"/>
      <c r="N564" s="262"/>
      <c r="O564" s="291" t="s">
        <v>138</v>
      </c>
      <c r="P564" s="291"/>
      <c r="Q564" s="262"/>
      <c r="R564" s="259" t="s">
        <v>502</v>
      </c>
      <c r="S564" s="260"/>
      <c r="T564" s="261" t="s">
        <v>137</v>
      </c>
      <c r="U564" s="262"/>
      <c r="V564" s="261" t="s">
        <v>138</v>
      </c>
      <c r="W564" s="262"/>
    </row>
    <row r="565" spans="2:23" ht="15.75" thickBot="1">
      <c r="B565" s="328" t="s">
        <v>506</v>
      </c>
      <c r="C565" s="252"/>
      <c r="D565" s="294" t="s">
        <v>129</v>
      </c>
      <c r="E565" s="295"/>
      <c r="F565" s="295"/>
      <c r="G565" s="295"/>
      <c r="H565" s="295"/>
      <c r="I565" s="249"/>
      <c r="J565" s="250"/>
      <c r="K565" s="263"/>
      <c r="L565" s="292"/>
      <c r="M565" s="292"/>
      <c r="N565" s="264"/>
      <c r="O565" s="292"/>
      <c r="P565" s="292"/>
      <c r="Q565" s="264"/>
      <c r="R565" s="259"/>
      <c r="S565" s="260"/>
      <c r="T565" s="263"/>
      <c r="U565" s="264"/>
      <c r="V565" s="263"/>
      <c r="W565" s="264"/>
    </row>
    <row r="566" spans="2:23" ht="15.75" thickBot="1">
      <c r="B566" s="331" t="s">
        <v>508</v>
      </c>
      <c r="C566" s="332"/>
      <c r="D566" s="333" t="s">
        <v>139</v>
      </c>
      <c r="E566" s="334"/>
      <c r="F566" s="334"/>
      <c r="G566" s="334"/>
      <c r="H566" s="335"/>
      <c r="I566" s="251"/>
      <c r="J566" s="247"/>
      <c r="K566" s="265"/>
      <c r="L566" s="293"/>
      <c r="M566" s="293"/>
      <c r="N566" s="266"/>
      <c r="O566" s="293"/>
      <c r="P566" s="293"/>
      <c r="Q566" s="266"/>
      <c r="R566" s="259"/>
      <c r="S566" s="260"/>
      <c r="T566" s="265"/>
      <c r="U566" s="266"/>
      <c r="V566" s="265"/>
      <c r="W566" s="266"/>
    </row>
    <row r="567" spans="2:23" ht="18.75" thickBot="1">
      <c r="B567" s="84"/>
      <c r="C567" s="85"/>
      <c r="D567" s="86"/>
      <c r="E567" s="87"/>
      <c r="F567" s="87"/>
      <c r="G567" s="87"/>
      <c r="H567" s="87"/>
      <c r="I567" s="84"/>
      <c r="J567" s="84"/>
      <c r="K567" s="84"/>
      <c r="L567" s="84"/>
      <c r="M567" s="84"/>
      <c r="N567" s="84"/>
      <c r="O567" s="84"/>
      <c r="P567" s="84"/>
      <c r="Q567" s="84"/>
      <c r="R567" s="84"/>
      <c r="S567" s="84"/>
      <c r="T567" s="19"/>
      <c r="U567" s="19"/>
      <c r="V567" s="19"/>
      <c r="W567" s="19"/>
    </row>
    <row r="568" spans="2:23" ht="15.75" thickBot="1">
      <c r="B568" s="341" t="s">
        <v>510</v>
      </c>
      <c r="C568" s="342"/>
      <c r="D568" s="342"/>
      <c r="E568" s="342"/>
      <c r="F568" s="342"/>
      <c r="G568" s="342"/>
      <c r="H568" s="342"/>
      <c r="I568" s="343" t="s">
        <v>511</v>
      </c>
      <c r="J568" s="343"/>
      <c r="K568" s="343"/>
      <c r="L568" s="343"/>
      <c r="M568" s="343"/>
      <c r="N568" s="343"/>
      <c r="O568" s="343"/>
      <c r="P568" s="343"/>
      <c r="Q568" s="343"/>
      <c r="R568" s="343"/>
      <c r="S568" s="344"/>
      <c r="T568" s="345" t="s">
        <v>512</v>
      </c>
      <c r="U568" s="287" t="s">
        <v>513</v>
      </c>
      <c r="V568" s="287"/>
      <c r="W568" s="287"/>
    </row>
    <row r="569" spans="2:23" ht="15.75" thickBot="1">
      <c r="B569" s="316" t="s">
        <v>514</v>
      </c>
      <c r="C569" s="318" t="s">
        <v>515</v>
      </c>
      <c r="D569" s="318"/>
      <c r="E569" s="314" t="s">
        <v>516</v>
      </c>
      <c r="F569" s="314" t="s">
        <v>517</v>
      </c>
      <c r="G569" s="314" t="s">
        <v>518</v>
      </c>
      <c r="H569" s="300" t="s">
        <v>519</v>
      </c>
      <c r="I569" s="337" t="s">
        <v>520</v>
      </c>
      <c r="J569" s="338"/>
      <c r="K569" s="338"/>
      <c r="L569" s="338"/>
      <c r="M569" s="338"/>
      <c r="N569" s="338"/>
      <c r="O569" s="338"/>
      <c r="P569" s="338"/>
      <c r="Q569" s="339" t="s">
        <v>521</v>
      </c>
      <c r="R569" s="340" t="s">
        <v>522</v>
      </c>
      <c r="S569" s="336" t="s">
        <v>523</v>
      </c>
      <c r="T569" s="287"/>
      <c r="U569" s="287"/>
      <c r="V569" s="287"/>
      <c r="W569" s="287"/>
    </row>
    <row r="570" spans="2:23" ht="75.75" customHeight="1" thickBot="1">
      <c r="B570" s="368"/>
      <c r="C570" s="369"/>
      <c r="D570" s="369"/>
      <c r="E570" s="366"/>
      <c r="F570" s="366"/>
      <c r="G570" s="366"/>
      <c r="H570" s="367"/>
      <c r="I570" s="20" t="s">
        <v>524</v>
      </c>
      <c r="J570" s="21" t="s">
        <v>525</v>
      </c>
      <c r="K570" s="22" t="s">
        <v>526</v>
      </c>
      <c r="L570" s="22" t="s">
        <v>527</v>
      </c>
      <c r="M570" s="22" t="s">
        <v>528</v>
      </c>
      <c r="N570" s="22" t="s">
        <v>529</v>
      </c>
      <c r="O570" s="22" t="s">
        <v>530</v>
      </c>
      <c r="P570" s="23" t="s">
        <v>531</v>
      </c>
      <c r="Q570" s="305"/>
      <c r="R570" s="320"/>
      <c r="S570" s="299"/>
      <c r="T570" s="287"/>
      <c r="U570" s="287"/>
      <c r="V570" s="287"/>
      <c r="W570" s="287"/>
    </row>
    <row r="571" spans="2:23" ht="58.5" customHeight="1">
      <c r="B571" s="108">
        <v>1</v>
      </c>
      <c r="C571" s="387" t="s">
        <v>140</v>
      </c>
      <c r="D571" s="387"/>
      <c r="E571" s="111">
        <v>80</v>
      </c>
      <c r="F571" s="107">
        <v>50</v>
      </c>
      <c r="G571" s="106">
        <f>+F571/E571</f>
        <v>0.625</v>
      </c>
      <c r="H571" s="43">
        <f>+F571/E571</f>
        <v>0.625</v>
      </c>
      <c r="I571" s="113"/>
      <c r="J571" s="97"/>
      <c r="K571" s="32"/>
      <c r="L571" s="32"/>
      <c r="M571" s="31"/>
      <c r="N571" s="31"/>
      <c r="O571" s="31"/>
      <c r="P571" s="74"/>
      <c r="Q571" s="75">
        <f>+SUM(I571:P571)</f>
        <v>0</v>
      </c>
      <c r="R571" s="76"/>
      <c r="S571" s="36" t="e">
        <f>R571/Q571</f>
        <v>#DIV/0!</v>
      </c>
      <c r="T571" s="37" t="s">
        <v>29</v>
      </c>
      <c r="U571" s="307"/>
      <c r="V571" s="307"/>
      <c r="W571" s="307"/>
    </row>
    <row r="572" spans="2:23" ht="42.75" customHeight="1">
      <c r="B572" s="77">
        <v>2</v>
      </c>
      <c r="C572" s="388" t="s">
        <v>141</v>
      </c>
      <c r="D572" s="388"/>
      <c r="E572" s="111">
        <v>90</v>
      </c>
      <c r="F572" s="107">
        <v>60</v>
      </c>
      <c r="G572" s="106">
        <f>+F572/E572</f>
        <v>0.6666666666666666</v>
      </c>
      <c r="H572" s="43">
        <f>+F572/E572</f>
        <v>0.6666666666666666</v>
      </c>
      <c r="I572" s="113">
        <f>15000+15000</f>
        <v>30000</v>
      </c>
      <c r="J572" s="97">
        <f>15000+10000+5000</f>
        <v>30000</v>
      </c>
      <c r="K572" s="32"/>
      <c r="L572" s="32"/>
      <c r="M572" s="31"/>
      <c r="N572" s="31"/>
      <c r="O572" s="31"/>
      <c r="P572" s="74"/>
      <c r="Q572" s="75">
        <f>+SUM(I572:P572)</f>
        <v>60000</v>
      </c>
      <c r="R572" s="76">
        <f>36579+7675+7526</f>
        <v>51780</v>
      </c>
      <c r="S572" s="36">
        <f>R572/Q572</f>
        <v>0.863</v>
      </c>
      <c r="T572" s="37" t="s">
        <v>29</v>
      </c>
      <c r="U572" s="322"/>
      <c r="V572" s="322"/>
      <c r="W572" s="322"/>
    </row>
    <row r="573" spans="2:23" ht="42.75" customHeight="1">
      <c r="B573" s="108"/>
      <c r="C573" s="387"/>
      <c r="D573" s="387"/>
      <c r="E573" s="111"/>
      <c r="F573" s="107"/>
      <c r="G573" s="106"/>
      <c r="H573" s="43"/>
      <c r="I573" s="97"/>
      <c r="J573" s="97"/>
      <c r="K573" s="32"/>
      <c r="L573" s="32"/>
      <c r="M573" s="31"/>
      <c r="N573" s="31"/>
      <c r="O573" s="31"/>
      <c r="P573" s="74"/>
      <c r="Q573" s="75"/>
      <c r="R573" s="76"/>
      <c r="S573" s="36"/>
      <c r="T573" s="37"/>
      <c r="U573" s="322"/>
      <c r="V573" s="322"/>
      <c r="W573" s="322"/>
    </row>
    <row r="574" spans="2:23" ht="42.75" customHeight="1">
      <c r="B574" s="39"/>
      <c r="C574" s="321"/>
      <c r="D574" s="321"/>
      <c r="E574" s="40"/>
      <c r="F574" s="41"/>
      <c r="G574" s="42"/>
      <c r="H574" s="91"/>
      <c r="I574" s="30"/>
      <c r="J574" s="32"/>
      <c r="K574" s="46"/>
      <c r="L574" s="46"/>
      <c r="M574" s="45"/>
      <c r="N574" s="45"/>
      <c r="O574" s="45"/>
      <c r="P574" s="74"/>
      <c r="Q574" s="75"/>
      <c r="R574" s="76"/>
      <c r="S574" s="36"/>
      <c r="T574" s="37"/>
      <c r="U574" s="322"/>
      <c r="V574" s="322"/>
      <c r="W574" s="322"/>
    </row>
    <row r="575" spans="2:23" ht="42.75" customHeight="1">
      <c r="B575" s="39"/>
      <c r="C575" s="308"/>
      <c r="D575" s="308"/>
      <c r="E575" s="40"/>
      <c r="F575" s="41"/>
      <c r="G575" s="42"/>
      <c r="H575" s="91"/>
      <c r="I575" s="95"/>
      <c r="J575" s="46"/>
      <c r="K575" s="45"/>
      <c r="L575" s="45"/>
      <c r="M575" s="45"/>
      <c r="N575" s="45"/>
      <c r="O575" s="45"/>
      <c r="P575" s="56"/>
      <c r="Q575" s="75"/>
      <c r="R575" s="76"/>
      <c r="S575" s="36"/>
      <c r="T575" s="37"/>
      <c r="U575" s="322"/>
      <c r="V575" s="322"/>
      <c r="W575" s="322"/>
    </row>
    <row r="576" spans="2:23" ht="42.75" customHeight="1" thickBot="1">
      <c r="B576" s="59"/>
      <c r="C576" s="310" t="s">
        <v>541</v>
      </c>
      <c r="D576" s="310"/>
      <c r="E576" s="60"/>
      <c r="F576" s="61"/>
      <c r="G576" s="62"/>
      <c r="H576" s="63"/>
      <c r="I576" s="64">
        <f>+SUM(I571:I575)</f>
        <v>30000</v>
      </c>
      <c r="J576" s="64">
        <f>+SUM(J571:J575)</f>
        <v>30000</v>
      </c>
      <c r="K576" s="64">
        <f>+SUM(K571:K575)</f>
        <v>0</v>
      </c>
      <c r="L576" s="64"/>
      <c r="M576" s="64">
        <f aca="true" t="shared" si="24" ref="M576:R576">+SUM(M571:M575)</f>
        <v>0</v>
      </c>
      <c r="N576" s="64">
        <f t="shared" si="24"/>
        <v>0</v>
      </c>
      <c r="O576" s="64">
        <f t="shared" si="24"/>
        <v>0</v>
      </c>
      <c r="P576" s="64">
        <f t="shared" si="24"/>
        <v>0</v>
      </c>
      <c r="Q576" s="79">
        <f t="shared" si="24"/>
        <v>60000</v>
      </c>
      <c r="R576" s="79">
        <f t="shared" si="24"/>
        <v>51780</v>
      </c>
      <c r="S576" s="66">
        <f>+R576/Q576</f>
        <v>0.863</v>
      </c>
      <c r="T576" s="67"/>
      <c r="U576" s="311"/>
      <c r="V576" s="311"/>
      <c r="W576" s="311"/>
    </row>
    <row r="577" ht="15.75" thickBot="1"/>
    <row r="578" spans="2:23" ht="15.75">
      <c r="B578" s="267" t="s">
        <v>479</v>
      </c>
      <c r="C578" s="267"/>
      <c r="D578" s="267"/>
      <c r="E578" s="267"/>
      <c r="F578" s="267"/>
      <c r="G578" s="267"/>
      <c r="H578" s="267"/>
      <c r="I578" s="267"/>
      <c r="J578" s="267"/>
      <c r="K578" s="267"/>
      <c r="L578" s="267"/>
      <c r="M578" s="267"/>
      <c r="N578" s="267"/>
      <c r="O578" s="267"/>
      <c r="P578" s="267"/>
      <c r="Q578" s="267"/>
      <c r="R578" s="267"/>
      <c r="S578" s="267"/>
      <c r="T578" s="267"/>
      <c r="U578" s="267"/>
      <c r="V578" s="267"/>
      <c r="W578" s="267"/>
    </row>
    <row r="579" spans="2:23" ht="15">
      <c r="B579" s="5"/>
      <c r="C579" s="6"/>
      <c r="D579" s="6"/>
      <c r="E579" s="6"/>
      <c r="F579" s="6"/>
      <c r="G579" s="6"/>
      <c r="H579" s="6"/>
      <c r="I579" s="6"/>
      <c r="J579" s="6"/>
      <c r="K579" s="6"/>
      <c r="L579" s="6"/>
      <c r="M579" s="6"/>
      <c r="N579" s="6"/>
      <c r="O579" s="6"/>
      <c r="P579" s="6"/>
      <c r="Q579" s="6"/>
      <c r="R579" s="6"/>
      <c r="S579" s="6"/>
      <c r="T579" s="6"/>
      <c r="U579" s="6"/>
      <c r="V579" s="6"/>
      <c r="W579" s="7"/>
    </row>
    <row r="580" spans="2:23" ht="20.25">
      <c r="B580" s="268" t="s">
        <v>480</v>
      </c>
      <c r="C580" s="269"/>
      <c r="D580" s="269"/>
      <c r="E580" s="269"/>
      <c r="F580" s="269"/>
      <c r="G580" s="269"/>
      <c r="H580" s="269"/>
      <c r="I580" s="269"/>
      <c r="J580" s="269"/>
      <c r="K580" s="269"/>
      <c r="L580" s="269"/>
      <c r="M580" s="269"/>
      <c r="N580" s="269"/>
      <c r="O580" s="269"/>
      <c r="P580" s="269"/>
      <c r="Q580" s="269"/>
      <c r="R580" s="269"/>
      <c r="S580" s="269"/>
      <c r="T580" s="269"/>
      <c r="U580" s="269"/>
      <c r="V580" s="269"/>
      <c r="W580" s="270"/>
    </row>
    <row r="581" spans="2:23" ht="18">
      <c r="B581" s="271" t="s">
        <v>481</v>
      </c>
      <c r="C581" s="272"/>
      <c r="D581" s="272"/>
      <c r="E581" s="272"/>
      <c r="F581" s="272"/>
      <c r="G581" s="272"/>
      <c r="H581" s="272"/>
      <c r="I581" s="272"/>
      <c r="J581" s="272"/>
      <c r="K581" s="272"/>
      <c r="L581" s="272"/>
      <c r="M581" s="272"/>
      <c r="N581" s="272"/>
      <c r="O581" s="272"/>
      <c r="P581" s="272"/>
      <c r="Q581" s="272"/>
      <c r="R581" s="272"/>
      <c r="S581" s="272"/>
      <c r="T581" s="272"/>
      <c r="U581" s="272"/>
      <c r="V581" s="272"/>
      <c r="W581" s="273"/>
    </row>
    <row r="582" spans="2:23" ht="18">
      <c r="B582" s="274" t="s">
        <v>482</v>
      </c>
      <c r="C582" s="275"/>
      <c r="D582" s="275"/>
      <c r="E582" s="275"/>
      <c r="F582" s="275"/>
      <c r="G582" s="275"/>
      <c r="H582" s="275"/>
      <c r="I582" s="275"/>
      <c r="J582" s="275"/>
      <c r="K582" s="275"/>
      <c r="L582" s="275"/>
      <c r="M582" s="275"/>
      <c r="N582" s="275"/>
      <c r="O582" s="275"/>
      <c r="P582" s="275"/>
      <c r="Q582" s="275"/>
      <c r="R582" s="275"/>
      <c r="S582" s="275"/>
      <c r="T582" s="275"/>
      <c r="U582" s="275"/>
      <c r="V582" s="275"/>
      <c r="W582" s="276"/>
    </row>
    <row r="583" spans="2:23" ht="15">
      <c r="B583" s="5"/>
      <c r="C583" s="6"/>
      <c r="D583" s="8"/>
      <c r="E583" s="8"/>
      <c r="F583" s="8"/>
      <c r="G583" s="8"/>
      <c r="H583" s="8"/>
      <c r="I583" s="6"/>
      <c r="J583" s="6"/>
      <c r="K583" s="6"/>
      <c r="L583" s="6"/>
      <c r="M583" s="6"/>
      <c r="N583" s="6"/>
      <c r="O583" s="6"/>
      <c r="P583" s="6"/>
      <c r="Q583" s="6"/>
      <c r="R583" s="6"/>
      <c r="S583" s="6"/>
      <c r="T583" s="6"/>
      <c r="U583" s="6"/>
      <c r="V583" s="6"/>
      <c r="W583" s="7"/>
    </row>
    <row r="584" spans="2:23" ht="15">
      <c r="B584" s="279" t="s">
        <v>483</v>
      </c>
      <c r="C584" s="280"/>
      <c r="D584" s="10" t="s">
        <v>484</v>
      </c>
      <c r="E584" s="10"/>
      <c r="F584" s="10"/>
      <c r="G584" s="11"/>
      <c r="H584" s="11"/>
      <c r="I584" s="11"/>
      <c r="J584" s="11"/>
      <c r="K584" s="11"/>
      <c r="L584" s="10" t="s">
        <v>485</v>
      </c>
      <c r="M584" s="10"/>
      <c r="N584" s="10"/>
      <c r="O584" s="281" t="s">
        <v>486</v>
      </c>
      <c r="P584" s="282"/>
      <c r="Q584" s="282"/>
      <c r="R584" s="282"/>
      <c r="S584" s="282"/>
      <c r="T584" s="282" t="s">
        <v>487</v>
      </c>
      <c r="U584" s="280"/>
      <c r="V584" s="280"/>
      <c r="W584" s="285"/>
    </row>
    <row r="585" spans="2:23" ht="15">
      <c r="B585" s="279" t="s">
        <v>488</v>
      </c>
      <c r="C585" s="280"/>
      <c r="D585" s="10" t="s">
        <v>489</v>
      </c>
      <c r="E585" s="10"/>
      <c r="F585" s="10"/>
      <c r="G585" s="11"/>
      <c r="H585" s="11"/>
      <c r="I585" s="11"/>
      <c r="J585" s="11"/>
      <c r="K585" s="11"/>
      <c r="L585" s="282" t="s">
        <v>490</v>
      </c>
      <c r="M585" s="280"/>
      <c r="N585" s="280"/>
      <c r="O585" s="282" t="s">
        <v>491</v>
      </c>
      <c r="P585" s="282"/>
      <c r="Q585" s="282"/>
      <c r="R585" s="282"/>
      <c r="S585" s="282"/>
      <c r="T585" s="12" t="s">
        <v>492</v>
      </c>
      <c r="U585" s="11">
        <v>1</v>
      </c>
      <c r="V585" s="11" t="s">
        <v>493</v>
      </c>
      <c r="W585" s="13">
        <v>26</v>
      </c>
    </row>
    <row r="586" spans="2:23" ht="15.75" thickBot="1">
      <c r="B586" s="83"/>
      <c r="C586" s="11"/>
      <c r="D586" s="11"/>
      <c r="E586" s="11"/>
      <c r="F586" s="11"/>
      <c r="G586" s="11"/>
      <c r="H586" s="11"/>
      <c r="I586" s="11"/>
      <c r="J586" s="11"/>
      <c r="K586" s="11"/>
      <c r="L586" s="283"/>
      <c r="M586" s="283"/>
      <c r="N586" s="283"/>
      <c r="O586" s="282" t="s">
        <v>494</v>
      </c>
      <c r="P586" s="282"/>
      <c r="Q586" s="282"/>
      <c r="R586" s="284"/>
      <c r="S586" s="284"/>
      <c r="T586" s="278"/>
      <c r="U586" s="278"/>
      <c r="V586" s="11"/>
      <c r="W586" s="16"/>
    </row>
    <row r="587" spans="2:23" ht="15.75" customHeight="1" thickBot="1">
      <c r="B587" s="325" t="s">
        <v>495</v>
      </c>
      <c r="C587" s="326"/>
      <c r="D587" s="327" t="s">
        <v>122</v>
      </c>
      <c r="E587" s="327"/>
      <c r="F587" s="327"/>
      <c r="G587" s="327"/>
      <c r="H587" s="327"/>
      <c r="I587" s="258" t="s">
        <v>497</v>
      </c>
      <c r="J587" s="248"/>
      <c r="K587" s="261" t="s">
        <v>142</v>
      </c>
      <c r="L587" s="291"/>
      <c r="M587" s="261" t="s">
        <v>143</v>
      </c>
      <c r="N587" s="262"/>
      <c r="O587" s="291" t="s">
        <v>144</v>
      </c>
      <c r="P587" s="291"/>
      <c r="Q587" s="262"/>
      <c r="R587" s="259" t="s">
        <v>502</v>
      </c>
      <c r="S587" s="260"/>
      <c r="T587" s="296" t="s">
        <v>145</v>
      </c>
      <c r="U587" s="296" t="s">
        <v>146</v>
      </c>
      <c r="V587" s="261" t="s">
        <v>147</v>
      </c>
      <c r="W587" s="262"/>
    </row>
    <row r="588" spans="2:23" ht="39" customHeight="1" thickBot="1">
      <c r="B588" s="328" t="s">
        <v>506</v>
      </c>
      <c r="C588" s="252"/>
      <c r="D588" s="294" t="s">
        <v>148</v>
      </c>
      <c r="E588" s="295"/>
      <c r="F588" s="295"/>
      <c r="G588" s="295"/>
      <c r="H588" s="295"/>
      <c r="I588" s="249"/>
      <c r="J588" s="250"/>
      <c r="K588" s="263"/>
      <c r="L588" s="292"/>
      <c r="M588" s="263"/>
      <c r="N588" s="264"/>
      <c r="O588" s="292"/>
      <c r="P588" s="292"/>
      <c r="Q588" s="264"/>
      <c r="R588" s="259"/>
      <c r="S588" s="260"/>
      <c r="T588" s="297"/>
      <c r="U588" s="297"/>
      <c r="V588" s="263"/>
      <c r="W588" s="264"/>
    </row>
    <row r="589" spans="2:23" ht="42.75" customHeight="1" thickBot="1">
      <c r="B589" s="331" t="s">
        <v>508</v>
      </c>
      <c r="C589" s="332"/>
      <c r="D589" s="333" t="s">
        <v>149</v>
      </c>
      <c r="E589" s="334"/>
      <c r="F589" s="334"/>
      <c r="G589" s="334"/>
      <c r="H589" s="335"/>
      <c r="I589" s="251"/>
      <c r="J589" s="247"/>
      <c r="K589" s="265"/>
      <c r="L589" s="293"/>
      <c r="M589" s="265"/>
      <c r="N589" s="266"/>
      <c r="O589" s="293"/>
      <c r="P589" s="293"/>
      <c r="Q589" s="266"/>
      <c r="R589" s="259"/>
      <c r="S589" s="260"/>
      <c r="T589" s="298"/>
      <c r="U589" s="298"/>
      <c r="V589" s="265"/>
      <c r="W589" s="266"/>
    </row>
    <row r="590" spans="2:23" ht="18.75" thickBot="1">
      <c r="B590" s="84"/>
      <c r="C590" s="85"/>
      <c r="D590" s="86"/>
      <c r="E590" s="87"/>
      <c r="F590" s="87"/>
      <c r="G590" s="87"/>
      <c r="H590" s="87"/>
      <c r="I590" s="84"/>
      <c r="J590" s="84"/>
      <c r="K590" s="84"/>
      <c r="L590" s="84"/>
      <c r="M590" s="84"/>
      <c r="N590" s="84"/>
      <c r="O590" s="84"/>
      <c r="P590" s="84"/>
      <c r="Q590" s="84"/>
      <c r="R590" s="84"/>
      <c r="S590" s="84"/>
      <c r="T590" s="19"/>
      <c r="U590" s="19"/>
      <c r="V590" s="19"/>
      <c r="W590" s="19"/>
    </row>
    <row r="591" spans="2:23" ht="15.75" thickBot="1">
      <c r="B591" s="341" t="s">
        <v>510</v>
      </c>
      <c r="C591" s="342"/>
      <c r="D591" s="342"/>
      <c r="E591" s="342"/>
      <c r="F591" s="342"/>
      <c r="G591" s="342"/>
      <c r="H591" s="342"/>
      <c r="I591" s="343" t="s">
        <v>511</v>
      </c>
      <c r="J591" s="343"/>
      <c r="K591" s="343"/>
      <c r="L591" s="343"/>
      <c r="M591" s="343"/>
      <c r="N591" s="343"/>
      <c r="O591" s="343"/>
      <c r="P591" s="343"/>
      <c r="Q591" s="343"/>
      <c r="R591" s="343"/>
      <c r="S591" s="344"/>
      <c r="T591" s="345" t="s">
        <v>512</v>
      </c>
      <c r="U591" s="287" t="s">
        <v>513</v>
      </c>
      <c r="V591" s="287"/>
      <c r="W591" s="287"/>
    </row>
    <row r="592" spans="2:23" ht="15.75" thickBot="1">
      <c r="B592" s="316" t="s">
        <v>514</v>
      </c>
      <c r="C592" s="318" t="s">
        <v>515</v>
      </c>
      <c r="D592" s="318"/>
      <c r="E592" s="314" t="s">
        <v>516</v>
      </c>
      <c r="F592" s="314" t="s">
        <v>517</v>
      </c>
      <c r="G592" s="314" t="s">
        <v>518</v>
      </c>
      <c r="H592" s="300" t="s">
        <v>519</v>
      </c>
      <c r="I592" s="337" t="s">
        <v>520</v>
      </c>
      <c r="J592" s="338"/>
      <c r="K592" s="338"/>
      <c r="L592" s="338"/>
      <c r="M592" s="338"/>
      <c r="N592" s="338"/>
      <c r="O592" s="338"/>
      <c r="P592" s="338"/>
      <c r="Q592" s="339" t="s">
        <v>521</v>
      </c>
      <c r="R592" s="340" t="s">
        <v>522</v>
      </c>
      <c r="S592" s="336" t="s">
        <v>523</v>
      </c>
      <c r="T592" s="287"/>
      <c r="U592" s="287"/>
      <c r="V592" s="287"/>
      <c r="W592" s="287"/>
    </row>
    <row r="593" spans="2:23" ht="55.5" thickBot="1">
      <c r="B593" s="368"/>
      <c r="C593" s="369"/>
      <c r="D593" s="369"/>
      <c r="E593" s="366"/>
      <c r="F593" s="366"/>
      <c r="G593" s="366"/>
      <c r="H593" s="367"/>
      <c r="I593" s="20" t="s">
        <v>524</v>
      </c>
      <c r="J593" s="21" t="s">
        <v>525</v>
      </c>
      <c r="K593" s="22" t="s">
        <v>526</v>
      </c>
      <c r="L593" s="22" t="s">
        <v>527</v>
      </c>
      <c r="M593" s="22" t="s">
        <v>528</v>
      </c>
      <c r="N593" s="22" t="s">
        <v>529</v>
      </c>
      <c r="O593" s="22" t="s">
        <v>530</v>
      </c>
      <c r="P593" s="23" t="s">
        <v>531</v>
      </c>
      <c r="Q593" s="305"/>
      <c r="R593" s="320"/>
      <c r="S593" s="299"/>
      <c r="T593" s="287"/>
      <c r="U593" s="287"/>
      <c r="V593" s="287"/>
      <c r="W593" s="287"/>
    </row>
    <row r="594" spans="2:23" ht="45" customHeight="1">
      <c r="B594" s="108">
        <v>1</v>
      </c>
      <c r="C594" s="387" t="s">
        <v>150</v>
      </c>
      <c r="D594" s="387"/>
      <c r="E594" s="111">
        <v>90</v>
      </c>
      <c r="F594" s="107">
        <v>50</v>
      </c>
      <c r="G594" s="106">
        <v>0.6</v>
      </c>
      <c r="H594" s="43">
        <f>+F594/E594</f>
        <v>0.5555555555555556</v>
      </c>
      <c r="I594" s="113"/>
      <c r="J594" s="97">
        <v>8000</v>
      </c>
      <c r="K594" s="32"/>
      <c r="L594" s="32"/>
      <c r="M594" s="31"/>
      <c r="N594" s="31"/>
      <c r="O594" s="31"/>
      <c r="P594" s="74"/>
      <c r="Q594" s="75">
        <f>+SUM(I594:P594)</f>
        <v>8000</v>
      </c>
      <c r="R594" s="76">
        <v>1470</v>
      </c>
      <c r="S594" s="36">
        <f>R594/Q594</f>
        <v>0.18375</v>
      </c>
      <c r="T594" s="37" t="s">
        <v>151</v>
      </c>
      <c r="U594" s="307"/>
      <c r="V594" s="307"/>
      <c r="W594" s="307"/>
    </row>
    <row r="595" spans="2:23" ht="45" customHeight="1">
      <c r="B595" s="77">
        <v>2</v>
      </c>
      <c r="C595" s="388" t="s">
        <v>152</v>
      </c>
      <c r="D595" s="388"/>
      <c r="E595" s="111">
        <v>20</v>
      </c>
      <c r="F595" s="107">
        <v>60</v>
      </c>
      <c r="G595" s="106">
        <v>0.35</v>
      </c>
      <c r="H595" s="43">
        <f>+F595/E595</f>
        <v>3</v>
      </c>
      <c r="I595" s="113">
        <v>7000</v>
      </c>
      <c r="J595" s="97"/>
      <c r="K595" s="32"/>
      <c r="L595" s="32"/>
      <c r="M595" s="31"/>
      <c r="N595" s="31"/>
      <c r="O595" s="31"/>
      <c r="P595" s="74"/>
      <c r="Q595" s="75">
        <f>+SUM(I595:P595)</f>
        <v>7000</v>
      </c>
      <c r="R595" s="76">
        <v>19000</v>
      </c>
      <c r="S595" s="36">
        <f>R595/Q595</f>
        <v>2.7142857142857144</v>
      </c>
      <c r="T595" s="37" t="s">
        <v>151</v>
      </c>
      <c r="U595" s="322"/>
      <c r="V595" s="322"/>
      <c r="W595" s="322"/>
    </row>
    <row r="596" spans="2:23" ht="59.25" customHeight="1">
      <c r="B596" s="108">
        <v>3</v>
      </c>
      <c r="C596" s="388" t="s">
        <v>153</v>
      </c>
      <c r="D596" s="388"/>
      <c r="E596" s="111">
        <v>90</v>
      </c>
      <c r="F596" s="107">
        <v>60</v>
      </c>
      <c r="G596" s="106">
        <v>0.6</v>
      </c>
      <c r="H596" s="43">
        <f>+F596/E596</f>
        <v>0.6666666666666666</v>
      </c>
      <c r="I596" s="113">
        <v>5000</v>
      </c>
      <c r="J596" s="97"/>
      <c r="K596" s="32"/>
      <c r="L596" s="32"/>
      <c r="M596" s="31"/>
      <c r="N596" s="31"/>
      <c r="O596" s="31"/>
      <c r="P596" s="74"/>
      <c r="Q596" s="75">
        <f>+SUM(I596:P596)</f>
        <v>5000</v>
      </c>
      <c r="R596" s="76">
        <f>3336+3000+20000</f>
        <v>26336</v>
      </c>
      <c r="S596" s="36">
        <f>R596/Q596</f>
        <v>5.2672</v>
      </c>
      <c r="T596" s="37" t="s">
        <v>151</v>
      </c>
      <c r="U596" s="381" t="s">
        <v>154</v>
      </c>
      <c r="V596" s="382"/>
      <c r="W596" s="383"/>
    </row>
    <row r="597" spans="2:23" ht="45" customHeight="1">
      <c r="B597" s="39"/>
      <c r="C597" s="321"/>
      <c r="D597" s="321"/>
      <c r="E597" s="40"/>
      <c r="F597" s="41"/>
      <c r="G597" s="42"/>
      <c r="H597" s="91"/>
      <c r="I597" s="30"/>
      <c r="J597" s="32"/>
      <c r="K597" s="46"/>
      <c r="L597" s="46"/>
      <c r="M597" s="45"/>
      <c r="N597" s="45"/>
      <c r="O597" s="45"/>
      <c r="P597" s="74"/>
      <c r="Q597" s="75"/>
      <c r="R597" s="76"/>
      <c r="S597" s="36"/>
      <c r="T597" s="37"/>
      <c r="U597" s="322"/>
      <c r="V597" s="322"/>
      <c r="W597" s="322"/>
    </row>
    <row r="598" spans="2:23" ht="45" customHeight="1">
      <c r="B598" s="39"/>
      <c r="C598" s="308"/>
      <c r="D598" s="308"/>
      <c r="E598" s="40"/>
      <c r="F598" s="41"/>
      <c r="G598" s="42"/>
      <c r="H598" s="91"/>
      <c r="I598" s="95"/>
      <c r="J598" s="46"/>
      <c r="K598" s="45"/>
      <c r="L598" s="45"/>
      <c r="M598" s="45"/>
      <c r="N598" s="45"/>
      <c r="O598" s="45"/>
      <c r="P598" s="56"/>
      <c r="Q598" s="75"/>
      <c r="R598" s="76"/>
      <c r="S598" s="36"/>
      <c r="T598" s="37"/>
      <c r="U598" s="322"/>
      <c r="V598" s="322"/>
      <c r="W598" s="322"/>
    </row>
    <row r="599" spans="2:23" ht="45" customHeight="1" thickBot="1">
      <c r="B599" s="59"/>
      <c r="C599" s="310" t="s">
        <v>541</v>
      </c>
      <c r="D599" s="310"/>
      <c r="E599" s="60"/>
      <c r="F599" s="61"/>
      <c r="G599" s="62"/>
      <c r="H599" s="63"/>
      <c r="I599" s="64">
        <f>+SUM(I594:I598)</f>
        <v>12000</v>
      </c>
      <c r="J599" s="64">
        <f>+SUM(J594:J598)</f>
        <v>8000</v>
      </c>
      <c r="K599" s="64">
        <f>+SUM(K594:K598)</f>
        <v>0</v>
      </c>
      <c r="L599" s="64"/>
      <c r="M599" s="64">
        <f aca="true" t="shared" si="25" ref="M599:R599">+SUM(M594:M598)</f>
        <v>0</v>
      </c>
      <c r="N599" s="64">
        <f t="shared" si="25"/>
        <v>0</v>
      </c>
      <c r="O599" s="64">
        <f t="shared" si="25"/>
        <v>0</v>
      </c>
      <c r="P599" s="64">
        <f t="shared" si="25"/>
        <v>0</v>
      </c>
      <c r="Q599" s="79">
        <f t="shared" si="25"/>
        <v>20000</v>
      </c>
      <c r="R599" s="79">
        <f t="shared" si="25"/>
        <v>46806</v>
      </c>
      <c r="S599" s="66">
        <f>+R599/Q599</f>
        <v>2.3403</v>
      </c>
      <c r="T599" s="67"/>
      <c r="U599" s="311"/>
      <c r="V599" s="311"/>
      <c r="W599" s="311"/>
    </row>
    <row r="600" ht="15.75" thickBot="1"/>
    <row r="601" spans="2:23" ht="15.75">
      <c r="B601" s="267" t="s">
        <v>479</v>
      </c>
      <c r="C601" s="267"/>
      <c r="D601" s="267"/>
      <c r="E601" s="267"/>
      <c r="F601" s="267"/>
      <c r="G601" s="267"/>
      <c r="H601" s="267"/>
      <c r="I601" s="267"/>
      <c r="J601" s="267"/>
      <c r="K601" s="267"/>
      <c r="L601" s="267"/>
      <c r="M601" s="267"/>
      <c r="N601" s="267"/>
      <c r="O601" s="267"/>
      <c r="P601" s="267"/>
      <c r="Q601" s="267"/>
      <c r="R601" s="267"/>
      <c r="S601" s="267"/>
      <c r="T601" s="267"/>
      <c r="U601" s="267"/>
      <c r="V601" s="267"/>
      <c r="W601" s="267"/>
    </row>
    <row r="602" spans="2:23" ht="15">
      <c r="B602" s="5"/>
      <c r="C602" s="6"/>
      <c r="D602" s="6"/>
      <c r="E602" s="6"/>
      <c r="F602" s="6"/>
      <c r="G602" s="6"/>
      <c r="H602" s="6"/>
      <c r="I602" s="6"/>
      <c r="J602" s="6"/>
      <c r="K602" s="6"/>
      <c r="L602" s="6"/>
      <c r="M602" s="6"/>
      <c r="N602" s="6"/>
      <c r="O602" s="6"/>
      <c r="P602" s="6"/>
      <c r="Q602" s="6"/>
      <c r="R602" s="6"/>
      <c r="S602" s="6"/>
      <c r="T602" s="6"/>
      <c r="U602" s="6"/>
      <c r="V602" s="6"/>
      <c r="W602" s="7"/>
    </row>
    <row r="603" spans="2:23" ht="20.25">
      <c r="B603" s="268" t="s">
        <v>480</v>
      </c>
      <c r="C603" s="269"/>
      <c r="D603" s="269"/>
      <c r="E603" s="269"/>
      <c r="F603" s="269"/>
      <c r="G603" s="269"/>
      <c r="H603" s="269"/>
      <c r="I603" s="269"/>
      <c r="J603" s="269"/>
      <c r="K603" s="269"/>
      <c r="L603" s="269"/>
      <c r="M603" s="269"/>
      <c r="N603" s="269"/>
      <c r="O603" s="269"/>
      <c r="P603" s="269"/>
      <c r="Q603" s="269"/>
      <c r="R603" s="269"/>
      <c r="S603" s="269"/>
      <c r="T603" s="269"/>
      <c r="U603" s="269"/>
      <c r="V603" s="269"/>
      <c r="W603" s="270"/>
    </row>
    <row r="604" spans="2:23" ht="18">
      <c r="B604" s="271" t="s">
        <v>481</v>
      </c>
      <c r="C604" s="272"/>
      <c r="D604" s="272"/>
      <c r="E604" s="272"/>
      <c r="F604" s="272"/>
      <c r="G604" s="272"/>
      <c r="H604" s="272"/>
      <c r="I604" s="272"/>
      <c r="J604" s="272"/>
      <c r="K604" s="272"/>
      <c r="L604" s="272"/>
      <c r="M604" s="272"/>
      <c r="N604" s="272"/>
      <c r="O604" s="272"/>
      <c r="P604" s="272"/>
      <c r="Q604" s="272"/>
      <c r="R604" s="272"/>
      <c r="S604" s="272"/>
      <c r="T604" s="272"/>
      <c r="U604" s="272"/>
      <c r="V604" s="272"/>
      <c r="W604" s="273"/>
    </row>
    <row r="605" spans="2:23" ht="18">
      <c r="B605" s="274" t="s">
        <v>482</v>
      </c>
      <c r="C605" s="275"/>
      <c r="D605" s="275"/>
      <c r="E605" s="275"/>
      <c r="F605" s="275"/>
      <c r="G605" s="275"/>
      <c r="H605" s="275"/>
      <c r="I605" s="275"/>
      <c r="J605" s="275"/>
      <c r="K605" s="275"/>
      <c r="L605" s="275"/>
      <c r="M605" s="275"/>
      <c r="N605" s="275"/>
      <c r="O605" s="275"/>
      <c r="P605" s="275"/>
      <c r="Q605" s="275"/>
      <c r="R605" s="275"/>
      <c r="S605" s="275"/>
      <c r="T605" s="275"/>
      <c r="U605" s="275"/>
      <c r="V605" s="275"/>
      <c r="W605" s="276"/>
    </row>
    <row r="606" spans="2:23" ht="15">
      <c r="B606" s="5"/>
      <c r="C606" s="6"/>
      <c r="D606" s="8"/>
      <c r="E606" s="8"/>
      <c r="F606" s="8"/>
      <c r="G606" s="8"/>
      <c r="H606" s="8"/>
      <c r="I606" s="6"/>
      <c r="J606" s="6"/>
      <c r="K606" s="6"/>
      <c r="L606" s="6"/>
      <c r="M606" s="6"/>
      <c r="N606" s="6"/>
      <c r="O606" s="6"/>
      <c r="P606" s="6"/>
      <c r="Q606" s="6"/>
      <c r="R606" s="6"/>
      <c r="S606" s="6"/>
      <c r="T606" s="6"/>
      <c r="U606" s="6"/>
      <c r="V606" s="6"/>
      <c r="W606" s="7"/>
    </row>
    <row r="607" spans="2:23" ht="15">
      <c r="B607" s="279" t="s">
        <v>483</v>
      </c>
      <c r="C607" s="280"/>
      <c r="D607" s="10" t="s">
        <v>484</v>
      </c>
      <c r="E607" s="10"/>
      <c r="F607" s="10"/>
      <c r="G607" s="11"/>
      <c r="H607" s="11"/>
      <c r="I607" s="11"/>
      <c r="J607" s="11"/>
      <c r="K607" s="11"/>
      <c r="L607" s="10" t="s">
        <v>485</v>
      </c>
      <c r="M607" s="10"/>
      <c r="N607" s="10"/>
      <c r="O607" s="281" t="s">
        <v>486</v>
      </c>
      <c r="P607" s="282"/>
      <c r="Q607" s="282"/>
      <c r="R607" s="282"/>
      <c r="S607" s="282"/>
      <c r="T607" s="282" t="s">
        <v>487</v>
      </c>
      <c r="U607" s="280"/>
      <c r="V607" s="280"/>
      <c r="W607" s="285"/>
    </row>
    <row r="608" spans="2:23" ht="15">
      <c r="B608" s="279" t="s">
        <v>488</v>
      </c>
      <c r="C608" s="280"/>
      <c r="D608" s="10" t="s">
        <v>489</v>
      </c>
      <c r="E608" s="10"/>
      <c r="F608" s="10"/>
      <c r="G608" s="11"/>
      <c r="H608" s="11"/>
      <c r="I608" s="11"/>
      <c r="J608" s="11"/>
      <c r="K608" s="11"/>
      <c r="L608" s="282" t="s">
        <v>490</v>
      </c>
      <c r="M608" s="280"/>
      <c r="N608" s="280"/>
      <c r="O608" s="282" t="s">
        <v>491</v>
      </c>
      <c r="P608" s="282"/>
      <c r="Q608" s="282"/>
      <c r="R608" s="282"/>
      <c r="S608" s="282"/>
      <c r="T608" s="12" t="s">
        <v>492</v>
      </c>
      <c r="U608" s="11">
        <v>1</v>
      </c>
      <c r="V608" s="11" t="s">
        <v>493</v>
      </c>
      <c r="W608" s="13">
        <v>27</v>
      </c>
    </row>
    <row r="609" spans="2:23" ht="15.75" thickBot="1">
      <c r="B609" s="83"/>
      <c r="C609" s="11"/>
      <c r="D609" s="11"/>
      <c r="E609" s="11"/>
      <c r="F609" s="11"/>
      <c r="G609" s="11"/>
      <c r="H609" s="11"/>
      <c r="I609" s="11"/>
      <c r="J609" s="11"/>
      <c r="K609" s="11"/>
      <c r="L609" s="283"/>
      <c r="M609" s="283"/>
      <c r="N609" s="283"/>
      <c r="O609" s="282" t="s">
        <v>494</v>
      </c>
      <c r="P609" s="282"/>
      <c r="Q609" s="282"/>
      <c r="R609" s="284"/>
      <c r="S609" s="284"/>
      <c r="T609" s="278"/>
      <c r="U609" s="278"/>
      <c r="V609" s="11"/>
      <c r="W609" s="16"/>
    </row>
    <row r="610" spans="2:23" ht="15.75" customHeight="1" thickBot="1">
      <c r="B610" s="325" t="s">
        <v>495</v>
      </c>
      <c r="C610" s="326"/>
      <c r="D610" s="327" t="s">
        <v>122</v>
      </c>
      <c r="E610" s="327"/>
      <c r="F610" s="327"/>
      <c r="G610" s="327"/>
      <c r="H610" s="327"/>
      <c r="I610" s="258" t="s">
        <v>497</v>
      </c>
      <c r="J610" s="248"/>
      <c r="K610" s="261" t="s">
        <v>155</v>
      </c>
      <c r="L610" s="291"/>
      <c r="M610" s="291"/>
      <c r="N610" s="291"/>
      <c r="O610" s="291"/>
      <c r="P610" s="291"/>
      <c r="Q610" s="262"/>
      <c r="R610" s="259" t="s">
        <v>502</v>
      </c>
      <c r="S610" s="260"/>
      <c r="T610" s="261" t="s">
        <v>155</v>
      </c>
      <c r="U610" s="291"/>
      <c r="V610" s="291"/>
      <c r="W610" s="262"/>
    </row>
    <row r="611" spans="2:23" ht="33" customHeight="1" thickBot="1">
      <c r="B611" s="328" t="s">
        <v>506</v>
      </c>
      <c r="C611" s="252"/>
      <c r="D611" s="294" t="s">
        <v>156</v>
      </c>
      <c r="E611" s="295"/>
      <c r="F611" s="295"/>
      <c r="G611" s="295"/>
      <c r="H611" s="295"/>
      <c r="I611" s="249"/>
      <c r="J611" s="250"/>
      <c r="K611" s="263"/>
      <c r="L611" s="292"/>
      <c r="M611" s="292"/>
      <c r="N611" s="292"/>
      <c r="O611" s="292"/>
      <c r="P611" s="292"/>
      <c r="Q611" s="264"/>
      <c r="R611" s="259"/>
      <c r="S611" s="260"/>
      <c r="T611" s="263"/>
      <c r="U611" s="292"/>
      <c r="V611" s="292"/>
      <c r="W611" s="264"/>
    </row>
    <row r="612" spans="2:23" ht="42.75" customHeight="1" thickBot="1">
      <c r="B612" s="331" t="s">
        <v>508</v>
      </c>
      <c r="C612" s="332"/>
      <c r="D612" s="333" t="s">
        <v>157</v>
      </c>
      <c r="E612" s="334"/>
      <c r="F612" s="334"/>
      <c r="G612" s="334"/>
      <c r="H612" s="335"/>
      <c r="I612" s="251"/>
      <c r="J612" s="247"/>
      <c r="K612" s="265"/>
      <c r="L612" s="293"/>
      <c r="M612" s="293"/>
      <c r="N612" s="293"/>
      <c r="O612" s="293"/>
      <c r="P612" s="293"/>
      <c r="Q612" s="266"/>
      <c r="R612" s="259"/>
      <c r="S612" s="260"/>
      <c r="T612" s="265"/>
      <c r="U612" s="293"/>
      <c r="V612" s="293"/>
      <c r="W612" s="266"/>
    </row>
    <row r="613" spans="2:23" ht="18.75" thickBot="1">
      <c r="B613" s="84"/>
      <c r="C613" s="85"/>
      <c r="D613" s="86"/>
      <c r="E613" s="87"/>
      <c r="F613" s="87"/>
      <c r="G613" s="87"/>
      <c r="H613" s="87"/>
      <c r="I613" s="84"/>
      <c r="J613" s="84"/>
      <c r="K613" s="84"/>
      <c r="L613" s="84"/>
      <c r="M613" s="84"/>
      <c r="N613" s="84"/>
      <c r="O613" s="84"/>
      <c r="P613" s="84"/>
      <c r="Q613" s="84"/>
      <c r="R613" s="84"/>
      <c r="S613" s="84"/>
      <c r="T613" s="19"/>
      <c r="U613" s="19"/>
      <c r="V613" s="19"/>
      <c r="W613" s="19"/>
    </row>
    <row r="614" spans="2:23" ht="15.75" thickBot="1">
      <c r="B614" s="341" t="s">
        <v>510</v>
      </c>
      <c r="C614" s="342"/>
      <c r="D614" s="342"/>
      <c r="E614" s="342"/>
      <c r="F614" s="342"/>
      <c r="G614" s="342"/>
      <c r="H614" s="342"/>
      <c r="I614" s="343" t="s">
        <v>511</v>
      </c>
      <c r="J614" s="343"/>
      <c r="K614" s="343"/>
      <c r="L614" s="343"/>
      <c r="M614" s="343"/>
      <c r="N614" s="343"/>
      <c r="O614" s="343"/>
      <c r="P614" s="343"/>
      <c r="Q614" s="343"/>
      <c r="R614" s="343"/>
      <c r="S614" s="344"/>
      <c r="T614" s="345" t="s">
        <v>512</v>
      </c>
      <c r="U614" s="287" t="s">
        <v>513</v>
      </c>
      <c r="V614" s="287"/>
      <c r="W614" s="287"/>
    </row>
    <row r="615" spans="2:23" ht="21.75" customHeight="1" thickBot="1">
      <c r="B615" s="316" t="s">
        <v>514</v>
      </c>
      <c r="C615" s="318" t="s">
        <v>515</v>
      </c>
      <c r="D615" s="318"/>
      <c r="E615" s="314" t="s">
        <v>516</v>
      </c>
      <c r="F615" s="314" t="s">
        <v>517</v>
      </c>
      <c r="G615" s="314" t="s">
        <v>518</v>
      </c>
      <c r="H615" s="300" t="s">
        <v>519</v>
      </c>
      <c r="I615" s="337" t="s">
        <v>520</v>
      </c>
      <c r="J615" s="338"/>
      <c r="K615" s="338"/>
      <c r="L615" s="338"/>
      <c r="M615" s="338"/>
      <c r="N615" s="338"/>
      <c r="O615" s="338"/>
      <c r="P615" s="338"/>
      <c r="Q615" s="339" t="s">
        <v>521</v>
      </c>
      <c r="R615" s="340" t="s">
        <v>522</v>
      </c>
      <c r="S615" s="336" t="s">
        <v>523</v>
      </c>
      <c r="T615" s="287"/>
      <c r="U615" s="287"/>
      <c r="V615" s="287"/>
      <c r="W615" s="287"/>
    </row>
    <row r="616" spans="2:23" ht="69.75" customHeight="1" thickBot="1">
      <c r="B616" s="368"/>
      <c r="C616" s="369"/>
      <c r="D616" s="369"/>
      <c r="E616" s="366"/>
      <c r="F616" s="366"/>
      <c r="G616" s="366"/>
      <c r="H616" s="367"/>
      <c r="I616" s="20" t="s">
        <v>524</v>
      </c>
      <c r="J616" s="21" t="s">
        <v>525</v>
      </c>
      <c r="K616" s="22" t="s">
        <v>526</v>
      </c>
      <c r="L616" s="22" t="s">
        <v>527</v>
      </c>
      <c r="M616" s="22" t="s">
        <v>528</v>
      </c>
      <c r="N616" s="22" t="s">
        <v>529</v>
      </c>
      <c r="O616" s="22" t="s">
        <v>530</v>
      </c>
      <c r="P616" s="23" t="s">
        <v>531</v>
      </c>
      <c r="Q616" s="305"/>
      <c r="R616" s="320"/>
      <c r="S616" s="299"/>
      <c r="T616" s="287"/>
      <c r="U616" s="287"/>
      <c r="V616" s="287"/>
      <c r="W616" s="287"/>
    </row>
    <row r="617" spans="2:23" ht="45.75" customHeight="1">
      <c r="B617" s="108">
        <v>1</v>
      </c>
      <c r="C617" s="387" t="s">
        <v>158</v>
      </c>
      <c r="D617" s="387"/>
      <c r="E617" s="111">
        <v>90</v>
      </c>
      <c r="F617" s="107">
        <v>60</v>
      </c>
      <c r="G617" s="106">
        <v>0.6</v>
      </c>
      <c r="H617" s="43">
        <f>+F617/E617</f>
        <v>0.6666666666666666</v>
      </c>
      <c r="I617" s="113"/>
      <c r="J617" s="97"/>
      <c r="K617" s="32"/>
      <c r="L617" s="32"/>
      <c r="M617" s="31"/>
      <c r="N617" s="31"/>
      <c r="O617" s="31"/>
      <c r="P617" s="74"/>
      <c r="Q617" s="75">
        <f>+SUM(I617:P617)</f>
        <v>0</v>
      </c>
      <c r="R617" s="76"/>
      <c r="S617" s="36" t="e">
        <f>R617/Q617</f>
        <v>#DIV/0!</v>
      </c>
      <c r="T617" s="37" t="s">
        <v>151</v>
      </c>
      <c r="U617" s="307"/>
      <c r="V617" s="307"/>
      <c r="W617" s="307"/>
    </row>
    <row r="618" spans="2:23" ht="34.5" customHeight="1">
      <c r="B618" s="77"/>
      <c r="C618" s="388"/>
      <c r="D618" s="388"/>
      <c r="E618" s="111"/>
      <c r="F618" s="107"/>
      <c r="G618" s="106"/>
      <c r="H618" s="43"/>
      <c r="I618" s="113"/>
      <c r="J618" s="97"/>
      <c r="K618" s="32"/>
      <c r="L618" s="32"/>
      <c r="M618" s="31"/>
      <c r="N618" s="31"/>
      <c r="O618" s="31"/>
      <c r="P618" s="74"/>
      <c r="Q618" s="75"/>
      <c r="R618" s="76"/>
      <c r="S618" s="36"/>
      <c r="T618" s="37"/>
      <c r="U618" s="322"/>
      <c r="V618" s="322"/>
      <c r="W618" s="322"/>
    </row>
    <row r="619" spans="2:23" ht="34.5" customHeight="1">
      <c r="B619" s="108"/>
      <c r="C619" s="388"/>
      <c r="D619" s="388"/>
      <c r="E619" s="111"/>
      <c r="F619" s="107"/>
      <c r="G619" s="106"/>
      <c r="H619" s="43"/>
      <c r="I619" s="113"/>
      <c r="J619" s="97"/>
      <c r="K619" s="32"/>
      <c r="L619" s="32"/>
      <c r="M619" s="31"/>
      <c r="N619" s="31"/>
      <c r="O619" s="31"/>
      <c r="P619" s="74"/>
      <c r="Q619" s="75"/>
      <c r="R619" s="76"/>
      <c r="S619" s="36"/>
      <c r="T619" s="37"/>
      <c r="U619" s="322"/>
      <c r="V619" s="322"/>
      <c r="W619" s="322"/>
    </row>
    <row r="620" spans="2:23" ht="34.5" customHeight="1">
      <c r="B620" s="39"/>
      <c r="C620" s="321"/>
      <c r="D620" s="321"/>
      <c r="E620" s="40"/>
      <c r="F620" s="41"/>
      <c r="G620" s="42"/>
      <c r="H620" s="91"/>
      <c r="I620" s="30"/>
      <c r="J620" s="32"/>
      <c r="K620" s="46"/>
      <c r="L620" s="46"/>
      <c r="M620" s="45"/>
      <c r="N620" s="45"/>
      <c r="O620" s="45"/>
      <c r="P620" s="74"/>
      <c r="Q620" s="75"/>
      <c r="R620" s="76"/>
      <c r="S620" s="36"/>
      <c r="T620" s="37"/>
      <c r="U620" s="322"/>
      <c r="V620" s="322"/>
      <c r="W620" s="322"/>
    </row>
    <row r="621" spans="2:23" ht="34.5" customHeight="1">
      <c r="B621" s="39"/>
      <c r="C621" s="308"/>
      <c r="D621" s="308"/>
      <c r="E621" s="40"/>
      <c r="F621" s="41"/>
      <c r="G621" s="42"/>
      <c r="H621" s="91"/>
      <c r="I621" s="95"/>
      <c r="J621" s="46"/>
      <c r="K621" s="45"/>
      <c r="L621" s="45"/>
      <c r="M621" s="45"/>
      <c r="N621" s="45"/>
      <c r="O621" s="45"/>
      <c r="P621" s="56"/>
      <c r="Q621" s="75"/>
      <c r="R621" s="76"/>
      <c r="S621" s="36"/>
      <c r="T621" s="37"/>
      <c r="U621" s="322"/>
      <c r="V621" s="322"/>
      <c r="W621" s="322"/>
    </row>
    <row r="622" spans="2:23" ht="34.5" customHeight="1" thickBot="1">
      <c r="B622" s="59"/>
      <c r="C622" s="310" t="s">
        <v>541</v>
      </c>
      <c r="D622" s="310"/>
      <c r="E622" s="60"/>
      <c r="F622" s="61"/>
      <c r="G622" s="62"/>
      <c r="H622" s="63"/>
      <c r="I622" s="64">
        <f>+SUM(I617:I621)</f>
        <v>0</v>
      </c>
      <c r="J622" s="64">
        <f>+SUM(J617:J621)</f>
        <v>0</v>
      </c>
      <c r="K622" s="64">
        <f>+SUM(K617:K621)</f>
        <v>0</v>
      </c>
      <c r="L622" s="64"/>
      <c r="M622" s="64">
        <f aca="true" t="shared" si="26" ref="M622:R622">+SUM(M617:M621)</f>
        <v>0</v>
      </c>
      <c r="N622" s="64">
        <f t="shared" si="26"/>
        <v>0</v>
      </c>
      <c r="O622" s="64">
        <f t="shared" si="26"/>
        <v>0</v>
      </c>
      <c r="P622" s="64">
        <f t="shared" si="26"/>
        <v>0</v>
      </c>
      <c r="Q622" s="79">
        <f t="shared" si="26"/>
        <v>0</v>
      </c>
      <c r="R622" s="79">
        <f t="shared" si="26"/>
        <v>0</v>
      </c>
      <c r="S622" s="66" t="e">
        <f>+R622/Q622</f>
        <v>#DIV/0!</v>
      </c>
      <c r="T622" s="67"/>
      <c r="U622" s="311"/>
      <c r="V622" s="311"/>
      <c r="W622" s="311"/>
    </row>
    <row r="623" ht="15.75" thickBot="1"/>
    <row r="624" spans="2:23" ht="15.75">
      <c r="B624" s="267" t="s">
        <v>479</v>
      </c>
      <c r="C624" s="267"/>
      <c r="D624" s="267"/>
      <c r="E624" s="267"/>
      <c r="F624" s="267"/>
      <c r="G624" s="267"/>
      <c r="H624" s="267"/>
      <c r="I624" s="267"/>
      <c r="J624" s="267"/>
      <c r="K624" s="267"/>
      <c r="L624" s="267"/>
      <c r="M624" s="267"/>
      <c r="N624" s="267"/>
      <c r="O624" s="267"/>
      <c r="P624" s="267"/>
      <c r="Q624" s="267"/>
      <c r="R624" s="267"/>
      <c r="S624" s="267"/>
      <c r="T624" s="267"/>
      <c r="U624" s="267"/>
      <c r="V624" s="267"/>
      <c r="W624" s="267"/>
    </row>
    <row r="625" spans="2:23" ht="15">
      <c r="B625" s="5"/>
      <c r="C625" s="6"/>
      <c r="D625" s="6"/>
      <c r="E625" s="6"/>
      <c r="F625" s="6"/>
      <c r="G625" s="6"/>
      <c r="H625" s="6"/>
      <c r="I625" s="6"/>
      <c r="J625" s="6"/>
      <c r="K625" s="6"/>
      <c r="L625" s="6"/>
      <c r="M625" s="6"/>
      <c r="N625" s="6"/>
      <c r="O625" s="6"/>
      <c r="P625" s="6"/>
      <c r="Q625" s="6"/>
      <c r="R625" s="6"/>
      <c r="S625" s="6"/>
      <c r="T625" s="6"/>
      <c r="U625" s="6"/>
      <c r="V625" s="6"/>
      <c r="W625" s="7"/>
    </row>
    <row r="626" spans="2:23" ht="20.25">
      <c r="B626" s="268" t="s">
        <v>480</v>
      </c>
      <c r="C626" s="269"/>
      <c r="D626" s="269"/>
      <c r="E626" s="269"/>
      <c r="F626" s="269"/>
      <c r="G626" s="269"/>
      <c r="H626" s="269"/>
      <c r="I626" s="269"/>
      <c r="J626" s="269"/>
      <c r="K626" s="269"/>
      <c r="L626" s="269"/>
      <c r="M626" s="269"/>
      <c r="N626" s="269"/>
      <c r="O626" s="269"/>
      <c r="P626" s="269"/>
      <c r="Q626" s="269"/>
      <c r="R626" s="269"/>
      <c r="S626" s="269"/>
      <c r="T626" s="269"/>
      <c r="U626" s="269"/>
      <c r="V626" s="269"/>
      <c r="W626" s="270"/>
    </row>
    <row r="627" spans="2:23" ht="18">
      <c r="B627" s="271" t="s">
        <v>481</v>
      </c>
      <c r="C627" s="272"/>
      <c r="D627" s="272"/>
      <c r="E627" s="272"/>
      <c r="F627" s="272"/>
      <c r="G627" s="272"/>
      <c r="H627" s="272"/>
      <c r="I627" s="272"/>
      <c r="J627" s="272"/>
      <c r="K627" s="272"/>
      <c r="L627" s="272"/>
      <c r="M627" s="272"/>
      <c r="N627" s="272"/>
      <c r="O627" s="272"/>
      <c r="P627" s="272"/>
      <c r="Q627" s="272"/>
      <c r="R627" s="272"/>
      <c r="S627" s="272"/>
      <c r="T627" s="272"/>
      <c r="U627" s="272"/>
      <c r="V627" s="272"/>
      <c r="W627" s="273"/>
    </row>
    <row r="628" spans="2:23" ht="18">
      <c r="B628" s="274" t="s">
        <v>482</v>
      </c>
      <c r="C628" s="275"/>
      <c r="D628" s="275"/>
      <c r="E628" s="275"/>
      <c r="F628" s="275"/>
      <c r="G628" s="275"/>
      <c r="H628" s="275"/>
      <c r="I628" s="275"/>
      <c r="J628" s="275"/>
      <c r="K628" s="275"/>
      <c r="L628" s="275"/>
      <c r="M628" s="275"/>
      <c r="N628" s="275"/>
      <c r="O628" s="275"/>
      <c r="P628" s="275"/>
      <c r="Q628" s="275"/>
      <c r="R628" s="275"/>
      <c r="S628" s="275"/>
      <c r="T628" s="275"/>
      <c r="U628" s="275"/>
      <c r="V628" s="275"/>
      <c r="W628" s="276"/>
    </row>
    <row r="629" spans="2:23" ht="15">
      <c r="B629" s="5"/>
      <c r="C629" s="6"/>
      <c r="D629" s="8"/>
      <c r="E629" s="8"/>
      <c r="F629" s="8"/>
      <c r="G629" s="8"/>
      <c r="H629" s="8"/>
      <c r="I629" s="6"/>
      <c r="J629" s="6"/>
      <c r="K629" s="6"/>
      <c r="L629" s="6"/>
      <c r="M629" s="6"/>
      <c r="N629" s="6"/>
      <c r="O629" s="6"/>
      <c r="P629" s="6"/>
      <c r="Q629" s="6"/>
      <c r="R629" s="6"/>
      <c r="S629" s="6"/>
      <c r="T629" s="6"/>
      <c r="U629" s="6"/>
      <c r="V629" s="6"/>
      <c r="W629" s="7"/>
    </row>
    <row r="630" spans="2:23" ht="15">
      <c r="B630" s="279" t="s">
        <v>483</v>
      </c>
      <c r="C630" s="280"/>
      <c r="D630" s="10" t="s">
        <v>484</v>
      </c>
      <c r="E630" s="10"/>
      <c r="F630" s="10"/>
      <c r="G630" s="11"/>
      <c r="H630" s="11"/>
      <c r="I630" s="11"/>
      <c r="J630" s="11"/>
      <c r="K630" s="11"/>
      <c r="L630" s="10" t="s">
        <v>485</v>
      </c>
      <c r="M630" s="10"/>
      <c r="N630" s="10"/>
      <c r="O630" s="281" t="s">
        <v>486</v>
      </c>
      <c r="P630" s="282"/>
      <c r="Q630" s="282"/>
      <c r="R630" s="282"/>
      <c r="S630" s="282"/>
      <c r="T630" s="282" t="s">
        <v>487</v>
      </c>
      <c r="U630" s="280"/>
      <c r="V630" s="280"/>
      <c r="W630" s="285"/>
    </row>
    <row r="631" spans="2:23" ht="15">
      <c r="B631" s="279" t="s">
        <v>488</v>
      </c>
      <c r="C631" s="280"/>
      <c r="D631" s="10" t="s">
        <v>489</v>
      </c>
      <c r="E631" s="10"/>
      <c r="F631" s="10"/>
      <c r="G631" s="11"/>
      <c r="H631" s="11"/>
      <c r="I631" s="11"/>
      <c r="J631" s="11"/>
      <c r="K631" s="11"/>
      <c r="L631" s="282" t="s">
        <v>490</v>
      </c>
      <c r="M631" s="280"/>
      <c r="N631" s="280"/>
      <c r="O631" s="282" t="s">
        <v>491</v>
      </c>
      <c r="P631" s="282"/>
      <c r="Q631" s="282"/>
      <c r="R631" s="282"/>
      <c r="S631" s="282"/>
      <c r="T631" s="12" t="s">
        <v>492</v>
      </c>
      <c r="U631" s="11">
        <v>1</v>
      </c>
      <c r="V631" s="11" t="s">
        <v>493</v>
      </c>
      <c r="W631" s="13">
        <v>28</v>
      </c>
    </row>
    <row r="632" spans="2:23" ht="15.75" thickBot="1">
      <c r="B632" s="83"/>
      <c r="C632" s="11"/>
      <c r="D632" s="11"/>
      <c r="E632" s="11"/>
      <c r="F632" s="11"/>
      <c r="G632" s="11"/>
      <c r="H632" s="11"/>
      <c r="I632" s="11"/>
      <c r="J632" s="11"/>
      <c r="K632" s="11"/>
      <c r="L632" s="283"/>
      <c r="M632" s="283"/>
      <c r="N632" s="283"/>
      <c r="O632" s="282" t="s">
        <v>494</v>
      </c>
      <c r="P632" s="282"/>
      <c r="Q632" s="282"/>
      <c r="R632" s="284"/>
      <c r="S632" s="284"/>
      <c r="T632" s="278"/>
      <c r="U632" s="278"/>
      <c r="V632" s="11"/>
      <c r="W632" s="16"/>
    </row>
    <row r="633" spans="2:23" ht="15.75" customHeight="1" thickBot="1">
      <c r="B633" s="325" t="s">
        <v>495</v>
      </c>
      <c r="C633" s="326"/>
      <c r="D633" s="327" t="s">
        <v>122</v>
      </c>
      <c r="E633" s="327"/>
      <c r="F633" s="327"/>
      <c r="G633" s="327"/>
      <c r="H633" s="327"/>
      <c r="I633" s="258" t="s">
        <v>497</v>
      </c>
      <c r="J633" s="248"/>
      <c r="K633" s="261" t="s">
        <v>159</v>
      </c>
      <c r="L633" s="291"/>
      <c r="M633" s="291"/>
      <c r="N633" s="262"/>
      <c r="O633" s="261" t="s">
        <v>160</v>
      </c>
      <c r="P633" s="291"/>
      <c r="Q633" s="262"/>
      <c r="R633" s="259" t="s">
        <v>502</v>
      </c>
      <c r="S633" s="260"/>
      <c r="T633" s="261" t="s">
        <v>161</v>
      </c>
      <c r="U633" s="262"/>
      <c r="V633" s="261" t="s">
        <v>160</v>
      </c>
      <c r="W633" s="262"/>
    </row>
    <row r="634" spans="2:23" ht="15.75" thickBot="1">
      <c r="B634" s="328" t="s">
        <v>506</v>
      </c>
      <c r="C634" s="252"/>
      <c r="D634" s="294" t="s">
        <v>156</v>
      </c>
      <c r="E634" s="295"/>
      <c r="F634" s="295"/>
      <c r="G634" s="295"/>
      <c r="H634" s="295"/>
      <c r="I634" s="249"/>
      <c r="J634" s="250"/>
      <c r="K634" s="263"/>
      <c r="L634" s="292"/>
      <c r="M634" s="292"/>
      <c r="N634" s="264"/>
      <c r="O634" s="263"/>
      <c r="P634" s="292"/>
      <c r="Q634" s="264"/>
      <c r="R634" s="259"/>
      <c r="S634" s="260"/>
      <c r="T634" s="263"/>
      <c r="U634" s="264"/>
      <c r="V634" s="263"/>
      <c r="W634" s="264"/>
    </row>
    <row r="635" spans="2:23" ht="42.75" customHeight="1" thickBot="1">
      <c r="B635" s="331" t="s">
        <v>508</v>
      </c>
      <c r="C635" s="332"/>
      <c r="D635" s="333" t="s">
        <v>162</v>
      </c>
      <c r="E635" s="334"/>
      <c r="F635" s="334"/>
      <c r="G635" s="334"/>
      <c r="H635" s="335"/>
      <c r="I635" s="251"/>
      <c r="J635" s="247"/>
      <c r="K635" s="265"/>
      <c r="L635" s="293"/>
      <c r="M635" s="293"/>
      <c r="N635" s="266"/>
      <c r="O635" s="265"/>
      <c r="P635" s="293"/>
      <c r="Q635" s="266"/>
      <c r="R635" s="259"/>
      <c r="S635" s="260"/>
      <c r="T635" s="265"/>
      <c r="U635" s="266"/>
      <c r="V635" s="265"/>
      <c r="W635" s="266"/>
    </row>
    <row r="636" spans="2:23" ht="18.75" thickBot="1">
      <c r="B636" s="84"/>
      <c r="C636" s="85"/>
      <c r="D636" s="86"/>
      <c r="E636" s="87"/>
      <c r="F636" s="87"/>
      <c r="G636" s="87"/>
      <c r="H636" s="87"/>
      <c r="I636" s="84"/>
      <c r="J636" s="84"/>
      <c r="K636" s="84"/>
      <c r="L636" s="84"/>
      <c r="M636" s="84"/>
      <c r="N636" s="84"/>
      <c r="O636" s="84"/>
      <c r="P636" s="84"/>
      <c r="Q636" s="84"/>
      <c r="R636" s="84"/>
      <c r="S636" s="84"/>
      <c r="T636" s="19"/>
      <c r="U636" s="19"/>
      <c r="V636" s="19"/>
      <c r="W636" s="19"/>
    </row>
    <row r="637" spans="2:23" ht="15.75" thickBot="1">
      <c r="B637" s="341" t="s">
        <v>510</v>
      </c>
      <c r="C637" s="342"/>
      <c r="D637" s="342"/>
      <c r="E637" s="342"/>
      <c r="F637" s="342"/>
      <c r="G637" s="342"/>
      <c r="H637" s="342"/>
      <c r="I637" s="343" t="s">
        <v>511</v>
      </c>
      <c r="J637" s="343"/>
      <c r="K637" s="343"/>
      <c r="L637" s="343"/>
      <c r="M637" s="343"/>
      <c r="N637" s="343"/>
      <c r="O637" s="343"/>
      <c r="P637" s="343"/>
      <c r="Q637" s="343"/>
      <c r="R637" s="343"/>
      <c r="S637" s="344"/>
      <c r="T637" s="345" t="s">
        <v>512</v>
      </c>
      <c r="U637" s="287" t="s">
        <v>513</v>
      </c>
      <c r="V637" s="287"/>
      <c r="W637" s="287"/>
    </row>
    <row r="638" spans="2:23" ht="38.25" customHeight="1" thickBot="1">
      <c r="B638" s="316" t="s">
        <v>514</v>
      </c>
      <c r="C638" s="318" t="s">
        <v>515</v>
      </c>
      <c r="D638" s="318"/>
      <c r="E638" s="314" t="s">
        <v>516</v>
      </c>
      <c r="F638" s="314" t="s">
        <v>517</v>
      </c>
      <c r="G638" s="314" t="s">
        <v>518</v>
      </c>
      <c r="H638" s="300" t="s">
        <v>519</v>
      </c>
      <c r="I638" s="337" t="s">
        <v>520</v>
      </c>
      <c r="J638" s="338"/>
      <c r="K638" s="338"/>
      <c r="L638" s="338"/>
      <c r="M638" s="338"/>
      <c r="N638" s="338"/>
      <c r="O638" s="338"/>
      <c r="P638" s="338"/>
      <c r="Q638" s="339" t="s">
        <v>521</v>
      </c>
      <c r="R638" s="340" t="s">
        <v>522</v>
      </c>
      <c r="S638" s="336" t="s">
        <v>523</v>
      </c>
      <c r="T638" s="287"/>
      <c r="U638" s="287"/>
      <c r="V638" s="287"/>
      <c r="W638" s="287"/>
    </row>
    <row r="639" spans="2:23" ht="55.5" thickBot="1">
      <c r="B639" s="368"/>
      <c r="C639" s="369"/>
      <c r="D639" s="369"/>
      <c r="E639" s="366"/>
      <c r="F639" s="366"/>
      <c r="G639" s="366"/>
      <c r="H639" s="367"/>
      <c r="I639" s="20" t="s">
        <v>524</v>
      </c>
      <c r="J639" s="21" t="s">
        <v>525</v>
      </c>
      <c r="K639" s="22" t="s">
        <v>526</v>
      </c>
      <c r="L639" s="22" t="s">
        <v>527</v>
      </c>
      <c r="M639" s="22" t="s">
        <v>528</v>
      </c>
      <c r="N639" s="22" t="s">
        <v>529</v>
      </c>
      <c r="O639" s="22" t="s">
        <v>530</v>
      </c>
      <c r="P639" s="23" t="s">
        <v>531</v>
      </c>
      <c r="Q639" s="305"/>
      <c r="R639" s="320"/>
      <c r="S639" s="299"/>
      <c r="T639" s="287"/>
      <c r="U639" s="287"/>
      <c r="V639" s="287"/>
      <c r="W639" s="287"/>
    </row>
    <row r="640" spans="2:23" ht="45.75" customHeight="1">
      <c r="B640" s="108">
        <v>1</v>
      </c>
      <c r="C640" s="387" t="s">
        <v>163</v>
      </c>
      <c r="D640" s="387"/>
      <c r="E640" s="111">
        <v>25</v>
      </c>
      <c r="F640" s="107">
        <v>10</v>
      </c>
      <c r="G640" s="106">
        <v>0.6</v>
      </c>
      <c r="H640" s="43">
        <f>+F640/E640</f>
        <v>0.4</v>
      </c>
      <c r="I640" s="113"/>
      <c r="J640" s="97"/>
      <c r="K640" s="32"/>
      <c r="L640" s="32"/>
      <c r="M640" s="31"/>
      <c r="N640" s="31"/>
      <c r="O640" s="31"/>
      <c r="P640" s="74"/>
      <c r="Q640" s="75">
        <f>+SUM(I640:P640)</f>
        <v>0</v>
      </c>
      <c r="R640" s="76"/>
      <c r="S640" s="36" t="e">
        <f>R640/Q640</f>
        <v>#DIV/0!</v>
      </c>
      <c r="T640" s="37" t="s">
        <v>151</v>
      </c>
      <c r="U640" s="307"/>
      <c r="V640" s="307"/>
      <c r="W640" s="307"/>
    </row>
    <row r="641" spans="2:23" ht="45.75" customHeight="1">
      <c r="B641" s="77">
        <v>2</v>
      </c>
      <c r="C641" s="388" t="s">
        <v>164</v>
      </c>
      <c r="D641" s="388"/>
      <c r="E641" s="111">
        <v>20</v>
      </c>
      <c r="F641" s="107">
        <v>10</v>
      </c>
      <c r="G641" s="106">
        <v>1.6</v>
      </c>
      <c r="H641" s="43">
        <f>+F641/E641</f>
        <v>0.5</v>
      </c>
      <c r="I641" s="113"/>
      <c r="J641" s="97"/>
      <c r="K641" s="32"/>
      <c r="L641" s="32"/>
      <c r="M641" s="31"/>
      <c r="N641" s="31"/>
      <c r="O641" s="31"/>
      <c r="P641" s="74"/>
      <c r="Q641" s="75">
        <f>+SUM(I641:P641)</f>
        <v>0</v>
      </c>
      <c r="R641" s="76"/>
      <c r="S641" s="36" t="e">
        <f>R641/Q641</f>
        <v>#DIV/0!</v>
      </c>
      <c r="T641" s="37" t="s">
        <v>151</v>
      </c>
      <c r="U641" s="322"/>
      <c r="V641" s="322"/>
      <c r="W641" s="322"/>
    </row>
    <row r="642" spans="2:23" ht="45.75" customHeight="1">
      <c r="B642" s="108"/>
      <c r="C642" s="387"/>
      <c r="D642" s="387"/>
      <c r="E642" s="111"/>
      <c r="F642" s="107"/>
      <c r="G642" s="106"/>
      <c r="H642" s="43"/>
      <c r="I642" s="113"/>
      <c r="J642" s="97"/>
      <c r="K642" s="32"/>
      <c r="L642" s="32"/>
      <c r="M642" s="31"/>
      <c r="N642" s="31"/>
      <c r="O642" s="31"/>
      <c r="P642" s="74"/>
      <c r="Q642" s="75"/>
      <c r="R642" s="76"/>
      <c r="S642" s="36"/>
      <c r="T642" s="37"/>
      <c r="U642" s="322"/>
      <c r="V642" s="322"/>
      <c r="W642" s="322"/>
    </row>
    <row r="643" spans="2:23" ht="45.75" customHeight="1">
      <c r="B643" s="39"/>
      <c r="C643" s="321"/>
      <c r="D643" s="321"/>
      <c r="E643" s="40"/>
      <c r="F643" s="41"/>
      <c r="G643" s="42"/>
      <c r="H643" s="91"/>
      <c r="I643" s="30"/>
      <c r="J643" s="32"/>
      <c r="K643" s="46"/>
      <c r="L643" s="46"/>
      <c r="M643" s="45"/>
      <c r="N643" s="45"/>
      <c r="O643" s="45"/>
      <c r="P643" s="74"/>
      <c r="Q643" s="75"/>
      <c r="R643" s="76"/>
      <c r="S643" s="36"/>
      <c r="T643" s="37"/>
      <c r="U643" s="322"/>
      <c r="V643" s="322"/>
      <c r="W643" s="322"/>
    </row>
    <row r="644" spans="2:23" ht="45.75" customHeight="1">
      <c r="B644" s="39"/>
      <c r="C644" s="308"/>
      <c r="D644" s="308"/>
      <c r="E644" s="40"/>
      <c r="F644" s="41"/>
      <c r="G644" s="42"/>
      <c r="H644" s="91"/>
      <c r="I644" s="95"/>
      <c r="J644" s="46"/>
      <c r="K644" s="45"/>
      <c r="L644" s="45"/>
      <c r="M644" s="45"/>
      <c r="N644" s="45"/>
      <c r="O644" s="45"/>
      <c r="P644" s="56"/>
      <c r="Q644" s="75"/>
      <c r="R644" s="76"/>
      <c r="S644" s="36"/>
      <c r="T644" s="37"/>
      <c r="U644" s="322"/>
      <c r="V644" s="322"/>
      <c r="W644" s="322"/>
    </row>
    <row r="645" spans="2:23" ht="45.75" customHeight="1" thickBot="1">
      <c r="B645" s="59"/>
      <c r="C645" s="310" t="s">
        <v>541</v>
      </c>
      <c r="D645" s="310"/>
      <c r="E645" s="60"/>
      <c r="F645" s="61"/>
      <c r="G645" s="62"/>
      <c r="H645" s="63"/>
      <c r="I645" s="64">
        <f>+SUM(I640:I644)</f>
        <v>0</v>
      </c>
      <c r="J645" s="64">
        <f>+SUM(J640:J644)</f>
        <v>0</v>
      </c>
      <c r="K645" s="64">
        <f>+SUM(K640:K644)</f>
        <v>0</v>
      </c>
      <c r="L645" s="64"/>
      <c r="M645" s="64">
        <f aca="true" t="shared" si="27" ref="M645:R645">+SUM(M640:M644)</f>
        <v>0</v>
      </c>
      <c r="N645" s="64">
        <f t="shared" si="27"/>
        <v>0</v>
      </c>
      <c r="O645" s="64">
        <f t="shared" si="27"/>
        <v>0</v>
      </c>
      <c r="P645" s="64">
        <f t="shared" si="27"/>
        <v>0</v>
      </c>
      <c r="Q645" s="79">
        <f t="shared" si="27"/>
        <v>0</v>
      </c>
      <c r="R645" s="79">
        <f t="shared" si="27"/>
        <v>0</v>
      </c>
      <c r="S645" s="66" t="e">
        <f>+R645/Q645</f>
        <v>#DIV/0!</v>
      </c>
      <c r="T645" s="67"/>
      <c r="U645" s="311"/>
      <c r="V645" s="311"/>
      <c r="W645" s="311"/>
    </row>
    <row r="646" ht="15.75" thickBot="1"/>
    <row r="647" spans="2:23" ht="15.75">
      <c r="B647" s="267" t="s">
        <v>479</v>
      </c>
      <c r="C647" s="267"/>
      <c r="D647" s="267"/>
      <c r="E647" s="267"/>
      <c r="F647" s="267"/>
      <c r="G647" s="267"/>
      <c r="H647" s="267"/>
      <c r="I647" s="267"/>
      <c r="J647" s="267"/>
      <c r="K647" s="267"/>
      <c r="L647" s="267"/>
      <c r="M647" s="267"/>
      <c r="N647" s="267"/>
      <c r="O647" s="267"/>
      <c r="P647" s="267"/>
      <c r="Q647" s="267"/>
      <c r="R647" s="267"/>
      <c r="S647" s="267"/>
      <c r="T647" s="267"/>
      <c r="U647" s="267"/>
      <c r="V647" s="267"/>
      <c r="W647" s="267"/>
    </row>
    <row r="648" spans="2:23" ht="15">
      <c r="B648" s="5"/>
      <c r="C648" s="6"/>
      <c r="D648" s="6"/>
      <c r="E648" s="6"/>
      <c r="F648" s="6"/>
      <c r="G648" s="6"/>
      <c r="H648" s="6"/>
      <c r="I648" s="6"/>
      <c r="J648" s="6"/>
      <c r="K648" s="6"/>
      <c r="L648" s="6"/>
      <c r="M648" s="6"/>
      <c r="N648" s="6"/>
      <c r="O648" s="6"/>
      <c r="P648" s="6"/>
      <c r="Q648" s="6"/>
      <c r="R648" s="6"/>
      <c r="S648" s="6"/>
      <c r="T648" s="6"/>
      <c r="U648" s="6"/>
      <c r="V648" s="6"/>
      <c r="W648" s="7"/>
    </row>
    <row r="649" spans="2:23" ht="20.25">
      <c r="B649" s="268" t="s">
        <v>480</v>
      </c>
      <c r="C649" s="269"/>
      <c r="D649" s="269"/>
      <c r="E649" s="269"/>
      <c r="F649" s="269"/>
      <c r="G649" s="269"/>
      <c r="H649" s="269"/>
      <c r="I649" s="269"/>
      <c r="J649" s="269"/>
      <c r="K649" s="269"/>
      <c r="L649" s="269"/>
      <c r="M649" s="269"/>
      <c r="N649" s="269"/>
      <c r="O649" s="269"/>
      <c r="P649" s="269"/>
      <c r="Q649" s="269"/>
      <c r="R649" s="269"/>
      <c r="S649" s="269"/>
      <c r="T649" s="269"/>
      <c r="U649" s="269"/>
      <c r="V649" s="269"/>
      <c r="W649" s="270"/>
    </row>
    <row r="650" spans="2:23" ht="18">
      <c r="B650" s="271" t="s">
        <v>481</v>
      </c>
      <c r="C650" s="272"/>
      <c r="D650" s="272"/>
      <c r="E650" s="272"/>
      <c r="F650" s="272"/>
      <c r="G650" s="272"/>
      <c r="H650" s="272"/>
      <c r="I650" s="272"/>
      <c r="J650" s="272"/>
      <c r="K650" s="272"/>
      <c r="L650" s="272"/>
      <c r="M650" s="272"/>
      <c r="N650" s="272"/>
      <c r="O650" s="272"/>
      <c r="P650" s="272"/>
      <c r="Q650" s="272"/>
      <c r="R650" s="272"/>
      <c r="S650" s="272"/>
      <c r="T650" s="272"/>
      <c r="U650" s="272"/>
      <c r="V650" s="272"/>
      <c r="W650" s="273"/>
    </row>
    <row r="651" spans="2:23" ht="18">
      <c r="B651" s="274" t="s">
        <v>482</v>
      </c>
      <c r="C651" s="275"/>
      <c r="D651" s="275"/>
      <c r="E651" s="275"/>
      <c r="F651" s="275"/>
      <c r="G651" s="275"/>
      <c r="H651" s="275"/>
      <c r="I651" s="275"/>
      <c r="J651" s="275"/>
      <c r="K651" s="275"/>
      <c r="L651" s="275"/>
      <c r="M651" s="275"/>
      <c r="N651" s="275"/>
      <c r="O651" s="275"/>
      <c r="P651" s="275"/>
      <c r="Q651" s="275"/>
      <c r="R651" s="275"/>
      <c r="S651" s="275"/>
      <c r="T651" s="275"/>
      <c r="U651" s="275"/>
      <c r="V651" s="275"/>
      <c r="W651" s="276"/>
    </row>
    <row r="652" spans="2:23" ht="15">
      <c r="B652" s="5"/>
      <c r="C652" s="6"/>
      <c r="D652" s="8"/>
      <c r="E652" s="8"/>
      <c r="F652" s="8"/>
      <c r="G652" s="8"/>
      <c r="H652" s="8"/>
      <c r="I652" s="6"/>
      <c r="J652" s="6"/>
      <c r="K652" s="6"/>
      <c r="L652" s="6"/>
      <c r="M652" s="6"/>
      <c r="N652" s="6"/>
      <c r="O652" s="6"/>
      <c r="P652" s="6"/>
      <c r="Q652" s="6"/>
      <c r="R652" s="6"/>
      <c r="S652" s="6"/>
      <c r="T652" s="6"/>
      <c r="U652" s="6"/>
      <c r="V652" s="6"/>
      <c r="W652" s="7"/>
    </row>
    <row r="653" spans="2:23" ht="15">
      <c r="B653" s="279" t="s">
        <v>483</v>
      </c>
      <c r="C653" s="280"/>
      <c r="D653" s="10" t="s">
        <v>484</v>
      </c>
      <c r="E653" s="10"/>
      <c r="F653" s="10"/>
      <c r="G653" s="11"/>
      <c r="H653" s="11"/>
      <c r="I653" s="11"/>
      <c r="J653" s="11"/>
      <c r="K653" s="11"/>
      <c r="L653" s="10" t="s">
        <v>485</v>
      </c>
      <c r="M653" s="10"/>
      <c r="N653" s="10"/>
      <c r="O653" s="281" t="s">
        <v>486</v>
      </c>
      <c r="P653" s="282"/>
      <c r="Q653" s="282"/>
      <c r="R653" s="282"/>
      <c r="S653" s="282"/>
      <c r="T653" s="282" t="s">
        <v>487</v>
      </c>
      <c r="U653" s="280"/>
      <c r="V653" s="280"/>
      <c r="W653" s="285"/>
    </row>
    <row r="654" spans="2:23" ht="15">
      <c r="B654" s="279" t="s">
        <v>488</v>
      </c>
      <c r="C654" s="280"/>
      <c r="D654" s="10" t="s">
        <v>489</v>
      </c>
      <c r="E654" s="10"/>
      <c r="F654" s="10"/>
      <c r="G654" s="11"/>
      <c r="H654" s="11"/>
      <c r="I654" s="11"/>
      <c r="J654" s="11"/>
      <c r="K654" s="11"/>
      <c r="L654" s="282" t="s">
        <v>490</v>
      </c>
      <c r="M654" s="280"/>
      <c r="N654" s="280"/>
      <c r="O654" s="282" t="s">
        <v>491</v>
      </c>
      <c r="P654" s="282"/>
      <c r="Q654" s="282"/>
      <c r="R654" s="282"/>
      <c r="S654" s="282"/>
      <c r="T654" s="12" t="s">
        <v>492</v>
      </c>
      <c r="U654" s="11">
        <v>1</v>
      </c>
      <c r="V654" s="11" t="s">
        <v>493</v>
      </c>
      <c r="W654" s="13">
        <v>29</v>
      </c>
    </row>
    <row r="655" spans="2:23" ht="15.75" thickBot="1">
      <c r="B655" s="83"/>
      <c r="C655" s="11"/>
      <c r="D655" s="11"/>
      <c r="E655" s="11"/>
      <c r="F655" s="11"/>
      <c r="G655" s="11"/>
      <c r="H655" s="11"/>
      <c r="I655" s="11"/>
      <c r="J655" s="11"/>
      <c r="K655" s="11"/>
      <c r="L655" s="283"/>
      <c r="M655" s="283"/>
      <c r="N655" s="283"/>
      <c r="O655" s="282" t="s">
        <v>494</v>
      </c>
      <c r="P655" s="282"/>
      <c r="Q655" s="282"/>
      <c r="R655" s="284"/>
      <c r="S655" s="284"/>
      <c r="T655" s="278"/>
      <c r="U655" s="278"/>
      <c r="V655" s="11"/>
      <c r="W655" s="16"/>
    </row>
    <row r="656" spans="2:23" ht="15.75" customHeight="1" thickBot="1">
      <c r="B656" s="325" t="s">
        <v>495</v>
      </c>
      <c r="C656" s="326"/>
      <c r="D656" s="327" t="s">
        <v>122</v>
      </c>
      <c r="E656" s="327"/>
      <c r="F656" s="327"/>
      <c r="G656" s="327"/>
      <c r="H656" s="327"/>
      <c r="I656" s="258" t="s">
        <v>497</v>
      </c>
      <c r="J656" s="248"/>
      <c r="K656" s="261" t="s">
        <v>165</v>
      </c>
      <c r="L656" s="291"/>
      <c r="M656" s="291"/>
      <c r="N656" s="291"/>
      <c r="O656" s="291"/>
      <c r="P656" s="291"/>
      <c r="Q656" s="262"/>
      <c r="R656" s="259" t="s">
        <v>502</v>
      </c>
      <c r="S656" s="260"/>
      <c r="T656" s="261" t="s">
        <v>166</v>
      </c>
      <c r="U656" s="291"/>
      <c r="V656" s="291"/>
      <c r="W656" s="262"/>
    </row>
    <row r="657" spans="2:23" ht="27.75" customHeight="1" thickBot="1">
      <c r="B657" s="328" t="s">
        <v>506</v>
      </c>
      <c r="C657" s="252"/>
      <c r="D657" s="294" t="s">
        <v>167</v>
      </c>
      <c r="E657" s="295"/>
      <c r="F657" s="295"/>
      <c r="G657" s="295"/>
      <c r="H657" s="295"/>
      <c r="I657" s="249"/>
      <c r="J657" s="250"/>
      <c r="K657" s="263"/>
      <c r="L657" s="292"/>
      <c r="M657" s="292"/>
      <c r="N657" s="292"/>
      <c r="O657" s="292"/>
      <c r="P657" s="292"/>
      <c r="Q657" s="264"/>
      <c r="R657" s="259"/>
      <c r="S657" s="260"/>
      <c r="T657" s="263"/>
      <c r="U657" s="292"/>
      <c r="V657" s="292"/>
      <c r="W657" s="264"/>
    </row>
    <row r="658" spans="2:23" ht="36.75" customHeight="1" thickBot="1">
      <c r="B658" s="331" t="s">
        <v>508</v>
      </c>
      <c r="C658" s="332"/>
      <c r="D658" s="333" t="s">
        <v>168</v>
      </c>
      <c r="E658" s="334"/>
      <c r="F658" s="334"/>
      <c r="G658" s="334"/>
      <c r="H658" s="335"/>
      <c r="I658" s="251"/>
      <c r="J658" s="247"/>
      <c r="K658" s="265"/>
      <c r="L658" s="293"/>
      <c r="M658" s="293"/>
      <c r="N658" s="293"/>
      <c r="O658" s="293"/>
      <c r="P658" s="293"/>
      <c r="Q658" s="266"/>
      <c r="R658" s="259"/>
      <c r="S658" s="260"/>
      <c r="T658" s="265"/>
      <c r="U658" s="293"/>
      <c r="V658" s="293"/>
      <c r="W658" s="266"/>
    </row>
    <row r="659" spans="2:23" ht="18.75" thickBot="1">
      <c r="B659" s="84"/>
      <c r="C659" s="85"/>
      <c r="D659" s="86"/>
      <c r="E659" s="87"/>
      <c r="F659" s="87"/>
      <c r="G659" s="87"/>
      <c r="H659" s="87"/>
      <c r="I659" s="84"/>
      <c r="J659" s="84"/>
      <c r="K659" s="84"/>
      <c r="L659" s="84"/>
      <c r="M659" s="84"/>
      <c r="N659" s="84"/>
      <c r="O659" s="84"/>
      <c r="P659" s="84"/>
      <c r="Q659" s="84"/>
      <c r="R659" s="84"/>
      <c r="S659" s="84"/>
      <c r="T659" s="19"/>
      <c r="U659" s="19"/>
      <c r="V659" s="19"/>
      <c r="W659" s="19"/>
    </row>
    <row r="660" spans="2:23" ht="15.75" thickBot="1">
      <c r="B660" s="341" t="s">
        <v>510</v>
      </c>
      <c r="C660" s="342"/>
      <c r="D660" s="342"/>
      <c r="E660" s="342"/>
      <c r="F660" s="342"/>
      <c r="G660" s="342"/>
      <c r="H660" s="342"/>
      <c r="I660" s="343" t="s">
        <v>511</v>
      </c>
      <c r="J660" s="343"/>
      <c r="K660" s="343"/>
      <c r="L660" s="343"/>
      <c r="M660" s="343"/>
      <c r="N660" s="343"/>
      <c r="O660" s="343"/>
      <c r="P660" s="343"/>
      <c r="Q660" s="343"/>
      <c r="R660" s="343"/>
      <c r="S660" s="344"/>
      <c r="T660" s="345" t="s">
        <v>512</v>
      </c>
      <c r="U660" s="287" t="s">
        <v>513</v>
      </c>
      <c r="V660" s="287"/>
      <c r="W660" s="287"/>
    </row>
    <row r="661" spans="2:23" ht="15.75" thickBot="1">
      <c r="B661" s="316" t="s">
        <v>514</v>
      </c>
      <c r="C661" s="318" t="s">
        <v>515</v>
      </c>
      <c r="D661" s="318"/>
      <c r="E661" s="314" t="s">
        <v>516</v>
      </c>
      <c r="F661" s="314" t="s">
        <v>517</v>
      </c>
      <c r="G661" s="314" t="s">
        <v>518</v>
      </c>
      <c r="H661" s="300" t="s">
        <v>519</v>
      </c>
      <c r="I661" s="337" t="s">
        <v>520</v>
      </c>
      <c r="J661" s="338"/>
      <c r="K661" s="338"/>
      <c r="L661" s="338"/>
      <c r="M661" s="338"/>
      <c r="N661" s="338"/>
      <c r="O661" s="338"/>
      <c r="P661" s="338"/>
      <c r="Q661" s="339" t="s">
        <v>521</v>
      </c>
      <c r="R661" s="340" t="s">
        <v>522</v>
      </c>
      <c r="S661" s="336" t="s">
        <v>523</v>
      </c>
      <c r="T661" s="287"/>
      <c r="U661" s="287"/>
      <c r="V661" s="287"/>
      <c r="W661" s="287"/>
    </row>
    <row r="662" spans="2:23" ht="78.75" customHeight="1" thickBot="1">
      <c r="B662" s="368"/>
      <c r="C662" s="369"/>
      <c r="D662" s="369"/>
      <c r="E662" s="366"/>
      <c r="F662" s="366"/>
      <c r="G662" s="366"/>
      <c r="H662" s="367"/>
      <c r="I662" s="20" t="s">
        <v>524</v>
      </c>
      <c r="J662" s="21" t="s">
        <v>525</v>
      </c>
      <c r="K662" s="22" t="s">
        <v>526</v>
      </c>
      <c r="L662" s="22" t="s">
        <v>527</v>
      </c>
      <c r="M662" s="22" t="s">
        <v>528</v>
      </c>
      <c r="N662" s="22" t="s">
        <v>529</v>
      </c>
      <c r="O662" s="22" t="s">
        <v>530</v>
      </c>
      <c r="P662" s="23" t="s">
        <v>531</v>
      </c>
      <c r="Q662" s="305"/>
      <c r="R662" s="320"/>
      <c r="S662" s="299"/>
      <c r="T662" s="287"/>
      <c r="U662" s="287"/>
      <c r="V662" s="287"/>
      <c r="W662" s="287"/>
    </row>
    <row r="663" spans="2:23" ht="50.25" customHeight="1">
      <c r="B663" s="108">
        <v>1</v>
      </c>
      <c r="C663" s="387" t="s">
        <v>169</v>
      </c>
      <c r="D663" s="387"/>
      <c r="E663" s="111">
        <v>70</v>
      </c>
      <c r="F663" s="107">
        <v>40</v>
      </c>
      <c r="G663" s="106">
        <v>0.6</v>
      </c>
      <c r="H663" s="43">
        <f>+F663/E663</f>
        <v>0.5714285714285714</v>
      </c>
      <c r="I663" s="113">
        <v>26456</v>
      </c>
      <c r="J663" s="97">
        <v>3500</v>
      </c>
      <c r="K663" s="32"/>
      <c r="L663" s="32"/>
      <c r="M663" s="31"/>
      <c r="N663" s="31"/>
      <c r="O663" s="31"/>
      <c r="P663" s="74"/>
      <c r="Q663" s="75">
        <f>+SUM(I663:P663)</f>
        <v>29956</v>
      </c>
      <c r="R663" s="76">
        <f>82098+25373+38760+2820</f>
        <v>149051</v>
      </c>
      <c r="S663" s="36">
        <f>R663/Q663</f>
        <v>4.975664307651222</v>
      </c>
      <c r="T663" s="37" t="s">
        <v>29</v>
      </c>
      <c r="U663" s="307"/>
      <c r="V663" s="307"/>
      <c r="W663" s="307"/>
    </row>
    <row r="664" spans="2:23" ht="38.25" customHeight="1">
      <c r="B664" s="77"/>
      <c r="C664" s="388"/>
      <c r="D664" s="388"/>
      <c r="E664" s="111"/>
      <c r="F664" s="107"/>
      <c r="G664" s="106"/>
      <c r="H664" s="43"/>
      <c r="I664" s="113"/>
      <c r="J664" s="97"/>
      <c r="K664" s="32"/>
      <c r="L664" s="32"/>
      <c r="M664" s="31"/>
      <c r="N664" s="31"/>
      <c r="O664" s="31"/>
      <c r="P664" s="74"/>
      <c r="Q664" s="75"/>
      <c r="R664" s="76"/>
      <c r="S664" s="36"/>
      <c r="T664" s="37"/>
      <c r="U664" s="322"/>
      <c r="V664" s="322"/>
      <c r="W664" s="322"/>
    </row>
    <row r="665" spans="2:23" ht="38.25" customHeight="1">
      <c r="B665" s="108"/>
      <c r="C665" s="387"/>
      <c r="D665" s="387"/>
      <c r="E665" s="111"/>
      <c r="F665" s="107"/>
      <c r="G665" s="106"/>
      <c r="H665" s="43"/>
      <c r="I665" s="113"/>
      <c r="J665" s="97"/>
      <c r="K665" s="32"/>
      <c r="L665" s="32"/>
      <c r="M665" s="31"/>
      <c r="N665" s="31"/>
      <c r="O665" s="31"/>
      <c r="P665" s="74"/>
      <c r="Q665" s="75"/>
      <c r="R665" s="76"/>
      <c r="S665" s="36"/>
      <c r="T665" s="37"/>
      <c r="U665" s="322"/>
      <c r="V665" s="322"/>
      <c r="W665" s="322"/>
    </row>
    <row r="666" spans="2:23" ht="38.25" customHeight="1">
      <c r="B666" s="39"/>
      <c r="C666" s="321"/>
      <c r="D666" s="321"/>
      <c r="E666" s="40"/>
      <c r="F666" s="41"/>
      <c r="G666" s="42"/>
      <c r="H666" s="91"/>
      <c r="I666" s="30"/>
      <c r="J666" s="32"/>
      <c r="K666" s="46"/>
      <c r="L666" s="46"/>
      <c r="M666" s="45"/>
      <c r="N666" s="45"/>
      <c r="O666" s="45"/>
      <c r="P666" s="74"/>
      <c r="Q666" s="75"/>
      <c r="R666" s="76"/>
      <c r="S666" s="36"/>
      <c r="T666" s="37"/>
      <c r="U666" s="322"/>
      <c r="V666" s="322"/>
      <c r="W666" s="322"/>
    </row>
    <row r="667" spans="2:23" ht="38.25" customHeight="1">
      <c r="B667" s="39"/>
      <c r="C667" s="308"/>
      <c r="D667" s="308"/>
      <c r="E667" s="40"/>
      <c r="F667" s="41"/>
      <c r="G667" s="42"/>
      <c r="H667" s="91"/>
      <c r="I667" s="95"/>
      <c r="J667" s="46"/>
      <c r="K667" s="45"/>
      <c r="L667" s="45"/>
      <c r="M667" s="45"/>
      <c r="N667" s="45"/>
      <c r="O667" s="45"/>
      <c r="P667" s="56"/>
      <c r="Q667" s="75"/>
      <c r="R667" s="76"/>
      <c r="S667" s="36"/>
      <c r="T667" s="37"/>
      <c r="U667" s="322"/>
      <c r="V667" s="322"/>
      <c r="W667" s="322"/>
    </row>
    <row r="668" spans="2:23" ht="38.25" customHeight="1" thickBot="1">
      <c r="B668" s="59"/>
      <c r="C668" s="310" t="s">
        <v>541</v>
      </c>
      <c r="D668" s="310"/>
      <c r="E668" s="60"/>
      <c r="F668" s="61"/>
      <c r="G668" s="62"/>
      <c r="H668" s="63"/>
      <c r="I668" s="64">
        <f>+SUM(I663:I667)</f>
        <v>26456</v>
      </c>
      <c r="J668" s="64">
        <f>+SUM(J663:J667)</f>
        <v>3500</v>
      </c>
      <c r="K668" s="64">
        <f>+SUM(K663:K667)</f>
        <v>0</v>
      </c>
      <c r="L668" s="64"/>
      <c r="M668" s="64">
        <f aca="true" t="shared" si="28" ref="M668:R668">+SUM(M663:M667)</f>
        <v>0</v>
      </c>
      <c r="N668" s="64">
        <f t="shared" si="28"/>
        <v>0</v>
      </c>
      <c r="O668" s="64">
        <f t="shared" si="28"/>
        <v>0</v>
      </c>
      <c r="P668" s="64">
        <f t="shared" si="28"/>
        <v>0</v>
      </c>
      <c r="Q668" s="79">
        <f t="shared" si="28"/>
        <v>29956</v>
      </c>
      <c r="R668" s="79">
        <f t="shared" si="28"/>
        <v>149051</v>
      </c>
      <c r="S668" s="66">
        <f>+R668/Q668</f>
        <v>4.975664307651222</v>
      </c>
      <c r="T668" s="67"/>
      <c r="U668" s="311"/>
      <c r="V668" s="311"/>
      <c r="W668" s="311"/>
    </row>
    <row r="669" ht="15.75" thickBot="1"/>
    <row r="670" spans="2:23" ht="15.75">
      <c r="B670" s="267" t="s">
        <v>479</v>
      </c>
      <c r="C670" s="267"/>
      <c r="D670" s="267"/>
      <c r="E670" s="267"/>
      <c r="F670" s="267"/>
      <c r="G670" s="267"/>
      <c r="H670" s="267"/>
      <c r="I670" s="267"/>
      <c r="J670" s="267"/>
      <c r="K670" s="267"/>
      <c r="L670" s="267"/>
      <c r="M670" s="267"/>
      <c r="N670" s="267"/>
      <c r="O670" s="267"/>
      <c r="P670" s="267"/>
      <c r="Q670" s="267"/>
      <c r="R670" s="267"/>
      <c r="S670" s="267"/>
      <c r="T670" s="267"/>
      <c r="U670" s="267"/>
      <c r="V670" s="267"/>
      <c r="W670" s="267"/>
    </row>
    <row r="671" spans="2:23" ht="15">
      <c r="B671" s="5"/>
      <c r="C671" s="6"/>
      <c r="D671" s="6"/>
      <c r="E671" s="6"/>
      <c r="F671" s="6"/>
      <c r="G671" s="6"/>
      <c r="H671" s="6"/>
      <c r="I671" s="6"/>
      <c r="J671" s="6"/>
      <c r="K671" s="6"/>
      <c r="L671" s="6"/>
      <c r="M671" s="6"/>
      <c r="N671" s="6"/>
      <c r="O671" s="6"/>
      <c r="P671" s="6"/>
      <c r="Q671" s="6"/>
      <c r="R671" s="6"/>
      <c r="S671" s="6"/>
      <c r="T671" s="6"/>
      <c r="U671" s="6"/>
      <c r="V671" s="6"/>
      <c r="W671" s="7"/>
    </row>
    <row r="672" spans="2:23" ht="20.25">
      <c r="B672" s="268" t="s">
        <v>480</v>
      </c>
      <c r="C672" s="269"/>
      <c r="D672" s="269"/>
      <c r="E672" s="269"/>
      <c r="F672" s="269"/>
      <c r="G672" s="269"/>
      <c r="H672" s="269"/>
      <c r="I672" s="269"/>
      <c r="J672" s="269"/>
      <c r="K672" s="269"/>
      <c r="L672" s="269"/>
      <c r="M672" s="269"/>
      <c r="N672" s="269"/>
      <c r="O672" s="269"/>
      <c r="P672" s="269"/>
      <c r="Q672" s="269"/>
      <c r="R672" s="269"/>
      <c r="S672" s="269"/>
      <c r="T672" s="269"/>
      <c r="U672" s="269"/>
      <c r="V672" s="269"/>
      <c r="W672" s="270"/>
    </row>
    <row r="673" spans="2:23" ht="18">
      <c r="B673" s="271" t="s">
        <v>481</v>
      </c>
      <c r="C673" s="272"/>
      <c r="D673" s="272"/>
      <c r="E673" s="272"/>
      <c r="F673" s="272"/>
      <c r="G673" s="272"/>
      <c r="H673" s="272"/>
      <c r="I673" s="272"/>
      <c r="J673" s="272"/>
      <c r="K673" s="272"/>
      <c r="L673" s="272"/>
      <c r="M673" s="272"/>
      <c r="N673" s="272"/>
      <c r="O673" s="272"/>
      <c r="P673" s="272"/>
      <c r="Q673" s="272"/>
      <c r="R673" s="272"/>
      <c r="S673" s="272"/>
      <c r="T673" s="272"/>
      <c r="U673" s="272"/>
      <c r="V673" s="272"/>
      <c r="W673" s="273"/>
    </row>
    <row r="674" spans="2:23" ht="18">
      <c r="B674" s="274" t="s">
        <v>482</v>
      </c>
      <c r="C674" s="275"/>
      <c r="D674" s="275"/>
      <c r="E674" s="275"/>
      <c r="F674" s="275"/>
      <c r="G674" s="275"/>
      <c r="H674" s="275"/>
      <c r="I674" s="275"/>
      <c r="J674" s="275"/>
      <c r="K674" s="275"/>
      <c r="L674" s="275"/>
      <c r="M674" s="275"/>
      <c r="N674" s="275"/>
      <c r="O674" s="275"/>
      <c r="P674" s="275"/>
      <c r="Q674" s="275"/>
      <c r="R674" s="275"/>
      <c r="S674" s="275"/>
      <c r="T674" s="275"/>
      <c r="U674" s="275"/>
      <c r="V674" s="275"/>
      <c r="W674" s="276"/>
    </row>
    <row r="675" spans="2:23" ht="15">
      <c r="B675" s="5"/>
      <c r="C675" s="6"/>
      <c r="D675" s="8"/>
      <c r="E675" s="8"/>
      <c r="F675" s="8"/>
      <c r="G675" s="8"/>
      <c r="H675" s="8"/>
      <c r="I675" s="6"/>
      <c r="J675" s="6"/>
      <c r="K675" s="6"/>
      <c r="L675" s="6"/>
      <c r="M675" s="6"/>
      <c r="N675" s="6"/>
      <c r="O675" s="6"/>
      <c r="P675" s="6"/>
      <c r="Q675" s="6"/>
      <c r="R675" s="6"/>
      <c r="S675" s="6"/>
      <c r="T675" s="6"/>
      <c r="U675" s="6"/>
      <c r="V675" s="6"/>
      <c r="W675" s="7"/>
    </row>
    <row r="676" spans="2:23" ht="15">
      <c r="B676" s="279" t="s">
        <v>483</v>
      </c>
      <c r="C676" s="280"/>
      <c r="D676" s="10" t="s">
        <v>484</v>
      </c>
      <c r="E676" s="10"/>
      <c r="F676" s="10"/>
      <c r="G676" s="11"/>
      <c r="H676" s="11"/>
      <c r="I676" s="11"/>
      <c r="J676" s="11"/>
      <c r="K676" s="11"/>
      <c r="L676" s="10" t="s">
        <v>485</v>
      </c>
      <c r="M676" s="10"/>
      <c r="N676" s="10"/>
      <c r="O676" s="281" t="s">
        <v>486</v>
      </c>
      <c r="P676" s="282"/>
      <c r="Q676" s="282"/>
      <c r="R676" s="282"/>
      <c r="S676" s="282"/>
      <c r="T676" s="282" t="s">
        <v>487</v>
      </c>
      <c r="U676" s="280"/>
      <c r="V676" s="280"/>
      <c r="W676" s="285"/>
    </row>
    <row r="677" spans="2:23" ht="15">
      <c r="B677" s="279" t="s">
        <v>488</v>
      </c>
      <c r="C677" s="280"/>
      <c r="D677" s="10" t="s">
        <v>489</v>
      </c>
      <c r="E677" s="10"/>
      <c r="F677" s="10"/>
      <c r="G677" s="11"/>
      <c r="H677" s="11"/>
      <c r="I677" s="11"/>
      <c r="J677" s="11"/>
      <c r="K677" s="11"/>
      <c r="L677" s="282" t="s">
        <v>490</v>
      </c>
      <c r="M677" s="280"/>
      <c r="N677" s="280"/>
      <c r="O677" s="282" t="s">
        <v>491</v>
      </c>
      <c r="P677" s="282"/>
      <c r="Q677" s="282"/>
      <c r="R677" s="282"/>
      <c r="S677" s="282"/>
      <c r="T677" s="12" t="s">
        <v>492</v>
      </c>
      <c r="U677" s="11">
        <v>1</v>
      </c>
      <c r="V677" s="11" t="s">
        <v>493</v>
      </c>
      <c r="W677" s="13">
        <v>30</v>
      </c>
    </row>
    <row r="678" spans="2:23" ht="15.75" thickBot="1">
      <c r="B678" s="83"/>
      <c r="C678" s="11"/>
      <c r="D678" s="11"/>
      <c r="E678" s="11"/>
      <c r="F678" s="11"/>
      <c r="G678" s="11"/>
      <c r="H678" s="11"/>
      <c r="I678" s="11"/>
      <c r="J678" s="11"/>
      <c r="K678" s="11"/>
      <c r="L678" s="283"/>
      <c r="M678" s="283"/>
      <c r="N678" s="283"/>
      <c r="O678" s="282" t="s">
        <v>494</v>
      </c>
      <c r="P678" s="282"/>
      <c r="Q678" s="282"/>
      <c r="R678" s="284"/>
      <c r="S678" s="284"/>
      <c r="T678" s="278"/>
      <c r="U678" s="278"/>
      <c r="V678" s="11"/>
      <c r="W678" s="16"/>
    </row>
    <row r="679" spans="2:23" ht="15.75" thickBot="1">
      <c r="B679" s="325" t="s">
        <v>495</v>
      </c>
      <c r="C679" s="326"/>
      <c r="D679" s="327" t="s">
        <v>122</v>
      </c>
      <c r="E679" s="327"/>
      <c r="F679" s="327"/>
      <c r="G679" s="327"/>
      <c r="H679" s="327"/>
      <c r="I679" s="258" t="s">
        <v>497</v>
      </c>
      <c r="J679" s="248"/>
      <c r="K679" s="261" t="s">
        <v>170</v>
      </c>
      <c r="L679" s="291"/>
      <c r="M679" s="291"/>
      <c r="N679" s="291"/>
      <c r="O679" s="291"/>
      <c r="P679" s="291"/>
      <c r="Q679" s="262"/>
      <c r="R679" s="259" t="s">
        <v>502</v>
      </c>
      <c r="S679" s="260"/>
      <c r="T679" s="261" t="s">
        <v>171</v>
      </c>
      <c r="U679" s="291"/>
      <c r="V679" s="291"/>
      <c r="W679" s="262"/>
    </row>
    <row r="680" spans="2:23" ht="15.75" thickBot="1">
      <c r="B680" s="328" t="s">
        <v>506</v>
      </c>
      <c r="C680" s="252"/>
      <c r="D680" s="294" t="s">
        <v>167</v>
      </c>
      <c r="E680" s="295"/>
      <c r="F680" s="295"/>
      <c r="G680" s="295"/>
      <c r="H680" s="295"/>
      <c r="I680" s="249"/>
      <c r="J680" s="250"/>
      <c r="K680" s="263"/>
      <c r="L680" s="292"/>
      <c r="M680" s="292"/>
      <c r="N680" s="292"/>
      <c r="O680" s="292"/>
      <c r="P680" s="292"/>
      <c r="Q680" s="264"/>
      <c r="R680" s="259"/>
      <c r="S680" s="260"/>
      <c r="T680" s="263"/>
      <c r="U680" s="292"/>
      <c r="V680" s="292"/>
      <c r="W680" s="264"/>
    </row>
    <row r="681" spans="2:23" ht="45.75" customHeight="1" thickBot="1">
      <c r="B681" s="331" t="s">
        <v>508</v>
      </c>
      <c r="C681" s="332"/>
      <c r="D681" s="333" t="s">
        <v>172</v>
      </c>
      <c r="E681" s="334"/>
      <c r="F681" s="334"/>
      <c r="G681" s="334"/>
      <c r="H681" s="335"/>
      <c r="I681" s="251"/>
      <c r="J681" s="247"/>
      <c r="K681" s="265"/>
      <c r="L681" s="293"/>
      <c r="M681" s="293"/>
      <c r="N681" s="293"/>
      <c r="O681" s="293"/>
      <c r="P681" s="293"/>
      <c r="Q681" s="266"/>
      <c r="R681" s="259"/>
      <c r="S681" s="260"/>
      <c r="T681" s="265"/>
      <c r="U681" s="293"/>
      <c r="V681" s="293"/>
      <c r="W681" s="266"/>
    </row>
    <row r="682" spans="2:23" ht="18.75" thickBot="1">
      <c r="B682" s="84"/>
      <c r="C682" s="85"/>
      <c r="D682" s="86"/>
      <c r="E682" s="87"/>
      <c r="F682" s="87"/>
      <c r="G682" s="87"/>
      <c r="H682" s="87"/>
      <c r="I682" s="84"/>
      <c r="J682" s="84"/>
      <c r="K682" s="84"/>
      <c r="L682" s="84"/>
      <c r="M682" s="84"/>
      <c r="N682" s="84"/>
      <c r="O682" s="84"/>
      <c r="P682" s="84"/>
      <c r="Q682" s="84"/>
      <c r="R682" s="84"/>
      <c r="S682" s="84"/>
      <c r="T682" s="19"/>
      <c r="U682" s="19"/>
      <c r="V682" s="19"/>
      <c r="W682" s="19"/>
    </row>
    <row r="683" spans="2:23" ht="15.75" thickBot="1">
      <c r="B683" s="341" t="s">
        <v>510</v>
      </c>
      <c r="C683" s="342"/>
      <c r="D683" s="342"/>
      <c r="E683" s="342"/>
      <c r="F683" s="342"/>
      <c r="G683" s="342"/>
      <c r="H683" s="342"/>
      <c r="I683" s="343" t="s">
        <v>511</v>
      </c>
      <c r="J683" s="343"/>
      <c r="K683" s="343"/>
      <c r="L683" s="343"/>
      <c r="M683" s="343"/>
      <c r="N683" s="343"/>
      <c r="O683" s="343"/>
      <c r="P683" s="343"/>
      <c r="Q683" s="343"/>
      <c r="R683" s="343"/>
      <c r="S683" s="344"/>
      <c r="T683" s="345" t="s">
        <v>512</v>
      </c>
      <c r="U683" s="287" t="s">
        <v>513</v>
      </c>
      <c r="V683" s="287"/>
      <c r="W683" s="287"/>
    </row>
    <row r="684" spans="2:23" ht="15.75" thickBot="1">
      <c r="B684" s="316" t="s">
        <v>514</v>
      </c>
      <c r="C684" s="318" t="s">
        <v>515</v>
      </c>
      <c r="D684" s="318"/>
      <c r="E684" s="314" t="s">
        <v>516</v>
      </c>
      <c r="F684" s="314" t="s">
        <v>517</v>
      </c>
      <c r="G684" s="314" t="s">
        <v>518</v>
      </c>
      <c r="H684" s="300" t="s">
        <v>519</v>
      </c>
      <c r="I684" s="337" t="s">
        <v>520</v>
      </c>
      <c r="J684" s="338"/>
      <c r="K684" s="338"/>
      <c r="L684" s="338"/>
      <c r="M684" s="338"/>
      <c r="N684" s="338"/>
      <c r="O684" s="338"/>
      <c r="P684" s="338"/>
      <c r="Q684" s="339" t="s">
        <v>521</v>
      </c>
      <c r="R684" s="340" t="s">
        <v>522</v>
      </c>
      <c r="S684" s="336" t="s">
        <v>523</v>
      </c>
      <c r="T684" s="287"/>
      <c r="U684" s="287"/>
      <c r="V684" s="287"/>
      <c r="W684" s="287"/>
    </row>
    <row r="685" spans="2:23" ht="79.5" customHeight="1" thickBot="1">
      <c r="B685" s="368"/>
      <c r="C685" s="369"/>
      <c r="D685" s="369"/>
      <c r="E685" s="366"/>
      <c r="F685" s="366"/>
      <c r="G685" s="366"/>
      <c r="H685" s="367"/>
      <c r="I685" s="20" t="s">
        <v>524</v>
      </c>
      <c r="J685" s="21" t="s">
        <v>525</v>
      </c>
      <c r="K685" s="22" t="s">
        <v>526</v>
      </c>
      <c r="L685" s="22" t="s">
        <v>527</v>
      </c>
      <c r="M685" s="22" t="s">
        <v>528</v>
      </c>
      <c r="N685" s="22" t="s">
        <v>529</v>
      </c>
      <c r="O685" s="22" t="s">
        <v>530</v>
      </c>
      <c r="P685" s="23" t="s">
        <v>531</v>
      </c>
      <c r="Q685" s="305"/>
      <c r="R685" s="320"/>
      <c r="S685" s="299"/>
      <c r="T685" s="287"/>
      <c r="U685" s="287"/>
      <c r="V685" s="287"/>
      <c r="W685" s="287"/>
    </row>
    <row r="686" spans="2:23" ht="45.75" customHeight="1">
      <c r="B686" s="108">
        <v>1</v>
      </c>
      <c r="C686" s="387" t="s">
        <v>173</v>
      </c>
      <c r="D686" s="387"/>
      <c r="E686" s="111">
        <v>90</v>
      </c>
      <c r="F686" s="107">
        <v>60</v>
      </c>
      <c r="G686" s="106">
        <v>0.6</v>
      </c>
      <c r="H686" s="43">
        <f>+F686/E686</f>
        <v>0.6666666666666666</v>
      </c>
      <c r="I686" s="113">
        <v>2000</v>
      </c>
      <c r="J686" s="114">
        <f>3500+5000+5000</f>
        <v>13500</v>
      </c>
      <c r="K686" s="32"/>
      <c r="L686" s="32"/>
      <c r="M686" s="31"/>
      <c r="N686" s="31"/>
      <c r="O686" s="31"/>
      <c r="P686" s="74"/>
      <c r="Q686" s="75">
        <f>+SUM(I686:P686)</f>
        <v>15500</v>
      </c>
      <c r="R686" s="76">
        <f>14298+8495+3000</f>
        <v>25793</v>
      </c>
      <c r="S686" s="36">
        <f>R686/Q686</f>
        <v>1.6640645161290322</v>
      </c>
      <c r="T686" s="37" t="s">
        <v>29</v>
      </c>
      <c r="U686" s="307"/>
      <c r="V686" s="307"/>
      <c r="W686" s="307"/>
    </row>
    <row r="687" spans="2:23" ht="45.75" customHeight="1">
      <c r="B687" s="77"/>
      <c r="C687" s="388"/>
      <c r="D687" s="388"/>
      <c r="E687" s="111"/>
      <c r="F687" s="107"/>
      <c r="G687" s="106"/>
      <c r="H687" s="43"/>
      <c r="I687" s="113"/>
      <c r="J687" s="97"/>
      <c r="K687" s="32"/>
      <c r="L687" s="32"/>
      <c r="M687" s="31"/>
      <c r="N687" s="31"/>
      <c r="O687" s="31"/>
      <c r="P687" s="74"/>
      <c r="Q687" s="75"/>
      <c r="R687" s="76"/>
      <c r="S687" s="36"/>
      <c r="T687" s="37"/>
      <c r="U687" s="322"/>
      <c r="V687" s="322"/>
      <c r="W687" s="322"/>
    </row>
    <row r="688" spans="2:23" ht="45.75" customHeight="1">
      <c r="B688" s="108"/>
      <c r="C688" s="387"/>
      <c r="D688" s="387"/>
      <c r="E688" s="111"/>
      <c r="F688" s="107"/>
      <c r="G688" s="106"/>
      <c r="H688" s="43"/>
      <c r="I688" s="113"/>
      <c r="J688" s="97"/>
      <c r="K688" s="32"/>
      <c r="L688" s="32"/>
      <c r="M688" s="31"/>
      <c r="N688" s="31"/>
      <c r="O688" s="31"/>
      <c r="P688" s="74"/>
      <c r="Q688" s="75"/>
      <c r="R688" s="76"/>
      <c r="S688" s="36"/>
      <c r="T688" s="37"/>
      <c r="U688" s="322"/>
      <c r="V688" s="322"/>
      <c r="W688" s="322"/>
    </row>
    <row r="689" spans="2:23" ht="45.75" customHeight="1">
      <c r="B689" s="39"/>
      <c r="C689" s="321"/>
      <c r="D689" s="321"/>
      <c r="E689" s="40"/>
      <c r="F689" s="41"/>
      <c r="G689" s="42"/>
      <c r="H689" s="91"/>
      <c r="I689" s="30"/>
      <c r="J689" s="32"/>
      <c r="K689" s="46"/>
      <c r="L689" s="46"/>
      <c r="M689" s="45"/>
      <c r="N689" s="45"/>
      <c r="O689" s="45"/>
      <c r="P689" s="74"/>
      <c r="Q689" s="75"/>
      <c r="R689" s="76"/>
      <c r="S689" s="36"/>
      <c r="T689" s="37"/>
      <c r="U689" s="322"/>
      <c r="V689" s="322"/>
      <c r="W689" s="322"/>
    </row>
    <row r="690" spans="2:23" ht="45.75" customHeight="1">
      <c r="B690" s="39"/>
      <c r="C690" s="308"/>
      <c r="D690" s="308"/>
      <c r="E690" s="40"/>
      <c r="F690" s="41"/>
      <c r="G690" s="42"/>
      <c r="H690" s="91"/>
      <c r="I690" s="95"/>
      <c r="J690" s="46"/>
      <c r="K690" s="45"/>
      <c r="L690" s="45"/>
      <c r="M690" s="45"/>
      <c r="N690" s="45"/>
      <c r="O690" s="45"/>
      <c r="P690" s="56"/>
      <c r="Q690" s="75"/>
      <c r="R690" s="76"/>
      <c r="S690" s="36"/>
      <c r="T690" s="37"/>
      <c r="U690" s="322"/>
      <c r="V690" s="322"/>
      <c r="W690" s="322"/>
    </row>
    <row r="691" spans="2:23" ht="45.75" customHeight="1" thickBot="1">
      <c r="B691" s="59"/>
      <c r="C691" s="310" t="s">
        <v>541</v>
      </c>
      <c r="D691" s="310"/>
      <c r="E691" s="60"/>
      <c r="F691" s="61"/>
      <c r="G691" s="62"/>
      <c r="H691" s="63"/>
      <c r="I691" s="64">
        <f>+SUM(I686:I690)</f>
        <v>2000</v>
      </c>
      <c r="J691" s="64">
        <f>+SUM(J686:J690)</f>
        <v>13500</v>
      </c>
      <c r="K691" s="64">
        <f>+SUM(K686:K690)</f>
        <v>0</v>
      </c>
      <c r="L691" s="64"/>
      <c r="M691" s="64">
        <f aca="true" t="shared" si="29" ref="M691:R691">+SUM(M686:M690)</f>
        <v>0</v>
      </c>
      <c r="N691" s="64">
        <f t="shared" si="29"/>
        <v>0</v>
      </c>
      <c r="O691" s="64">
        <f t="shared" si="29"/>
        <v>0</v>
      </c>
      <c r="P691" s="64">
        <f t="shared" si="29"/>
        <v>0</v>
      </c>
      <c r="Q691" s="79">
        <f t="shared" si="29"/>
        <v>15500</v>
      </c>
      <c r="R691" s="79">
        <f t="shared" si="29"/>
        <v>25793</v>
      </c>
      <c r="S691" s="66">
        <f>+R691/Q691</f>
        <v>1.6640645161290322</v>
      </c>
      <c r="T691" s="67"/>
      <c r="U691" s="311"/>
      <c r="V691" s="311"/>
      <c r="W691" s="311"/>
    </row>
    <row r="692" ht="15.75" thickBot="1"/>
    <row r="693" spans="2:23" ht="15.75">
      <c r="B693" s="267" t="s">
        <v>479</v>
      </c>
      <c r="C693" s="267"/>
      <c r="D693" s="267"/>
      <c r="E693" s="267"/>
      <c r="F693" s="267"/>
      <c r="G693" s="267"/>
      <c r="H693" s="267"/>
      <c r="I693" s="267"/>
      <c r="J693" s="267"/>
      <c r="K693" s="267"/>
      <c r="L693" s="267"/>
      <c r="M693" s="267"/>
      <c r="N693" s="267"/>
      <c r="O693" s="267"/>
      <c r="P693" s="267"/>
      <c r="Q693" s="267"/>
      <c r="R693" s="267"/>
      <c r="S693" s="267"/>
      <c r="T693" s="267"/>
      <c r="U693" s="267"/>
      <c r="V693" s="267"/>
      <c r="W693" s="267"/>
    </row>
    <row r="694" spans="2:23" ht="15">
      <c r="B694" s="5"/>
      <c r="C694" s="6"/>
      <c r="D694" s="6"/>
      <c r="E694" s="6"/>
      <c r="F694" s="6"/>
      <c r="G694" s="6"/>
      <c r="H694" s="6"/>
      <c r="I694" s="6"/>
      <c r="J694" s="6"/>
      <c r="K694" s="6"/>
      <c r="L694" s="6"/>
      <c r="M694" s="6"/>
      <c r="N694" s="6"/>
      <c r="O694" s="6"/>
      <c r="P694" s="6"/>
      <c r="Q694" s="6"/>
      <c r="R694" s="6"/>
      <c r="S694" s="6"/>
      <c r="T694" s="6"/>
      <c r="U694" s="6"/>
      <c r="V694" s="6"/>
      <c r="W694" s="7"/>
    </row>
    <row r="695" spans="2:23" ht="20.25">
      <c r="B695" s="268" t="s">
        <v>480</v>
      </c>
      <c r="C695" s="269"/>
      <c r="D695" s="269"/>
      <c r="E695" s="269"/>
      <c r="F695" s="269"/>
      <c r="G695" s="269"/>
      <c r="H695" s="269"/>
      <c r="I695" s="269"/>
      <c r="J695" s="269"/>
      <c r="K695" s="269"/>
      <c r="L695" s="269"/>
      <c r="M695" s="269"/>
      <c r="N695" s="269"/>
      <c r="O695" s="269"/>
      <c r="P695" s="269"/>
      <c r="Q695" s="269"/>
      <c r="R695" s="269"/>
      <c r="S695" s="269"/>
      <c r="T695" s="269"/>
      <c r="U695" s="269"/>
      <c r="V695" s="269"/>
      <c r="W695" s="270"/>
    </row>
    <row r="696" spans="2:23" ht="18">
      <c r="B696" s="271" t="s">
        <v>481</v>
      </c>
      <c r="C696" s="272"/>
      <c r="D696" s="272"/>
      <c r="E696" s="272"/>
      <c r="F696" s="272"/>
      <c r="G696" s="272"/>
      <c r="H696" s="272"/>
      <c r="I696" s="272"/>
      <c r="J696" s="272"/>
      <c r="K696" s="272"/>
      <c r="L696" s="272"/>
      <c r="M696" s="272"/>
      <c r="N696" s="272"/>
      <c r="O696" s="272"/>
      <c r="P696" s="272"/>
      <c r="Q696" s="272"/>
      <c r="R696" s="272"/>
      <c r="S696" s="272"/>
      <c r="T696" s="272"/>
      <c r="U696" s="272"/>
      <c r="V696" s="272"/>
      <c r="W696" s="273"/>
    </row>
    <row r="697" spans="2:23" ht="18">
      <c r="B697" s="274" t="s">
        <v>482</v>
      </c>
      <c r="C697" s="275"/>
      <c r="D697" s="275"/>
      <c r="E697" s="275"/>
      <c r="F697" s="275"/>
      <c r="G697" s="275"/>
      <c r="H697" s="275"/>
      <c r="I697" s="275"/>
      <c r="J697" s="275"/>
      <c r="K697" s="275"/>
      <c r="L697" s="275"/>
      <c r="M697" s="275"/>
      <c r="N697" s="275"/>
      <c r="O697" s="275"/>
      <c r="P697" s="275"/>
      <c r="Q697" s="275"/>
      <c r="R697" s="275"/>
      <c r="S697" s="275"/>
      <c r="T697" s="275"/>
      <c r="U697" s="275"/>
      <c r="V697" s="275"/>
      <c r="W697" s="276"/>
    </row>
    <row r="698" spans="2:23" ht="15">
      <c r="B698" s="5"/>
      <c r="C698" s="6"/>
      <c r="D698" s="8"/>
      <c r="E698" s="8"/>
      <c r="F698" s="8"/>
      <c r="G698" s="8"/>
      <c r="H698" s="8"/>
      <c r="I698" s="6"/>
      <c r="J698" s="6"/>
      <c r="K698" s="6"/>
      <c r="L698" s="6"/>
      <c r="M698" s="6"/>
      <c r="N698" s="6"/>
      <c r="O698" s="6"/>
      <c r="P698" s="6"/>
      <c r="Q698" s="6"/>
      <c r="R698" s="6"/>
      <c r="S698" s="6"/>
      <c r="T698" s="6"/>
      <c r="U698" s="6"/>
      <c r="V698" s="6"/>
      <c r="W698" s="7"/>
    </row>
    <row r="699" spans="2:23" ht="15">
      <c r="B699" s="279" t="s">
        <v>483</v>
      </c>
      <c r="C699" s="280"/>
      <c r="D699" s="10" t="s">
        <v>484</v>
      </c>
      <c r="E699" s="10"/>
      <c r="F699" s="10"/>
      <c r="G699" s="11"/>
      <c r="H699" s="11"/>
      <c r="I699" s="11"/>
      <c r="J699" s="11"/>
      <c r="K699" s="11"/>
      <c r="L699" s="10" t="s">
        <v>485</v>
      </c>
      <c r="M699" s="10"/>
      <c r="N699" s="10"/>
      <c r="O699" s="281" t="s">
        <v>486</v>
      </c>
      <c r="P699" s="282"/>
      <c r="Q699" s="282"/>
      <c r="R699" s="282"/>
      <c r="S699" s="282"/>
      <c r="T699" s="282" t="s">
        <v>487</v>
      </c>
      <c r="U699" s="280"/>
      <c r="V699" s="280"/>
      <c r="W699" s="285"/>
    </row>
    <row r="700" spans="2:23" ht="15">
      <c r="B700" s="279" t="s">
        <v>488</v>
      </c>
      <c r="C700" s="280"/>
      <c r="D700" s="10" t="s">
        <v>489</v>
      </c>
      <c r="E700" s="10"/>
      <c r="F700" s="10"/>
      <c r="G700" s="11"/>
      <c r="H700" s="11"/>
      <c r="I700" s="11"/>
      <c r="J700" s="11"/>
      <c r="K700" s="11"/>
      <c r="L700" s="282" t="s">
        <v>490</v>
      </c>
      <c r="M700" s="280"/>
      <c r="N700" s="280"/>
      <c r="O700" s="282" t="s">
        <v>491</v>
      </c>
      <c r="P700" s="282"/>
      <c r="Q700" s="282"/>
      <c r="R700" s="282"/>
      <c r="S700" s="282"/>
      <c r="T700" s="12" t="s">
        <v>492</v>
      </c>
      <c r="U700" s="11">
        <v>1</v>
      </c>
      <c r="V700" s="11" t="s">
        <v>493</v>
      </c>
      <c r="W700" s="13">
        <v>31</v>
      </c>
    </row>
    <row r="701" spans="2:23" ht="15.75" thickBot="1">
      <c r="B701" s="83"/>
      <c r="C701" s="11"/>
      <c r="D701" s="11"/>
      <c r="E701" s="11"/>
      <c r="F701" s="11"/>
      <c r="G701" s="11"/>
      <c r="H701" s="11"/>
      <c r="I701" s="11"/>
      <c r="J701" s="11"/>
      <c r="K701" s="11"/>
      <c r="L701" s="283"/>
      <c r="M701" s="283"/>
      <c r="N701" s="283"/>
      <c r="O701" s="282" t="s">
        <v>494</v>
      </c>
      <c r="P701" s="282"/>
      <c r="Q701" s="282"/>
      <c r="R701" s="284"/>
      <c r="S701" s="284"/>
      <c r="T701" s="278"/>
      <c r="U701" s="278"/>
      <c r="V701" s="11"/>
      <c r="W701" s="16"/>
    </row>
    <row r="702" spans="2:23" ht="15.75" thickBot="1">
      <c r="B702" s="325" t="s">
        <v>495</v>
      </c>
      <c r="C702" s="326"/>
      <c r="D702" s="327" t="s">
        <v>122</v>
      </c>
      <c r="E702" s="327"/>
      <c r="F702" s="327"/>
      <c r="G702" s="327"/>
      <c r="H702" s="327"/>
      <c r="I702" s="258" t="s">
        <v>497</v>
      </c>
      <c r="J702" s="248"/>
      <c r="K702" s="261" t="s">
        <v>174</v>
      </c>
      <c r="L702" s="291"/>
      <c r="M702" s="291"/>
      <c r="N702" s="291"/>
      <c r="O702" s="291"/>
      <c r="P702" s="291"/>
      <c r="Q702" s="262"/>
      <c r="R702" s="259" t="s">
        <v>502</v>
      </c>
      <c r="S702" s="260"/>
      <c r="T702" s="261" t="s">
        <v>174</v>
      </c>
      <c r="U702" s="291"/>
      <c r="V702" s="291"/>
      <c r="W702" s="262"/>
    </row>
    <row r="703" spans="2:23" ht="15.75" thickBot="1">
      <c r="B703" s="328" t="s">
        <v>506</v>
      </c>
      <c r="C703" s="252"/>
      <c r="D703" s="294" t="s">
        <v>167</v>
      </c>
      <c r="E703" s="295"/>
      <c r="F703" s="295"/>
      <c r="G703" s="295"/>
      <c r="H703" s="295"/>
      <c r="I703" s="249"/>
      <c r="J703" s="250"/>
      <c r="K703" s="263"/>
      <c r="L703" s="292"/>
      <c r="M703" s="292"/>
      <c r="N703" s="292"/>
      <c r="O703" s="292"/>
      <c r="P703" s="292"/>
      <c r="Q703" s="264"/>
      <c r="R703" s="259"/>
      <c r="S703" s="260"/>
      <c r="T703" s="263"/>
      <c r="U703" s="292"/>
      <c r="V703" s="292"/>
      <c r="W703" s="264"/>
    </row>
    <row r="704" spans="2:23" ht="33" customHeight="1" thickBot="1">
      <c r="B704" s="331" t="s">
        <v>508</v>
      </c>
      <c r="C704" s="332"/>
      <c r="D704" s="333" t="s">
        <v>175</v>
      </c>
      <c r="E704" s="334"/>
      <c r="F704" s="334"/>
      <c r="G704" s="334"/>
      <c r="H704" s="335"/>
      <c r="I704" s="251"/>
      <c r="J704" s="247"/>
      <c r="K704" s="265"/>
      <c r="L704" s="293"/>
      <c r="M704" s="293"/>
      <c r="N704" s="293"/>
      <c r="O704" s="293"/>
      <c r="P704" s="293"/>
      <c r="Q704" s="266"/>
      <c r="R704" s="259"/>
      <c r="S704" s="260"/>
      <c r="T704" s="265"/>
      <c r="U704" s="293"/>
      <c r="V704" s="293"/>
      <c r="W704" s="266"/>
    </row>
    <row r="705" spans="2:23" ht="18.75" thickBot="1">
      <c r="B705" s="84"/>
      <c r="C705" s="85"/>
      <c r="D705" s="86"/>
      <c r="E705" s="87"/>
      <c r="F705" s="87"/>
      <c r="G705" s="87"/>
      <c r="H705" s="87"/>
      <c r="I705" s="84"/>
      <c r="J705" s="84"/>
      <c r="K705" s="84"/>
      <c r="L705" s="84"/>
      <c r="M705" s="84"/>
      <c r="N705" s="84"/>
      <c r="O705" s="84"/>
      <c r="P705" s="84"/>
      <c r="Q705" s="84"/>
      <c r="R705" s="84"/>
      <c r="S705" s="84"/>
      <c r="T705" s="19"/>
      <c r="U705" s="19"/>
      <c r="V705" s="19"/>
      <c r="W705" s="19"/>
    </row>
    <row r="706" spans="2:23" ht="15.75" thickBot="1">
      <c r="B706" s="341" t="s">
        <v>510</v>
      </c>
      <c r="C706" s="342"/>
      <c r="D706" s="342"/>
      <c r="E706" s="342"/>
      <c r="F706" s="342"/>
      <c r="G706" s="342"/>
      <c r="H706" s="342"/>
      <c r="I706" s="343" t="s">
        <v>511</v>
      </c>
      <c r="J706" s="343"/>
      <c r="K706" s="343"/>
      <c r="L706" s="343"/>
      <c r="M706" s="343"/>
      <c r="N706" s="343"/>
      <c r="O706" s="343"/>
      <c r="P706" s="343"/>
      <c r="Q706" s="343"/>
      <c r="R706" s="343"/>
      <c r="S706" s="344"/>
      <c r="T706" s="345" t="s">
        <v>512</v>
      </c>
      <c r="U706" s="287" t="s">
        <v>513</v>
      </c>
      <c r="V706" s="287"/>
      <c r="W706" s="287"/>
    </row>
    <row r="707" spans="2:23" ht="15.75" thickBot="1">
      <c r="B707" s="316" t="s">
        <v>514</v>
      </c>
      <c r="C707" s="318" t="s">
        <v>515</v>
      </c>
      <c r="D707" s="318"/>
      <c r="E707" s="314" t="s">
        <v>516</v>
      </c>
      <c r="F707" s="314" t="s">
        <v>517</v>
      </c>
      <c r="G707" s="314" t="s">
        <v>518</v>
      </c>
      <c r="H707" s="300" t="s">
        <v>519</v>
      </c>
      <c r="I707" s="337" t="s">
        <v>520</v>
      </c>
      <c r="J707" s="338"/>
      <c r="K707" s="338"/>
      <c r="L707" s="338"/>
      <c r="M707" s="338"/>
      <c r="N707" s="338"/>
      <c r="O707" s="338"/>
      <c r="P707" s="338"/>
      <c r="Q707" s="339" t="s">
        <v>521</v>
      </c>
      <c r="R707" s="340" t="s">
        <v>522</v>
      </c>
      <c r="S707" s="336" t="s">
        <v>523</v>
      </c>
      <c r="T707" s="287"/>
      <c r="U707" s="287"/>
      <c r="V707" s="287"/>
      <c r="W707" s="287"/>
    </row>
    <row r="708" spans="2:23" ht="55.5" thickBot="1">
      <c r="B708" s="368"/>
      <c r="C708" s="369"/>
      <c r="D708" s="369"/>
      <c r="E708" s="366"/>
      <c r="F708" s="366"/>
      <c r="G708" s="366"/>
      <c r="H708" s="367"/>
      <c r="I708" s="20" t="s">
        <v>524</v>
      </c>
      <c r="J708" s="21" t="s">
        <v>525</v>
      </c>
      <c r="K708" s="22" t="s">
        <v>526</v>
      </c>
      <c r="L708" s="22" t="s">
        <v>527</v>
      </c>
      <c r="M708" s="22" t="s">
        <v>528</v>
      </c>
      <c r="N708" s="22" t="s">
        <v>529</v>
      </c>
      <c r="O708" s="22" t="s">
        <v>530</v>
      </c>
      <c r="P708" s="23" t="s">
        <v>531</v>
      </c>
      <c r="Q708" s="305"/>
      <c r="R708" s="320"/>
      <c r="S708" s="299"/>
      <c r="T708" s="287"/>
      <c r="U708" s="287"/>
      <c r="V708" s="287"/>
      <c r="W708" s="287"/>
    </row>
    <row r="709" spans="2:23" ht="44.25" customHeight="1">
      <c r="B709" s="108">
        <v>1</v>
      </c>
      <c r="C709" s="387" t="s">
        <v>176</v>
      </c>
      <c r="D709" s="387"/>
      <c r="E709" s="111">
        <v>80</v>
      </c>
      <c r="F709" s="107">
        <v>50</v>
      </c>
      <c r="G709" s="106">
        <v>0.6</v>
      </c>
      <c r="H709" s="43">
        <f>+F709/E709</f>
        <v>0.625</v>
      </c>
      <c r="I709" s="114">
        <v>15000</v>
      </c>
      <c r="J709" s="114">
        <v>2500</v>
      </c>
      <c r="K709" s="32"/>
      <c r="L709" s="32"/>
      <c r="M709" s="31"/>
      <c r="N709" s="31"/>
      <c r="O709" s="31"/>
      <c r="P709" s="74"/>
      <c r="Q709" s="75">
        <f>+SUM(I709:P709)</f>
        <v>17500</v>
      </c>
      <c r="R709" s="76">
        <f>16793+1948+7996+2503</f>
        <v>29240</v>
      </c>
      <c r="S709" s="36">
        <f>R709/Q709</f>
        <v>1.6708571428571428</v>
      </c>
      <c r="T709" s="37" t="s">
        <v>29</v>
      </c>
      <c r="U709" s="307"/>
      <c r="V709" s="307"/>
      <c r="W709" s="307"/>
    </row>
    <row r="710" spans="2:23" ht="44.25" customHeight="1">
      <c r="B710" s="77"/>
      <c r="C710" s="388"/>
      <c r="D710" s="388"/>
      <c r="E710" s="111"/>
      <c r="F710" s="107"/>
      <c r="G710" s="106"/>
      <c r="H710" s="43"/>
      <c r="I710" s="113"/>
      <c r="J710" s="97"/>
      <c r="K710" s="32"/>
      <c r="L710" s="32"/>
      <c r="M710" s="31"/>
      <c r="N710" s="31"/>
      <c r="O710" s="31"/>
      <c r="P710" s="74"/>
      <c r="Q710" s="75"/>
      <c r="R710" s="76"/>
      <c r="S710" s="36"/>
      <c r="T710" s="37"/>
      <c r="U710" s="322"/>
      <c r="V710" s="322"/>
      <c r="W710" s="322"/>
    </row>
    <row r="711" spans="2:23" ht="44.25" customHeight="1">
      <c r="B711" s="108"/>
      <c r="C711" s="387"/>
      <c r="D711" s="387"/>
      <c r="E711" s="111"/>
      <c r="F711" s="107"/>
      <c r="G711" s="106"/>
      <c r="H711" s="43"/>
      <c r="I711" s="113"/>
      <c r="J711" s="97"/>
      <c r="K711" s="32"/>
      <c r="L711" s="32"/>
      <c r="M711" s="31"/>
      <c r="N711" s="31"/>
      <c r="O711" s="31"/>
      <c r="P711" s="74"/>
      <c r="Q711" s="75"/>
      <c r="R711" s="76"/>
      <c r="S711" s="36"/>
      <c r="T711" s="37"/>
      <c r="U711" s="322"/>
      <c r="V711" s="322"/>
      <c r="W711" s="322"/>
    </row>
    <row r="712" spans="2:23" ht="44.25" customHeight="1">
      <c r="B712" s="39"/>
      <c r="C712" s="321"/>
      <c r="D712" s="321"/>
      <c r="E712" s="40"/>
      <c r="F712" s="41"/>
      <c r="G712" s="42"/>
      <c r="H712" s="91"/>
      <c r="I712" s="30"/>
      <c r="J712" s="32"/>
      <c r="K712" s="46"/>
      <c r="L712" s="46"/>
      <c r="M712" s="45"/>
      <c r="N712" s="45"/>
      <c r="O712" s="45"/>
      <c r="P712" s="74"/>
      <c r="Q712" s="75"/>
      <c r="R712" s="76"/>
      <c r="S712" s="36"/>
      <c r="T712" s="37"/>
      <c r="U712" s="322"/>
      <c r="V712" s="322"/>
      <c r="W712" s="322"/>
    </row>
    <row r="713" spans="2:23" ht="44.25" customHeight="1">
      <c r="B713" s="39"/>
      <c r="C713" s="308"/>
      <c r="D713" s="308"/>
      <c r="E713" s="40"/>
      <c r="F713" s="41"/>
      <c r="G713" s="42"/>
      <c r="H713" s="91"/>
      <c r="I713" s="95"/>
      <c r="J713" s="46"/>
      <c r="K713" s="45"/>
      <c r="L713" s="45"/>
      <c r="M713" s="45"/>
      <c r="N713" s="45"/>
      <c r="O713" s="45"/>
      <c r="P713" s="56"/>
      <c r="Q713" s="75"/>
      <c r="R713" s="76"/>
      <c r="S713" s="36"/>
      <c r="T713" s="37"/>
      <c r="U713" s="322"/>
      <c r="V713" s="322"/>
      <c r="W713" s="322"/>
    </row>
    <row r="714" spans="2:23" ht="44.25" customHeight="1" thickBot="1">
      <c r="B714" s="59"/>
      <c r="C714" s="310" t="s">
        <v>541</v>
      </c>
      <c r="D714" s="310"/>
      <c r="E714" s="60"/>
      <c r="F714" s="61"/>
      <c r="G714" s="62"/>
      <c r="H714" s="63"/>
      <c r="I714" s="64">
        <f>+SUM(I709:I713)</f>
        <v>15000</v>
      </c>
      <c r="J714" s="64">
        <f>+SUM(J709:J713)</f>
        <v>2500</v>
      </c>
      <c r="K714" s="64">
        <f>+SUM(K709:K713)</f>
        <v>0</v>
      </c>
      <c r="L714" s="64"/>
      <c r="M714" s="64">
        <f aca="true" t="shared" si="30" ref="M714:R714">+SUM(M709:M713)</f>
        <v>0</v>
      </c>
      <c r="N714" s="64">
        <f t="shared" si="30"/>
        <v>0</v>
      </c>
      <c r="O714" s="64">
        <f t="shared" si="30"/>
        <v>0</v>
      </c>
      <c r="P714" s="64">
        <f t="shared" si="30"/>
        <v>0</v>
      </c>
      <c r="Q714" s="79">
        <f t="shared" si="30"/>
        <v>17500</v>
      </c>
      <c r="R714" s="79">
        <f t="shared" si="30"/>
        <v>29240</v>
      </c>
      <c r="S714" s="66">
        <f>+R714/Q714</f>
        <v>1.6708571428571428</v>
      </c>
      <c r="T714" s="67"/>
      <c r="U714" s="311"/>
      <c r="V714" s="311"/>
      <c r="W714" s="311"/>
    </row>
    <row r="715" ht="15.75" thickBot="1"/>
    <row r="716" spans="2:23" ht="15.75">
      <c r="B716" s="267" t="s">
        <v>479</v>
      </c>
      <c r="C716" s="267"/>
      <c r="D716" s="267"/>
      <c r="E716" s="267"/>
      <c r="F716" s="267"/>
      <c r="G716" s="267"/>
      <c r="H716" s="267"/>
      <c r="I716" s="267"/>
      <c r="J716" s="267"/>
      <c r="K716" s="267"/>
      <c r="L716" s="267"/>
      <c r="M716" s="267"/>
      <c r="N716" s="267"/>
      <c r="O716" s="267"/>
      <c r="P716" s="267"/>
      <c r="Q716" s="267"/>
      <c r="R716" s="267"/>
      <c r="S716" s="267"/>
      <c r="T716" s="267"/>
      <c r="U716" s="267"/>
      <c r="V716" s="267"/>
      <c r="W716" s="267"/>
    </row>
    <row r="717" spans="2:23" ht="15">
      <c r="B717" s="5"/>
      <c r="C717" s="6"/>
      <c r="D717" s="6"/>
      <c r="E717" s="6"/>
      <c r="F717" s="6"/>
      <c r="G717" s="6"/>
      <c r="H717" s="6"/>
      <c r="I717" s="6"/>
      <c r="J717" s="6"/>
      <c r="K717" s="6"/>
      <c r="L717" s="6"/>
      <c r="M717" s="6"/>
      <c r="N717" s="6"/>
      <c r="O717" s="6"/>
      <c r="P717" s="6"/>
      <c r="Q717" s="6"/>
      <c r="R717" s="6"/>
      <c r="S717" s="6"/>
      <c r="T717" s="6"/>
      <c r="U717" s="6"/>
      <c r="V717" s="6"/>
      <c r="W717" s="7"/>
    </row>
    <row r="718" spans="2:23" ht="20.25">
      <c r="B718" s="268" t="s">
        <v>480</v>
      </c>
      <c r="C718" s="269"/>
      <c r="D718" s="269"/>
      <c r="E718" s="269"/>
      <c r="F718" s="269"/>
      <c r="G718" s="269"/>
      <c r="H718" s="269"/>
      <c r="I718" s="269"/>
      <c r="J718" s="269"/>
      <c r="K718" s="269"/>
      <c r="L718" s="269"/>
      <c r="M718" s="269"/>
      <c r="N718" s="269"/>
      <c r="O718" s="269"/>
      <c r="P718" s="269"/>
      <c r="Q718" s="269"/>
      <c r="R718" s="269"/>
      <c r="S718" s="269"/>
      <c r="T718" s="269"/>
      <c r="U718" s="269"/>
      <c r="V718" s="269"/>
      <c r="W718" s="270"/>
    </row>
    <row r="719" spans="2:23" ht="18">
      <c r="B719" s="271" t="s">
        <v>481</v>
      </c>
      <c r="C719" s="272"/>
      <c r="D719" s="272"/>
      <c r="E719" s="272"/>
      <c r="F719" s="272"/>
      <c r="G719" s="272"/>
      <c r="H719" s="272"/>
      <c r="I719" s="272"/>
      <c r="J719" s="272"/>
      <c r="K719" s="272"/>
      <c r="L719" s="272"/>
      <c r="M719" s="272"/>
      <c r="N719" s="272"/>
      <c r="O719" s="272"/>
      <c r="P719" s="272"/>
      <c r="Q719" s="272"/>
      <c r="R719" s="272"/>
      <c r="S719" s="272"/>
      <c r="T719" s="272"/>
      <c r="U719" s="272"/>
      <c r="V719" s="272"/>
      <c r="W719" s="273"/>
    </row>
    <row r="720" spans="2:23" ht="18">
      <c r="B720" s="274" t="s">
        <v>482</v>
      </c>
      <c r="C720" s="275"/>
      <c r="D720" s="275"/>
      <c r="E720" s="275"/>
      <c r="F720" s="275"/>
      <c r="G720" s="275"/>
      <c r="H720" s="275"/>
      <c r="I720" s="275"/>
      <c r="J720" s="275"/>
      <c r="K720" s="275"/>
      <c r="L720" s="275"/>
      <c r="M720" s="275"/>
      <c r="N720" s="275"/>
      <c r="O720" s="275"/>
      <c r="P720" s="275"/>
      <c r="Q720" s="275"/>
      <c r="R720" s="275"/>
      <c r="S720" s="275"/>
      <c r="T720" s="275"/>
      <c r="U720" s="275"/>
      <c r="V720" s="275"/>
      <c r="W720" s="276"/>
    </row>
    <row r="721" spans="2:23" ht="15">
      <c r="B721" s="5"/>
      <c r="C721" s="6"/>
      <c r="D721" s="8"/>
      <c r="E721" s="8"/>
      <c r="F721" s="8"/>
      <c r="G721" s="8"/>
      <c r="H721" s="8"/>
      <c r="I721" s="6"/>
      <c r="J721" s="6"/>
      <c r="K721" s="6"/>
      <c r="L721" s="6"/>
      <c r="M721" s="6"/>
      <c r="N721" s="6"/>
      <c r="O721" s="6"/>
      <c r="P721" s="6"/>
      <c r="Q721" s="6"/>
      <c r="R721" s="6"/>
      <c r="S721" s="6"/>
      <c r="T721" s="6"/>
      <c r="U721" s="6"/>
      <c r="V721" s="6"/>
      <c r="W721" s="7"/>
    </row>
    <row r="722" spans="2:23" ht="15">
      <c r="B722" s="279" t="s">
        <v>483</v>
      </c>
      <c r="C722" s="280"/>
      <c r="D722" s="10" t="s">
        <v>484</v>
      </c>
      <c r="E722" s="10"/>
      <c r="F722" s="10"/>
      <c r="G722" s="11"/>
      <c r="H722" s="11"/>
      <c r="I722" s="11"/>
      <c r="J722" s="11"/>
      <c r="K722" s="11"/>
      <c r="L722" s="10" t="s">
        <v>485</v>
      </c>
      <c r="M722" s="10"/>
      <c r="N722" s="10"/>
      <c r="O722" s="281" t="s">
        <v>486</v>
      </c>
      <c r="P722" s="282"/>
      <c r="Q722" s="282"/>
      <c r="R722" s="282"/>
      <c r="S722" s="282"/>
      <c r="T722" s="282" t="s">
        <v>487</v>
      </c>
      <c r="U722" s="280"/>
      <c r="V722" s="280"/>
      <c r="W722" s="285"/>
    </row>
    <row r="723" spans="2:23" ht="15">
      <c r="B723" s="279" t="s">
        <v>488</v>
      </c>
      <c r="C723" s="280"/>
      <c r="D723" s="10" t="s">
        <v>489</v>
      </c>
      <c r="E723" s="10"/>
      <c r="F723" s="10"/>
      <c r="G723" s="11"/>
      <c r="H723" s="11"/>
      <c r="I723" s="11"/>
      <c r="J723" s="11"/>
      <c r="K723" s="11"/>
      <c r="L723" s="282" t="s">
        <v>490</v>
      </c>
      <c r="M723" s="280"/>
      <c r="N723" s="280"/>
      <c r="O723" s="282" t="s">
        <v>491</v>
      </c>
      <c r="P723" s="282"/>
      <c r="Q723" s="282"/>
      <c r="R723" s="282"/>
      <c r="S723" s="282"/>
      <c r="T723" s="12" t="s">
        <v>492</v>
      </c>
      <c r="U723" s="11">
        <v>1</v>
      </c>
      <c r="V723" s="11" t="s">
        <v>493</v>
      </c>
      <c r="W723" s="13">
        <v>32</v>
      </c>
    </row>
    <row r="724" spans="2:23" ht="15.75" thickBot="1">
      <c r="B724" s="83"/>
      <c r="C724" s="11"/>
      <c r="D724" s="11"/>
      <c r="E724" s="11"/>
      <c r="F724" s="11"/>
      <c r="G724" s="11"/>
      <c r="H724" s="11"/>
      <c r="I724" s="11"/>
      <c r="J724" s="11"/>
      <c r="K724" s="11"/>
      <c r="L724" s="283"/>
      <c r="M724" s="283"/>
      <c r="N724" s="283"/>
      <c r="O724" s="282" t="s">
        <v>494</v>
      </c>
      <c r="P724" s="282"/>
      <c r="Q724" s="282"/>
      <c r="R724" s="284"/>
      <c r="S724" s="284"/>
      <c r="T724" s="278"/>
      <c r="U724" s="278"/>
      <c r="V724" s="11"/>
      <c r="W724" s="16"/>
    </row>
    <row r="725" spans="2:23" ht="15.75" thickBot="1">
      <c r="B725" s="325" t="s">
        <v>495</v>
      </c>
      <c r="C725" s="326"/>
      <c r="D725" s="327" t="s">
        <v>122</v>
      </c>
      <c r="E725" s="327"/>
      <c r="F725" s="327"/>
      <c r="G725" s="327"/>
      <c r="H725" s="327"/>
      <c r="I725" s="258" t="s">
        <v>497</v>
      </c>
      <c r="J725" s="248"/>
      <c r="K725" s="261" t="s">
        <v>177</v>
      </c>
      <c r="L725" s="291"/>
      <c r="M725" s="291"/>
      <c r="N725" s="291"/>
      <c r="O725" s="291"/>
      <c r="P725" s="291"/>
      <c r="Q725" s="262"/>
      <c r="R725" s="259" t="s">
        <v>502</v>
      </c>
      <c r="S725" s="260"/>
      <c r="T725" s="261" t="s">
        <v>178</v>
      </c>
      <c r="U725" s="291"/>
      <c r="V725" s="291"/>
      <c r="W725" s="262"/>
    </row>
    <row r="726" spans="2:23" ht="15.75" thickBot="1">
      <c r="B726" s="328" t="s">
        <v>506</v>
      </c>
      <c r="C726" s="252"/>
      <c r="D726" s="294" t="s">
        <v>167</v>
      </c>
      <c r="E726" s="295"/>
      <c r="F726" s="295"/>
      <c r="G726" s="295"/>
      <c r="H726" s="295"/>
      <c r="I726" s="249"/>
      <c r="J726" s="250"/>
      <c r="K726" s="263"/>
      <c r="L726" s="292"/>
      <c r="M726" s="292"/>
      <c r="N726" s="292"/>
      <c r="O726" s="292"/>
      <c r="P726" s="292"/>
      <c r="Q726" s="264"/>
      <c r="R726" s="259"/>
      <c r="S726" s="260"/>
      <c r="T726" s="263"/>
      <c r="U726" s="292"/>
      <c r="V726" s="292"/>
      <c r="W726" s="264"/>
    </row>
    <row r="727" spans="2:23" ht="47.25" customHeight="1" thickBot="1">
      <c r="B727" s="331" t="s">
        <v>508</v>
      </c>
      <c r="C727" s="332"/>
      <c r="D727" s="333" t="s">
        <v>179</v>
      </c>
      <c r="E727" s="334"/>
      <c r="F727" s="334"/>
      <c r="G727" s="334"/>
      <c r="H727" s="335"/>
      <c r="I727" s="251"/>
      <c r="J727" s="247"/>
      <c r="K727" s="265"/>
      <c r="L727" s="293"/>
      <c r="M727" s="293"/>
      <c r="N727" s="293"/>
      <c r="O727" s="293"/>
      <c r="P727" s="293"/>
      <c r="Q727" s="266"/>
      <c r="R727" s="259"/>
      <c r="S727" s="260"/>
      <c r="T727" s="265"/>
      <c r="U727" s="293"/>
      <c r="V727" s="293"/>
      <c r="W727" s="266"/>
    </row>
    <row r="728" spans="2:23" ht="18.75" thickBot="1">
      <c r="B728" s="84"/>
      <c r="C728" s="85"/>
      <c r="D728" s="86"/>
      <c r="E728" s="87"/>
      <c r="F728" s="87"/>
      <c r="G728" s="87"/>
      <c r="H728" s="87"/>
      <c r="I728" s="84"/>
      <c r="J728" s="84"/>
      <c r="K728" s="84"/>
      <c r="L728" s="84"/>
      <c r="M728" s="84"/>
      <c r="N728" s="84"/>
      <c r="O728" s="84"/>
      <c r="P728" s="84"/>
      <c r="Q728" s="84"/>
      <c r="R728" s="84"/>
      <c r="S728" s="84"/>
      <c r="T728" s="19"/>
      <c r="U728" s="19"/>
      <c r="V728" s="19"/>
      <c r="W728" s="19"/>
    </row>
    <row r="729" spans="2:23" ht="15.75" thickBot="1">
      <c r="B729" s="341" t="s">
        <v>510</v>
      </c>
      <c r="C729" s="342"/>
      <c r="D729" s="342"/>
      <c r="E729" s="342"/>
      <c r="F729" s="342"/>
      <c r="G729" s="342"/>
      <c r="H729" s="342"/>
      <c r="I729" s="343" t="s">
        <v>511</v>
      </c>
      <c r="J729" s="343"/>
      <c r="K729" s="343"/>
      <c r="L729" s="343"/>
      <c r="M729" s="343"/>
      <c r="N729" s="343"/>
      <c r="O729" s="343"/>
      <c r="P729" s="343"/>
      <c r="Q729" s="343"/>
      <c r="R729" s="343"/>
      <c r="S729" s="344"/>
      <c r="T729" s="345" t="s">
        <v>512</v>
      </c>
      <c r="U729" s="287" t="s">
        <v>513</v>
      </c>
      <c r="V729" s="287"/>
      <c r="W729" s="287"/>
    </row>
    <row r="730" spans="2:23" ht="15.75" thickBot="1">
      <c r="B730" s="316" t="s">
        <v>514</v>
      </c>
      <c r="C730" s="318" t="s">
        <v>515</v>
      </c>
      <c r="D730" s="318"/>
      <c r="E730" s="314" t="s">
        <v>516</v>
      </c>
      <c r="F730" s="314" t="s">
        <v>517</v>
      </c>
      <c r="G730" s="314" t="s">
        <v>518</v>
      </c>
      <c r="H730" s="300" t="s">
        <v>519</v>
      </c>
      <c r="I730" s="337" t="s">
        <v>520</v>
      </c>
      <c r="J730" s="338"/>
      <c r="K730" s="338"/>
      <c r="L730" s="338"/>
      <c r="M730" s="338"/>
      <c r="N730" s="338"/>
      <c r="O730" s="338"/>
      <c r="P730" s="338"/>
      <c r="Q730" s="339" t="s">
        <v>521</v>
      </c>
      <c r="R730" s="340" t="s">
        <v>522</v>
      </c>
      <c r="S730" s="336" t="s">
        <v>523</v>
      </c>
      <c r="T730" s="287"/>
      <c r="U730" s="287"/>
      <c r="V730" s="287"/>
      <c r="W730" s="287"/>
    </row>
    <row r="731" spans="2:23" ht="66.75" customHeight="1" thickBot="1">
      <c r="B731" s="368"/>
      <c r="C731" s="369"/>
      <c r="D731" s="369"/>
      <c r="E731" s="366"/>
      <c r="F731" s="366"/>
      <c r="G731" s="366"/>
      <c r="H731" s="367"/>
      <c r="I731" s="20" t="s">
        <v>524</v>
      </c>
      <c r="J731" s="21" t="s">
        <v>525</v>
      </c>
      <c r="K731" s="22" t="s">
        <v>526</v>
      </c>
      <c r="L731" s="22" t="s">
        <v>527</v>
      </c>
      <c r="M731" s="22" t="s">
        <v>528</v>
      </c>
      <c r="N731" s="22" t="s">
        <v>529</v>
      </c>
      <c r="O731" s="22" t="s">
        <v>530</v>
      </c>
      <c r="P731" s="23" t="s">
        <v>531</v>
      </c>
      <c r="Q731" s="305"/>
      <c r="R731" s="320"/>
      <c r="S731" s="299"/>
      <c r="T731" s="287"/>
      <c r="U731" s="287"/>
      <c r="V731" s="287"/>
      <c r="W731" s="287"/>
    </row>
    <row r="732" spans="2:23" ht="41.25" customHeight="1">
      <c r="B732" s="108">
        <v>1</v>
      </c>
      <c r="C732" s="387" t="s">
        <v>180</v>
      </c>
      <c r="D732" s="387"/>
      <c r="E732" s="111">
        <v>90</v>
      </c>
      <c r="F732" s="107">
        <v>60</v>
      </c>
      <c r="G732" s="106">
        <v>0.6</v>
      </c>
      <c r="H732" s="43">
        <f>+F732/E732</f>
        <v>0.6666666666666666</v>
      </c>
      <c r="I732" s="114"/>
      <c r="J732" s="114"/>
      <c r="K732" s="32"/>
      <c r="L732" s="32"/>
      <c r="M732" s="31"/>
      <c r="N732" s="31"/>
      <c r="O732" s="31"/>
      <c r="P732" s="115"/>
      <c r="Q732" s="75">
        <f>+SUM(I732:P732)</f>
        <v>0</v>
      </c>
      <c r="R732" s="76"/>
      <c r="S732" s="36" t="e">
        <f>R732/Q732</f>
        <v>#DIV/0!</v>
      </c>
      <c r="T732" s="37" t="s">
        <v>29</v>
      </c>
      <c r="U732" s="307"/>
      <c r="V732" s="307"/>
      <c r="W732" s="307"/>
    </row>
    <row r="733" spans="2:23" ht="41.25" customHeight="1">
      <c r="B733" s="77"/>
      <c r="C733" s="388"/>
      <c r="D733" s="388"/>
      <c r="E733" s="111"/>
      <c r="F733" s="107"/>
      <c r="G733" s="106"/>
      <c r="H733" s="43"/>
      <c r="I733" s="113"/>
      <c r="J733" s="97"/>
      <c r="K733" s="32"/>
      <c r="L733" s="32"/>
      <c r="M733" s="31"/>
      <c r="N733" s="31"/>
      <c r="O733" s="116"/>
      <c r="P733" s="74"/>
      <c r="Q733" s="117"/>
      <c r="R733" s="76"/>
      <c r="S733" s="36"/>
      <c r="T733" s="37"/>
      <c r="U733" s="322"/>
      <c r="V733" s="322"/>
      <c r="W733" s="322"/>
    </row>
    <row r="734" spans="2:23" ht="41.25" customHeight="1">
      <c r="B734" s="108"/>
      <c r="C734" s="387"/>
      <c r="D734" s="387"/>
      <c r="E734" s="111"/>
      <c r="F734" s="107"/>
      <c r="G734" s="106"/>
      <c r="H734" s="43"/>
      <c r="I734" s="113"/>
      <c r="J734" s="97"/>
      <c r="K734" s="32"/>
      <c r="L734" s="32"/>
      <c r="M734" s="31"/>
      <c r="N734" s="31"/>
      <c r="O734" s="31"/>
      <c r="P734" s="74"/>
      <c r="Q734" s="75"/>
      <c r="R734" s="76"/>
      <c r="S734" s="36"/>
      <c r="T734" s="37"/>
      <c r="U734" s="322"/>
      <c r="V734" s="322"/>
      <c r="W734" s="322"/>
    </row>
    <row r="735" spans="2:23" ht="41.25" customHeight="1">
      <c r="B735" s="39"/>
      <c r="C735" s="321"/>
      <c r="D735" s="321"/>
      <c r="E735" s="40"/>
      <c r="F735" s="41"/>
      <c r="G735" s="42"/>
      <c r="H735" s="91"/>
      <c r="I735" s="30"/>
      <c r="J735" s="32"/>
      <c r="K735" s="46"/>
      <c r="L735" s="46"/>
      <c r="M735" s="45"/>
      <c r="N735" s="45"/>
      <c r="O735" s="45"/>
      <c r="P735" s="74"/>
      <c r="Q735" s="75"/>
      <c r="R735" s="76"/>
      <c r="S735" s="36"/>
      <c r="T735" s="37"/>
      <c r="U735" s="322"/>
      <c r="V735" s="322"/>
      <c r="W735" s="322"/>
    </row>
    <row r="736" spans="2:23" ht="41.25" customHeight="1">
      <c r="B736" s="39"/>
      <c r="C736" s="308"/>
      <c r="D736" s="308"/>
      <c r="E736" s="40"/>
      <c r="F736" s="41"/>
      <c r="G736" s="42"/>
      <c r="H736" s="91"/>
      <c r="I736" s="95"/>
      <c r="J736" s="46"/>
      <c r="K736" s="45"/>
      <c r="L736" s="45"/>
      <c r="M736" s="45"/>
      <c r="N736" s="45"/>
      <c r="O736" s="45"/>
      <c r="P736" s="56"/>
      <c r="Q736" s="75"/>
      <c r="R736" s="76"/>
      <c r="S736" s="36"/>
      <c r="T736" s="37"/>
      <c r="U736" s="322"/>
      <c r="V736" s="322"/>
      <c r="W736" s="322"/>
    </row>
    <row r="737" spans="2:23" ht="41.25" customHeight="1" thickBot="1">
      <c r="B737" s="59"/>
      <c r="C737" s="310" t="s">
        <v>541</v>
      </c>
      <c r="D737" s="310"/>
      <c r="E737" s="60"/>
      <c r="F737" s="61"/>
      <c r="G737" s="62"/>
      <c r="H737" s="63"/>
      <c r="I737" s="64">
        <f>+SUM(I732:I736)</f>
        <v>0</v>
      </c>
      <c r="J737" s="64">
        <f>+SUM(J732:J736)</f>
        <v>0</v>
      </c>
      <c r="K737" s="64">
        <f>+SUM(K732:K736)</f>
        <v>0</v>
      </c>
      <c r="L737" s="64"/>
      <c r="M737" s="64">
        <f aca="true" t="shared" si="31" ref="M737:R737">+SUM(M732:M736)</f>
        <v>0</v>
      </c>
      <c r="N737" s="64">
        <f t="shared" si="31"/>
        <v>0</v>
      </c>
      <c r="O737" s="64">
        <f t="shared" si="31"/>
        <v>0</v>
      </c>
      <c r="P737" s="64">
        <f t="shared" si="31"/>
        <v>0</v>
      </c>
      <c r="Q737" s="79">
        <f t="shared" si="31"/>
        <v>0</v>
      </c>
      <c r="R737" s="79">
        <f t="shared" si="31"/>
        <v>0</v>
      </c>
      <c r="S737" s="66" t="e">
        <f>+R737/Q737</f>
        <v>#DIV/0!</v>
      </c>
      <c r="T737" s="67"/>
      <c r="U737" s="311"/>
      <c r="V737" s="311"/>
      <c r="W737" s="311"/>
    </row>
    <row r="739" ht="15.75" thickBot="1"/>
    <row r="740" spans="2:23" ht="18.75" thickBot="1">
      <c r="B740" s="377"/>
      <c r="C740" s="377"/>
      <c r="D740" s="377"/>
      <c r="E740" s="377"/>
      <c r="F740" s="377"/>
      <c r="G740" s="377"/>
      <c r="H740" s="378"/>
      <c r="I740" s="378"/>
      <c r="J740" s="378"/>
      <c r="K740" s="379" t="s">
        <v>181</v>
      </c>
      <c r="L740" s="379"/>
      <c r="M740" s="379"/>
      <c r="N740" s="379"/>
      <c r="O740" s="379"/>
      <c r="P740" s="379"/>
      <c r="Q740" s="376">
        <f>+R23+R46+R69+R92+R115+R138+R161+R184+R207+R231+R254+R277+R300+R323+R346+R369+R392+R415+R438+R461+R484+R507+R530+R553+R576+R599+R622+R645+R668+R691+R714+R737</f>
        <v>4449557</v>
      </c>
      <c r="R740" s="376"/>
      <c r="S740" s="376"/>
      <c r="T740" s="118">
        <f>+Q740/Q741</f>
        <v>1.696246690083555</v>
      </c>
      <c r="U740" s="119"/>
      <c r="V740" s="119"/>
      <c r="W740" s="120"/>
    </row>
    <row r="741" spans="2:23" ht="18.75" thickBot="1">
      <c r="B741" s="380"/>
      <c r="C741" s="380"/>
      <c r="D741" s="380"/>
      <c r="E741" s="380"/>
      <c r="F741" s="380"/>
      <c r="G741" s="380"/>
      <c r="H741" s="374"/>
      <c r="I741" s="374"/>
      <c r="J741" s="374"/>
      <c r="K741" s="375" t="s">
        <v>182</v>
      </c>
      <c r="L741" s="375"/>
      <c r="M741" s="375"/>
      <c r="N741" s="375"/>
      <c r="O741" s="375"/>
      <c r="P741" s="375"/>
      <c r="Q741" s="376">
        <f>2397056+226122</f>
        <v>2623178</v>
      </c>
      <c r="R741" s="376"/>
      <c r="S741" s="376"/>
      <c r="T741" s="118">
        <v>1</v>
      </c>
      <c r="U741" s="119"/>
      <c r="V741" s="119"/>
      <c r="W741" s="120"/>
    </row>
    <row r="742" spans="2:23" ht="18.75" thickBot="1">
      <c r="B742" s="370"/>
      <c r="C742" s="370"/>
      <c r="D742" s="370"/>
      <c r="E742" s="370"/>
      <c r="F742" s="370"/>
      <c r="G742" s="370"/>
      <c r="H742" s="371"/>
      <c r="I742" s="371"/>
      <c r="J742" s="371"/>
      <c r="K742" s="372" t="s">
        <v>183</v>
      </c>
      <c r="L742" s="372"/>
      <c r="M742" s="372"/>
      <c r="N742" s="372"/>
      <c r="O742" s="372"/>
      <c r="P742" s="372"/>
      <c r="Q742" s="373">
        <f>+Q740-Q741</f>
        <v>1826379</v>
      </c>
      <c r="R742" s="373"/>
      <c r="S742" s="373"/>
      <c r="T742" s="118">
        <f>+Q742/Q741</f>
        <v>0.6962466900835551</v>
      </c>
      <c r="U742" s="121"/>
      <c r="V742" s="121"/>
      <c r="W742" s="122"/>
    </row>
    <row r="745" ht="15">
      <c r="Q745" s="71">
        <v>133953</v>
      </c>
    </row>
    <row r="746" ht="15">
      <c r="Q746" s="71">
        <v>16400</v>
      </c>
    </row>
    <row r="747" ht="15">
      <c r="Q747" s="71">
        <f>+Q746+Q745</f>
        <v>150353</v>
      </c>
    </row>
  </sheetData>
  <sheetProtection/>
  <mergeCells count="1625">
    <mergeCell ref="C736:D736"/>
    <mergeCell ref="U736:W736"/>
    <mergeCell ref="C734:D734"/>
    <mergeCell ref="U734:W734"/>
    <mergeCell ref="C735:D735"/>
    <mergeCell ref="U735:W735"/>
    <mergeCell ref="C737:D737"/>
    <mergeCell ref="U737:W737"/>
    <mergeCell ref="I730:P730"/>
    <mergeCell ref="Q730:Q731"/>
    <mergeCell ref="R730:R731"/>
    <mergeCell ref="S730:S731"/>
    <mergeCell ref="C732:D732"/>
    <mergeCell ref="U732:W732"/>
    <mergeCell ref="C733:D733"/>
    <mergeCell ref="U733:W733"/>
    <mergeCell ref="T729:T731"/>
    <mergeCell ref="U729:W731"/>
    <mergeCell ref="B730:B731"/>
    <mergeCell ref="C730:D731"/>
    <mergeCell ref="E730:E731"/>
    <mergeCell ref="F730:F731"/>
    <mergeCell ref="G730:G731"/>
    <mergeCell ref="H730:H731"/>
    <mergeCell ref="I725:J727"/>
    <mergeCell ref="K725:Q727"/>
    <mergeCell ref="B729:H729"/>
    <mergeCell ref="I729:S729"/>
    <mergeCell ref="B719:W719"/>
    <mergeCell ref="B720:W720"/>
    <mergeCell ref="R725:S727"/>
    <mergeCell ref="T725:W727"/>
    <mergeCell ref="B726:C726"/>
    <mergeCell ref="D726:H726"/>
    <mergeCell ref="B727:C727"/>
    <mergeCell ref="D727:H727"/>
    <mergeCell ref="B725:C725"/>
    <mergeCell ref="D725:H725"/>
    <mergeCell ref="O724:S724"/>
    <mergeCell ref="B722:C722"/>
    <mergeCell ref="O722:S722"/>
    <mergeCell ref="T722:W722"/>
    <mergeCell ref="T724:U724"/>
    <mergeCell ref="C713:D713"/>
    <mergeCell ref="U713:W713"/>
    <mergeCell ref="C714:D714"/>
    <mergeCell ref="U714:W714"/>
    <mergeCell ref="B716:W716"/>
    <mergeCell ref="B718:W718"/>
    <mergeCell ref="B723:C723"/>
    <mergeCell ref="L723:N724"/>
    <mergeCell ref="O723:S723"/>
    <mergeCell ref="C712:D712"/>
    <mergeCell ref="U712:W712"/>
    <mergeCell ref="C709:D709"/>
    <mergeCell ref="U709:W709"/>
    <mergeCell ref="C710:D710"/>
    <mergeCell ref="U710:W710"/>
    <mergeCell ref="C711:D711"/>
    <mergeCell ref="U711:W711"/>
    <mergeCell ref="U706:W708"/>
    <mergeCell ref="I707:P707"/>
    <mergeCell ref="Q707:Q708"/>
    <mergeCell ref="R707:R708"/>
    <mergeCell ref="S707:S708"/>
    <mergeCell ref="I706:S706"/>
    <mergeCell ref="R702:S704"/>
    <mergeCell ref="T702:W704"/>
    <mergeCell ref="I702:J704"/>
    <mergeCell ref="K702:Q704"/>
    <mergeCell ref="C707:D708"/>
    <mergeCell ref="E707:E708"/>
    <mergeCell ref="F707:F708"/>
    <mergeCell ref="T706:T708"/>
    <mergeCell ref="B702:C702"/>
    <mergeCell ref="D702:H702"/>
    <mergeCell ref="G707:G708"/>
    <mergeCell ref="H707:H708"/>
    <mergeCell ref="B706:H706"/>
    <mergeCell ref="B703:C703"/>
    <mergeCell ref="D703:H703"/>
    <mergeCell ref="B704:C704"/>
    <mergeCell ref="D704:H704"/>
    <mergeCell ref="B707:B708"/>
    <mergeCell ref="O701:S701"/>
    <mergeCell ref="B693:W693"/>
    <mergeCell ref="B695:W695"/>
    <mergeCell ref="B699:C699"/>
    <mergeCell ref="O699:S699"/>
    <mergeCell ref="T699:W699"/>
    <mergeCell ref="T701:U701"/>
    <mergeCell ref="C689:D689"/>
    <mergeCell ref="U689:W689"/>
    <mergeCell ref="C690:D690"/>
    <mergeCell ref="U690:W690"/>
    <mergeCell ref="C691:D691"/>
    <mergeCell ref="U691:W691"/>
    <mergeCell ref="B700:C700"/>
    <mergeCell ref="L700:N701"/>
    <mergeCell ref="O700:S700"/>
    <mergeCell ref="Q684:Q685"/>
    <mergeCell ref="R684:R685"/>
    <mergeCell ref="B696:W696"/>
    <mergeCell ref="B697:W697"/>
    <mergeCell ref="C686:D686"/>
    <mergeCell ref="U686:W686"/>
    <mergeCell ref="C687:D687"/>
    <mergeCell ref="U687:W687"/>
    <mergeCell ref="C688:D688"/>
    <mergeCell ref="U688:W688"/>
    <mergeCell ref="D680:H680"/>
    <mergeCell ref="B681:C681"/>
    <mergeCell ref="U683:W685"/>
    <mergeCell ref="B684:B685"/>
    <mergeCell ref="C684:D685"/>
    <mergeCell ref="E684:E685"/>
    <mergeCell ref="F684:F685"/>
    <mergeCell ref="G684:G685"/>
    <mergeCell ref="H684:H685"/>
    <mergeCell ref="I684:P684"/>
    <mergeCell ref="O678:S678"/>
    <mergeCell ref="D681:H681"/>
    <mergeCell ref="T678:U678"/>
    <mergeCell ref="B679:C679"/>
    <mergeCell ref="D679:H679"/>
    <mergeCell ref="I679:J681"/>
    <mergeCell ref="K679:Q681"/>
    <mergeCell ref="R679:S681"/>
    <mergeCell ref="T679:W681"/>
    <mergeCell ref="B680:C680"/>
    <mergeCell ref="U668:W668"/>
    <mergeCell ref="B673:W673"/>
    <mergeCell ref="B674:W674"/>
    <mergeCell ref="B683:H683"/>
    <mergeCell ref="I683:S683"/>
    <mergeCell ref="T683:T685"/>
    <mergeCell ref="S684:S685"/>
    <mergeCell ref="B677:C677"/>
    <mergeCell ref="L677:N678"/>
    <mergeCell ref="O677:S677"/>
    <mergeCell ref="B676:C676"/>
    <mergeCell ref="O676:S676"/>
    <mergeCell ref="T676:W676"/>
    <mergeCell ref="U665:W665"/>
    <mergeCell ref="C666:D666"/>
    <mergeCell ref="U666:W666"/>
    <mergeCell ref="C665:D665"/>
    <mergeCell ref="C667:D667"/>
    <mergeCell ref="U667:W667"/>
    <mergeCell ref="C668:D668"/>
    <mergeCell ref="B660:H660"/>
    <mergeCell ref="I660:S660"/>
    <mergeCell ref="U660:W662"/>
    <mergeCell ref="B661:B662"/>
    <mergeCell ref="C661:D662"/>
    <mergeCell ref="I661:P661"/>
    <mergeCell ref="Q661:Q662"/>
    <mergeCell ref="R661:R662"/>
    <mergeCell ref="C664:D664"/>
    <mergeCell ref="U664:W664"/>
    <mergeCell ref="S661:S662"/>
    <mergeCell ref="E661:E662"/>
    <mergeCell ref="F661:F662"/>
    <mergeCell ref="G661:G662"/>
    <mergeCell ref="H661:H662"/>
    <mergeCell ref="B670:W670"/>
    <mergeCell ref="B656:C656"/>
    <mergeCell ref="D656:H656"/>
    <mergeCell ref="I656:J658"/>
    <mergeCell ref="B657:C657"/>
    <mergeCell ref="D657:H657"/>
    <mergeCell ref="B658:C658"/>
    <mergeCell ref="T660:T662"/>
    <mergeCell ref="C663:D663"/>
    <mergeCell ref="U663:W663"/>
    <mergeCell ref="T655:U655"/>
    <mergeCell ref="R656:S658"/>
    <mergeCell ref="K656:Q658"/>
    <mergeCell ref="T656:W658"/>
    <mergeCell ref="B650:W650"/>
    <mergeCell ref="B651:W651"/>
    <mergeCell ref="D658:H658"/>
    <mergeCell ref="B653:C653"/>
    <mergeCell ref="O653:S653"/>
    <mergeCell ref="T653:W653"/>
    <mergeCell ref="B654:C654"/>
    <mergeCell ref="L654:N655"/>
    <mergeCell ref="O654:S654"/>
    <mergeCell ref="O655:S655"/>
    <mergeCell ref="C645:D645"/>
    <mergeCell ref="U645:W645"/>
    <mergeCell ref="B647:W647"/>
    <mergeCell ref="B649:W649"/>
    <mergeCell ref="U640:W640"/>
    <mergeCell ref="C641:D641"/>
    <mergeCell ref="U641:W641"/>
    <mergeCell ref="C644:D644"/>
    <mergeCell ref="U644:W644"/>
    <mergeCell ref="U637:W639"/>
    <mergeCell ref="C642:D642"/>
    <mergeCell ref="U642:W642"/>
    <mergeCell ref="B672:W672"/>
    <mergeCell ref="C643:D643"/>
    <mergeCell ref="U643:W643"/>
    <mergeCell ref="R638:R639"/>
    <mergeCell ref="S638:S639"/>
    <mergeCell ref="T637:T639"/>
    <mergeCell ref="C640:D640"/>
    <mergeCell ref="B634:C634"/>
    <mergeCell ref="D634:H634"/>
    <mergeCell ref="B635:C635"/>
    <mergeCell ref="D635:H635"/>
    <mergeCell ref="V633:W635"/>
    <mergeCell ref="B638:B639"/>
    <mergeCell ref="C638:D639"/>
    <mergeCell ref="E638:E639"/>
    <mergeCell ref="F638:F639"/>
    <mergeCell ref="B637:H637"/>
    <mergeCell ref="I637:S637"/>
    <mergeCell ref="G638:G639"/>
    <mergeCell ref="H638:H639"/>
    <mergeCell ref="I638:P638"/>
    <mergeCell ref="O631:S631"/>
    <mergeCell ref="O632:S632"/>
    <mergeCell ref="K633:N635"/>
    <mergeCell ref="O633:Q635"/>
    <mergeCell ref="R633:S635"/>
    <mergeCell ref="T633:U635"/>
    <mergeCell ref="Q638:Q639"/>
    <mergeCell ref="C622:D622"/>
    <mergeCell ref="U622:W622"/>
    <mergeCell ref="B626:W626"/>
    <mergeCell ref="B633:C633"/>
    <mergeCell ref="D633:H633"/>
    <mergeCell ref="I633:J635"/>
    <mergeCell ref="B630:C630"/>
    <mergeCell ref="O630:S630"/>
    <mergeCell ref="B631:C631"/>
    <mergeCell ref="H615:H616"/>
    <mergeCell ref="C617:D617"/>
    <mergeCell ref="U617:W617"/>
    <mergeCell ref="C615:D616"/>
    <mergeCell ref="E615:E616"/>
    <mergeCell ref="F615:F616"/>
    <mergeCell ref="C618:D618"/>
    <mergeCell ref="U618:W618"/>
    <mergeCell ref="L631:N632"/>
    <mergeCell ref="T632:U632"/>
    <mergeCell ref="C619:D619"/>
    <mergeCell ref="U619:W619"/>
    <mergeCell ref="C620:D620"/>
    <mergeCell ref="U620:W620"/>
    <mergeCell ref="C621:D621"/>
    <mergeCell ref="U621:W621"/>
    <mergeCell ref="B627:W627"/>
    <mergeCell ref="B628:W628"/>
    <mergeCell ref="T630:W630"/>
    <mergeCell ref="B612:C612"/>
    <mergeCell ref="D612:H612"/>
    <mergeCell ref="K610:Q612"/>
    <mergeCell ref="I615:P615"/>
    <mergeCell ref="Q615:Q616"/>
    <mergeCell ref="T614:T616"/>
    <mergeCell ref="U614:W616"/>
    <mergeCell ref="B615:B616"/>
    <mergeCell ref="G615:G616"/>
    <mergeCell ref="R615:R616"/>
    <mergeCell ref="S615:S616"/>
    <mergeCell ref="B624:W624"/>
    <mergeCell ref="B610:C610"/>
    <mergeCell ref="D610:H610"/>
    <mergeCell ref="I610:J612"/>
    <mergeCell ref="B611:C611"/>
    <mergeCell ref="D611:H611"/>
    <mergeCell ref="T610:W612"/>
    <mergeCell ref="R610:S612"/>
    <mergeCell ref="B614:H614"/>
    <mergeCell ref="I614:S614"/>
    <mergeCell ref="B608:C608"/>
    <mergeCell ref="L608:N609"/>
    <mergeCell ref="C599:D599"/>
    <mergeCell ref="U599:W599"/>
    <mergeCell ref="B601:W601"/>
    <mergeCell ref="B603:W603"/>
    <mergeCell ref="O608:S608"/>
    <mergeCell ref="O609:S609"/>
    <mergeCell ref="T609:U609"/>
    <mergeCell ref="C597:D597"/>
    <mergeCell ref="U597:W597"/>
    <mergeCell ref="B607:C607"/>
    <mergeCell ref="O607:S607"/>
    <mergeCell ref="T607:W607"/>
    <mergeCell ref="B604:W604"/>
    <mergeCell ref="B605:W605"/>
    <mergeCell ref="C594:D594"/>
    <mergeCell ref="U594:W594"/>
    <mergeCell ref="C595:D595"/>
    <mergeCell ref="U595:W595"/>
    <mergeCell ref="C598:D598"/>
    <mergeCell ref="U598:W598"/>
    <mergeCell ref="C596:D596"/>
    <mergeCell ref="U596:W596"/>
    <mergeCell ref="V587:W589"/>
    <mergeCell ref="T587:T589"/>
    <mergeCell ref="U587:U589"/>
    <mergeCell ref="R592:R593"/>
    <mergeCell ref="S592:S593"/>
    <mergeCell ref="T591:T593"/>
    <mergeCell ref="U591:W593"/>
    <mergeCell ref="B592:B593"/>
    <mergeCell ref="Q592:Q593"/>
    <mergeCell ref="E592:E593"/>
    <mergeCell ref="F592:F593"/>
    <mergeCell ref="G592:G593"/>
    <mergeCell ref="H592:H593"/>
    <mergeCell ref="I592:P592"/>
    <mergeCell ref="C592:D593"/>
    <mergeCell ref="B589:C589"/>
    <mergeCell ref="D589:H589"/>
    <mergeCell ref="K587:L589"/>
    <mergeCell ref="M587:N589"/>
    <mergeCell ref="B587:C587"/>
    <mergeCell ref="B591:H591"/>
    <mergeCell ref="I591:S591"/>
    <mergeCell ref="O587:Q589"/>
    <mergeCell ref="R587:S589"/>
    <mergeCell ref="I587:J589"/>
    <mergeCell ref="B588:C588"/>
    <mergeCell ref="D588:H588"/>
    <mergeCell ref="U573:W573"/>
    <mergeCell ref="C574:D574"/>
    <mergeCell ref="U574:W574"/>
    <mergeCell ref="O585:S585"/>
    <mergeCell ref="D587:H587"/>
    <mergeCell ref="T586:U586"/>
    <mergeCell ref="C575:D575"/>
    <mergeCell ref="U575:W575"/>
    <mergeCell ref="C576:D576"/>
    <mergeCell ref="U576:W576"/>
    <mergeCell ref="B580:W580"/>
    <mergeCell ref="O584:S584"/>
    <mergeCell ref="T584:W584"/>
    <mergeCell ref="B585:C585"/>
    <mergeCell ref="U572:W572"/>
    <mergeCell ref="T568:T570"/>
    <mergeCell ref="U568:W570"/>
    <mergeCell ref="I569:P569"/>
    <mergeCell ref="Q569:Q570"/>
    <mergeCell ref="R569:R570"/>
    <mergeCell ref="S569:S570"/>
    <mergeCell ref="I568:S568"/>
    <mergeCell ref="C571:D571"/>
    <mergeCell ref="L585:N586"/>
    <mergeCell ref="C572:D572"/>
    <mergeCell ref="G569:G570"/>
    <mergeCell ref="C573:D573"/>
    <mergeCell ref="O586:S586"/>
    <mergeCell ref="E569:E570"/>
    <mergeCell ref="F569:F570"/>
    <mergeCell ref="H569:H570"/>
    <mergeCell ref="B568:H568"/>
    <mergeCell ref="B578:W578"/>
    <mergeCell ref="R564:S566"/>
    <mergeCell ref="B565:C565"/>
    <mergeCell ref="D565:H565"/>
    <mergeCell ref="B566:C566"/>
    <mergeCell ref="D566:H566"/>
    <mergeCell ref="K564:N566"/>
    <mergeCell ref="U571:W571"/>
    <mergeCell ref="B569:B570"/>
    <mergeCell ref="C569:D570"/>
    <mergeCell ref="T564:U566"/>
    <mergeCell ref="V564:W566"/>
    <mergeCell ref="B564:C564"/>
    <mergeCell ref="D564:H564"/>
    <mergeCell ref="I564:J566"/>
    <mergeCell ref="O564:Q566"/>
    <mergeCell ref="U553:W553"/>
    <mergeCell ref="B555:W555"/>
    <mergeCell ref="B557:W557"/>
    <mergeCell ref="O562:S562"/>
    <mergeCell ref="B558:W558"/>
    <mergeCell ref="B561:C561"/>
    <mergeCell ref="B559:W559"/>
    <mergeCell ref="O561:S561"/>
    <mergeCell ref="T561:W561"/>
    <mergeCell ref="I545:S545"/>
    <mergeCell ref="R546:R547"/>
    <mergeCell ref="U545:W547"/>
    <mergeCell ref="B562:C562"/>
    <mergeCell ref="L562:N563"/>
    <mergeCell ref="G546:G547"/>
    <mergeCell ref="S546:S547"/>
    <mergeCell ref="C551:D551"/>
    <mergeCell ref="U550:W550"/>
    <mergeCell ref="O563:S563"/>
    <mergeCell ref="H546:H547"/>
    <mergeCell ref="I546:P546"/>
    <mergeCell ref="Q546:Q547"/>
    <mergeCell ref="C548:D548"/>
    <mergeCell ref="U548:W548"/>
    <mergeCell ref="C549:D549"/>
    <mergeCell ref="U549:W549"/>
    <mergeCell ref="B584:C584"/>
    <mergeCell ref="U551:W551"/>
    <mergeCell ref="C550:D550"/>
    <mergeCell ref="T563:U563"/>
    <mergeCell ref="C552:D552"/>
    <mergeCell ref="U552:W552"/>
    <mergeCell ref="C553:D553"/>
    <mergeCell ref="B582:W582"/>
    <mergeCell ref="B541:C541"/>
    <mergeCell ref="D541:H541"/>
    <mergeCell ref="I541:J543"/>
    <mergeCell ref="K541:Q543"/>
    <mergeCell ref="T541:W543"/>
    <mergeCell ref="R541:S543"/>
    <mergeCell ref="T545:T547"/>
    <mergeCell ref="B546:B547"/>
    <mergeCell ref="C546:D547"/>
    <mergeCell ref="B535:W535"/>
    <mergeCell ref="B536:W536"/>
    <mergeCell ref="B545:H545"/>
    <mergeCell ref="B581:W581"/>
    <mergeCell ref="E546:E547"/>
    <mergeCell ref="F546:F547"/>
    <mergeCell ref="B542:C542"/>
    <mergeCell ref="D542:H542"/>
    <mergeCell ref="B543:C543"/>
    <mergeCell ref="D543:H543"/>
    <mergeCell ref="O540:S540"/>
    <mergeCell ref="B538:C538"/>
    <mergeCell ref="O538:S538"/>
    <mergeCell ref="T538:W538"/>
    <mergeCell ref="T540:U540"/>
    <mergeCell ref="C529:D529"/>
    <mergeCell ref="U529:W529"/>
    <mergeCell ref="C530:D530"/>
    <mergeCell ref="U530:W530"/>
    <mergeCell ref="B532:W532"/>
    <mergeCell ref="B534:W534"/>
    <mergeCell ref="B539:C539"/>
    <mergeCell ref="L539:N540"/>
    <mergeCell ref="O539:S539"/>
    <mergeCell ref="B522:H522"/>
    <mergeCell ref="I522:S522"/>
    <mergeCell ref="C527:D527"/>
    <mergeCell ref="U527:W527"/>
    <mergeCell ref="B523:B524"/>
    <mergeCell ref="C523:D524"/>
    <mergeCell ref="E523:E524"/>
    <mergeCell ref="F523:F524"/>
    <mergeCell ref="G523:G524"/>
    <mergeCell ref="H523:H524"/>
    <mergeCell ref="C528:D528"/>
    <mergeCell ref="U528:W528"/>
    <mergeCell ref="C525:D525"/>
    <mergeCell ref="U525:W525"/>
    <mergeCell ref="C526:D526"/>
    <mergeCell ref="U526:W526"/>
    <mergeCell ref="I518:J520"/>
    <mergeCell ref="O518:Q520"/>
    <mergeCell ref="T522:T524"/>
    <mergeCell ref="U522:W524"/>
    <mergeCell ref="R523:R524"/>
    <mergeCell ref="S523:S524"/>
    <mergeCell ref="I523:P523"/>
    <mergeCell ref="Q523:Q524"/>
    <mergeCell ref="V518:W520"/>
    <mergeCell ref="K518:L520"/>
    <mergeCell ref="B519:C519"/>
    <mergeCell ref="D519:H519"/>
    <mergeCell ref="B520:C520"/>
    <mergeCell ref="D520:H520"/>
    <mergeCell ref="B515:C515"/>
    <mergeCell ref="O515:S515"/>
    <mergeCell ref="T515:W515"/>
    <mergeCell ref="M518:N520"/>
    <mergeCell ref="T518:T520"/>
    <mergeCell ref="U518:U520"/>
    <mergeCell ref="T517:U517"/>
    <mergeCell ref="R518:S520"/>
    <mergeCell ref="B518:C518"/>
    <mergeCell ref="D518:H518"/>
    <mergeCell ref="B516:C516"/>
    <mergeCell ref="L516:N517"/>
    <mergeCell ref="O516:S516"/>
    <mergeCell ref="O517:S517"/>
    <mergeCell ref="C507:D507"/>
    <mergeCell ref="U507:W507"/>
    <mergeCell ref="B509:W509"/>
    <mergeCell ref="B511:W511"/>
    <mergeCell ref="B512:W512"/>
    <mergeCell ref="B513:W513"/>
    <mergeCell ref="R500:R501"/>
    <mergeCell ref="S500:S501"/>
    <mergeCell ref="T499:T501"/>
    <mergeCell ref="U499:W501"/>
    <mergeCell ref="I500:P500"/>
    <mergeCell ref="Q500:Q501"/>
    <mergeCell ref="C506:D506"/>
    <mergeCell ref="U506:W506"/>
    <mergeCell ref="C502:D502"/>
    <mergeCell ref="U502:W502"/>
    <mergeCell ref="C503:D503"/>
    <mergeCell ref="U503:W503"/>
    <mergeCell ref="C504:D504"/>
    <mergeCell ref="U504:W504"/>
    <mergeCell ref="C505:D505"/>
    <mergeCell ref="U505:W505"/>
    <mergeCell ref="D496:H496"/>
    <mergeCell ref="B497:C497"/>
    <mergeCell ref="D497:H497"/>
    <mergeCell ref="K495:N497"/>
    <mergeCell ref="G500:G501"/>
    <mergeCell ref="H500:H501"/>
    <mergeCell ref="B499:H499"/>
    <mergeCell ref="I499:S499"/>
    <mergeCell ref="B500:B501"/>
    <mergeCell ref="C500:D501"/>
    <mergeCell ref="E500:E501"/>
    <mergeCell ref="F500:F501"/>
    <mergeCell ref="B489:W489"/>
    <mergeCell ref="B490:W490"/>
    <mergeCell ref="T495:U497"/>
    <mergeCell ref="O495:Q497"/>
    <mergeCell ref="V495:W497"/>
    <mergeCell ref="B495:C495"/>
    <mergeCell ref="D495:H495"/>
    <mergeCell ref="I495:J497"/>
    <mergeCell ref="R495:S497"/>
    <mergeCell ref="B496:C496"/>
    <mergeCell ref="O494:S494"/>
    <mergeCell ref="B492:C492"/>
    <mergeCell ref="O492:S492"/>
    <mergeCell ref="T492:W492"/>
    <mergeCell ref="T494:U494"/>
    <mergeCell ref="C483:D483"/>
    <mergeCell ref="U483:W483"/>
    <mergeCell ref="C484:D484"/>
    <mergeCell ref="U484:W484"/>
    <mergeCell ref="B486:W486"/>
    <mergeCell ref="B488:W488"/>
    <mergeCell ref="B493:C493"/>
    <mergeCell ref="L493:N494"/>
    <mergeCell ref="O493:S493"/>
    <mergeCell ref="C481:D481"/>
    <mergeCell ref="U481:W481"/>
    <mergeCell ref="C482:D482"/>
    <mergeCell ref="U482:W482"/>
    <mergeCell ref="C479:D479"/>
    <mergeCell ref="U479:W479"/>
    <mergeCell ref="C480:D480"/>
    <mergeCell ref="U480:W480"/>
    <mergeCell ref="B476:H476"/>
    <mergeCell ref="I476:S476"/>
    <mergeCell ref="T472:W474"/>
    <mergeCell ref="T476:T478"/>
    <mergeCell ref="U476:W478"/>
    <mergeCell ref="B477:B478"/>
    <mergeCell ref="C477:D478"/>
    <mergeCell ref="I477:P477"/>
    <mergeCell ref="E477:E478"/>
    <mergeCell ref="F477:F478"/>
    <mergeCell ref="O471:S471"/>
    <mergeCell ref="I472:J474"/>
    <mergeCell ref="R472:S474"/>
    <mergeCell ref="Q477:Q478"/>
    <mergeCell ref="R477:R478"/>
    <mergeCell ref="S477:S478"/>
    <mergeCell ref="G477:G478"/>
    <mergeCell ref="H477:H478"/>
    <mergeCell ref="K472:Q474"/>
    <mergeCell ref="B463:W463"/>
    <mergeCell ref="B465:W465"/>
    <mergeCell ref="T471:U471"/>
    <mergeCell ref="B472:C472"/>
    <mergeCell ref="D472:H472"/>
    <mergeCell ref="B473:C473"/>
    <mergeCell ref="D473:H473"/>
    <mergeCell ref="B474:C474"/>
    <mergeCell ref="D474:H474"/>
    <mergeCell ref="U460:W460"/>
    <mergeCell ref="C461:D461"/>
    <mergeCell ref="U461:W461"/>
    <mergeCell ref="B467:W467"/>
    <mergeCell ref="B470:C470"/>
    <mergeCell ref="L470:N471"/>
    <mergeCell ref="O470:S470"/>
    <mergeCell ref="C460:D460"/>
    <mergeCell ref="B469:C469"/>
    <mergeCell ref="O469:S469"/>
    <mergeCell ref="T469:W469"/>
    <mergeCell ref="C456:D456"/>
    <mergeCell ref="U456:W456"/>
    <mergeCell ref="C457:D457"/>
    <mergeCell ref="U457:W457"/>
    <mergeCell ref="C458:D458"/>
    <mergeCell ref="U458:W458"/>
    <mergeCell ref="C459:D459"/>
    <mergeCell ref="U459:W459"/>
    <mergeCell ref="B466:W466"/>
    <mergeCell ref="T449:U451"/>
    <mergeCell ref="R449:S451"/>
    <mergeCell ref="Q454:Q455"/>
    <mergeCell ref="R454:R455"/>
    <mergeCell ref="S454:S455"/>
    <mergeCell ref="I453:S453"/>
    <mergeCell ref="I454:P454"/>
    <mergeCell ref="D450:H450"/>
    <mergeCell ref="U453:W455"/>
    <mergeCell ref="B454:B455"/>
    <mergeCell ref="C454:D455"/>
    <mergeCell ref="E454:E455"/>
    <mergeCell ref="B453:H453"/>
    <mergeCell ref="F454:F455"/>
    <mergeCell ref="G454:G455"/>
    <mergeCell ref="H454:H455"/>
    <mergeCell ref="T453:T455"/>
    <mergeCell ref="V449:W451"/>
    <mergeCell ref="B450:C450"/>
    <mergeCell ref="B451:C451"/>
    <mergeCell ref="D451:H451"/>
    <mergeCell ref="N449:Q451"/>
    <mergeCell ref="B449:C449"/>
    <mergeCell ref="D449:H449"/>
    <mergeCell ref="I449:J451"/>
    <mergeCell ref="U437:W437"/>
    <mergeCell ref="B440:W440"/>
    <mergeCell ref="B442:W442"/>
    <mergeCell ref="B443:W443"/>
    <mergeCell ref="C438:D438"/>
    <mergeCell ref="U438:W438"/>
    <mergeCell ref="B444:W444"/>
    <mergeCell ref="K449:M451"/>
    <mergeCell ref="O447:S447"/>
    <mergeCell ref="O448:S448"/>
    <mergeCell ref="T448:U448"/>
    <mergeCell ref="B447:C447"/>
    <mergeCell ref="B446:C446"/>
    <mergeCell ref="O446:S446"/>
    <mergeCell ref="T446:W446"/>
    <mergeCell ref="L447:N448"/>
    <mergeCell ref="C434:D434"/>
    <mergeCell ref="U434:W434"/>
    <mergeCell ref="C435:D435"/>
    <mergeCell ref="U435:W435"/>
    <mergeCell ref="C436:D436"/>
    <mergeCell ref="U436:W436"/>
    <mergeCell ref="C437:D437"/>
    <mergeCell ref="G431:G432"/>
    <mergeCell ref="H431:H432"/>
    <mergeCell ref="I431:P431"/>
    <mergeCell ref="Q431:Q432"/>
    <mergeCell ref="R431:R432"/>
    <mergeCell ref="S431:S432"/>
    <mergeCell ref="C433:D433"/>
    <mergeCell ref="U433:W433"/>
    <mergeCell ref="B423:C423"/>
    <mergeCell ref="V426:W428"/>
    <mergeCell ref="B430:H430"/>
    <mergeCell ref="I430:S430"/>
    <mergeCell ref="T430:T432"/>
    <mergeCell ref="U430:W432"/>
    <mergeCell ref="B431:B432"/>
    <mergeCell ref="C431:D432"/>
    <mergeCell ref="E431:E432"/>
    <mergeCell ref="F431:F432"/>
    <mergeCell ref="U414:W414"/>
    <mergeCell ref="B419:W419"/>
    <mergeCell ref="B420:W420"/>
    <mergeCell ref="B421:W421"/>
    <mergeCell ref="C415:D415"/>
    <mergeCell ref="U415:W415"/>
    <mergeCell ref="C414:D414"/>
    <mergeCell ref="B417:W417"/>
    <mergeCell ref="B427:C427"/>
    <mergeCell ref="D427:H427"/>
    <mergeCell ref="B428:C428"/>
    <mergeCell ref="N426:O428"/>
    <mergeCell ref="D428:H428"/>
    <mergeCell ref="B426:C426"/>
    <mergeCell ref="D426:H426"/>
    <mergeCell ref="I426:J428"/>
    <mergeCell ref="K426:M428"/>
    <mergeCell ref="P426:Q428"/>
    <mergeCell ref="R426:S428"/>
    <mergeCell ref="T426:T428"/>
    <mergeCell ref="O423:S423"/>
    <mergeCell ref="T423:W423"/>
    <mergeCell ref="T425:U425"/>
    <mergeCell ref="U426:U428"/>
    <mergeCell ref="C413:D413"/>
    <mergeCell ref="U413:W413"/>
    <mergeCell ref="C410:D410"/>
    <mergeCell ref="U410:W410"/>
    <mergeCell ref="C411:D411"/>
    <mergeCell ref="U411:W411"/>
    <mergeCell ref="C412:D412"/>
    <mergeCell ref="U412:W412"/>
    <mergeCell ref="H408:H409"/>
    <mergeCell ref="I408:P408"/>
    <mergeCell ref="Q408:Q409"/>
    <mergeCell ref="R408:R409"/>
    <mergeCell ref="U407:W409"/>
    <mergeCell ref="B408:B409"/>
    <mergeCell ref="C408:D409"/>
    <mergeCell ref="E408:E409"/>
    <mergeCell ref="F408:F409"/>
    <mergeCell ref="G408:G409"/>
    <mergeCell ref="B407:H407"/>
    <mergeCell ref="I407:S407"/>
    <mergeCell ref="T407:T409"/>
    <mergeCell ref="S408:S409"/>
    <mergeCell ref="T402:U402"/>
    <mergeCell ref="B403:C403"/>
    <mergeCell ref="D403:H403"/>
    <mergeCell ref="I403:J405"/>
    <mergeCell ref="K403:M405"/>
    <mergeCell ref="N403:O405"/>
    <mergeCell ref="P403:Q405"/>
    <mergeCell ref="T403:T405"/>
    <mergeCell ref="U403:U405"/>
    <mergeCell ref="B401:C401"/>
    <mergeCell ref="L401:N402"/>
    <mergeCell ref="O401:S401"/>
    <mergeCell ref="O402:S402"/>
    <mergeCell ref="V403:W405"/>
    <mergeCell ref="B404:C404"/>
    <mergeCell ref="D404:H404"/>
    <mergeCell ref="B405:C405"/>
    <mergeCell ref="D405:H405"/>
    <mergeCell ref="R403:S405"/>
    <mergeCell ref="C387:D387"/>
    <mergeCell ref="C391:D391"/>
    <mergeCell ref="U391:W391"/>
    <mergeCell ref="C392:D392"/>
    <mergeCell ref="U392:W392"/>
    <mergeCell ref="C389:D389"/>
    <mergeCell ref="U389:W389"/>
    <mergeCell ref="C390:D390"/>
    <mergeCell ref="U390:W390"/>
    <mergeCell ref="U387:W387"/>
    <mergeCell ref="T400:W400"/>
    <mergeCell ref="B396:W396"/>
    <mergeCell ref="B397:W397"/>
    <mergeCell ref="B398:W398"/>
    <mergeCell ref="B400:C400"/>
    <mergeCell ref="O400:S400"/>
    <mergeCell ref="C388:D388"/>
    <mergeCell ref="U388:W388"/>
    <mergeCell ref="T380:U382"/>
    <mergeCell ref="G385:G386"/>
    <mergeCell ref="H385:H386"/>
    <mergeCell ref="T384:T386"/>
    <mergeCell ref="U384:W386"/>
    <mergeCell ref="I385:P385"/>
    <mergeCell ref="K380:M382"/>
    <mergeCell ref="B384:H384"/>
    <mergeCell ref="I384:S384"/>
    <mergeCell ref="V380:W382"/>
    <mergeCell ref="B385:B386"/>
    <mergeCell ref="C385:D386"/>
    <mergeCell ref="E385:E386"/>
    <mergeCell ref="F385:F386"/>
    <mergeCell ref="Q385:Q386"/>
    <mergeCell ref="R385:R386"/>
    <mergeCell ref="S385:S386"/>
    <mergeCell ref="B380:C380"/>
    <mergeCell ref="D380:H380"/>
    <mergeCell ref="I380:J382"/>
    <mergeCell ref="R380:S382"/>
    <mergeCell ref="B381:C381"/>
    <mergeCell ref="D381:H381"/>
    <mergeCell ref="B382:C382"/>
    <mergeCell ref="D382:H382"/>
    <mergeCell ref="N380:Q382"/>
    <mergeCell ref="B374:W374"/>
    <mergeCell ref="B375:W375"/>
    <mergeCell ref="B377:C377"/>
    <mergeCell ref="O377:S377"/>
    <mergeCell ref="T377:W377"/>
    <mergeCell ref="B378:C378"/>
    <mergeCell ref="L378:N379"/>
    <mergeCell ref="O378:S378"/>
    <mergeCell ref="O379:S379"/>
    <mergeCell ref="T379:U379"/>
    <mergeCell ref="U357:V359"/>
    <mergeCell ref="W357:W359"/>
    <mergeCell ref="B371:W371"/>
    <mergeCell ref="B373:W373"/>
    <mergeCell ref="C368:D368"/>
    <mergeCell ref="U368:W368"/>
    <mergeCell ref="C369:D369"/>
    <mergeCell ref="U369:W369"/>
    <mergeCell ref="C366:D366"/>
    <mergeCell ref="U366:W366"/>
    <mergeCell ref="C367:D367"/>
    <mergeCell ref="U367:W367"/>
    <mergeCell ref="C364:D364"/>
    <mergeCell ref="U364:W364"/>
    <mergeCell ref="C365:D365"/>
    <mergeCell ref="U365:W365"/>
    <mergeCell ref="T361:T363"/>
    <mergeCell ref="U361:W363"/>
    <mergeCell ref="B362:B363"/>
    <mergeCell ref="C362:D363"/>
    <mergeCell ref="E362:E363"/>
    <mergeCell ref="F362:F363"/>
    <mergeCell ref="Q362:Q363"/>
    <mergeCell ref="G362:G363"/>
    <mergeCell ref="H362:H363"/>
    <mergeCell ref="I362:P362"/>
    <mergeCell ref="B394:W394"/>
    <mergeCell ref="B354:C354"/>
    <mergeCell ref="O354:S354"/>
    <mergeCell ref="T354:W354"/>
    <mergeCell ref="B355:C355"/>
    <mergeCell ref="L355:N356"/>
    <mergeCell ref="R362:R363"/>
    <mergeCell ref="S362:S363"/>
    <mergeCell ref="B361:H361"/>
    <mergeCell ref="K357:L359"/>
    <mergeCell ref="I361:S361"/>
    <mergeCell ref="B352:W352"/>
    <mergeCell ref="R357:S359"/>
    <mergeCell ref="B358:C358"/>
    <mergeCell ref="D358:H358"/>
    <mergeCell ref="B359:C359"/>
    <mergeCell ref="T357:T359"/>
    <mergeCell ref="B357:C357"/>
    <mergeCell ref="D357:H357"/>
    <mergeCell ref="I357:J359"/>
    <mergeCell ref="D359:H359"/>
    <mergeCell ref="C345:D345"/>
    <mergeCell ref="U345:W345"/>
    <mergeCell ref="M357:O359"/>
    <mergeCell ref="P357:Q359"/>
    <mergeCell ref="O355:S355"/>
    <mergeCell ref="O356:S356"/>
    <mergeCell ref="T356:U356"/>
    <mergeCell ref="B348:W348"/>
    <mergeCell ref="B350:W350"/>
    <mergeCell ref="C342:D342"/>
    <mergeCell ref="U342:W342"/>
    <mergeCell ref="B351:W351"/>
    <mergeCell ref="C343:D343"/>
    <mergeCell ref="U343:W343"/>
    <mergeCell ref="C344:D344"/>
    <mergeCell ref="U344:W344"/>
    <mergeCell ref="C346:D346"/>
    <mergeCell ref="U346:W346"/>
    <mergeCell ref="C341:D341"/>
    <mergeCell ref="U341:W341"/>
    <mergeCell ref="B338:H338"/>
    <mergeCell ref="I338:S338"/>
    <mergeCell ref="T338:T340"/>
    <mergeCell ref="S339:S340"/>
    <mergeCell ref="U338:W340"/>
    <mergeCell ref="B339:B340"/>
    <mergeCell ref="C339:D340"/>
    <mergeCell ref="E339:E340"/>
    <mergeCell ref="F339:F340"/>
    <mergeCell ref="G339:G340"/>
    <mergeCell ref="R334:S336"/>
    <mergeCell ref="T334:W336"/>
    <mergeCell ref="H339:H340"/>
    <mergeCell ref="I339:P339"/>
    <mergeCell ref="Q339:Q340"/>
    <mergeCell ref="R339:R340"/>
    <mergeCell ref="B328:W328"/>
    <mergeCell ref="B329:W329"/>
    <mergeCell ref="B334:C334"/>
    <mergeCell ref="D334:H334"/>
    <mergeCell ref="I334:J336"/>
    <mergeCell ref="K334:Q336"/>
    <mergeCell ref="B335:C335"/>
    <mergeCell ref="D335:H335"/>
    <mergeCell ref="B336:C336"/>
    <mergeCell ref="D336:H336"/>
    <mergeCell ref="O333:S333"/>
    <mergeCell ref="B331:C331"/>
    <mergeCell ref="O331:S331"/>
    <mergeCell ref="T331:W331"/>
    <mergeCell ref="T333:U333"/>
    <mergeCell ref="C322:D322"/>
    <mergeCell ref="U322:W322"/>
    <mergeCell ref="C323:D323"/>
    <mergeCell ref="U323:W323"/>
    <mergeCell ref="B325:W325"/>
    <mergeCell ref="B327:W327"/>
    <mergeCell ref="B332:C332"/>
    <mergeCell ref="L332:N333"/>
    <mergeCell ref="O332:S332"/>
    <mergeCell ref="C320:D320"/>
    <mergeCell ref="U320:W320"/>
    <mergeCell ref="C321:D321"/>
    <mergeCell ref="U321:W321"/>
    <mergeCell ref="C318:D318"/>
    <mergeCell ref="U318:W318"/>
    <mergeCell ref="C319:D319"/>
    <mergeCell ref="U319:W319"/>
    <mergeCell ref="B316:B317"/>
    <mergeCell ref="C316:D317"/>
    <mergeCell ref="I316:P316"/>
    <mergeCell ref="Q316:Q317"/>
    <mergeCell ref="R316:R317"/>
    <mergeCell ref="S316:S317"/>
    <mergeCell ref="I315:S315"/>
    <mergeCell ref="E316:E317"/>
    <mergeCell ref="F316:F317"/>
    <mergeCell ref="G316:G317"/>
    <mergeCell ref="H316:H317"/>
    <mergeCell ref="T311:W313"/>
    <mergeCell ref="T315:T317"/>
    <mergeCell ref="U315:W317"/>
    <mergeCell ref="B315:H315"/>
    <mergeCell ref="B311:C311"/>
    <mergeCell ref="D311:H311"/>
    <mergeCell ref="I311:J313"/>
    <mergeCell ref="R311:S313"/>
    <mergeCell ref="B312:C312"/>
    <mergeCell ref="D312:H312"/>
    <mergeCell ref="B313:C313"/>
    <mergeCell ref="D313:H313"/>
    <mergeCell ref="K311:Q313"/>
    <mergeCell ref="B308:C308"/>
    <mergeCell ref="O308:S308"/>
    <mergeCell ref="T308:W308"/>
    <mergeCell ref="T310:U310"/>
    <mergeCell ref="B309:C309"/>
    <mergeCell ref="L309:N310"/>
    <mergeCell ref="O309:S309"/>
    <mergeCell ref="O310:S310"/>
    <mergeCell ref="O10:S10"/>
    <mergeCell ref="B304:W304"/>
    <mergeCell ref="B305:W305"/>
    <mergeCell ref="B306:W306"/>
    <mergeCell ref="W11:W13"/>
    <mergeCell ref="B11:C11"/>
    <mergeCell ref="B302:W302"/>
    <mergeCell ref="T10:U10"/>
    <mergeCell ref="B13:C13"/>
    <mergeCell ref="D13:H13"/>
    <mergeCell ref="R16:R17"/>
    <mergeCell ref="S16:S17"/>
    <mergeCell ref="D12:H12"/>
    <mergeCell ref="P11:Q13"/>
    <mergeCell ref="G16:G17"/>
    <mergeCell ref="H16:H17"/>
    <mergeCell ref="E16:E17"/>
    <mergeCell ref="F16:F17"/>
    <mergeCell ref="B2:W2"/>
    <mergeCell ref="B4:W4"/>
    <mergeCell ref="B6:W6"/>
    <mergeCell ref="O9:S9"/>
    <mergeCell ref="B5:W5"/>
    <mergeCell ref="B8:C8"/>
    <mergeCell ref="O8:S8"/>
    <mergeCell ref="T8:W8"/>
    <mergeCell ref="B9:C9"/>
    <mergeCell ref="L9:N10"/>
    <mergeCell ref="C18:D18"/>
    <mergeCell ref="U18:W18"/>
    <mergeCell ref="B15:H15"/>
    <mergeCell ref="I15:S15"/>
    <mergeCell ref="T15:T17"/>
    <mergeCell ref="U15:W17"/>
    <mergeCell ref="B16:B17"/>
    <mergeCell ref="C16:D17"/>
    <mergeCell ref="I16:P16"/>
    <mergeCell ref="Q16:Q17"/>
    <mergeCell ref="C23:D23"/>
    <mergeCell ref="U23:W23"/>
    <mergeCell ref="C19:D19"/>
    <mergeCell ref="U19:W19"/>
    <mergeCell ref="C20:D20"/>
    <mergeCell ref="U20:W20"/>
    <mergeCell ref="C21:D21"/>
    <mergeCell ref="U21:W21"/>
    <mergeCell ref="C22:D22"/>
    <mergeCell ref="U22:W22"/>
    <mergeCell ref="H741:J741"/>
    <mergeCell ref="K741:P741"/>
    <mergeCell ref="Q741:S741"/>
    <mergeCell ref="B740:G740"/>
    <mergeCell ref="H740:J740"/>
    <mergeCell ref="K740:P740"/>
    <mergeCell ref="Q740:S740"/>
    <mergeCell ref="B741:G741"/>
    <mergeCell ref="W288:W290"/>
    <mergeCell ref="P288:Q290"/>
    <mergeCell ref="K288:L290"/>
    <mergeCell ref="T288:T290"/>
    <mergeCell ref="U288:V290"/>
    <mergeCell ref="B742:G742"/>
    <mergeCell ref="H742:J742"/>
    <mergeCell ref="K742:P742"/>
    <mergeCell ref="Q742:S742"/>
    <mergeCell ref="R293:R294"/>
    <mergeCell ref="S293:S294"/>
    <mergeCell ref="C300:D300"/>
    <mergeCell ref="U300:W300"/>
    <mergeCell ref="C297:D297"/>
    <mergeCell ref="U297:W297"/>
    <mergeCell ref="C298:D298"/>
    <mergeCell ref="U298:W298"/>
    <mergeCell ref="C299:D299"/>
    <mergeCell ref="U299:W299"/>
    <mergeCell ref="I293:P293"/>
    <mergeCell ref="Q293:Q294"/>
    <mergeCell ref="B293:B294"/>
    <mergeCell ref="C293:D294"/>
    <mergeCell ref="E293:E294"/>
    <mergeCell ref="F293:F294"/>
    <mergeCell ref="C296:D296"/>
    <mergeCell ref="U296:W296"/>
    <mergeCell ref="B292:H292"/>
    <mergeCell ref="I292:S292"/>
    <mergeCell ref="T292:T294"/>
    <mergeCell ref="U292:W294"/>
    <mergeCell ref="C295:D295"/>
    <mergeCell ref="U295:W295"/>
    <mergeCell ref="G293:G294"/>
    <mergeCell ref="H293:H294"/>
    <mergeCell ref="B286:C286"/>
    <mergeCell ref="L286:N287"/>
    <mergeCell ref="O286:S286"/>
    <mergeCell ref="O287:S287"/>
    <mergeCell ref="T287:U287"/>
    <mergeCell ref="B288:C288"/>
    <mergeCell ref="D288:H288"/>
    <mergeCell ref="I288:J290"/>
    <mergeCell ref="B289:C289"/>
    <mergeCell ref="D289:H289"/>
    <mergeCell ref="B290:C290"/>
    <mergeCell ref="D290:H290"/>
    <mergeCell ref="M288:O290"/>
    <mergeCell ref="R288:S290"/>
    <mergeCell ref="U276:W276"/>
    <mergeCell ref="B282:W282"/>
    <mergeCell ref="B283:W283"/>
    <mergeCell ref="B285:C285"/>
    <mergeCell ref="O285:S285"/>
    <mergeCell ref="T285:W285"/>
    <mergeCell ref="C277:D277"/>
    <mergeCell ref="U277:W277"/>
    <mergeCell ref="B281:W281"/>
    <mergeCell ref="B279:W279"/>
    <mergeCell ref="U274:W274"/>
    <mergeCell ref="U269:W271"/>
    <mergeCell ref="C270:D271"/>
    <mergeCell ref="E270:E271"/>
    <mergeCell ref="F270:F271"/>
    <mergeCell ref="G270:G271"/>
    <mergeCell ref="Q270:Q271"/>
    <mergeCell ref="C275:D275"/>
    <mergeCell ref="U275:W275"/>
    <mergeCell ref="C276:D276"/>
    <mergeCell ref="T269:T271"/>
    <mergeCell ref="H270:H271"/>
    <mergeCell ref="C272:D272"/>
    <mergeCell ref="U272:W272"/>
    <mergeCell ref="C273:D273"/>
    <mergeCell ref="U273:W273"/>
    <mergeCell ref="C274:D274"/>
    <mergeCell ref="S270:S271"/>
    <mergeCell ref="I270:P270"/>
    <mergeCell ref="R265:S267"/>
    <mergeCell ref="B269:H269"/>
    <mergeCell ref="I269:S269"/>
    <mergeCell ref="D265:H265"/>
    <mergeCell ref="I265:J267"/>
    <mergeCell ref="B266:C266"/>
    <mergeCell ref="D266:H266"/>
    <mergeCell ref="T264:U264"/>
    <mergeCell ref="B262:C262"/>
    <mergeCell ref="O262:S262"/>
    <mergeCell ref="U253:W253"/>
    <mergeCell ref="C254:D254"/>
    <mergeCell ref="U254:W254"/>
    <mergeCell ref="B256:W256"/>
    <mergeCell ref="B258:W258"/>
    <mergeCell ref="T262:W262"/>
    <mergeCell ref="B260:W260"/>
    <mergeCell ref="C249:D249"/>
    <mergeCell ref="U249:W249"/>
    <mergeCell ref="C250:D250"/>
    <mergeCell ref="U250:W250"/>
    <mergeCell ref="C251:D251"/>
    <mergeCell ref="U251:W251"/>
    <mergeCell ref="C252:D252"/>
    <mergeCell ref="U252:W252"/>
    <mergeCell ref="C253:D253"/>
    <mergeCell ref="R270:R271"/>
    <mergeCell ref="K265:L267"/>
    <mergeCell ref="M265:O267"/>
    <mergeCell ref="P265:Q267"/>
    <mergeCell ref="B263:C263"/>
    <mergeCell ref="L263:N264"/>
    <mergeCell ref="O263:S263"/>
    <mergeCell ref="O264:S264"/>
    <mergeCell ref="B270:B271"/>
    <mergeCell ref="B247:B248"/>
    <mergeCell ref="C247:D248"/>
    <mergeCell ref="R247:R248"/>
    <mergeCell ref="S247:S248"/>
    <mergeCell ref="G247:G248"/>
    <mergeCell ref="E247:E248"/>
    <mergeCell ref="F247:F248"/>
    <mergeCell ref="H247:H248"/>
    <mergeCell ref="I247:P247"/>
    <mergeCell ref="W265:W267"/>
    <mergeCell ref="B265:C265"/>
    <mergeCell ref="B267:C267"/>
    <mergeCell ref="D267:H267"/>
    <mergeCell ref="T265:T267"/>
    <mergeCell ref="U265:V267"/>
    <mergeCell ref="Q247:Q248"/>
    <mergeCell ref="B259:W259"/>
    <mergeCell ref="B244:C244"/>
    <mergeCell ref="D244:H244"/>
    <mergeCell ref="K242:Q244"/>
    <mergeCell ref="R242:S244"/>
    <mergeCell ref="T242:W244"/>
    <mergeCell ref="B246:H246"/>
    <mergeCell ref="I246:S246"/>
    <mergeCell ref="T246:T248"/>
    <mergeCell ref="U246:W248"/>
    <mergeCell ref="B240:C240"/>
    <mergeCell ref="L240:N241"/>
    <mergeCell ref="O240:S240"/>
    <mergeCell ref="O241:S241"/>
    <mergeCell ref="T241:U241"/>
    <mergeCell ref="B242:C242"/>
    <mergeCell ref="D242:H242"/>
    <mergeCell ref="I242:J244"/>
    <mergeCell ref="B243:C243"/>
    <mergeCell ref="D243:H243"/>
    <mergeCell ref="B239:C239"/>
    <mergeCell ref="O239:S239"/>
    <mergeCell ref="T239:W239"/>
    <mergeCell ref="B235:W235"/>
    <mergeCell ref="B236:W236"/>
    <mergeCell ref="B237:W237"/>
    <mergeCell ref="U229:W229"/>
    <mergeCell ref="C230:D230"/>
    <mergeCell ref="U230:W230"/>
    <mergeCell ref="C231:D231"/>
    <mergeCell ref="U231:W231"/>
    <mergeCell ref="B233:W233"/>
    <mergeCell ref="C229:D229"/>
    <mergeCell ref="S224:S225"/>
    <mergeCell ref="T223:T225"/>
    <mergeCell ref="U223:W225"/>
    <mergeCell ref="B224:B225"/>
    <mergeCell ref="C224:D225"/>
    <mergeCell ref="E224:E225"/>
    <mergeCell ref="F224:F225"/>
    <mergeCell ref="G224:G225"/>
    <mergeCell ref="I223:S223"/>
    <mergeCell ref="U226:W226"/>
    <mergeCell ref="C227:D227"/>
    <mergeCell ref="U227:W227"/>
    <mergeCell ref="T219:U221"/>
    <mergeCell ref="V219:W221"/>
    <mergeCell ref="H224:H225"/>
    <mergeCell ref="I224:P224"/>
    <mergeCell ref="Q224:Q225"/>
    <mergeCell ref="R224:R225"/>
    <mergeCell ref="B219:C219"/>
    <mergeCell ref="B217:C217"/>
    <mergeCell ref="L217:N218"/>
    <mergeCell ref="D219:H219"/>
    <mergeCell ref="I219:J221"/>
    <mergeCell ref="B220:C220"/>
    <mergeCell ref="D220:H220"/>
    <mergeCell ref="B221:C221"/>
    <mergeCell ref="D221:H221"/>
    <mergeCell ref="O217:S217"/>
    <mergeCell ref="O218:S218"/>
    <mergeCell ref="T218:U218"/>
    <mergeCell ref="C228:D228"/>
    <mergeCell ref="U228:W228"/>
    <mergeCell ref="K219:M221"/>
    <mergeCell ref="R219:S221"/>
    <mergeCell ref="N219:Q221"/>
    <mergeCell ref="C226:D226"/>
    <mergeCell ref="B223:H223"/>
    <mergeCell ref="T199:T201"/>
    <mergeCell ref="B212:W212"/>
    <mergeCell ref="B216:C216"/>
    <mergeCell ref="O216:S216"/>
    <mergeCell ref="T216:W216"/>
    <mergeCell ref="B213:W213"/>
    <mergeCell ref="B214:W214"/>
    <mergeCell ref="C202:D202"/>
    <mergeCell ref="U202:W202"/>
    <mergeCell ref="C203:D203"/>
    <mergeCell ref="U203:W203"/>
    <mergeCell ref="B210:W210"/>
    <mergeCell ref="C204:D204"/>
    <mergeCell ref="U204:W204"/>
    <mergeCell ref="C205:D205"/>
    <mergeCell ref="U205:W205"/>
    <mergeCell ref="C206:D206"/>
    <mergeCell ref="U206:W206"/>
    <mergeCell ref="C207:D207"/>
    <mergeCell ref="U207:W207"/>
    <mergeCell ref="R200:R201"/>
    <mergeCell ref="S200:S201"/>
    <mergeCell ref="B199:H199"/>
    <mergeCell ref="I199:S199"/>
    <mergeCell ref="H200:H201"/>
    <mergeCell ref="G200:G201"/>
    <mergeCell ref="B200:B201"/>
    <mergeCell ref="C200:D201"/>
    <mergeCell ref="E200:E201"/>
    <mergeCell ref="F200:F201"/>
    <mergeCell ref="I200:P200"/>
    <mergeCell ref="Q200:Q201"/>
    <mergeCell ref="V195:V197"/>
    <mergeCell ref="W195:W197"/>
    <mergeCell ref="L195:M197"/>
    <mergeCell ref="Q195:Q197"/>
    <mergeCell ref="R195:S197"/>
    <mergeCell ref="T195:T197"/>
    <mergeCell ref="N195:P197"/>
    <mergeCell ref="U199:W201"/>
    <mergeCell ref="T194:U194"/>
    <mergeCell ref="B195:C195"/>
    <mergeCell ref="D195:H195"/>
    <mergeCell ref="I195:J197"/>
    <mergeCell ref="K195:K197"/>
    <mergeCell ref="B196:C196"/>
    <mergeCell ref="D196:H196"/>
    <mergeCell ref="B197:C197"/>
    <mergeCell ref="D197:H197"/>
    <mergeCell ref="U195:U197"/>
    <mergeCell ref="B193:C193"/>
    <mergeCell ref="L193:N194"/>
    <mergeCell ref="O193:S193"/>
    <mergeCell ref="O194:S194"/>
    <mergeCell ref="B188:W188"/>
    <mergeCell ref="B189:W189"/>
    <mergeCell ref="B190:W190"/>
    <mergeCell ref="B192:C192"/>
    <mergeCell ref="O192:S192"/>
    <mergeCell ref="T192:W192"/>
    <mergeCell ref="B186:W186"/>
    <mergeCell ref="N172:N174"/>
    <mergeCell ref="O172:P174"/>
    <mergeCell ref="T172:T174"/>
    <mergeCell ref="U172:U174"/>
    <mergeCell ref="C183:D183"/>
    <mergeCell ref="U183:W183"/>
    <mergeCell ref="C179:D179"/>
    <mergeCell ref="U179:W179"/>
    <mergeCell ref="C180:D180"/>
    <mergeCell ref="V172:V174"/>
    <mergeCell ref="W172:W173"/>
    <mergeCell ref="Q172:Q174"/>
    <mergeCell ref="C184:D184"/>
    <mergeCell ref="U184:W184"/>
    <mergeCell ref="C181:D181"/>
    <mergeCell ref="U181:W181"/>
    <mergeCell ref="C182:D182"/>
    <mergeCell ref="U182:W182"/>
    <mergeCell ref="U180:W180"/>
    <mergeCell ref="U176:W178"/>
    <mergeCell ref="I177:P177"/>
    <mergeCell ref="Q177:Q178"/>
    <mergeCell ref="R177:R178"/>
    <mergeCell ref="S177:S178"/>
    <mergeCell ref="I176:S176"/>
    <mergeCell ref="T176:T178"/>
    <mergeCell ref="B176:H176"/>
    <mergeCell ref="B172:C172"/>
    <mergeCell ref="D172:H172"/>
    <mergeCell ref="G177:G178"/>
    <mergeCell ref="H177:H178"/>
    <mergeCell ref="D174:H174"/>
    <mergeCell ref="B177:B178"/>
    <mergeCell ref="C177:D178"/>
    <mergeCell ref="E177:E178"/>
    <mergeCell ref="F177:F178"/>
    <mergeCell ref="B170:C170"/>
    <mergeCell ref="L170:N171"/>
    <mergeCell ref="O170:S170"/>
    <mergeCell ref="O171:S171"/>
    <mergeCell ref="T171:U171"/>
    <mergeCell ref="I172:J174"/>
    <mergeCell ref="R172:S174"/>
    <mergeCell ref="B173:C173"/>
    <mergeCell ref="D173:H173"/>
    <mergeCell ref="B174:C174"/>
    <mergeCell ref="L172:M174"/>
    <mergeCell ref="K172:K174"/>
    <mergeCell ref="B169:C169"/>
    <mergeCell ref="O169:S169"/>
    <mergeCell ref="T169:W169"/>
    <mergeCell ref="C157:D157"/>
    <mergeCell ref="U157:W157"/>
    <mergeCell ref="C158:D158"/>
    <mergeCell ref="U158:W158"/>
    <mergeCell ref="B165:W165"/>
    <mergeCell ref="C161:D161"/>
    <mergeCell ref="U161:W161"/>
    <mergeCell ref="S154:S155"/>
    <mergeCell ref="B153:H153"/>
    <mergeCell ref="C156:D156"/>
    <mergeCell ref="B167:W167"/>
    <mergeCell ref="C159:D159"/>
    <mergeCell ref="U159:W159"/>
    <mergeCell ref="C160:D160"/>
    <mergeCell ref="U160:W160"/>
    <mergeCell ref="B166:W166"/>
    <mergeCell ref="B163:W163"/>
    <mergeCell ref="I153:S153"/>
    <mergeCell ref="K149:Q151"/>
    <mergeCell ref="U156:W156"/>
    <mergeCell ref="B154:B155"/>
    <mergeCell ref="C154:D155"/>
    <mergeCell ref="E154:E155"/>
    <mergeCell ref="F154:F155"/>
    <mergeCell ref="G154:G155"/>
    <mergeCell ref="T153:T155"/>
    <mergeCell ref="U153:W155"/>
    <mergeCell ref="H154:H155"/>
    <mergeCell ref="I154:P154"/>
    <mergeCell ref="Q154:Q155"/>
    <mergeCell ref="R154:R155"/>
    <mergeCell ref="T148:U148"/>
    <mergeCell ref="B149:C149"/>
    <mergeCell ref="D149:H149"/>
    <mergeCell ref="I149:J151"/>
    <mergeCell ref="B150:C150"/>
    <mergeCell ref="D150:H150"/>
    <mergeCell ref="B151:C151"/>
    <mergeCell ref="D151:H151"/>
    <mergeCell ref="T149:W151"/>
    <mergeCell ref="R149:S151"/>
    <mergeCell ref="B147:C147"/>
    <mergeCell ref="L147:N148"/>
    <mergeCell ref="O147:S147"/>
    <mergeCell ref="O146:S146"/>
    <mergeCell ref="O148:S148"/>
    <mergeCell ref="T146:W146"/>
    <mergeCell ref="B144:W144"/>
    <mergeCell ref="F131:F132"/>
    <mergeCell ref="B131:B132"/>
    <mergeCell ref="B146:C146"/>
    <mergeCell ref="B143:W143"/>
    <mergeCell ref="U138:W138"/>
    <mergeCell ref="C138:D138"/>
    <mergeCell ref="G131:G132"/>
    <mergeCell ref="C135:D135"/>
    <mergeCell ref="C136:D136"/>
    <mergeCell ref="U136:W136"/>
    <mergeCell ref="Q131:Q132"/>
    <mergeCell ref="U133:W133"/>
    <mergeCell ref="U134:W134"/>
    <mergeCell ref="U130:W132"/>
    <mergeCell ref="R131:R132"/>
    <mergeCell ref="T130:T132"/>
    <mergeCell ref="H131:H132"/>
    <mergeCell ref="S131:S132"/>
    <mergeCell ref="V126:W128"/>
    <mergeCell ref="U135:W135"/>
    <mergeCell ref="D126:H126"/>
    <mergeCell ref="I126:J128"/>
    <mergeCell ref="C131:D132"/>
    <mergeCell ref="E131:E132"/>
    <mergeCell ref="C133:D133"/>
    <mergeCell ref="C134:D134"/>
    <mergeCell ref="K126:N128"/>
    <mergeCell ref="O126:Q128"/>
    <mergeCell ref="T126:U128"/>
    <mergeCell ref="R126:S128"/>
    <mergeCell ref="B126:C126"/>
    <mergeCell ref="I131:P131"/>
    <mergeCell ref="B140:W140"/>
    <mergeCell ref="B142:W142"/>
    <mergeCell ref="B127:C127"/>
    <mergeCell ref="D127:H127"/>
    <mergeCell ref="B128:C128"/>
    <mergeCell ref="D128:H128"/>
    <mergeCell ref="B130:H130"/>
    <mergeCell ref="I130:S130"/>
    <mergeCell ref="C137:D137"/>
    <mergeCell ref="U137:W137"/>
    <mergeCell ref="O125:S125"/>
    <mergeCell ref="B121:W121"/>
    <mergeCell ref="B123:C123"/>
    <mergeCell ref="O123:S123"/>
    <mergeCell ref="T123:W123"/>
    <mergeCell ref="T125:U125"/>
    <mergeCell ref="S108:S109"/>
    <mergeCell ref="U113:W113"/>
    <mergeCell ref="U115:W115"/>
    <mergeCell ref="B119:W119"/>
    <mergeCell ref="B120:W120"/>
    <mergeCell ref="B117:W117"/>
    <mergeCell ref="B124:C124"/>
    <mergeCell ref="L124:N125"/>
    <mergeCell ref="O124:S124"/>
    <mergeCell ref="C108:D109"/>
    <mergeCell ref="C114:D114"/>
    <mergeCell ref="C115:D115"/>
    <mergeCell ref="C112:D112"/>
    <mergeCell ref="C113:D113"/>
    <mergeCell ref="U103:V105"/>
    <mergeCell ref="U114:W114"/>
    <mergeCell ref="W103:W105"/>
    <mergeCell ref="I108:P108"/>
    <mergeCell ref="Q108:Q109"/>
    <mergeCell ref="R108:R109"/>
    <mergeCell ref="K103:M105"/>
    <mergeCell ref="U112:W112"/>
    <mergeCell ref="B103:C103"/>
    <mergeCell ref="C110:D110"/>
    <mergeCell ref="U110:W110"/>
    <mergeCell ref="R103:S105"/>
    <mergeCell ref="P103:Q105"/>
    <mergeCell ref="T103:T105"/>
    <mergeCell ref="B105:C105"/>
    <mergeCell ref="D105:H105"/>
    <mergeCell ref="I103:J105"/>
    <mergeCell ref="G108:G109"/>
    <mergeCell ref="C111:D111"/>
    <mergeCell ref="U111:W111"/>
    <mergeCell ref="B107:H107"/>
    <mergeCell ref="I107:S107"/>
    <mergeCell ref="T107:T109"/>
    <mergeCell ref="U107:W109"/>
    <mergeCell ref="H108:H109"/>
    <mergeCell ref="E108:E109"/>
    <mergeCell ref="F108:F109"/>
    <mergeCell ref="B108:B109"/>
    <mergeCell ref="B101:C101"/>
    <mergeCell ref="C92:D92"/>
    <mergeCell ref="B104:C104"/>
    <mergeCell ref="D104:H104"/>
    <mergeCell ref="D103:H103"/>
    <mergeCell ref="B98:W98"/>
    <mergeCell ref="B100:C100"/>
    <mergeCell ref="O100:S100"/>
    <mergeCell ref="T100:W100"/>
    <mergeCell ref="T102:U102"/>
    <mergeCell ref="L101:N102"/>
    <mergeCell ref="N103:O105"/>
    <mergeCell ref="U89:W89"/>
    <mergeCell ref="O101:S101"/>
    <mergeCell ref="O102:S102"/>
    <mergeCell ref="B94:W94"/>
    <mergeCell ref="B96:W96"/>
    <mergeCell ref="B97:W97"/>
    <mergeCell ref="C90:D90"/>
    <mergeCell ref="U90:W90"/>
    <mergeCell ref="B84:H84"/>
    <mergeCell ref="I84:S84"/>
    <mergeCell ref="T84:T86"/>
    <mergeCell ref="U84:W86"/>
    <mergeCell ref="B85:B86"/>
    <mergeCell ref="C85:D86"/>
    <mergeCell ref="E85:E86"/>
    <mergeCell ref="F85:F86"/>
    <mergeCell ref="U92:W92"/>
    <mergeCell ref="R85:R86"/>
    <mergeCell ref="C91:D91"/>
    <mergeCell ref="U91:W91"/>
    <mergeCell ref="U87:W87"/>
    <mergeCell ref="C88:D88"/>
    <mergeCell ref="U88:W88"/>
    <mergeCell ref="S85:S86"/>
    <mergeCell ref="I85:P85"/>
    <mergeCell ref="Q85:Q86"/>
    <mergeCell ref="V80:W82"/>
    <mergeCell ref="G85:G86"/>
    <mergeCell ref="H85:H86"/>
    <mergeCell ref="C89:D89"/>
    <mergeCell ref="B82:C82"/>
    <mergeCell ref="D82:H82"/>
    <mergeCell ref="R80:S82"/>
    <mergeCell ref="K80:M82"/>
    <mergeCell ref="N80:Q82"/>
    <mergeCell ref="C87:D87"/>
    <mergeCell ref="B78:C78"/>
    <mergeCell ref="L78:N79"/>
    <mergeCell ref="O78:S78"/>
    <mergeCell ref="O79:S79"/>
    <mergeCell ref="T79:U79"/>
    <mergeCell ref="B80:C80"/>
    <mergeCell ref="D80:H80"/>
    <mergeCell ref="I80:J82"/>
    <mergeCell ref="B81:C81"/>
    <mergeCell ref="D81:H81"/>
    <mergeCell ref="T80:U82"/>
    <mergeCell ref="B77:C77"/>
    <mergeCell ref="O77:S77"/>
    <mergeCell ref="T77:W77"/>
    <mergeCell ref="C69:D69"/>
    <mergeCell ref="U69:W69"/>
    <mergeCell ref="B71:W71"/>
    <mergeCell ref="B73:W73"/>
    <mergeCell ref="B74:W74"/>
    <mergeCell ref="B75:W75"/>
    <mergeCell ref="U57:U59"/>
    <mergeCell ref="V57:V59"/>
    <mergeCell ref="C68:D68"/>
    <mergeCell ref="U68:W68"/>
    <mergeCell ref="S62:S63"/>
    <mergeCell ref="C64:D64"/>
    <mergeCell ref="U64:W64"/>
    <mergeCell ref="G62:G63"/>
    <mergeCell ref="C66:D66"/>
    <mergeCell ref="U66:W66"/>
    <mergeCell ref="C67:D67"/>
    <mergeCell ref="U67:W67"/>
    <mergeCell ref="H62:H63"/>
    <mergeCell ref="I62:P62"/>
    <mergeCell ref="Q62:Q63"/>
    <mergeCell ref="R62:R63"/>
    <mergeCell ref="C65:D65"/>
    <mergeCell ref="U65:W65"/>
    <mergeCell ref="W57:W59"/>
    <mergeCell ref="B61:H61"/>
    <mergeCell ref="I61:S61"/>
    <mergeCell ref="T61:T63"/>
    <mergeCell ref="U61:W63"/>
    <mergeCell ref="B62:B63"/>
    <mergeCell ref="C62:D63"/>
    <mergeCell ref="E62:E63"/>
    <mergeCell ref="F62:F63"/>
    <mergeCell ref="L57:M59"/>
    <mergeCell ref="I57:J59"/>
    <mergeCell ref="B58:C58"/>
    <mergeCell ref="D58:H58"/>
    <mergeCell ref="T56:U56"/>
    <mergeCell ref="N57:O59"/>
    <mergeCell ref="R57:S59"/>
    <mergeCell ref="T57:T59"/>
    <mergeCell ref="P57:Q59"/>
    <mergeCell ref="B59:C59"/>
    <mergeCell ref="K57:K59"/>
    <mergeCell ref="D59:H59"/>
    <mergeCell ref="B54:C54"/>
    <mergeCell ref="O54:S54"/>
    <mergeCell ref="T54:W54"/>
    <mergeCell ref="B55:C55"/>
    <mergeCell ref="L55:N56"/>
    <mergeCell ref="O55:S55"/>
    <mergeCell ref="O56:S56"/>
    <mergeCell ref="B57:C57"/>
    <mergeCell ref="D57:H57"/>
    <mergeCell ref="B38:H38"/>
    <mergeCell ref="I38:S38"/>
    <mergeCell ref="G39:G40"/>
    <mergeCell ref="B39:B40"/>
    <mergeCell ref="C39:D40"/>
    <mergeCell ref="E39:E40"/>
    <mergeCell ref="F39:F40"/>
    <mergeCell ref="R39:R40"/>
    <mergeCell ref="B52:W52"/>
    <mergeCell ref="C41:D41"/>
    <mergeCell ref="U41:W41"/>
    <mergeCell ref="C42:D42"/>
    <mergeCell ref="U42:W42"/>
    <mergeCell ref="C43:D43"/>
    <mergeCell ref="C46:D46"/>
    <mergeCell ref="U46:W46"/>
    <mergeCell ref="U43:W43"/>
    <mergeCell ref="C44:D44"/>
    <mergeCell ref="H39:H40"/>
    <mergeCell ref="I39:P39"/>
    <mergeCell ref="Q39:Q40"/>
    <mergeCell ref="B51:W51"/>
    <mergeCell ref="U44:W44"/>
    <mergeCell ref="C45:D45"/>
    <mergeCell ref="U45:W45"/>
    <mergeCell ref="B48:W48"/>
    <mergeCell ref="B50:W50"/>
    <mergeCell ref="W34:W36"/>
    <mergeCell ref="U34:V36"/>
    <mergeCell ref="P34:Q36"/>
    <mergeCell ref="R34:S36"/>
    <mergeCell ref="U38:W40"/>
    <mergeCell ref="B34:C34"/>
    <mergeCell ref="D34:H34"/>
    <mergeCell ref="I34:J36"/>
    <mergeCell ref="N34:O36"/>
    <mergeCell ref="B35:C35"/>
    <mergeCell ref="D36:H36"/>
    <mergeCell ref="K34:M36"/>
    <mergeCell ref="D35:H35"/>
    <mergeCell ref="T34:T36"/>
    <mergeCell ref="L32:N33"/>
    <mergeCell ref="O32:S32"/>
    <mergeCell ref="O33:S33"/>
    <mergeCell ref="T38:T40"/>
    <mergeCell ref="S39:S40"/>
    <mergeCell ref="T33:U33"/>
    <mergeCell ref="B31:C31"/>
    <mergeCell ref="O31:S31"/>
    <mergeCell ref="B424:C424"/>
    <mergeCell ref="L424:N425"/>
    <mergeCell ref="O424:S424"/>
    <mergeCell ref="O425:S425"/>
    <mergeCell ref="T31:W31"/>
    <mergeCell ref="B32:C32"/>
    <mergeCell ref="B36:C36"/>
    <mergeCell ref="B25:W25"/>
    <mergeCell ref="B27:W27"/>
    <mergeCell ref="B28:W28"/>
    <mergeCell ref="B29:W29"/>
    <mergeCell ref="B12:C12"/>
    <mergeCell ref="T11:T13"/>
    <mergeCell ref="U11:U13"/>
    <mergeCell ref="V11:V13"/>
    <mergeCell ref="D11:H11"/>
    <mergeCell ref="I11:J13"/>
    <mergeCell ref="R11:S13"/>
    <mergeCell ref="L11:M13"/>
    <mergeCell ref="K11:K13"/>
    <mergeCell ref="N11:O13"/>
  </mergeCells>
  <printOptions horizontalCentered="1" verticalCentered="1"/>
  <pageMargins left="0.5902777777777778" right="0.5902777777777778" top="0.9840277777777778" bottom="0.9840277777777778" header="0.5118055555555556" footer="0.5118055555555556"/>
  <pageSetup horizontalDpi="600" verticalDpi="600" orientation="landscape" scale="39" r:id="rId1"/>
  <rowBreaks count="31" manualBreakCount="31">
    <brk id="23" max="255" man="1"/>
    <brk id="46" max="255" man="1"/>
    <brk id="69" max="255" man="1"/>
    <brk id="92" max="255" man="1"/>
    <brk id="115" max="255" man="1"/>
    <brk id="138" max="255" man="1"/>
    <brk id="161" max="22" man="1"/>
    <brk id="184" max="22" man="1"/>
    <brk id="207" max="22" man="1"/>
    <brk id="231" max="22" man="1"/>
    <brk id="254" max="22" man="1"/>
    <brk id="277" max="22" man="1"/>
    <brk id="300" max="22" man="1"/>
    <brk id="323" max="22" man="1"/>
    <brk id="346" max="22" man="1"/>
    <brk id="369" max="22" man="1"/>
    <brk id="392" max="22" man="1"/>
    <brk id="415" max="22" man="1"/>
    <brk id="438" max="22" man="1"/>
    <brk id="461" max="22" man="1"/>
    <brk id="484" max="22" man="1"/>
    <brk id="507" max="22" man="1"/>
    <brk id="530" max="22" man="1"/>
    <brk id="553" max="22" man="1"/>
    <brk id="576" max="22" man="1"/>
    <brk id="599" max="22" man="1"/>
    <brk id="622" max="22" man="1"/>
    <brk id="645" max="22" man="1"/>
    <brk id="668" max="22" man="1"/>
    <brk id="691" max="22" man="1"/>
    <brk id="714" max="22" man="1"/>
  </rowBreaks>
</worksheet>
</file>

<file path=xl/worksheets/sheet2.xml><?xml version="1.0" encoding="utf-8"?>
<worksheet xmlns="http://schemas.openxmlformats.org/spreadsheetml/2006/main" xmlns:r="http://schemas.openxmlformats.org/officeDocument/2006/relationships">
  <sheetPr>
    <tabColor rgb="FFFF0000"/>
  </sheetPr>
  <dimension ref="A1:FA92"/>
  <sheetViews>
    <sheetView view="pageBreakPreview" zoomScale="25" zoomScaleNormal="55" zoomScaleSheetLayoutView="25" zoomScalePageLayoutView="0" workbookViewId="0" topLeftCell="C71">
      <selection activeCell="S74" sqref="S74"/>
    </sheetView>
  </sheetViews>
  <sheetFormatPr defaultColWidth="11.00390625" defaultRowHeight="15"/>
  <cols>
    <col min="1" max="1" width="11.00390625" style="127" customWidth="1"/>
    <col min="2" max="2" width="36.7109375" style="128" customWidth="1"/>
    <col min="3" max="3" width="49.140625" style="129" customWidth="1"/>
    <col min="4" max="4" width="90.57421875" style="130" customWidth="1"/>
    <col min="5" max="5" width="105.421875" style="130" customWidth="1"/>
    <col min="6" max="6" width="40.28125" style="124" hidden="1" customWidth="1"/>
    <col min="7" max="7" width="105.57421875" style="124" customWidth="1"/>
    <col min="8" max="8" width="27.57421875" style="132" customWidth="1"/>
    <col min="9" max="9" width="20.28125" style="132" hidden="1" customWidth="1"/>
    <col min="10" max="10" width="39.421875" style="132" customWidth="1"/>
    <col min="11" max="13" width="22.28125" style="132" hidden="1" customWidth="1"/>
    <col min="14" max="14" width="22.28125" style="131" hidden="1" customWidth="1"/>
    <col min="15" max="15" width="49.140625" style="132" hidden="1" customWidth="1"/>
    <col min="16" max="16" width="54.421875" style="134" customWidth="1"/>
    <col min="17" max="17" width="53.8515625" style="146" customWidth="1"/>
    <col min="18" max="18" width="64.140625" style="134" customWidth="1"/>
    <col min="19" max="19" width="33.140625" style="132" customWidth="1"/>
    <col min="20" max="20" width="27.28125" style="132" customWidth="1"/>
    <col min="21" max="21" width="34.140625" style="132" customWidth="1"/>
    <col min="22" max="22" width="5.8515625" style="140" customWidth="1"/>
    <col min="23" max="23" width="30.57421875" style="142" customWidth="1"/>
    <col min="24" max="24" width="30.57421875" style="132" customWidth="1"/>
    <col min="25" max="25" width="30.140625" style="132" customWidth="1"/>
    <col min="26" max="26" width="40.421875" style="132" customWidth="1"/>
    <col min="27" max="27" width="42.140625" style="132" customWidth="1"/>
    <col min="28" max="28" width="39.8515625" style="132" customWidth="1"/>
    <col min="29" max="29" width="41.57421875" style="132" customWidth="1"/>
    <col min="30" max="30" width="66.28125" style="124" customWidth="1"/>
    <col min="31" max="31" width="51.00390625" style="124" customWidth="1"/>
    <col min="32" max="32" width="59.00390625" style="130" customWidth="1"/>
    <col min="33" max="33" width="48.7109375" style="143" customWidth="1"/>
    <col min="34" max="34" width="48.7109375" style="124" customWidth="1"/>
    <col min="35" max="35" width="31.7109375" style="124" customWidth="1"/>
    <col min="36" max="36" width="53.7109375" style="124" customWidth="1"/>
    <col min="37" max="37" width="54.57421875" style="123" customWidth="1"/>
    <col min="38" max="38" width="56.7109375" style="123" customWidth="1"/>
    <col min="39" max="39" width="56.57421875" style="123" customWidth="1"/>
    <col min="40" max="40" width="62.8515625" style="123" customWidth="1"/>
    <col min="41" max="41" width="48.421875" style="123" customWidth="1"/>
    <col min="42" max="42" width="52.28125" style="123" customWidth="1"/>
    <col min="43" max="43" width="52.57421875" style="141" customWidth="1"/>
    <col min="44" max="44" width="48.57421875" style="123" customWidth="1"/>
    <col min="45" max="45" width="37.8515625" style="123" customWidth="1"/>
    <col min="46" max="46" width="52.57421875" style="123" customWidth="1"/>
    <col min="47" max="47" width="58.28125" style="123" customWidth="1"/>
    <col min="48" max="48" width="54.28125" style="123" customWidth="1"/>
    <col min="49" max="49" width="57.140625" style="123" customWidth="1"/>
    <col min="50" max="50" width="51.57421875" style="123" customWidth="1"/>
    <col min="51" max="51" width="49.7109375" style="123" customWidth="1"/>
    <col min="52" max="52" width="55.7109375" style="123" customWidth="1"/>
    <col min="53" max="53" width="28.421875" style="141" customWidth="1"/>
    <col min="54" max="54" width="26.00390625" style="123" customWidth="1"/>
    <col min="55" max="55" width="25.8515625" style="123" customWidth="1"/>
    <col min="56" max="57" width="28.421875" style="123" customWidth="1"/>
    <col min="58" max="58" width="27.140625" style="123" customWidth="1"/>
    <col min="59" max="59" width="28.421875" style="123" customWidth="1"/>
    <col min="60" max="60" width="31.28125" style="123" customWidth="1"/>
    <col min="61" max="61" width="25.8515625" style="123" customWidth="1"/>
    <col min="62" max="62" width="54.7109375" style="123" customWidth="1"/>
    <col min="63" max="63" width="51.421875" style="141" customWidth="1"/>
    <col min="64" max="64" width="53.57421875" style="123" customWidth="1"/>
    <col min="65" max="65" width="48.421875" style="123" customWidth="1"/>
    <col min="66" max="66" width="40.140625" style="123" customWidth="1"/>
    <col min="67" max="67" width="60.421875" style="123" customWidth="1"/>
    <col min="68" max="68" width="55.140625" style="123" customWidth="1"/>
    <col min="69" max="69" width="44.140625" style="123" customWidth="1"/>
    <col min="70" max="70" width="60.8515625" style="123" customWidth="1"/>
    <col min="71" max="71" width="57.421875" style="123" customWidth="1"/>
    <col min="72" max="72" width="135.421875" style="123" customWidth="1"/>
    <col min="73" max="107" width="11.00390625" style="123" customWidth="1"/>
    <col min="108" max="16384" width="11.00390625" style="124" customWidth="1"/>
  </cols>
  <sheetData>
    <row r="1" spans="1:157" s="126" customFormat="1" ht="164.25" customHeight="1" thickBot="1">
      <c r="A1" s="401" t="s">
        <v>196</v>
      </c>
      <c r="B1" s="402"/>
      <c r="C1" s="402"/>
      <c r="D1" s="402"/>
      <c r="E1" s="402"/>
      <c r="F1" s="402"/>
      <c r="G1" s="402"/>
      <c r="H1" s="402"/>
      <c r="I1" s="402"/>
      <c r="J1" s="402"/>
      <c r="K1" s="402"/>
      <c r="L1" s="402"/>
      <c r="M1" s="402"/>
      <c r="N1" s="402"/>
      <c r="O1" s="402"/>
      <c r="P1" s="402"/>
      <c r="Q1" s="402"/>
      <c r="R1" s="402"/>
      <c r="S1" s="402"/>
      <c r="T1" s="402"/>
      <c r="U1" s="403"/>
      <c r="V1" s="144"/>
      <c r="W1" s="395" t="s">
        <v>197</v>
      </c>
      <c r="X1" s="396"/>
      <c r="Y1" s="396"/>
      <c r="Z1" s="396"/>
      <c r="AA1" s="396"/>
      <c r="AB1" s="396"/>
      <c r="AC1" s="396"/>
      <c r="AD1" s="396"/>
      <c r="AE1" s="396"/>
      <c r="AF1" s="397"/>
      <c r="AG1" s="395" t="s">
        <v>197</v>
      </c>
      <c r="AH1" s="396"/>
      <c r="AI1" s="396"/>
      <c r="AJ1" s="396"/>
      <c r="AK1" s="396"/>
      <c r="AL1" s="396"/>
      <c r="AM1" s="396"/>
      <c r="AN1" s="396"/>
      <c r="AO1" s="396"/>
      <c r="AP1" s="397"/>
      <c r="AQ1" s="395" t="s">
        <v>197</v>
      </c>
      <c r="AR1" s="396"/>
      <c r="AS1" s="396"/>
      <c r="AT1" s="396"/>
      <c r="AU1" s="396"/>
      <c r="AV1" s="396"/>
      <c r="AW1" s="396"/>
      <c r="AX1" s="396"/>
      <c r="AY1" s="396"/>
      <c r="AZ1" s="397"/>
      <c r="BA1" s="395" t="s">
        <v>197</v>
      </c>
      <c r="BB1" s="396"/>
      <c r="BC1" s="396"/>
      <c r="BD1" s="396"/>
      <c r="BE1" s="396"/>
      <c r="BF1" s="396"/>
      <c r="BG1" s="396"/>
      <c r="BH1" s="396"/>
      <c r="BI1" s="396"/>
      <c r="BJ1" s="397"/>
      <c r="BK1" s="395" t="s">
        <v>316</v>
      </c>
      <c r="BL1" s="396"/>
      <c r="BM1" s="396"/>
      <c r="BN1" s="396"/>
      <c r="BO1" s="396"/>
      <c r="BP1" s="396"/>
      <c r="BQ1" s="396"/>
      <c r="BR1" s="396"/>
      <c r="BS1" s="396"/>
      <c r="BT1" s="397"/>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row>
    <row r="2" spans="1:157" s="126" customFormat="1" ht="164.25" customHeight="1" thickBot="1">
      <c r="A2" s="407" t="s">
        <v>495</v>
      </c>
      <c r="B2" s="409" t="s">
        <v>506</v>
      </c>
      <c r="C2" s="414" t="s">
        <v>198</v>
      </c>
      <c r="D2" s="398" t="s">
        <v>199</v>
      </c>
      <c r="E2" s="399"/>
      <c r="F2" s="399"/>
      <c r="G2" s="399"/>
      <c r="H2" s="399"/>
      <c r="I2" s="399"/>
      <c r="J2" s="399"/>
      <c r="K2" s="399"/>
      <c r="L2" s="399"/>
      <c r="M2" s="399"/>
      <c r="N2" s="399"/>
      <c r="O2" s="399"/>
      <c r="P2" s="399"/>
      <c r="Q2" s="399"/>
      <c r="R2" s="399"/>
      <c r="S2" s="399"/>
      <c r="T2" s="399"/>
      <c r="U2" s="431"/>
      <c r="V2" s="145"/>
      <c r="W2" s="398" t="s">
        <v>200</v>
      </c>
      <c r="X2" s="399"/>
      <c r="Y2" s="399"/>
      <c r="Z2" s="399"/>
      <c r="AA2" s="399"/>
      <c r="AB2" s="399"/>
      <c r="AC2" s="399"/>
      <c r="AD2" s="399"/>
      <c r="AE2" s="399"/>
      <c r="AF2" s="400"/>
      <c r="AG2" s="398" t="s">
        <v>201</v>
      </c>
      <c r="AH2" s="399"/>
      <c r="AI2" s="399"/>
      <c r="AJ2" s="399"/>
      <c r="AK2" s="399"/>
      <c r="AL2" s="399"/>
      <c r="AM2" s="399"/>
      <c r="AN2" s="399"/>
      <c r="AO2" s="399"/>
      <c r="AP2" s="400"/>
      <c r="AQ2" s="398" t="s">
        <v>202</v>
      </c>
      <c r="AR2" s="399"/>
      <c r="AS2" s="399"/>
      <c r="AT2" s="399"/>
      <c r="AU2" s="399"/>
      <c r="AV2" s="399"/>
      <c r="AW2" s="399"/>
      <c r="AX2" s="399"/>
      <c r="AY2" s="399"/>
      <c r="AZ2" s="400"/>
      <c r="BA2" s="398" t="s">
        <v>203</v>
      </c>
      <c r="BB2" s="399"/>
      <c r="BC2" s="399"/>
      <c r="BD2" s="399"/>
      <c r="BE2" s="399"/>
      <c r="BF2" s="399"/>
      <c r="BG2" s="399"/>
      <c r="BH2" s="399"/>
      <c r="BI2" s="399"/>
      <c r="BJ2" s="400"/>
      <c r="BK2" s="398" t="s">
        <v>478</v>
      </c>
      <c r="BL2" s="399"/>
      <c r="BM2" s="399"/>
      <c r="BN2" s="399"/>
      <c r="BO2" s="399"/>
      <c r="BP2" s="399"/>
      <c r="BQ2" s="399"/>
      <c r="BR2" s="399"/>
      <c r="BS2" s="430"/>
      <c r="BT2" s="426" t="s">
        <v>513</v>
      </c>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row>
    <row r="3" spans="1:157" s="168" customFormat="1" ht="409.5" customHeight="1" thickBot="1" thickTop="1">
      <c r="A3" s="408"/>
      <c r="B3" s="410"/>
      <c r="C3" s="415"/>
      <c r="D3" s="150" t="s">
        <v>204</v>
      </c>
      <c r="E3" s="151" t="s">
        <v>205</v>
      </c>
      <c r="F3" s="151" t="s">
        <v>206</v>
      </c>
      <c r="G3" s="151" t="s">
        <v>207</v>
      </c>
      <c r="H3" s="151" t="s">
        <v>208</v>
      </c>
      <c r="I3" s="151" t="s">
        <v>209</v>
      </c>
      <c r="J3" s="151" t="s">
        <v>210</v>
      </c>
      <c r="K3" s="151" t="s">
        <v>211</v>
      </c>
      <c r="L3" s="151" t="s">
        <v>212</v>
      </c>
      <c r="M3" s="152" t="s">
        <v>213</v>
      </c>
      <c r="N3" s="153" t="s">
        <v>213</v>
      </c>
      <c r="O3" s="152" t="s">
        <v>214</v>
      </c>
      <c r="P3" s="154" t="s">
        <v>215</v>
      </c>
      <c r="Q3" s="154" t="s">
        <v>184</v>
      </c>
      <c r="R3" s="154" t="s">
        <v>216</v>
      </c>
      <c r="S3" s="152" t="s">
        <v>476</v>
      </c>
      <c r="T3" s="155" t="s">
        <v>475</v>
      </c>
      <c r="U3" s="156" t="s">
        <v>186</v>
      </c>
      <c r="V3" s="157"/>
      <c r="W3" s="158" t="s">
        <v>192</v>
      </c>
      <c r="X3" s="159" t="s">
        <v>187</v>
      </c>
      <c r="Y3" s="151" t="s">
        <v>188</v>
      </c>
      <c r="Z3" s="159" t="s">
        <v>189</v>
      </c>
      <c r="AA3" s="159" t="s">
        <v>477</v>
      </c>
      <c r="AB3" s="159" t="s">
        <v>190</v>
      </c>
      <c r="AC3" s="159" t="s">
        <v>191</v>
      </c>
      <c r="AD3" s="160" t="s">
        <v>217</v>
      </c>
      <c r="AE3" s="160" t="s">
        <v>218</v>
      </c>
      <c r="AF3" s="161" t="s">
        <v>185</v>
      </c>
      <c r="AG3" s="162" t="s">
        <v>192</v>
      </c>
      <c r="AH3" s="159" t="s">
        <v>187</v>
      </c>
      <c r="AI3" s="151" t="s">
        <v>188</v>
      </c>
      <c r="AJ3" s="159" t="s">
        <v>189</v>
      </c>
      <c r="AK3" s="159" t="s">
        <v>477</v>
      </c>
      <c r="AL3" s="159" t="s">
        <v>190</v>
      </c>
      <c r="AM3" s="159" t="s">
        <v>191</v>
      </c>
      <c r="AN3" s="160" t="s">
        <v>308</v>
      </c>
      <c r="AO3" s="160" t="s">
        <v>309</v>
      </c>
      <c r="AP3" s="161" t="s">
        <v>185</v>
      </c>
      <c r="AQ3" s="158" t="s">
        <v>192</v>
      </c>
      <c r="AR3" s="159" t="s">
        <v>187</v>
      </c>
      <c r="AS3" s="151" t="s">
        <v>188</v>
      </c>
      <c r="AT3" s="159" t="s">
        <v>189</v>
      </c>
      <c r="AU3" s="159" t="s">
        <v>477</v>
      </c>
      <c r="AV3" s="159" t="s">
        <v>190</v>
      </c>
      <c r="AW3" s="159" t="s">
        <v>191</v>
      </c>
      <c r="AX3" s="160" t="s">
        <v>311</v>
      </c>
      <c r="AY3" s="160" t="s">
        <v>310</v>
      </c>
      <c r="AZ3" s="161" t="s">
        <v>185</v>
      </c>
      <c r="BA3" s="158" t="s">
        <v>192</v>
      </c>
      <c r="BB3" s="159" t="s">
        <v>187</v>
      </c>
      <c r="BC3" s="151" t="s">
        <v>188</v>
      </c>
      <c r="BD3" s="159" t="s">
        <v>189</v>
      </c>
      <c r="BE3" s="159" t="s">
        <v>477</v>
      </c>
      <c r="BF3" s="159" t="s">
        <v>190</v>
      </c>
      <c r="BG3" s="159" t="s">
        <v>191</v>
      </c>
      <c r="BH3" s="160" t="s">
        <v>312</v>
      </c>
      <c r="BI3" s="160" t="s">
        <v>313</v>
      </c>
      <c r="BJ3" s="161" t="s">
        <v>185</v>
      </c>
      <c r="BK3" s="158" t="s">
        <v>192</v>
      </c>
      <c r="BL3" s="159" t="s">
        <v>193</v>
      </c>
      <c r="BM3" s="163" t="s">
        <v>193</v>
      </c>
      <c r="BN3" s="164" t="s">
        <v>188</v>
      </c>
      <c r="BO3" s="159" t="s">
        <v>194</v>
      </c>
      <c r="BP3" s="159" t="s">
        <v>195</v>
      </c>
      <c r="BQ3" s="165" t="s">
        <v>314</v>
      </c>
      <c r="BR3" s="165" t="s">
        <v>315</v>
      </c>
      <c r="BS3" s="166" t="s">
        <v>185</v>
      </c>
      <c r="BT3" s="42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row>
    <row r="4" spans="1:157" s="184" customFormat="1" ht="287.25" customHeight="1" thickBot="1" thickTop="1">
      <c r="A4" s="411" t="s">
        <v>219</v>
      </c>
      <c r="B4" s="411" t="s">
        <v>220</v>
      </c>
      <c r="C4" s="404" t="s">
        <v>221</v>
      </c>
      <c r="D4" s="389" t="s">
        <v>222</v>
      </c>
      <c r="E4" s="169" t="s">
        <v>223</v>
      </c>
      <c r="F4" s="170" t="s">
        <v>224</v>
      </c>
      <c r="G4" s="170" t="s">
        <v>498</v>
      </c>
      <c r="H4" s="392">
        <f>+I4+I5+I6+I7</f>
        <v>0.3556</v>
      </c>
      <c r="I4" s="171">
        <v>0.1056</v>
      </c>
      <c r="J4" s="171">
        <v>0.1056</v>
      </c>
      <c r="K4" s="428">
        <f>+SUM(J4:J7)</f>
        <v>0.3556</v>
      </c>
      <c r="L4" s="171">
        <f>+J4/$K$4</f>
        <v>0.296962879640045</v>
      </c>
      <c r="M4" s="171">
        <f>+L4</f>
        <v>0.296962879640045</v>
      </c>
      <c r="N4" s="172">
        <v>0.297</v>
      </c>
      <c r="O4" s="429">
        <f>+N4+N5+N6+N7</f>
        <v>1</v>
      </c>
      <c r="P4" s="173" t="s">
        <v>225</v>
      </c>
      <c r="Q4" s="173" t="s">
        <v>533</v>
      </c>
      <c r="R4" s="173" t="s">
        <v>226</v>
      </c>
      <c r="S4" s="174">
        <v>0.7</v>
      </c>
      <c r="T4" s="174">
        <v>0.9</v>
      </c>
      <c r="U4" s="174"/>
      <c r="V4" s="175"/>
      <c r="W4" s="176">
        <v>0.05</v>
      </c>
      <c r="X4" s="171">
        <f>+W4+S4</f>
        <v>0.75</v>
      </c>
      <c r="Y4" s="172">
        <v>0.05</v>
      </c>
      <c r="Z4" s="171">
        <f>IF(W4&gt;0,Y4/W4,(IF(Y4&gt;0,1,"")))</f>
        <v>1</v>
      </c>
      <c r="AA4" s="171">
        <f>IF(Z4&gt;1,IF(Z4="","",Z4),Z4)</f>
        <v>1</v>
      </c>
      <c r="AB4" s="171">
        <f>IF($J4&gt;0,Y4*$J4/0.9,"")</f>
        <v>0.005866666666666667</v>
      </c>
      <c r="AC4" s="171">
        <f>IF(AB4&gt;1,IF(AB4="","",1),AB4)</f>
        <v>0.005866666666666667</v>
      </c>
      <c r="AD4" s="177">
        <f>+'PLAN DE ACCION 2008'!Q18</f>
        <v>878035</v>
      </c>
      <c r="AE4" s="177">
        <f>+'PLAN DE ACCION 2008'!R18</f>
        <v>1327527</v>
      </c>
      <c r="AF4" s="178" t="str">
        <f aca="true" t="shared" si="0" ref="AF4:AF35">+P4</f>
        <v>% VINCULACION REGIMEN  SUBSIDIADO</v>
      </c>
      <c r="AG4" s="179">
        <v>0.05</v>
      </c>
      <c r="AH4" s="171">
        <f>IF($T4&gt;0,AG4/$T4,"")</f>
        <v>0.05555555555555556</v>
      </c>
      <c r="AI4" s="172"/>
      <c r="AJ4" s="171">
        <f>IF(AG4&gt;0,AI4/AG4,(IF(AI4&gt;0,1,"")))</f>
        <v>0</v>
      </c>
      <c r="AK4" s="171">
        <f>IF(AJ4&gt;1,IF(AJ4="","",AJ4),AJ4)</f>
        <v>0</v>
      </c>
      <c r="AL4" s="171">
        <f>IF($J4&gt;0,AI4*$J4/0.9,"")</f>
        <v>0</v>
      </c>
      <c r="AM4" s="171">
        <f>IF(AL4&gt;1,IF(AL4="","",1),AL4)</f>
        <v>0</v>
      </c>
      <c r="AN4" s="177"/>
      <c r="AO4" s="177"/>
      <c r="AP4" s="178" t="str">
        <f>+AF4</f>
        <v>% VINCULACION REGIMEN  SUBSIDIADO</v>
      </c>
      <c r="AQ4" s="176">
        <v>0.05</v>
      </c>
      <c r="AR4" s="171">
        <f>IF($T4&gt;0,AQ4/$T4,"")</f>
        <v>0.05555555555555556</v>
      </c>
      <c r="AS4" s="172"/>
      <c r="AT4" s="171">
        <f>IF(AQ4&gt;0,AS4/AQ4,(IF(AS4&gt;0,1,"")))</f>
        <v>0</v>
      </c>
      <c r="AU4" s="171">
        <f>IF(AT4&gt;1,IF(AT4="","",AT4),AT4)</f>
        <v>0</v>
      </c>
      <c r="AV4" s="171">
        <f>IF($J4&gt;0,AS4*$J4/0.9,"")</f>
        <v>0</v>
      </c>
      <c r="AW4" s="171">
        <f>IF(AV4&gt;1,IF(AV4="","",1),AV4)</f>
        <v>0</v>
      </c>
      <c r="AX4" s="177"/>
      <c r="AY4" s="177"/>
      <c r="AZ4" s="178" t="str">
        <f>+AF4</f>
        <v>% VINCULACION REGIMEN  SUBSIDIADO</v>
      </c>
      <c r="BA4" s="176">
        <v>0.05</v>
      </c>
      <c r="BB4" s="171">
        <f>IF($T4&gt;0,BA4/$T4,"")</f>
        <v>0.05555555555555556</v>
      </c>
      <c r="BC4" s="172"/>
      <c r="BD4" s="171">
        <f>IF(BA4&gt;0,BC4/BA4,(IF(BC4&gt;0,1,"")))</f>
        <v>0</v>
      </c>
      <c r="BE4" s="171">
        <f>IF(BD4&gt;1,IF(BD4="","",BD4),BD4)</f>
        <v>0</v>
      </c>
      <c r="BF4" s="171">
        <f>IF($J4&gt;0,BC4*$J4/0.9,"")</f>
        <v>0</v>
      </c>
      <c r="BG4" s="171">
        <f>IF(BF4&gt;1,IF(BF4="","",1),BF4)</f>
        <v>0</v>
      </c>
      <c r="BH4" s="177"/>
      <c r="BI4" s="177"/>
      <c r="BJ4" s="178" t="str">
        <f>+AZ4</f>
        <v>% VINCULACION REGIMEN  SUBSIDIADO</v>
      </c>
      <c r="BK4" s="176">
        <v>0.9</v>
      </c>
      <c r="BL4" s="180">
        <f>IF($T4&gt;0,BK4/$T4,"")</f>
        <v>1</v>
      </c>
      <c r="BM4" s="171" t="str">
        <f>IF(BK4&lt;&gt;T4,IF(BK4=0,"SIN PROGRAMAR","AJUSTAR PROYECCIÓN"),"OK")</f>
        <v>OK</v>
      </c>
      <c r="BN4" s="180">
        <f>+Y4+AI4+AS4+BC4</f>
        <v>0.05</v>
      </c>
      <c r="BO4" s="171">
        <f>IF(BL4&gt;0,BN4/BL4," ")</f>
        <v>0.05</v>
      </c>
      <c r="BP4" s="171">
        <f>IF(BO4&gt;1,IF(BO4="","",1),BO4)</f>
        <v>0.05</v>
      </c>
      <c r="BQ4" s="181">
        <f>+AD4+AN4+AX4+BH4</f>
        <v>878035</v>
      </c>
      <c r="BR4" s="181">
        <f>+AE4+AO4+AY4+BI4</f>
        <v>1327527</v>
      </c>
      <c r="BS4" s="182" t="str">
        <f>+BJ4</f>
        <v>% VINCULACION REGIMEN  SUBSIDIADO</v>
      </c>
      <c r="BT4" s="183"/>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row>
    <row r="5" spans="1:157" s="184" customFormat="1" ht="287.25" customHeight="1" thickBot="1">
      <c r="A5" s="412"/>
      <c r="B5" s="412"/>
      <c r="C5" s="405"/>
      <c r="D5" s="390"/>
      <c r="E5" s="185" t="s">
        <v>227</v>
      </c>
      <c r="F5" s="186" t="s">
        <v>228</v>
      </c>
      <c r="G5" s="186" t="s">
        <v>499</v>
      </c>
      <c r="H5" s="393"/>
      <c r="I5" s="180">
        <v>0.07</v>
      </c>
      <c r="J5" s="180">
        <v>0.07</v>
      </c>
      <c r="K5" s="421"/>
      <c r="L5" s="180">
        <f>+J5/$K$4</f>
        <v>0.1968503937007874</v>
      </c>
      <c r="M5" s="171">
        <f>+L5</f>
        <v>0.1968503937007874</v>
      </c>
      <c r="N5" s="180">
        <v>0.1969</v>
      </c>
      <c r="O5" s="424"/>
      <c r="P5" s="187" t="s">
        <v>229</v>
      </c>
      <c r="Q5" s="187" t="s">
        <v>533</v>
      </c>
      <c r="R5" s="187" t="s">
        <v>226</v>
      </c>
      <c r="S5" s="188">
        <v>0.2</v>
      </c>
      <c r="T5" s="188">
        <v>0.9</v>
      </c>
      <c r="U5" s="188"/>
      <c r="V5" s="175"/>
      <c r="W5" s="176">
        <v>0.1</v>
      </c>
      <c r="X5" s="171">
        <f>+W5+S5</f>
        <v>0.30000000000000004</v>
      </c>
      <c r="Y5" s="180">
        <v>0</v>
      </c>
      <c r="Z5" s="171">
        <f>IF(W5&gt;0,Y5/W5,(IF(Y5&gt;0,1,"")))</f>
        <v>0</v>
      </c>
      <c r="AA5" s="171">
        <f>IF(Z5&gt;1,IF(Z5="","",Z5),Z5)</f>
        <v>0</v>
      </c>
      <c r="AB5" s="171">
        <f>IF($J5&gt;0,Y5*$J5/0.9,"")</f>
        <v>0</v>
      </c>
      <c r="AC5" s="171">
        <f aca="true" t="shared" si="1" ref="AC5:AC68">IF(AB5&gt;1,IF(AB5="","",1),AB5)</f>
        <v>0</v>
      </c>
      <c r="AD5" s="189">
        <f>+'PLAN DE ACCION 2008'!Q19</f>
        <v>16721</v>
      </c>
      <c r="AE5" s="189">
        <f>+'PLAN DE ACCION 2008'!R19</f>
        <v>0</v>
      </c>
      <c r="AF5" s="190" t="str">
        <f t="shared" si="0"/>
        <v>% DE HABITANTES CON ADECUADO SERVICIO DE SALUD</v>
      </c>
      <c r="AG5" s="176">
        <v>0.4</v>
      </c>
      <c r="AH5" s="180">
        <f>IF($T5&gt;0,AG5/$T5,"")</f>
        <v>0.4444444444444445</v>
      </c>
      <c r="AI5" s="180"/>
      <c r="AJ5" s="171">
        <f>IF(AG5&gt;0,AI5/AG5,(IF(AI5&gt;0,1,"")))</f>
        <v>0</v>
      </c>
      <c r="AK5" s="171">
        <f>IF(AJ5&gt;1,IF(AJ5="","",AJ5),AJ5)</f>
        <v>0</v>
      </c>
      <c r="AL5" s="171">
        <f>IF($J5&gt;0,AI5*$J5/0.9,"")</f>
        <v>0</v>
      </c>
      <c r="AM5" s="171">
        <f aca="true" t="shared" si="2" ref="AM5:AM68">IF(AL5&gt;1,IF(AL5="","",1),AL5)</f>
        <v>0</v>
      </c>
      <c r="AN5" s="189"/>
      <c r="AO5" s="189"/>
      <c r="AP5" s="178" t="str">
        <f>+AF5</f>
        <v>% DE HABITANTES CON ADECUADO SERVICIO DE SALUD</v>
      </c>
      <c r="AQ5" s="176">
        <v>0.7</v>
      </c>
      <c r="AR5" s="180">
        <f>IF($T5&gt;0,AQ5/$T5,"")</f>
        <v>0.7777777777777777</v>
      </c>
      <c r="AS5" s="180"/>
      <c r="AT5" s="171">
        <f>IF(AQ5&gt;0,AS5/AQ5,(IF(AS5&gt;0,1,"")))</f>
        <v>0</v>
      </c>
      <c r="AU5" s="171">
        <f>IF(AT5&gt;1,IF(AT5="","",AT5),AT5)</f>
        <v>0</v>
      </c>
      <c r="AV5" s="171">
        <f>IF($J5&gt;0,AS5*$J5/0.9,"")</f>
        <v>0</v>
      </c>
      <c r="AW5" s="171">
        <f aca="true" t="shared" si="3" ref="AW5:AW68">IF(AV5&gt;1,IF(AV5="","",1),AV5)</f>
        <v>0</v>
      </c>
      <c r="AX5" s="189"/>
      <c r="AY5" s="189"/>
      <c r="AZ5" s="190" t="str">
        <f>+AF5</f>
        <v>% DE HABITANTES CON ADECUADO SERVICIO DE SALUD</v>
      </c>
      <c r="BA5" s="176">
        <v>0.9</v>
      </c>
      <c r="BB5" s="180">
        <f>IF($T5&gt;0,BA5/$T5,"")</f>
        <v>1</v>
      </c>
      <c r="BC5" s="180"/>
      <c r="BD5" s="171">
        <f>IF(BA5&gt;0,BC5/BA5,(IF(BC5&gt;0,1,"")))</f>
        <v>0</v>
      </c>
      <c r="BE5" s="171">
        <f>IF(BD5&gt;1,IF(BD5="","",BD5),BD5)</f>
        <v>0</v>
      </c>
      <c r="BF5" s="171">
        <f>IF($J5&gt;0,BC5*$J5/0.9,"")</f>
        <v>0</v>
      </c>
      <c r="BG5" s="171">
        <f aca="true" t="shared" si="4" ref="BG5:BG68">IF(BF5&gt;1,IF(BF5="","",1),BF5)</f>
        <v>0</v>
      </c>
      <c r="BH5" s="189"/>
      <c r="BI5" s="189"/>
      <c r="BJ5" s="190" t="str">
        <f>+AZ5</f>
        <v>% DE HABITANTES CON ADECUADO SERVICIO DE SALUD</v>
      </c>
      <c r="BK5" s="176">
        <v>0.9</v>
      </c>
      <c r="BL5" s="180">
        <f>IF($T5&gt;0,BK5/$T5,"")</f>
        <v>1</v>
      </c>
      <c r="BM5" s="171" t="str">
        <f aca="true" t="shared" si="5" ref="BM5:BM68">IF(BK5&lt;&gt;T5,IF(BK5=0,"SIN PROGRAMAR","AJUSTAR PROYECCIÓN"),"OK")</f>
        <v>OK</v>
      </c>
      <c r="BN5" s="180">
        <f aca="true" t="shared" si="6" ref="BN5:BN68">+Y5+AI5+AS5+BC5</f>
        <v>0</v>
      </c>
      <c r="BO5" s="171">
        <f aca="true" t="shared" si="7" ref="BO5:BO68">IF(BL5&gt;0,BN5/BL5," ")</f>
        <v>0</v>
      </c>
      <c r="BP5" s="171">
        <f aca="true" t="shared" si="8" ref="BP5:BP68">IF(BO5&gt;1,IF(BO5="","",1),BO5)</f>
        <v>0</v>
      </c>
      <c r="BQ5" s="191">
        <f aca="true" t="shared" si="9" ref="BQ5:BQ68">+AD5+AN5+AX5+BH5</f>
        <v>16721</v>
      </c>
      <c r="BR5" s="191">
        <f aca="true" t="shared" si="10" ref="BR5:BR68">+AE5+AO5+AY5+BI5</f>
        <v>0</v>
      </c>
      <c r="BS5" s="192" t="str">
        <f>+BJ5</f>
        <v>% DE HABITANTES CON ADECUADO SERVICIO DE SALUD</v>
      </c>
      <c r="BT5" s="193"/>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row>
    <row r="6" spans="1:157" s="184" customFormat="1" ht="287.25" customHeight="1" thickBot="1">
      <c r="A6" s="412"/>
      <c r="B6" s="412"/>
      <c r="C6" s="405"/>
      <c r="D6" s="390"/>
      <c r="E6" s="185" t="s">
        <v>230</v>
      </c>
      <c r="F6" s="186" t="s">
        <v>231</v>
      </c>
      <c r="G6" s="186" t="s">
        <v>500</v>
      </c>
      <c r="H6" s="393"/>
      <c r="I6" s="180">
        <v>0.07</v>
      </c>
      <c r="J6" s="180">
        <v>0.07</v>
      </c>
      <c r="K6" s="421"/>
      <c r="L6" s="180">
        <f>+J6/$K$4</f>
        <v>0.1968503937007874</v>
      </c>
      <c r="M6" s="171">
        <f>+L6</f>
        <v>0.1968503937007874</v>
      </c>
      <c r="N6" s="180">
        <v>0.1969</v>
      </c>
      <c r="O6" s="424"/>
      <c r="P6" s="187" t="s">
        <v>232</v>
      </c>
      <c r="Q6" s="187" t="s">
        <v>537</v>
      </c>
      <c r="R6" s="187" t="s">
        <v>226</v>
      </c>
      <c r="S6" s="188">
        <v>0.7</v>
      </c>
      <c r="T6" s="188">
        <v>0.9</v>
      </c>
      <c r="U6" s="188"/>
      <c r="V6" s="175"/>
      <c r="W6" s="176">
        <v>0.1</v>
      </c>
      <c r="X6" s="171">
        <f aca="true" t="shared" si="11" ref="X6:X69">+W6+S6</f>
        <v>0.7999999999999999</v>
      </c>
      <c r="Y6" s="180">
        <v>0.1</v>
      </c>
      <c r="Z6" s="180">
        <f aca="true" t="shared" si="12" ref="Z6:Z33">IF(W6&gt;0,Y6/W6,(IF(Y6&gt;0,1,"")))</f>
        <v>1</v>
      </c>
      <c r="AA6" s="180">
        <f aca="true" t="shared" si="13" ref="AA6:AA69">IF(Z6&gt;1,IF(Z6="","",Z6),Z6)</f>
        <v>1</v>
      </c>
      <c r="AB6" s="171">
        <f>IF($J6&gt;0,Y6*$J6/0.9,"")</f>
        <v>0.007777777777777778</v>
      </c>
      <c r="AC6" s="171">
        <f t="shared" si="1"/>
        <v>0.007777777777777778</v>
      </c>
      <c r="AD6" s="189">
        <f>+'PLAN DE ACCION 2008'!Q20</f>
        <v>9000</v>
      </c>
      <c r="AE6" s="189">
        <f>+'PLAN DE ACCION 2008'!R20</f>
        <v>9000</v>
      </c>
      <c r="AF6" s="190" t="str">
        <f t="shared" si="0"/>
        <v>% HABITANTES CUBIERTOS</v>
      </c>
      <c r="AG6" s="176">
        <v>0.8</v>
      </c>
      <c r="AH6" s="180">
        <f aca="true" t="shared" si="14" ref="AH6:AH33">IF($T6&gt;0,AG6/$T6,"")</f>
        <v>0.888888888888889</v>
      </c>
      <c r="AI6" s="180"/>
      <c r="AJ6" s="180">
        <f aca="true" t="shared" si="15" ref="AJ6:AJ69">IF(AG6&gt;0,AI6/AG6,(IF(AI6&gt;0,1,"")))</f>
        <v>0</v>
      </c>
      <c r="AK6" s="180">
        <f aca="true" t="shared" si="16" ref="AK6:AK69">IF(AJ6&gt;1,IF(AJ6="","",AJ6),AJ6)</f>
        <v>0</v>
      </c>
      <c r="AL6" s="171">
        <f>IF($J6&gt;0,AI6*$J6/0.9,"")</f>
        <v>0</v>
      </c>
      <c r="AM6" s="171">
        <f t="shared" si="2"/>
        <v>0</v>
      </c>
      <c r="AN6" s="189"/>
      <c r="AO6" s="189"/>
      <c r="AP6" s="178" t="str">
        <f aca="true" t="shared" si="17" ref="AP6:AP33">+AF6</f>
        <v>% HABITANTES CUBIERTOS</v>
      </c>
      <c r="AQ6" s="176">
        <v>0.85</v>
      </c>
      <c r="AR6" s="180">
        <f aca="true" t="shared" si="18" ref="AR6:AR33">IF($T6&gt;0,AQ6/$T6,"")</f>
        <v>0.9444444444444444</v>
      </c>
      <c r="AS6" s="180"/>
      <c r="AT6" s="180">
        <f aca="true" t="shared" si="19" ref="AT6:AT69">IF(AQ6&gt;0,AS6/AQ6,(IF(AS6&gt;0,1,"")))</f>
        <v>0</v>
      </c>
      <c r="AU6" s="180">
        <f aca="true" t="shared" si="20" ref="AU6:AU69">IF(AT6&gt;1,IF(AT6="","",AT6),AT6)</f>
        <v>0</v>
      </c>
      <c r="AV6" s="171">
        <f>IF($J6&gt;0,AS6*$J6/0.9,"")</f>
        <v>0</v>
      </c>
      <c r="AW6" s="171">
        <f t="shared" si="3"/>
        <v>0</v>
      </c>
      <c r="AX6" s="189"/>
      <c r="AY6" s="189"/>
      <c r="AZ6" s="190" t="str">
        <f aca="true" t="shared" si="21" ref="AZ6:AZ33">+AF6</f>
        <v>% HABITANTES CUBIERTOS</v>
      </c>
      <c r="BA6" s="176">
        <v>0.9</v>
      </c>
      <c r="BB6" s="180">
        <f aca="true" t="shared" si="22" ref="BB6:BB33">IF($T6&gt;0,BA6/$T6,"")</f>
        <v>1</v>
      </c>
      <c r="BC6" s="180"/>
      <c r="BD6" s="180">
        <f aca="true" t="shared" si="23" ref="BD6:BD69">IF(BA6&gt;0,BC6/BA6,(IF(BC6&gt;0,1,"")))</f>
        <v>0</v>
      </c>
      <c r="BE6" s="180">
        <f aca="true" t="shared" si="24" ref="BE6:BE69">IF(BD6&gt;1,IF(BD6="","",BD6),BD6)</f>
        <v>0</v>
      </c>
      <c r="BF6" s="171">
        <f>IF($J6&gt;0,BC6*$J6/0.9,"")</f>
        <v>0</v>
      </c>
      <c r="BG6" s="171">
        <f t="shared" si="4"/>
        <v>0</v>
      </c>
      <c r="BH6" s="189"/>
      <c r="BI6" s="189"/>
      <c r="BJ6" s="190" t="str">
        <f aca="true" t="shared" si="25" ref="BJ6:BJ33">+AZ6</f>
        <v>% HABITANTES CUBIERTOS</v>
      </c>
      <c r="BK6" s="176">
        <v>0.9</v>
      </c>
      <c r="BL6" s="180">
        <f aca="true" t="shared" si="26" ref="BL6:BL33">IF($T6&gt;0,BK6/$T6,"")</f>
        <v>1</v>
      </c>
      <c r="BM6" s="171" t="str">
        <f t="shared" si="5"/>
        <v>OK</v>
      </c>
      <c r="BN6" s="180">
        <f t="shared" si="6"/>
        <v>0.1</v>
      </c>
      <c r="BO6" s="171">
        <f t="shared" si="7"/>
        <v>0.1</v>
      </c>
      <c r="BP6" s="171">
        <f t="shared" si="8"/>
        <v>0.1</v>
      </c>
      <c r="BQ6" s="191">
        <f t="shared" si="9"/>
        <v>9000</v>
      </c>
      <c r="BR6" s="191">
        <f t="shared" si="10"/>
        <v>9000</v>
      </c>
      <c r="BS6" s="192" t="str">
        <f aca="true" t="shared" si="27" ref="BS6:BS33">+BJ6</f>
        <v>% HABITANTES CUBIERTOS</v>
      </c>
      <c r="BT6" s="193"/>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row>
    <row r="7" spans="1:157" s="184" customFormat="1" ht="287.25" customHeight="1" thickBot="1">
      <c r="A7" s="412"/>
      <c r="B7" s="412"/>
      <c r="C7" s="405"/>
      <c r="D7" s="391"/>
      <c r="E7" s="185" t="s">
        <v>233</v>
      </c>
      <c r="F7" s="186" t="s">
        <v>234</v>
      </c>
      <c r="G7" s="186" t="s">
        <v>501</v>
      </c>
      <c r="H7" s="394"/>
      <c r="I7" s="180">
        <v>0.11</v>
      </c>
      <c r="J7" s="180">
        <v>0.11</v>
      </c>
      <c r="K7" s="422"/>
      <c r="L7" s="180">
        <f>+J7/$K$4</f>
        <v>0.3093363329583802</v>
      </c>
      <c r="M7" s="171">
        <f>+L7</f>
        <v>0.3093363329583802</v>
      </c>
      <c r="N7" s="180">
        <v>0.3092</v>
      </c>
      <c r="O7" s="425"/>
      <c r="P7" s="187" t="s">
        <v>235</v>
      </c>
      <c r="Q7" s="187" t="s">
        <v>540</v>
      </c>
      <c r="R7" s="187" t="s">
        <v>236</v>
      </c>
      <c r="S7" s="188">
        <v>1</v>
      </c>
      <c r="T7" s="188">
        <v>1</v>
      </c>
      <c r="U7" s="188"/>
      <c r="V7" s="175"/>
      <c r="W7" s="176">
        <v>1</v>
      </c>
      <c r="X7" s="171">
        <f>+W7</f>
        <v>1</v>
      </c>
      <c r="Y7" s="180">
        <v>1</v>
      </c>
      <c r="Z7" s="180">
        <f t="shared" si="12"/>
        <v>1</v>
      </c>
      <c r="AA7" s="180">
        <f t="shared" si="13"/>
        <v>1</v>
      </c>
      <c r="AB7" s="171">
        <f>IF($J7&gt;0,Y7*$J7,"")</f>
        <v>0.11</v>
      </c>
      <c r="AC7" s="171">
        <f t="shared" si="1"/>
        <v>0.11</v>
      </c>
      <c r="AD7" s="189">
        <f>+'PLAN DE ACCION 2008'!Q21</f>
        <v>35501</v>
      </c>
      <c r="AE7" s="189">
        <f>+'PLAN DE ACCION 2008'!R21</f>
        <v>85077</v>
      </c>
      <c r="AF7" s="190" t="str">
        <f t="shared" si="0"/>
        <v>% CUMPLIMIENTO POAS</v>
      </c>
      <c r="AG7" s="176">
        <v>1</v>
      </c>
      <c r="AH7" s="180">
        <f t="shared" si="14"/>
        <v>1</v>
      </c>
      <c r="AI7" s="180"/>
      <c r="AJ7" s="180">
        <f t="shared" si="15"/>
        <v>0</v>
      </c>
      <c r="AK7" s="180">
        <f t="shared" si="16"/>
        <v>0</v>
      </c>
      <c r="AL7" s="171">
        <f>IF($J7&gt;0,AI7*$J7,"")</f>
        <v>0</v>
      </c>
      <c r="AM7" s="171">
        <f t="shared" si="2"/>
        <v>0</v>
      </c>
      <c r="AN7" s="189"/>
      <c r="AO7" s="189"/>
      <c r="AP7" s="178" t="str">
        <f t="shared" si="17"/>
        <v>% CUMPLIMIENTO POAS</v>
      </c>
      <c r="AQ7" s="176">
        <v>1</v>
      </c>
      <c r="AR7" s="180">
        <f t="shared" si="18"/>
        <v>1</v>
      </c>
      <c r="AS7" s="180"/>
      <c r="AT7" s="180">
        <f t="shared" si="19"/>
        <v>0</v>
      </c>
      <c r="AU7" s="180">
        <f t="shared" si="20"/>
        <v>0</v>
      </c>
      <c r="AV7" s="171">
        <f>IF($J7&gt;0,AS7*$J7,"")</f>
        <v>0</v>
      </c>
      <c r="AW7" s="171">
        <f t="shared" si="3"/>
        <v>0</v>
      </c>
      <c r="AX7" s="189"/>
      <c r="AY7" s="189"/>
      <c r="AZ7" s="190" t="str">
        <f t="shared" si="21"/>
        <v>% CUMPLIMIENTO POAS</v>
      </c>
      <c r="BA7" s="176">
        <v>1</v>
      </c>
      <c r="BB7" s="180">
        <f t="shared" si="22"/>
        <v>1</v>
      </c>
      <c r="BC7" s="180"/>
      <c r="BD7" s="180">
        <f t="shared" si="23"/>
        <v>0</v>
      </c>
      <c r="BE7" s="180">
        <f t="shared" si="24"/>
        <v>0</v>
      </c>
      <c r="BF7" s="171">
        <f>IF($J7&gt;0,BC7*$J7,"")</f>
        <v>0</v>
      </c>
      <c r="BG7" s="171">
        <f t="shared" si="4"/>
        <v>0</v>
      </c>
      <c r="BH7" s="189"/>
      <c r="BI7" s="189"/>
      <c r="BJ7" s="190" t="str">
        <f t="shared" si="25"/>
        <v>% CUMPLIMIENTO POAS</v>
      </c>
      <c r="BK7" s="176">
        <v>1</v>
      </c>
      <c r="BL7" s="180">
        <f t="shared" si="26"/>
        <v>1</v>
      </c>
      <c r="BM7" s="171" t="str">
        <f t="shared" si="5"/>
        <v>OK</v>
      </c>
      <c r="BN7" s="180">
        <f t="shared" si="6"/>
        <v>1</v>
      </c>
      <c r="BO7" s="171">
        <f t="shared" si="7"/>
        <v>1</v>
      </c>
      <c r="BP7" s="171">
        <f t="shared" si="8"/>
        <v>1</v>
      </c>
      <c r="BQ7" s="191">
        <f t="shared" si="9"/>
        <v>35501</v>
      </c>
      <c r="BR7" s="191">
        <f t="shared" si="10"/>
        <v>85077</v>
      </c>
      <c r="BS7" s="192" t="str">
        <f t="shared" si="27"/>
        <v>% CUMPLIMIENTO POAS</v>
      </c>
      <c r="BT7" s="193"/>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row>
    <row r="8" spans="1:157" s="184" customFormat="1" ht="287.25" customHeight="1" thickBot="1">
      <c r="A8" s="412"/>
      <c r="B8" s="412"/>
      <c r="C8" s="405"/>
      <c r="D8" s="418" t="s">
        <v>547</v>
      </c>
      <c r="E8" s="195" t="s">
        <v>237</v>
      </c>
      <c r="F8" s="196" t="s">
        <v>238</v>
      </c>
      <c r="G8" s="196" t="s">
        <v>542</v>
      </c>
      <c r="H8" s="419">
        <f>+I8+I9+I10</f>
        <v>0.0887</v>
      </c>
      <c r="I8" s="171">
        <v>0.04</v>
      </c>
      <c r="J8" s="171">
        <v>0.04</v>
      </c>
      <c r="K8" s="420">
        <f>+SUM(J8:J10)</f>
        <v>0.0887</v>
      </c>
      <c r="L8" s="198">
        <f>+J8/$K$8</f>
        <v>0.4509582863585118</v>
      </c>
      <c r="M8" s="171">
        <f aca="true" t="shared" si="28" ref="M8:M72">+L8</f>
        <v>0.4509582863585118</v>
      </c>
      <c r="N8" s="180">
        <v>0.0876</v>
      </c>
      <c r="O8" s="423">
        <f>+SUM(N8:N16)</f>
        <v>0.31289999999999996</v>
      </c>
      <c r="P8" s="187" t="s">
        <v>239</v>
      </c>
      <c r="Q8" s="187" t="s">
        <v>549</v>
      </c>
      <c r="R8" s="187" t="s">
        <v>226</v>
      </c>
      <c r="S8" s="199">
        <v>318</v>
      </c>
      <c r="T8" s="199">
        <v>518</v>
      </c>
      <c r="U8" s="199"/>
      <c r="V8" s="200"/>
      <c r="W8" s="201">
        <v>50</v>
      </c>
      <c r="X8" s="202">
        <f t="shared" si="11"/>
        <v>368</v>
      </c>
      <c r="Y8" s="203">
        <v>50</v>
      </c>
      <c r="Z8" s="180">
        <f t="shared" si="12"/>
        <v>1</v>
      </c>
      <c r="AA8" s="180">
        <f t="shared" si="13"/>
        <v>1</v>
      </c>
      <c r="AB8" s="171">
        <f>IF($J8&gt;0,Y8*$J8/518,"")</f>
        <v>0.003861003861003861</v>
      </c>
      <c r="AC8" s="171">
        <f t="shared" si="1"/>
        <v>0.003861003861003861</v>
      </c>
      <c r="AD8" s="189">
        <f>+'PLAN DE ACCION 2008'!Q41</f>
        <v>3500</v>
      </c>
      <c r="AE8" s="189">
        <f>+'PLAN DE ACCION 2008'!R41</f>
        <v>3375</v>
      </c>
      <c r="AF8" s="190" t="str">
        <f t="shared" si="0"/>
        <v>Nº FAMILIAS CUBIERTAS</v>
      </c>
      <c r="AG8" s="201">
        <v>418</v>
      </c>
      <c r="AH8" s="180">
        <f t="shared" si="14"/>
        <v>0.806949806949807</v>
      </c>
      <c r="AI8" s="180"/>
      <c r="AJ8" s="180">
        <f t="shared" si="15"/>
        <v>0</v>
      </c>
      <c r="AK8" s="180">
        <f t="shared" si="16"/>
        <v>0</v>
      </c>
      <c r="AL8" s="171">
        <f>IF($J8&gt;0,AI8*$J8/518,"")</f>
        <v>0</v>
      </c>
      <c r="AM8" s="171">
        <f t="shared" si="2"/>
        <v>0</v>
      </c>
      <c r="AN8" s="189"/>
      <c r="AO8" s="189"/>
      <c r="AP8" s="178" t="str">
        <f t="shared" si="17"/>
        <v>Nº FAMILIAS CUBIERTAS</v>
      </c>
      <c r="AQ8" s="201">
        <v>468</v>
      </c>
      <c r="AR8" s="180">
        <f t="shared" si="18"/>
        <v>0.9034749034749034</v>
      </c>
      <c r="AS8" s="180"/>
      <c r="AT8" s="180">
        <f t="shared" si="19"/>
        <v>0</v>
      </c>
      <c r="AU8" s="180">
        <f t="shared" si="20"/>
        <v>0</v>
      </c>
      <c r="AV8" s="171">
        <f>IF($J8&gt;0,AS8*$J8/518,"")</f>
        <v>0</v>
      </c>
      <c r="AW8" s="171">
        <f t="shared" si="3"/>
        <v>0</v>
      </c>
      <c r="AX8" s="189"/>
      <c r="AY8" s="189"/>
      <c r="AZ8" s="190" t="str">
        <f t="shared" si="21"/>
        <v>Nº FAMILIAS CUBIERTAS</v>
      </c>
      <c r="BA8" s="201">
        <v>518</v>
      </c>
      <c r="BB8" s="180">
        <f t="shared" si="22"/>
        <v>1</v>
      </c>
      <c r="BC8" s="180"/>
      <c r="BD8" s="180">
        <f t="shared" si="23"/>
        <v>0</v>
      </c>
      <c r="BE8" s="180">
        <f t="shared" si="24"/>
        <v>0</v>
      </c>
      <c r="BF8" s="171">
        <f>IF($J8&gt;0,BC8*$J8/518,"")</f>
        <v>0</v>
      </c>
      <c r="BG8" s="171">
        <f t="shared" si="4"/>
        <v>0</v>
      </c>
      <c r="BH8" s="189"/>
      <c r="BI8" s="189"/>
      <c r="BJ8" s="190" t="str">
        <f t="shared" si="25"/>
        <v>Nº FAMILIAS CUBIERTAS</v>
      </c>
      <c r="BK8" s="201">
        <v>518</v>
      </c>
      <c r="BL8" s="180">
        <f t="shared" si="26"/>
        <v>1</v>
      </c>
      <c r="BM8" s="171" t="str">
        <f t="shared" si="5"/>
        <v>OK</v>
      </c>
      <c r="BN8" s="203">
        <f t="shared" si="6"/>
        <v>50</v>
      </c>
      <c r="BO8" s="171">
        <f t="shared" si="7"/>
        <v>50</v>
      </c>
      <c r="BP8" s="171">
        <f t="shared" si="8"/>
        <v>1</v>
      </c>
      <c r="BQ8" s="191">
        <f t="shared" si="9"/>
        <v>3500</v>
      </c>
      <c r="BR8" s="191">
        <f t="shared" si="10"/>
        <v>3375</v>
      </c>
      <c r="BS8" s="192" t="str">
        <f t="shared" si="27"/>
        <v>Nº FAMILIAS CUBIERTAS</v>
      </c>
      <c r="BT8" s="193"/>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row>
    <row r="9" spans="1:157" s="184" customFormat="1" ht="287.25" customHeight="1" thickBot="1">
      <c r="A9" s="412"/>
      <c r="B9" s="412"/>
      <c r="C9" s="405"/>
      <c r="D9" s="390"/>
      <c r="E9" s="195" t="s">
        <v>240</v>
      </c>
      <c r="F9" s="196" t="s">
        <v>241</v>
      </c>
      <c r="G9" s="196" t="s">
        <v>543</v>
      </c>
      <c r="H9" s="393"/>
      <c r="I9" s="171">
        <v>0.03</v>
      </c>
      <c r="J9" s="171">
        <v>0.03</v>
      </c>
      <c r="K9" s="421"/>
      <c r="L9" s="198">
        <f>+J9/$K$8</f>
        <v>0.3382187147688839</v>
      </c>
      <c r="M9" s="171">
        <f t="shared" si="28"/>
        <v>0.3382187147688839</v>
      </c>
      <c r="N9" s="180">
        <v>0.0657</v>
      </c>
      <c r="O9" s="424"/>
      <c r="P9" s="187" t="s">
        <v>242</v>
      </c>
      <c r="Q9" s="187" t="s">
        <v>549</v>
      </c>
      <c r="R9" s="187" t="s">
        <v>236</v>
      </c>
      <c r="S9" s="199">
        <v>1</v>
      </c>
      <c r="T9" s="199">
        <v>1</v>
      </c>
      <c r="U9" s="199"/>
      <c r="V9" s="200"/>
      <c r="W9" s="201">
        <v>1</v>
      </c>
      <c r="X9" s="171">
        <f>+W9</f>
        <v>1</v>
      </c>
      <c r="Y9" s="203">
        <v>1</v>
      </c>
      <c r="Z9" s="180">
        <f t="shared" si="12"/>
        <v>1</v>
      </c>
      <c r="AA9" s="180">
        <f t="shared" si="13"/>
        <v>1</v>
      </c>
      <c r="AB9" s="171">
        <f>IF($J9&gt;0,Y9*$J9,"")</f>
        <v>0.03</v>
      </c>
      <c r="AC9" s="171">
        <f t="shared" si="1"/>
        <v>0.03</v>
      </c>
      <c r="AD9" s="189">
        <f>+'PLAN DE ACCION 2008'!Q42</f>
        <v>0</v>
      </c>
      <c r="AE9" s="189">
        <f>+'PLAN DE ACCION 2008'!R42</f>
        <v>0</v>
      </c>
      <c r="AF9" s="190" t="str">
        <f t="shared" si="0"/>
        <v>Nº CAPACITACIONES</v>
      </c>
      <c r="AG9" s="201">
        <v>1</v>
      </c>
      <c r="AH9" s="180">
        <f t="shared" si="14"/>
        <v>1</v>
      </c>
      <c r="AI9" s="180"/>
      <c r="AJ9" s="180">
        <f t="shared" si="15"/>
        <v>0</v>
      </c>
      <c r="AK9" s="180">
        <f t="shared" si="16"/>
        <v>0</v>
      </c>
      <c r="AL9" s="171">
        <f>IF($J9&gt;0,AI9*$J9,"")</f>
        <v>0</v>
      </c>
      <c r="AM9" s="171">
        <f t="shared" si="2"/>
        <v>0</v>
      </c>
      <c r="AN9" s="189"/>
      <c r="AO9" s="189"/>
      <c r="AP9" s="178" t="str">
        <f t="shared" si="17"/>
        <v>Nº CAPACITACIONES</v>
      </c>
      <c r="AQ9" s="201">
        <v>1</v>
      </c>
      <c r="AR9" s="180">
        <f t="shared" si="18"/>
        <v>1</v>
      </c>
      <c r="AS9" s="180"/>
      <c r="AT9" s="180">
        <f t="shared" si="19"/>
        <v>0</v>
      </c>
      <c r="AU9" s="180">
        <f t="shared" si="20"/>
        <v>0</v>
      </c>
      <c r="AV9" s="171">
        <f>IF($J9&gt;0,AS9*$J9,"")</f>
        <v>0</v>
      </c>
      <c r="AW9" s="171">
        <f t="shared" si="3"/>
        <v>0</v>
      </c>
      <c r="AX9" s="189"/>
      <c r="AY9" s="189"/>
      <c r="AZ9" s="190" t="str">
        <f t="shared" si="21"/>
        <v>Nº CAPACITACIONES</v>
      </c>
      <c r="BA9" s="201">
        <v>1</v>
      </c>
      <c r="BB9" s="180">
        <f t="shared" si="22"/>
        <v>1</v>
      </c>
      <c r="BC9" s="180"/>
      <c r="BD9" s="180">
        <f t="shared" si="23"/>
        <v>0</v>
      </c>
      <c r="BE9" s="180">
        <f t="shared" si="24"/>
        <v>0</v>
      </c>
      <c r="BF9" s="171">
        <f>IF($J9&gt;0,BC9*$J9,"")</f>
        <v>0</v>
      </c>
      <c r="BG9" s="171">
        <f t="shared" si="4"/>
        <v>0</v>
      </c>
      <c r="BH9" s="189"/>
      <c r="BI9" s="189"/>
      <c r="BJ9" s="190" t="str">
        <f t="shared" si="25"/>
        <v>Nº CAPACITACIONES</v>
      </c>
      <c r="BK9" s="204">
        <v>1</v>
      </c>
      <c r="BL9" s="203">
        <f t="shared" si="26"/>
        <v>1</v>
      </c>
      <c r="BM9" s="171" t="str">
        <f t="shared" si="5"/>
        <v>OK</v>
      </c>
      <c r="BN9" s="203">
        <f t="shared" si="6"/>
        <v>1</v>
      </c>
      <c r="BO9" s="171">
        <f t="shared" si="7"/>
        <v>1</v>
      </c>
      <c r="BP9" s="171">
        <f t="shared" si="8"/>
        <v>1</v>
      </c>
      <c r="BQ9" s="191">
        <f t="shared" si="9"/>
        <v>0</v>
      </c>
      <c r="BR9" s="191">
        <f t="shared" si="10"/>
        <v>0</v>
      </c>
      <c r="BS9" s="192" t="str">
        <f t="shared" si="27"/>
        <v>Nº CAPACITACIONES</v>
      </c>
      <c r="BT9" s="193"/>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row>
    <row r="10" spans="1:157" s="184" customFormat="1" ht="287.25" customHeight="1" thickBot="1">
      <c r="A10" s="412"/>
      <c r="B10" s="412"/>
      <c r="C10" s="405"/>
      <c r="D10" s="391"/>
      <c r="E10" s="195" t="s">
        <v>243</v>
      </c>
      <c r="F10" s="196" t="s">
        <v>244</v>
      </c>
      <c r="G10" s="196" t="s">
        <v>544</v>
      </c>
      <c r="H10" s="394"/>
      <c r="I10" s="171">
        <v>0.0187</v>
      </c>
      <c r="J10" s="171">
        <v>0.0187</v>
      </c>
      <c r="K10" s="422"/>
      <c r="L10" s="198">
        <f>+J10/$K$8</f>
        <v>0.2108229988726043</v>
      </c>
      <c r="M10" s="171">
        <f>+L10</f>
        <v>0.2108229988726043</v>
      </c>
      <c r="N10" s="180">
        <v>0.0409</v>
      </c>
      <c r="O10" s="424"/>
      <c r="P10" s="187" t="s">
        <v>245</v>
      </c>
      <c r="Q10" s="187" t="s">
        <v>549</v>
      </c>
      <c r="R10" s="187" t="s">
        <v>226</v>
      </c>
      <c r="S10" s="188">
        <v>0.7</v>
      </c>
      <c r="T10" s="188">
        <v>0.9</v>
      </c>
      <c r="U10" s="188"/>
      <c r="V10" s="175"/>
      <c r="W10" s="176">
        <v>0.05</v>
      </c>
      <c r="X10" s="171">
        <f t="shared" si="11"/>
        <v>0.75</v>
      </c>
      <c r="Y10" s="180">
        <v>0.05</v>
      </c>
      <c r="Z10" s="180">
        <f t="shared" si="12"/>
        <v>1</v>
      </c>
      <c r="AA10" s="180">
        <f t="shared" si="13"/>
        <v>1</v>
      </c>
      <c r="AB10" s="171">
        <f>IF($J10&gt;0,Y10*$J10/0.9,"")</f>
        <v>0.0010388888888888889</v>
      </c>
      <c r="AC10" s="171">
        <f t="shared" si="1"/>
        <v>0.0010388888888888889</v>
      </c>
      <c r="AD10" s="189">
        <f>+'PLAN DE ACCION 2008'!Q43</f>
        <v>0</v>
      </c>
      <c r="AE10" s="189">
        <f>+'PLAN DE ACCION 2008'!R43</f>
        <v>0</v>
      </c>
      <c r="AF10" s="190" t="str">
        <f t="shared" si="0"/>
        <v>% COBERTURA</v>
      </c>
      <c r="AG10" s="176">
        <v>0.8</v>
      </c>
      <c r="AH10" s="180">
        <f t="shared" si="14"/>
        <v>0.888888888888889</v>
      </c>
      <c r="AI10" s="180"/>
      <c r="AJ10" s="180">
        <f t="shared" si="15"/>
        <v>0</v>
      </c>
      <c r="AK10" s="180">
        <f t="shared" si="16"/>
        <v>0</v>
      </c>
      <c r="AL10" s="171">
        <f>IF($J10&gt;0,AI10*$J10/0.9,"")</f>
        <v>0</v>
      </c>
      <c r="AM10" s="171">
        <f t="shared" si="2"/>
        <v>0</v>
      </c>
      <c r="AN10" s="189"/>
      <c r="AO10" s="189"/>
      <c r="AP10" s="178" t="str">
        <f t="shared" si="17"/>
        <v>% COBERTURA</v>
      </c>
      <c r="AQ10" s="176">
        <v>0.85</v>
      </c>
      <c r="AR10" s="180">
        <f t="shared" si="18"/>
        <v>0.9444444444444444</v>
      </c>
      <c r="AS10" s="180"/>
      <c r="AT10" s="180">
        <f t="shared" si="19"/>
        <v>0</v>
      </c>
      <c r="AU10" s="180">
        <f t="shared" si="20"/>
        <v>0</v>
      </c>
      <c r="AV10" s="171">
        <f>IF($J10&gt;0,AS10*$J10/0.9,"")</f>
        <v>0</v>
      </c>
      <c r="AW10" s="171">
        <f t="shared" si="3"/>
        <v>0</v>
      </c>
      <c r="AX10" s="189"/>
      <c r="AY10" s="189"/>
      <c r="AZ10" s="190" t="str">
        <f t="shared" si="21"/>
        <v>% COBERTURA</v>
      </c>
      <c r="BA10" s="176">
        <v>0.9</v>
      </c>
      <c r="BB10" s="180">
        <f t="shared" si="22"/>
        <v>1</v>
      </c>
      <c r="BC10" s="180"/>
      <c r="BD10" s="180">
        <f t="shared" si="23"/>
        <v>0</v>
      </c>
      <c r="BE10" s="180">
        <f t="shared" si="24"/>
        <v>0</v>
      </c>
      <c r="BF10" s="171">
        <f>IF($J10&gt;0,BC10*$J10/0.9,"")</f>
        <v>0</v>
      </c>
      <c r="BG10" s="171">
        <f t="shared" si="4"/>
        <v>0</v>
      </c>
      <c r="BH10" s="189"/>
      <c r="BI10" s="189"/>
      <c r="BJ10" s="190" t="str">
        <f t="shared" si="25"/>
        <v>% COBERTURA</v>
      </c>
      <c r="BK10" s="176">
        <v>0.9</v>
      </c>
      <c r="BL10" s="180">
        <f t="shared" si="26"/>
        <v>1</v>
      </c>
      <c r="BM10" s="171" t="str">
        <f t="shared" si="5"/>
        <v>OK</v>
      </c>
      <c r="BN10" s="180">
        <f t="shared" si="6"/>
        <v>0.05</v>
      </c>
      <c r="BO10" s="171">
        <f t="shared" si="7"/>
        <v>0.05</v>
      </c>
      <c r="BP10" s="171">
        <f t="shared" si="8"/>
        <v>0.05</v>
      </c>
      <c r="BQ10" s="191">
        <f t="shared" si="9"/>
        <v>0</v>
      </c>
      <c r="BR10" s="191">
        <f t="shared" si="10"/>
        <v>0</v>
      </c>
      <c r="BS10" s="192" t="str">
        <f t="shared" si="27"/>
        <v>% COBERTURA</v>
      </c>
      <c r="BT10" s="193"/>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row>
    <row r="11" spans="1:157" s="184" customFormat="1" ht="287.25" customHeight="1" thickBot="1">
      <c r="A11" s="412"/>
      <c r="B11" s="412"/>
      <c r="C11" s="405"/>
      <c r="D11" s="418" t="s">
        <v>560</v>
      </c>
      <c r="E11" s="195" t="s">
        <v>246</v>
      </c>
      <c r="F11" s="196" t="s">
        <v>247</v>
      </c>
      <c r="G11" s="196" t="s">
        <v>552</v>
      </c>
      <c r="H11" s="419">
        <f>+I11+I12+I13+I14</f>
        <v>0.05260000000000001</v>
      </c>
      <c r="I11" s="180">
        <v>0.005</v>
      </c>
      <c r="J11" s="180">
        <v>0.005</v>
      </c>
      <c r="K11" s="420">
        <f>+SUM(J11:J14)</f>
        <v>0.05260000000000001</v>
      </c>
      <c r="L11" s="198">
        <f>+J11/$K$11</f>
        <v>0.09505703422053231</v>
      </c>
      <c r="M11" s="171">
        <f t="shared" si="28"/>
        <v>0.09505703422053231</v>
      </c>
      <c r="N11" s="180">
        <v>0.0109</v>
      </c>
      <c r="O11" s="424"/>
      <c r="P11" s="187" t="s">
        <v>248</v>
      </c>
      <c r="Q11" s="187" t="s">
        <v>549</v>
      </c>
      <c r="R11" s="187" t="s">
        <v>226</v>
      </c>
      <c r="S11" s="188">
        <v>0.5</v>
      </c>
      <c r="T11" s="188">
        <v>0.8</v>
      </c>
      <c r="U11" s="188"/>
      <c r="V11" s="175"/>
      <c r="W11" s="176">
        <v>0.1</v>
      </c>
      <c r="X11" s="171">
        <f t="shared" si="11"/>
        <v>0.6</v>
      </c>
      <c r="Y11" s="180">
        <v>0.05</v>
      </c>
      <c r="Z11" s="180">
        <f t="shared" si="12"/>
        <v>0.5</v>
      </c>
      <c r="AA11" s="180">
        <f t="shared" si="13"/>
        <v>0.5</v>
      </c>
      <c r="AB11" s="171">
        <f>IF($J11&gt;0,Y11*$J11/0.8,"")</f>
        <v>0.0003125</v>
      </c>
      <c r="AC11" s="171">
        <f t="shared" si="1"/>
        <v>0.0003125</v>
      </c>
      <c r="AD11" s="189">
        <f>+'PLAN DE ACCION 2008'!Q64</f>
        <v>3500</v>
      </c>
      <c r="AE11" s="189">
        <f>+'PLAN DE ACCION 2008'!R64</f>
        <v>1200</v>
      </c>
      <c r="AF11" s="190" t="str">
        <f t="shared" si="0"/>
        <v>% COBERTURA POBLACION VULNERABLE</v>
      </c>
      <c r="AG11" s="176">
        <v>0.65</v>
      </c>
      <c r="AH11" s="180">
        <f t="shared" si="14"/>
        <v>0.8125</v>
      </c>
      <c r="AI11" s="180"/>
      <c r="AJ11" s="180">
        <f t="shared" si="15"/>
        <v>0</v>
      </c>
      <c r="AK11" s="180">
        <f t="shared" si="16"/>
        <v>0</v>
      </c>
      <c r="AL11" s="171">
        <f>IF($J11&gt;0,AI11*$J11/0.8,"")</f>
        <v>0</v>
      </c>
      <c r="AM11" s="171">
        <f t="shared" si="2"/>
        <v>0</v>
      </c>
      <c r="AN11" s="189"/>
      <c r="AO11" s="189"/>
      <c r="AP11" s="178" t="str">
        <f t="shared" si="17"/>
        <v>% COBERTURA POBLACION VULNERABLE</v>
      </c>
      <c r="AQ11" s="176">
        <v>0.7</v>
      </c>
      <c r="AR11" s="180">
        <f t="shared" si="18"/>
        <v>0.8749999999999999</v>
      </c>
      <c r="AS11" s="180"/>
      <c r="AT11" s="180">
        <f t="shared" si="19"/>
        <v>0</v>
      </c>
      <c r="AU11" s="180">
        <f t="shared" si="20"/>
        <v>0</v>
      </c>
      <c r="AV11" s="171">
        <f>IF($J11&gt;0,AS11*$J11/0.8,"")</f>
        <v>0</v>
      </c>
      <c r="AW11" s="171">
        <f t="shared" si="3"/>
        <v>0</v>
      </c>
      <c r="AX11" s="189"/>
      <c r="AY11" s="189"/>
      <c r="AZ11" s="190" t="str">
        <f t="shared" si="21"/>
        <v>% COBERTURA POBLACION VULNERABLE</v>
      </c>
      <c r="BA11" s="176">
        <v>0.8</v>
      </c>
      <c r="BB11" s="180">
        <f t="shared" si="22"/>
        <v>1</v>
      </c>
      <c r="BC11" s="180"/>
      <c r="BD11" s="180">
        <f t="shared" si="23"/>
        <v>0</v>
      </c>
      <c r="BE11" s="180">
        <f t="shared" si="24"/>
        <v>0</v>
      </c>
      <c r="BF11" s="171">
        <f>IF($J11&gt;0,BC11*$J11/0.8,"")</f>
        <v>0</v>
      </c>
      <c r="BG11" s="171">
        <f t="shared" si="4"/>
        <v>0</v>
      </c>
      <c r="BH11" s="189"/>
      <c r="BI11" s="189"/>
      <c r="BJ11" s="190" t="str">
        <f t="shared" si="25"/>
        <v>% COBERTURA POBLACION VULNERABLE</v>
      </c>
      <c r="BK11" s="176">
        <v>0.8</v>
      </c>
      <c r="BL11" s="180">
        <f t="shared" si="26"/>
        <v>1</v>
      </c>
      <c r="BM11" s="171" t="str">
        <f t="shared" si="5"/>
        <v>OK</v>
      </c>
      <c r="BN11" s="180">
        <f t="shared" si="6"/>
        <v>0.05</v>
      </c>
      <c r="BO11" s="171">
        <f t="shared" si="7"/>
        <v>0.05</v>
      </c>
      <c r="BP11" s="171">
        <f t="shared" si="8"/>
        <v>0.05</v>
      </c>
      <c r="BQ11" s="191">
        <f t="shared" si="9"/>
        <v>3500</v>
      </c>
      <c r="BR11" s="191">
        <f t="shared" si="10"/>
        <v>1200</v>
      </c>
      <c r="BS11" s="192" t="str">
        <f t="shared" si="27"/>
        <v>% COBERTURA POBLACION VULNERABLE</v>
      </c>
      <c r="BT11" s="193"/>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row>
    <row r="12" spans="1:157" s="184" customFormat="1" ht="296.25" customHeight="1" thickBot="1">
      <c r="A12" s="412"/>
      <c r="B12" s="412"/>
      <c r="C12" s="405"/>
      <c r="D12" s="390"/>
      <c r="E12" s="195" t="s">
        <v>249</v>
      </c>
      <c r="F12" s="196" t="s">
        <v>250</v>
      </c>
      <c r="G12" s="196" t="s">
        <v>553</v>
      </c>
      <c r="H12" s="393"/>
      <c r="I12" s="180">
        <v>0.0212</v>
      </c>
      <c r="J12" s="180">
        <v>0.0212</v>
      </c>
      <c r="K12" s="421"/>
      <c r="L12" s="198">
        <f>+J12/$K$11</f>
        <v>0.403041825095057</v>
      </c>
      <c r="M12" s="171">
        <f t="shared" si="28"/>
        <v>0.403041825095057</v>
      </c>
      <c r="N12" s="180">
        <v>0.0464</v>
      </c>
      <c r="O12" s="424"/>
      <c r="P12" s="187" t="s">
        <v>251</v>
      </c>
      <c r="Q12" s="187" t="s">
        <v>549</v>
      </c>
      <c r="R12" s="187" t="s">
        <v>226</v>
      </c>
      <c r="S12" s="188">
        <v>0.5</v>
      </c>
      <c r="T12" s="188">
        <v>0.8</v>
      </c>
      <c r="U12" s="188"/>
      <c r="V12" s="175"/>
      <c r="W12" s="176">
        <v>0.1</v>
      </c>
      <c r="X12" s="171">
        <f t="shared" si="11"/>
        <v>0.6</v>
      </c>
      <c r="Y12" s="180">
        <v>0.1</v>
      </c>
      <c r="Z12" s="180">
        <f t="shared" si="12"/>
        <v>1</v>
      </c>
      <c r="AA12" s="180">
        <f t="shared" si="13"/>
        <v>1</v>
      </c>
      <c r="AB12" s="171">
        <f>IF($J12&gt;0,Y12*$J12/0.8,"")</f>
        <v>0.0026499999999999996</v>
      </c>
      <c r="AC12" s="171">
        <f t="shared" si="1"/>
        <v>0.0026499999999999996</v>
      </c>
      <c r="AD12" s="189">
        <f>+'PLAN DE ACCION 2008'!Q65</f>
        <v>7000</v>
      </c>
      <c r="AE12" s="189">
        <f>+'PLAN DE ACCION 2008'!R65</f>
        <v>12037</v>
      </c>
      <c r="AF12" s="190" t="str">
        <f t="shared" si="0"/>
        <v>%COBERTURA ADULTO MAYOR</v>
      </c>
      <c r="AG12" s="176">
        <v>0.65</v>
      </c>
      <c r="AH12" s="180">
        <f t="shared" si="14"/>
        <v>0.8125</v>
      </c>
      <c r="AI12" s="180"/>
      <c r="AJ12" s="180">
        <f t="shared" si="15"/>
        <v>0</v>
      </c>
      <c r="AK12" s="180">
        <f t="shared" si="16"/>
        <v>0</v>
      </c>
      <c r="AL12" s="171">
        <f>IF($J12&gt;0,AI12*$J12/0.8,"")</f>
        <v>0</v>
      </c>
      <c r="AM12" s="171">
        <f t="shared" si="2"/>
        <v>0</v>
      </c>
      <c r="AN12" s="189"/>
      <c r="AO12" s="189"/>
      <c r="AP12" s="178" t="str">
        <f t="shared" si="17"/>
        <v>%COBERTURA ADULTO MAYOR</v>
      </c>
      <c r="AQ12" s="176">
        <v>0.7</v>
      </c>
      <c r="AR12" s="180">
        <f t="shared" si="18"/>
        <v>0.8749999999999999</v>
      </c>
      <c r="AS12" s="180"/>
      <c r="AT12" s="180">
        <f t="shared" si="19"/>
        <v>0</v>
      </c>
      <c r="AU12" s="180">
        <f t="shared" si="20"/>
        <v>0</v>
      </c>
      <c r="AV12" s="171">
        <f>IF($J12&gt;0,AS12*$J12/0.8,"")</f>
        <v>0</v>
      </c>
      <c r="AW12" s="171">
        <f t="shared" si="3"/>
        <v>0</v>
      </c>
      <c r="AX12" s="189"/>
      <c r="AY12" s="189"/>
      <c r="AZ12" s="190" t="str">
        <f t="shared" si="21"/>
        <v>%COBERTURA ADULTO MAYOR</v>
      </c>
      <c r="BA12" s="176">
        <v>0.8</v>
      </c>
      <c r="BB12" s="180">
        <f t="shared" si="22"/>
        <v>1</v>
      </c>
      <c r="BC12" s="180"/>
      <c r="BD12" s="180">
        <f t="shared" si="23"/>
        <v>0</v>
      </c>
      <c r="BE12" s="180">
        <f t="shared" si="24"/>
        <v>0</v>
      </c>
      <c r="BF12" s="171">
        <f>IF($J12&gt;0,BC12*$J12/0.8,"")</f>
        <v>0</v>
      </c>
      <c r="BG12" s="171">
        <f t="shared" si="4"/>
        <v>0</v>
      </c>
      <c r="BH12" s="189"/>
      <c r="BI12" s="189"/>
      <c r="BJ12" s="190" t="str">
        <f t="shared" si="25"/>
        <v>%COBERTURA ADULTO MAYOR</v>
      </c>
      <c r="BK12" s="176">
        <v>0.8</v>
      </c>
      <c r="BL12" s="180">
        <f t="shared" si="26"/>
        <v>1</v>
      </c>
      <c r="BM12" s="171" t="str">
        <f t="shared" si="5"/>
        <v>OK</v>
      </c>
      <c r="BN12" s="180">
        <f t="shared" si="6"/>
        <v>0.1</v>
      </c>
      <c r="BO12" s="171">
        <f t="shared" si="7"/>
        <v>0.1</v>
      </c>
      <c r="BP12" s="171">
        <f t="shared" si="8"/>
        <v>0.1</v>
      </c>
      <c r="BQ12" s="191">
        <f t="shared" si="9"/>
        <v>7000</v>
      </c>
      <c r="BR12" s="191">
        <f t="shared" si="10"/>
        <v>12037</v>
      </c>
      <c r="BS12" s="192" t="str">
        <f t="shared" si="27"/>
        <v>%COBERTURA ADULTO MAYOR</v>
      </c>
      <c r="BT12" s="193"/>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row>
    <row r="13" spans="1:157" s="184" customFormat="1" ht="317.25" customHeight="1" thickBot="1">
      <c r="A13" s="412"/>
      <c r="B13" s="412"/>
      <c r="C13" s="405"/>
      <c r="D13" s="390"/>
      <c r="E13" s="195" t="s">
        <v>252</v>
      </c>
      <c r="F13" s="196" t="s">
        <v>253</v>
      </c>
      <c r="G13" s="196" t="s">
        <v>554</v>
      </c>
      <c r="H13" s="393"/>
      <c r="I13" s="180">
        <v>0.01</v>
      </c>
      <c r="J13" s="180">
        <v>0.01</v>
      </c>
      <c r="K13" s="421"/>
      <c r="L13" s="198">
        <f>+J13/$K$11</f>
        <v>0.19011406844106463</v>
      </c>
      <c r="M13" s="171">
        <f t="shared" si="28"/>
        <v>0.19011406844106463</v>
      </c>
      <c r="N13" s="180">
        <v>0.0219</v>
      </c>
      <c r="O13" s="424"/>
      <c r="P13" s="187" t="s">
        <v>254</v>
      </c>
      <c r="Q13" s="187" t="s">
        <v>549</v>
      </c>
      <c r="R13" s="187" t="s">
        <v>226</v>
      </c>
      <c r="S13" s="188">
        <v>0.5</v>
      </c>
      <c r="T13" s="188">
        <v>0.8</v>
      </c>
      <c r="U13" s="188"/>
      <c r="V13" s="175"/>
      <c r="W13" s="176">
        <v>0.1</v>
      </c>
      <c r="X13" s="171">
        <f t="shared" si="11"/>
        <v>0.6</v>
      </c>
      <c r="Y13" s="180">
        <v>0</v>
      </c>
      <c r="Z13" s="180">
        <f t="shared" si="12"/>
        <v>0</v>
      </c>
      <c r="AA13" s="180">
        <f t="shared" si="13"/>
        <v>0</v>
      </c>
      <c r="AB13" s="171">
        <f>IF($J13&gt;0,Y13*$J13/0.8,"")</f>
        <v>0</v>
      </c>
      <c r="AC13" s="171">
        <f t="shared" si="1"/>
        <v>0</v>
      </c>
      <c r="AD13" s="189">
        <f>+'PLAN DE ACCION 2008'!Q66</f>
        <v>2500</v>
      </c>
      <c r="AE13" s="189">
        <f>+'PLAN DE ACCION 2008'!R66</f>
        <v>0</v>
      </c>
      <c r="AF13" s="190" t="str">
        <f t="shared" si="0"/>
        <v>%COBERTURA DESPLAZADOS</v>
      </c>
      <c r="AG13" s="176">
        <v>0.65</v>
      </c>
      <c r="AH13" s="180">
        <f t="shared" si="14"/>
        <v>0.8125</v>
      </c>
      <c r="AI13" s="180"/>
      <c r="AJ13" s="180">
        <f t="shared" si="15"/>
        <v>0</v>
      </c>
      <c r="AK13" s="180">
        <f t="shared" si="16"/>
        <v>0</v>
      </c>
      <c r="AL13" s="171">
        <f>IF($J13&gt;0,AI13*$J13/0.8,"")</f>
        <v>0</v>
      </c>
      <c r="AM13" s="171">
        <f t="shared" si="2"/>
        <v>0</v>
      </c>
      <c r="AN13" s="189"/>
      <c r="AO13" s="189"/>
      <c r="AP13" s="178" t="str">
        <f t="shared" si="17"/>
        <v>%COBERTURA DESPLAZADOS</v>
      </c>
      <c r="AQ13" s="176">
        <v>0.7</v>
      </c>
      <c r="AR13" s="180">
        <f t="shared" si="18"/>
        <v>0.8749999999999999</v>
      </c>
      <c r="AS13" s="180"/>
      <c r="AT13" s="180">
        <f t="shared" si="19"/>
        <v>0</v>
      </c>
      <c r="AU13" s="180">
        <f t="shared" si="20"/>
        <v>0</v>
      </c>
      <c r="AV13" s="171">
        <f>IF($J13&gt;0,AS13*$J13/0.8,"")</f>
        <v>0</v>
      </c>
      <c r="AW13" s="171">
        <f t="shared" si="3"/>
        <v>0</v>
      </c>
      <c r="AX13" s="189"/>
      <c r="AY13" s="189"/>
      <c r="AZ13" s="190" t="str">
        <f t="shared" si="21"/>
        <v>%COBERTURA DESPLAZADOS</v>
      </c>
      <c r="BA13" s="176">
        <v>0.8</v>
      </c>
      <c r="BB13" s="180">
        <f t="shared" si="22"/>
        <v>1</v>
      </c>
      <c r="BC13" s="180"/>
      <c r="BD13" s="180">
        <f t="shared" si="23"/>
        <v>0</v>
      </c>
      <c r="BE13" s="180">
        <f t="shared" si="24"/>
        <v>0</v>
      </c>
      <c r="BF13" s="171">
        <f>IF($J13&gt;0,BC13*$J13/0.8,"")</f>
        <v>0</v>
      </c>
      <c r="BG13" s="171">
        <f t="shared" si="4"/>
        <v>0</v>
      </c>
      <c r="BH13" s="189"/>
      <c r="BI13" s="189"/>
      <c r="BJ13" s="190" t="str">
        <f t="shared" si="25"/>
        <v>%COBERTURA DESPLAZADOS</v>
      </c>
      <c r="BK13" s="176">
        <v>0.8</v>
      </c>
      <c r="BL13" s="180">
        <f t="shared" si="26"/>
        <v>1</v>
      </c>
      <c r="BM13" s="171" t="str">
        <f t="shared" si="5"/>
        <v>OK</v>
      </c>
      <c r="BN13" s="180">
        <f t="shared" si="6"/>
        <v>0</v>
      </c>
      <c r="BO13" s="171">
        <f t="shared" si="7"/>
        <v>0</v>
      </c>
      <c r="BP13" s="171">
        <f t="shared" si="8"/>
        <v>0</v>
      </c>
      <c r="BQ13" s="191">
        <f t="shared" si="9"/>
        <v>2500</v>
      </c>
      <c r="BR13" s="191">
        <f t="shared" si="10"/>
        <v>0</v>
      </c>
      <c r="BS13" s="192" t="str">
        <f t="shared" si="27"/>
        <v>%COBERTURA DESPLAZADOS</v>
      </c>
      <c r="BT13" s="193"/>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row>
    <row r="14" spans="1:157" s="184" customFormat="1" ht="320.25" customHeight="1" thickBot="1">
      <c r="A14" s="412"/>
      <c r="B14" s="412"/>
      <c r="C14" s="405"/>
      <c r="D14" s="391"/>
      <c r="E14" s="195" t="s">
        <v>255</v>
      </c>
      <c r="F14" s="196" t="s">
        <v>256</v>
      </c>
      <c r="G14" s="196" t="s">
        <v>555</v>
      </c>
      <c r="H14" s="394"/>
      <c r="I14" s="180">
        <v>0.0164</v>
      </c>
      <c r="J14" s="180">
        <v>0.0164</v>
      </c>
      <c r="K14" s="422"/>
      <c r="L14" s="198">
        <f>+J14/$K$11</f>
        <v>0.311787072243346</v>
      </c>
      <c r="M14" s="171">
        <f t="shared" si="28"/>
        <v>0.311787072243346</v>
      </c>
      <c r="N14" s="180">
        <v>0.0359</v>
      </c>
      <c r="O14" s="424"/>
      <c r="P14" s="187" t="s">
        <v>257</v>
      </c>
      <c r="Q14" s="187" t="s">
        <v>549</v>
      </c>
      <c r="R14" s="187" t="s">
        <v>226</v>
      </c>
      <c r="S14" s="188">
        <v>0.5</v>
      </c>
      <c r="T14" s="188">
        <v>0.8</v>
      </c>
      <c r="U14" s="188"/>
      <c r="V14" s="175"/>
      <c r="W14" s="176">
        <v>0.1</v>
      </c>
      <c r="X14" s="171">
        <f t="shared" si="11"/>
        <v>0.6</v>
      </c>
      <c r="Y14" s="180">
        <v>0.1</v>
      </c>
      <c r="Z14" s="180">
        <f t="shared" si="12"/>
        <v>1</v>
      </c>
      <c r="AA14" s="180">
        <f t="shared" si="13"/>
        <v>1</v>
      </c>
      <c r="AB14" s="171">
        <f>IF($J14&gt;0,Y14*$J14/0.8,"")</f>
        <v>0.00205</v>
      </c>
      <c r="AC14" s="171">
        <f t="shared" si="1"/>
        <v>0.00205</v>
      </c>
      <c r="AD14" s="189">
        <f>+'PLAN DE ACCION 2008'!Q67</f>
        <v>5000</v>
      </c>
      <c r="AE14" s="189">
        <f>+'PLAN DE ACCION 2008'!R67</f>
        <v>7250</v>
      </c>
      <c r="AF14" s="190" t="str">
        <f t="shared" si="0"/>
        <v>% COBERTURA DISCAPACITADOS</v>
      </c>
      <c r="AG14" s="176">
        <v>0.65</v>
      </c>
      <c r="AH14" s="180">
        <f t="shared" si="14"/>
        <v>0.8125</v>
      </c>
      <c r="AI14" s="180"/>
      <c r="AJ14" s="180">
        <f t="shared" si="15"/>
        <v>0</v>
      </c>
      <c r="AK14" s="180">
        <f t="shared" si="16"/>
        <v>0</v>
      </c>
      <c r="AL14" s="171">
        <f>IF($J14&gt;0,AI14*$J14/0.8,"")</f>
        <v>0</v>
      </c>
      <c r="AM14" s="171">
        <f t="shared" si="2"/>
        <v>0</v>
      </c>
      <c r="AN14" s="189"/>
      <c r="AO14" s="189"/>
      <c r="AP14" s="178" t="str">
        <f t="shared" si="17"/>
        <v>% COBERTURA DISCAPACITADOS</v>
      </c>
      <c r="AQ14" s="176">
        <v>0.7</v>
      </c>
      <c r="AR14" s="180">
        <f t="shared" si="18"/>
        <v>0.8749999999999999</v>
      </c>
      <c r="AS14" s="180"/>
      <c r="AT14" s="180">
        <f t="shared" si="19"/>
        <v>0</v>
      </c>
      <c r="AU14" s="180">
        <f t="shared" si="20"/>
        <v>0</v>
      </c>
      <c r="AV14" s="171">
        <f>IF($J14&gt;0,AS14*$J14/0.8,"")</f>
        <v>0</v>
      </c>
      <c r="AW14" s="171">
        <f t="shared" si="3"/>
        <v>0</v>
      </c>
      <c r="AX14" s="189"/>
      <c r="AY14" s="189"/>
      <c r="AZ14" s="190" t="str">
        <f t="shared" si="21"/>
        <v>% COBERTURA DISCAPACITADOS</v>
      </c>
      <c r="BA14" s="176">
        <v>0.8</v>
      </c>
      <c r="BB14" s="180">
        <f t="shared" si="22"/>
        <v>1</v>
      </c>
      <c r="BC14" s="180"/>
      <c r="BD14" s="180">
        <f t="shared" si="23"/>
        <v>0</v>
      </c>
      <c r="BE14" s="180">
        <f t="shared" si="24"/>
        <v>0</v>
      </c>
      <c r="BF14" s="171">
        <f>IF($J14&gt;0,BC14*$J14/0.8,"")</f>
        <v>0</v>
      </c>
      <c r="BG14" s="171">
        <f t="shared" si="4"/>
        <v>0</v>
      </c>
      <c r="BH14" s="189"/>
      <c r="BI14" s="189"/>
      <c r="BJ14" s="190" t="str">
        <f t="shared" si="25"/>
        <v>% COBERTURA DISCAPACITADOS</v>
      </c>
      <c r="BK14" s="176">
        <v>0.8</v>
      </c>
      <c r="BL14" s="180">
        <f t="shared" si="26"/>
        <v>1</v>
      </c>
      <c r="BM14" s="171" t="str">
        <f t="shared" si="5"/>
        <v>OK</v>
      </c>
      <c r="BN14" s="180">
        <f t="shared" si="6"/>
        <v>0.1</v>
      </c>
      <c r="BO14" s="171">
        <f t="shared" si="7"/>
        <v>0.1</v>
      </c>
      <c r="BP14" s="171">
        <f t="shared" si="8"/>
        <v>0.1</v>
      </c>
      <c r="BQ14" s="191">
        <f t="shared" si="9"/>
        <v>5000</v>
      </c>
      <c r="BR14" s="191">
        <f t="shared" si="10"/>
        <v>7250</v>
      </c>
      <c r="BS14" s="192" t="str">
        <f t="shared" si="27"/>
        <v>% COBERTURA DISCAPACITADOS</v>
      </c>
      <c r="BT14" s="193"/>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row>
    <row r="15" spans="1:157" s="184" customFormat="1" ht="305.25" customHeight="1" thickBot="1">
      <c r="A15" s="412"/>
      <c r="B15" s="412"/>
      <c r="C15" s="405"/>
      <c r="D15" s="418" t="s">
        <v>567</v>
      </c>
      <c r="E15" s="195" t="s">
        <v>258</v>
      </c>
      <c r="F15" s="196" t="s">
        <v>259</v>
      </c>
      <c r="G15" s="196" t="s">
        <v>565</v>
      </c>
      <c r="H15" s="419">
        <f>+I15+I16</f>
        <v>0.0016</v>
      </c>
      <c r="I15" s="180">
        <v>0.0008</v>
      </c>
      <c r="J15" s="180">
        <v>0.0008</v>
      </c>
      <c r="K15" s="420">
        <f>+SUM(J15:J16)</f>
        <v>0.0016</v>
      </c>
      <c r="L15" s="198">
        <f>+J15/$K$15</f>
        <v>0.5</v>
      </c>
      <c r="M15" s="171">
        <f t="shared" si="28"/>
        <v>0.5</v>
      </c>
      <c r="N15" s="180">
        <v>0.0018</v>
      </c>
      <c r="O15" s="424"/>
      <c r="P15" s="205" t="s">
        <v>260</v>
      </c>
      <c r="Q15" s="205" t="s">
        <v>569</v>
      </c>
      <c r="R15" s="187" t="s">
        <v>236</v>
      </c>
      <c r="S15" s="199">
        <v>1</v>
      </c>
      <c r="T15" s="199">
        <v>1</v>
      </c>
      <c r="U15" s="199"/>
      <c r="V15" s="200"/>
      <c r="W15" s="176">
        <v>1</v>
      </c>
      <c r="X15" s="171">
        <f>+W15</f>
        <v>1</v>
      </c>
      <c r="Y15" s="180">
        <v>1</v>
      </c>
      <c r="Z15" s="180">
        <f t="shared" si="12"/>
        <v>1</v>
      </c>
      <c r="AA15" s="180">
        <f t="shared" si="13"/>
        <v>1</v>
      </c>
      <c r="AB15" s="171">
        <f>IF($J15&gt;0,Y15*$J15,"")</f>
        <v>0.0008</v>
      </c>
      <c r="AC15" s="171">
        <f t="shared" si="1"/>
        <v>0.0008</v>
      </c>
      <c r="AD15" s="189">
        <f>+'PLAN DE ACCION 2008'!Q87</f>
        <v>2000</v>
      </c>
      <c r="AE15" s="189">
        <f>+'PLAN DE ACCION 2008'!R87</f>
        <v>5999</v>
      </c>
      <c r="AF15" s="190" t="str">
        <f t="shared" si="0"/>
        <v>COMISARI@ DE FAMILIA</v>
      </c>
      <c r="AG15" s="176">
        <v>1</v>
      </c>
      <c r="AH15" s="180">
        <f t="shared" si="14"/>
        <v>1</v>
      </c>
      <c r="AI15" s="180"/>
      <c r="AJ15" s="180">
        <f t="shared" si="15"/>
        <v>0</v>
      </c>
      <c r="AK15" s="180">
        <f t="shared" si="16"/>
        <v>0</v>
      </c>
      <c r="AL15" s="171">
        <f>IF($J15&gt;0,AI15*$J15,"")</f>
        <v>0</v>
      </c>
      <c r="AM15" s="171">
        <f t="shared" si="2"/>
        <v>0</v>
      </c>
      <c r="AN15" s="189"/>
      <c r="AO15" s="189"/>
      <c r="AP15" s="178" t="str">
        <f t="shared" si="17"/>
        <v>COMISARI@ DE FAMILIA</v>
      </c>
      <c r="AQ15" s="176">
        <v>1</v>
      </c>
      <c r="AR15" s="180">
        <f t="shared" si="18"/>
        <v>1</v>
      </c>
      <c r="AS15" s="180"/>
      <c r="AT15" s="180">
        <f t="shared" si="19"/>
        <v>0</v>
      </c>
      <c r="AU15" s="180">
        <f t="shared" si="20"/>
        <v>0</v>
      </c>
      <c r="AV15" s="171">
        <f>IF($J15&gt;0,AS15*$J15,"")</f>
        <v>0</v>
      </c>
      <c r="AW15" s="171">
        <f t="shared" si="3"/>
        <v>0</v>
      </c>
      <c r="AX15" s="189"/>
      <c r="AY15" s="189"/>
      <c r="AZ15" s="190" t="str">
        <f t="shared" si="21"/>
        <v>COMISARI@ DE FAMILIA</v>
      </c>
      <c r="BA15" s="176">
        <v>1</v>
      </c>
      <c r="BB15" s="180">
        <f t="shared" si="22"/>
        <v>1</v>
      </c>
      <c r="BC15" s="180"/>
      <c r="BD15" s="180">
        <f t="shared" si="23"/>
        <v>0</v>
      </c>
      <c r="BE15" s="180">
        <f t="shared" si="24"/>
        <v>0</v>
      </c>
      <c r="BF15" s="171">
        <f>IF($J15&gt;0,BC15*$J15,"")</f>
        <v>0</v>
      </c>
      <c r="BG15" s="171">
        <f t="shared" si="4"/>
        <v>0</v>
      </c>
      <c r="BH15" s="189"/>
      <c r="BI15" s="189"/>
      <c r="BJ15" s="190" t="str">
        <f t="shared" si="25"/>
        <v>COMISARI@ DE FAMILIA</v>
      </c>
      <c r="BK15" s="176">
        <v>1</v>
      </c>
      <c r="BL15" s="180">
        <f t="shared" si="26"/>
        <v>1</v>
      </c>
      <c r="BM15" s="171" t="str">
        <f t="shared" si="5"/>
        <v>OK</v>
      </c>
      <c r="BN15" s="180">
        <f t="shared" si="6"/>
        <v>1</v>
      </c>
      <c r="BO15" s="171">
        <f t="shared" si="7"/>
        <v>1</v>
      </c>
      <c r="BP15" s="171">
        <f t="shared" si="8"/>
        <v>1</v>
      </c>
      <c r="BQ15" s="191">
        <f t="shared" si="9"/>
        <v>2000</v>
      </c>
      <c r="BR15" s="191">
        <f t="shared" si="10"/>
        <v>5999</v>
      </c>
      <c r="BS15" s="192" t="str">
        <f t="shared" si="27"/>
        <v>COMISARI@ DE FAMILIA</v>
      </c>
      <c r="BT15" s="193"/>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row>
    <row r="16" spans="1:157" s="184" customFormat="1" ht="287.25" customHeight="1" thickBot="1">
      <c r="A16" s="412"/>
      <c r="B16" s="413"/>
      <c r="C16" s="406"/>
      <c r="D16" s="391"/>
      <c r="E16" s="195" t="s">
        <v>261</v>
      </c>
      <c r="F16" s="196" t="s">
        <v>262</v>
      </c>
      <c r="G16" s="196" t="s">
        <v>566</v>
      </c>
      <c r="H16" s="394"/>
      <c r="I16" s="180">
        <v>0.0008</v>
      </c>
      <c r="J16" s="180">
        <v>0.0008</v>
      </c>
      <c r="K16" s="422"/>
      <c r="L16" s="198">
        <f>+J16/$K$15</f>
        <v>0.5</v>
      </c>
      <c r="M16" s="171">
        <f t="shared" si="28"/>
        <v>0.5</v>
      </c>
      <c r="N16" s="180">
        <v>0.0018</v>
      </c>
      <c r="O16" s="425"/>
      <c r="P16" s="187" t="s">
        <v>263</v>
      </c>
      <c r="Q16" s="187" t="s">
        <v>569</v>
      </c>
      <c r="R16" s="187" t="s">
        <v>236</v>
      </c>
      <c r="S16" s="188">
        <v>0</v>
      </c>
      <c r="T16" s="188">
        <v>0.95</v>
      </c>
      <c r="U16" s="188"/>
      <c r="V16" s="175"/>
      <c r="W16" s="176">
        <v>0</v>
      </c>
      <c r="X16" s="171">
        <f t="shared" si="11"/>
        <v>0</v>
      </c>
      <c r="Y16" s="180">
        <v>0.95</v>
      </c>
      <c r="Z16" s="180">
        <f>IF(W16&gt;0,Y16/W16,(IF(Y16&gt;0,1,"")))</f>
        <v>1</v>
      </c>
      <c r="AA16" s="180">
        <f t="shared" si="13"/>
        <v>1</v>
      </c>
      <c r="AB16" s="171">
        <f>IF($J16&gt;0,Y16*$J16/0.95,"")</f>
        <v>0.0008</v>
      </c>
      <c r="AC16" s="171">
        <f t="shared" si="1"/>
        <v>0.0008</v>
      </c>
      <c r="AD16" s="189">
        <f>+'PLAN DE ACCION 2008'!Q88</f>
        <v>3000</v>
      </c>
      <c r="AE16" s="189">
        <f>+'PLAN DE ACCION 2008'!R88</f>
        <v>1000</v>
      </c>
      <c r="AF16" s="190" t="str">
        <f t="shared" si="0"/>
        <v>% PROTECCION DE INFANCIA Y ADOLESCENCIA</v>
      </c>
      <c r="AG16" s="176">
        <v>0.95</v>
      </c>
      <c r="AH16" s="180">
        <f t="shared" si="14"/>
        <v>1</v>
      </c>
      <c r="AI16" s="180"/>
      <c r="AJ16" s="180">
        <f t="shared" si="15"/>
        <v>0</v>
      </c>
      <c r="AK16" s="180">
        <f t="shared" si="16"/>
        <v>0</v>
      </c>
      <c r="AL16" s="171">
        <f>IF($J16&gt;0,AI16*$J16/0.95,"")</f>
        <v>0</v>
      </c>
      <c r="AM16" s="171">
        <f t="shared" si="2"/>
        <v>0</v>
      </c>
      <c r="AN16" s="189"/>
      <c r="AO16" s="189"/>
      <c r="AP16" s="178" t="str">
        <f t="shared" si="17"/>
        <v>% PROTECCION DE INFANCIA Y ADOLESCENCIA</v>
      </c>
      <c r="AQ16" s="176">
        <v>0.95</v>
      </c>
      <c r="AR16" s="180">
        <f t="shared" si="18"/>
        <v>1</v>
      </c>
      <c r="AS16" s="180"/>
      <c r="AT16" s="180">
        <f t="shared" si="19"/>
        <v>0</v>
      </c>
      <c r="AU16" s="180">
        <f t="shared" si="20"/>
        <v>0</v>
      </c>
      <c r="AV16" s="171">
        <f>IF($J16&gt;0,AS16*$J16/0.95,"")</f>
        <v>0</v>
      </c>
      <c r="AW16" s="171">
        <f t="shared" si="3"/>
        <v>0</v>
      </c>
      <c r="AX16" s="189"/>
      <c r="AY16" s="189"/>
      <c r="AZ16" s="190" t="str">
        <f t="shared" si="21"/>
        <v>% PROTECCION DE INFANCIA Y ADOLESCENCIA</v>
      </c>
      <c r="BA16" s="176">
        <v>0.95</v>
      </c>
      <c r="BB16" s="180">
        <f t="shared" si="22"/>
        <v>1</v>
      </c>
      <c r="BC16" s="180"/>
      <c r="BD16" s="180">
        <f t="shared" si="23"/>
        <v>0</v>
      </c>
      <c r="BE16" s="180">
        <f t="shared" si="24"/>
        <v>0</v>
      </c>
      <c r="BF16" s="171">
        <f>IF($J16&gt;0,BC16*$J16/0.95,"")</f>
        <v>0</v>
      </c>
      <c r="BG16" s="171">
        <f t="shared" si="4"/>
        <v>0</v>
      </c>
      <c r="BH16" s="189"/>
      <c r="BI16" s="189"/>
      <c r="BJ16" s="190" t="str">
        <f t="shared" si="25"/>
        <v>% PROTECCION DE INFANCIA Y ADOLESCENCIA</v>
      </c>
      <c r="BK16" s="176">
        <v>0.95</v>
      </c>
      <c r="BL16" s="180">
        <f t="shared" si="26"/>
        <v>1</v>
      </c>
      <c r="BM16" s="171" t="str">
        <f t="shared" si="5"/>
        <v>OK</v>
      </c>
      <c r="BN16" s="180">
        <f t="shared" si="6"/>
        <v>0.95</v>
      </c>
      <c r="BO16" s="171">
        <f t="shared" si="7"/>
        <v>0.95</v>
      </c>
      <c r="BP16" s="171">
        <f t="shared" si="8"/>
        <v>0.95</v>
      </c>
      <c r="BQ16" s="191">
        <f t="shared" si="9"/>
        <v>3000</v>
      </c>
      <c r="BR16" s="191">
        <f t="shared" si="10"/>
        <v>1000</v>
      </c>
      <c r="BS16" s="192" t="str">
        <f t="shared" si="27"/>
        <v>% PROTECCION DE INFANCIA Y ADOLESCENCIA</v>
      </c>
      <c r="BT16" s="193"/>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row>
    <row r="17" spans="1:157" s="184" customFormat="1" ht="287.25" customHeight="1" thickBot="1">
      <c r="A17" s="412"/>
      <c r="B17" s="416" t="s">
        <v>264</v>
      </c>
      <c r="C17" s="417" t="s">
        <v>265</v>
      </c>
      <c r="D17" s="432" t="s">
        <v>575</v>
      </c>
      <c r="E17" s="206" t="s">
        <v>266</v>
      </c>
      <c r="F17" s="207" t="s">
        <v>267</v>
      </c>
      <c r="G17" s="207" t="s">
        <v>571</v>
      </c>
      <c r="H17" s="419">
        <f>+I17+I18+I19</f>
        <v>0.025099999999999997</v>
      </c>
      <c r="I17" s="208">
        <v>0.005</v>
      </c>
      <c r="J17" s="208">
        <v>0.005</v>
      </c>
      <c r="K17" s="420">
        <f>+SUM(J17:J19)</f>
        <v>0.025099999999999997</v>
      </c>
      <c r="L17" s="209">
        <f>+J17/$K$17</f>
        <v>0.19920318725099603</v>
      </c>
      <c r="M17" s="171">
        <f t="shared" si="28"/>
        <v>0.19920318725099603</v>
      </c>
      <c r="N17" s="208">
        <v>0.1085</v>
      </c>
      <c r="O17" s="423">
        <f>+N17+N18+N19+N20+N21+N22</f>
        <v>1</v>
      </c>
      <c r="P17" s="187" t="s">
        <v>268</v>
      </c>
      <c r="Q17" s="210" t="s">
        <v>549</v>
      </c>
      <c r="R17" s="187" t="s">
        <v>226</v>
      </c>
      <c r="S17" s="188">
        <v>0.6</v>
      </c>
      <c r="T17" s="188">
        <v>0.9</v>
      </c>
      <c r="U17" s="188"/>
      <c r="V17" s="175"/>
      <c r="W17" s="176">
        <v>0.05</v>
      </c>
      <c r="X17" s="171">
        <f t="shared" si="11"/>
        <v>0.65</v>
      </c>
      <c r="Y17" s="180">
        <v>0</v>
      </c>
      <c r="Z17" s="180">
        <f t="shared" si="12"/>
        <v>0</v>
      </c>
      <c r="AA17" s="180">
        <f t="shared" si="13"/>
        <v>0</v>
      </c>
      <c r="AB17" s="171">
        <f>IF($J17&gt;0,Y17*$J17/0.9,"")</f>
        <v>0</v>
      </c>
      <c r="AC17" s="171">
        <f t="shared" si="1"/>
        <v>0</v>
      </c>
      <c r="AD17" s="189">
        <f>+'PLAN DE ACCION 2008'!Q110</f>
        <v>0</v>
      </c>
      <c r="AE17" s="189">
        <f>+'PLAN DE ACCION 2008'!R110</f>
        <v>0</v>
      </c>
      <c r="AF17" s="190" t="str">
        <f t="shared" si="0"/>
        <v>% FORMACION ALUMNOS </v>
      </c>
      <c r="AG17" s="176">
        <v>0.75</v>
      </c>
      <c r="AH17" s="180">
        <f t="shared" si="14"/>
        <v>0.8333333333333333</v>
      </c>
      <c r="AI17" s="180"/>
      <c r="AJ17" s="180">
        <f t="shared" si="15"/>
        <v>0</v>
      </c>
      <c r="AK17" s="180">
        <f t="shared" si="16"/>
        <v>0</v>
      </c>
      <c r="AL17" s="171">
        <f>IF($J17&gt;0,AI17*$J17/0.9,"")</f>
        <v>0</v>
      </c>
      <c r="AM17" s="171">
        <f t="shared" si="2"/>
        <v>0</v>
      </c>
      <c r="AN17" s="189"/>
      <c r="AO17" s="189"/>
      <c r="AP17" s="178" t="str">
        <f t="shared" si="17"/>
        <v>% FORMACION ALUMNOS </v>
      </c>
      <c r="AQ17" s="176">
        <v>0.85</v>
      </c>
      <c r="AR17" s="180">
        <f t="shared" si="18"/>
        <v>0.9444444444444444</v>
      </c>
      <c r="AS17" s="180"/>
      <c r="AT17" s="180">
        <f t="shared" si="19"/>
        <v>0</v>
      </c>
      <c r="AU17" s="180">
        <f t="shared" si="20"/>
        <v>0</v>
      </c>
      <c r="AV17" s="171">
        <f>IF($J17&gt;0,AS17*$J17/0.9,"")</f>
        <v>0</v>
      </c>
      <c r="AW17" s="171">
        <f t="shared" si="3"/>
        <v>0</v>
      </c>
      <c r="AX17" s="189"/>
      <c r="AY17" s="189"/>
      <c r="AZ17" s="190" t="str">
        <f t="shared" si="21"/>
        <v>% FORMACION ALUMNOS </v>
      </c>
      <c r="BA17" s="176">
        <v>0.9</v>
      </c>
      <c r="BB17" s="180">
        <f t="shared" si="22"/>
        <v>1</v>
      </c>
      <c r="BC17" s="180"/>
      <c r="BD17" s="180">
        <f t="shared" si="23"/>
        <v>0</v>
      </c>
      <c r="BE17" s="180">
        <f t="shared" si="24"/>
        <v>0</v>
      </c>
      <c r="BF17" s="171">
        <f>IF($J17&gt;0,BC17*$J17/0.9,"")</f>
        <v>0</v>
      </c>
      <c r="BG17" s="171">
        <f t="shared" si="4"/>
        <v>0</v>
      </c>
      <c r="BH17" s="189"/>
      <c r="BI17" s="189"/>
      <c r="BJ17" s="190" t="str">
        <f t="shared" si="25"/>
        <v>% FORMACION ALUMNOS </v>
      </c>
      <c r="BK17" s="176">
        <v>0.9</v>
      </c>
      <c r="BL17" s="180">
        <f t="shared" si="26"/>
        <v>1</v>
      </c>
      <c r="BM17" s="171" t="str">
        <f t="shared" si="5"/>
        <v>OK</v>
      </c>
      <c r="BN17" s="180">
        <f t="shared" si="6"/>
        <v>0</v>
      </c>
      <c r="BO17" s="171">
        <f t="shared" si="7"/>
        <v>0</v>
      </c>
      <c r="BP17" s="171">
        <f t="shared" si="8"/>
        <v>0</v>
      </c>
      <c r="BQ17" s="191">
        <f t="shared" si="9"/>
        <v>0</v>
      </c>
      <c r="BR17" s="191">
        <f t="shared" si="10"/>
        <v>0</v>
      </c>
      <c r="BS17" s="192" t="str">
        <f t="shared" si="27"/>
        <v>% FORMACION ALUMNOS </v>
      </c>
      <c r="BT17" s="193"/>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row>
    <row r="18" spans="1:157" s="184" customFormat="1" ht="287.25" customHeight="1" thickBot="1">
      <c r="A18" s="412"/>
      <c r="B18" s="412"/>
      <c r="C18" s="405"/>
      <c r="D18" s="433"/>
      <c r="E18" s="206" t="s">
        <v>269</v>
      </c>
      <c r="F18" s="207" t="s">
        <v>270</v>
      </c>
      <c r="G18" s="207" t="s">
        <v>572</v>
      </c>
      <c r="H18" s="393"/>
      <c r="I18" s="208">
        <v>0.0101</v>
      </c>
      <c r="J18" s="208">
        <v>0.0101</v>
      </c>
      <c r="K18" s="421"/>
      <c r="L18" s="209">
        <f>+J18/$K$17</f>
        <v>0.402390438247012</v>
      </c>
      <c r="M18" s="171">
        <f t="shared" si="28"/>
        <v>0.402390438247012</v>
      </c>
      <c r="N18" s="208">
        <v>0.2191</v>
      </c>
      <c r="O18" s="424"/>
      <c r="P18" s="187" t="s">
        <v>271</v>
      </c>
      <c r="Q18" s="210" t="s">
        <v>549</v>
      </c>
      <c r="R18" s="187" t="s">
        <v>226</v>
      </c>
      <c r="S18" s="188">
        <v>0.7</v>
      </c>
      <c r="T18" s="188">
        <v>0.9</v>
      </c>
      <c r="U18" s="188"/>
      <c r="V18" s="175"/>
      <c r="W18" s="176">
        <v>0.05</v>
      </c>
      <c r="X18" s="171">
        <f t="shared" si="11"/>
        <v>0.75</v>
      </c>
      <c r="Y18" s="180">
        <v>0</v>
      </c>
      <c r="Z18" s="180">
        <f t="shared" si="12"/>
        <v>0</v>
      </c>
      <c r="AA18" s="180">
        <f t="shared" si="13"/>
        <v>0</v>
      </c>
      <c r="AB18" s="171">
        <f>IF($J18&gt;0,Y18*$J18/0.9,"")</f>
        <v>0</v>
      </c>
      <c r="AC18" s="171">
        <f t="shared" si="1"/>
        <v>0</v>
      </c>
      <c r="AD18" s="189">
        <f>+'PLAN DE ACCION 2008'!Q111</f>
        <v>0</v>
      </c>
      <c r="AE18" s="189">
        <f>+'PLAN DE ACCION 2008'!R111</f>
        <v>0</v>
      </c>
      <c r="AF18" s="190" t="str">
        <f t="shared" si="0"/>
        <v>% DOCENTES CAPACITADOS</v>
      </c>
      <c r="AG18" s="176">
        <v>0.8</v>
      </c>
      <c r="AH18" s="180">
        <f t="shared" si="14"/>
        <v>0.888888888888889</v>
      </c>
      <c r="AI18" s="180"/>
      <c r="AJ18" s="180">
        <f t="shared" si="15"/>
        <v>0</v>
      </c>
      <c r="AK18" s="180">
        <f t="shared" si="16"/>
        <v>0</v>
      </c>
      <c r="AL18" s="171">
        <f>IF($J18&gt;0,AI18*$J18/0.9,"")</f>
        <v>0</v>
      </c>
      <c r="AM18" s="171">
        <f t="shared" si="2"/>
        <v>0</v>
      </c>
      <c r="AN18" s="189"/>
      <c r="AO18" s="189"/>
      <c r="AP18" s="178" t="str">
        <f t="shared" si="17"/>
        <v>% DOCENTES CAPACITADOS</v>
      </c>
      <c r="AQ18" s="176">
        <v>0.85</v>
      </c>
      <c r="AR18" s="180">
        <f t="shared" si="18"/>
        <v>0.9444444444444444</v>
      </c>
      <c r="AS18" s="180"/>
      <c r="AT18" s="180">
        <f t="shared" si="19"/>
        <v>0</v>
      </c>
      <c r="AU18" s="180">
        <f t="shared" si="20"/>
        <v>0</v>
      </c>
      <c r="AV18" s="171">
        <f>IF($J18&gt;0,AS18*$J18/0.9,"")</f>
        <v>0</v>
      </c>
      <c r="AW18" s="171">
        <f t="shared" si="3"/>
        <v>0</v>
      </c>
      <c r="AX18" s="189"/>
      <c r="AY18" s="189"/>
      <c r="AZ18" s="190" t="str">
        <f t="shared" si="21"/>
        <v>% DOCENTES CAPACITADOS</v>
      </c>
      <c r="BA18" s="176">
        <v>0.9</v>
      </c>
      <c r="BB18" s="180">
        <f t="shared" si="22"/>
        <v>1</v>
      </c>
      <c r="BC18" s="180"/>
      <c r="BD18" s="180">
        <f t="shared" si="23"/>
        <v>0</v>
      </c>
      <c r="BE18" s="180">
        <f t="shared" si="24"/>
        <v>0</v>
      </c>
      <c r="BF18" s="171">
        <f>IF($J18&gt;0,BC18*$J18/0.9,"")</f>
        <v>0</v>
      </c>
      <c r="BG18" s="171">
        <f t="shared" si="4"/>
        <v>0</v>
      </c>
      <c r="BH18" s="189"/>
      <c r="BI18" s="189"/>
      <c r="BJ18" s="190" t="str">
        <f t="shared" si="25"/>
        <v>% DOCENTES CAPACITADOS</v>
      </c>
      <c r="BK18" s="176">
        <v>0.9</v>
      </c>
      <c r="BL18" s="180">
        <f t="shared" si="26"/>
        <v>1</v>
      </c>
      <c r="BM18" s="171" t="str">
        <f t="shared" si="5"/>
        <v>OK</v>
      </c>
      <c r="BN18" s="180">
        <f t="shared" si="6"/>
        <v>0</v>
      </c>
      <c r="BO18" s="171">
        <f t="shared" si="7"/>
        <v>0</v>
      </c>
      <c r="BP18" s="171">
        <f t="shared" si="8"/>
        <v>0</v>
      </c>
      <c r="BQ18" s="191">
        <f t="shared" si="9"/>
        <v>0</v>
      </c>
      <c r="BR18" s="191">
        <f t="shared" si="10"/>
        <v>0</v>
      </c>
      <c r="BS18" s="192" t="str">
        <f t="shared" si="27"/>
        <v>% DOCENTES CAPACITADOS</v>
      </c>
      <c r="BT18" s="193"/>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row>
    <row r="19" spans="1:157" s="184" customFormat="1" ht="287.25" customHeight="1" thickBot="1">
      <c r="A19" s="412"/>
      <c r="B19" s="412"/>
      <c r="C19" s="405"/>
      <c r="D19" s="434"/>
      <c r="E19" s="206" t="s">
        <v>272</v>
      </c>
      <c r="F19" s="207" t="s">
        <v>273</v>
      </c>
      <c r="G19" s="207" t="s">
        <v>573</v>
      </c>
      <c r="H19" s="394"/>
      <c r="I19" s="208">
        <v>0.01</v>
      </c>
      <c r="J19" s="208">
        <v>0.01</v>
      </c>
      <c r="K19" s="422"/>
      <c r="L19" s="209">
        <f>+J19/$K$17</f>
        <v>0.39840637450199207</v>
      </c>
      <c r="M19" s="171">
        <f t="shared" si="28"/>
        <v>0.39840637450199207</v>
      </c>
      <c r="N19" s="208">
        <v>0.2169</v>
      </c>
      <c r="O19" s="424"/>
      <c r="P19" s="187" t="s">
        <v>274</v>
      </c>
      <c r="Q19" s="210" t="s">
        <v>549</v>
      </c>
      <c r="R19" s="187" t="s">
        <v>226</v>
      </c>
      <c r="S19" s="188">
        <v>0.1</v>
      </c>
      <c r="T19" s="188">
        <v>1</v>
      </c>
      <c r="U19" s="188"/>
      <c r="V19" s="175"/>
      <c r="W19" s="176">
        <v>0.1</v>
      </c>
      <c r="X19" s="171">
        <f t="shared" si="11"/>
        <v>0.2</v>
      </c>
      <c r="Y19" s="180">
        <v>0.1</v>
      </c>
      <c r="Z19" s="180">
        <f t="shared" si="12"/>
        <v>1</v>
      </c>
      <c r="AA19" s="180">
        <f t="shared" si="13"/>
        <v>1</v>
      </c>
      <c r="AB19" s="171">
        <f>IF($J19&gt;0,Y19*$J19,"")</f>
        <v>0.001</v>
      </c>
      <c r="AC19" s="171">
        <f t="shared" si="1"/>
        <v>0.001</v>
      </c>
      <c r="AD19" s="189">
        <f>+'PLAN DE ACCION 2008'!Q112</f>
        <v>26731</v>
      </c>
      <c r="AE19" s="189">
        <f>+'PLAN DE ACCION 2008'!R112</f>
        <v>69890</v>
      </c>
      <c r="AF19" s="190" t="str">
        <f t="shared" si="0"/>
        <v>% DOTACION</v>
      </c>
      <c r="AG19" s="176">
        <v>0.4</v>
      </c>
      <c r="AH19" s="180">
        <f t="shared" si="14"/>
        <v>0.4</v>
      </c>
      <c r="AI19" s="180"/>
      <c r="AJ19" s="180">
        <f t="shared" si="15"/>
        <v>0</v>
      </c>
      <c r="AK19" s="180">
        <f t="shared" si="16"/>
        <v>0</v>
      </c>
      <c r="AL19" s="171">
        <f>IF($J19&gt;0,AI19*$J19,"")</f>
        <v>0</v>
      </c>
      <c r="AM19" s="171">
        <f t="shared" si="2"/>
        <v>0</v>
      </c>
      <c r="AN19" s="189"/>
      <c r="AO19" s="189"/>
      <c r="AP19" s="178" t="str">
        <f t="shared" si="17"/>
        <v>% DOTACION</v>
      </c>
      <c r="AQ19" s="176">
        <v>0.8</v>
      </c>
      <c r="AR19" s="180">
        <f t="shared" si="18"/>
        <v>0.8</v>
      </c>
      <c r="AS19" s="180"/>
      <c r="AT19" s="180">
        <f t="shared" si="19"/>
        <v>0</v>
      </c>
      <c r="AU19" s="180">
        <f t="shared" si="20"/>
        <v>0</v>
      </c>
      <c r="AV19" s="171">
        <f>IF($J19&gt;0,AS19*$J19,"")</f>
        <v>0</v>
      </c>
      <c r="AW19" s="171">
        <f t="shared" si="3"/>
        <v>0</v>
      </c>
      <c r="AX19" s="189"/>
      <c r="AY19" s="189"/>
      <c r="AZ19" s="190" t="str">
        <f t="shared" si="21"/>
        <v>% DOTACION</v>
      </c>
      <c r="BA19" s="176">
        <v>1</v>
      </c>
      <c r="BB19" s="180">
        <f t="shared" si="22"/>
        <v>1</v>
      </c>
      <c r="BC19" s="180"/>
      <c r="BD19" s="180">
        <f t="shared" si="23"/>
        <v>0</v>
      </c>
      <c r="BE19" s="180">
        <f t="shared" si="24"/>
        <v>0</v>
      </c>
      <c r="BF19" s="171">
        <f>IF($J19&gt;0,BC19*$J19,"")</f>
        <v>0</v>
      </c>
      <c r="BG19" s="171">
        <f t="shared" si="4"/>
        <v>0</v>
      </c>
      <c r="BH19" s="189"/>
      <c r="BI19" s="189"/>
      <c r="BJ19" s="190" t="str">
        <f t="shared" si="25"/>
        <v>% DOTACION</v>
      </c>
      <c r="BK19" s="176">
        <v>1</v>
      </c>
      <c r="BL19" s="180">
        <f t="shared" si="26"/>
        <v>1</v>
      </c>
      <c r="BM19" s="171" t="str">
        <f t="shared" si="5"/>
        <v>OK</v>
      </c>
      <c r="BN19" s="180">
        <f t="shared" si="6"/>
        <v>0.1</v>
      </c>
      <c r="BO19" s="171">
        <f t="shared" si="7"/>
        <v>0.1</v>
      </c>
      <c r="BP19" s="171">
        <f t="shared" si="8"/>
        <v>0.1</v>
      </c>
      <c r="BQ19" s="191">
        <f t="shared" si="9"/>
        <v>26731</v>
      </c>
      <c r="BR19" s="191">
        <f t="shared" si="10"/>
        <v>69890</v>
      </c>
      <c r="BS19" s="192" t="str">
        <f t="shared" si="27"/>
        <v>% DOTACION</v>
      </c>
      <c r="BT19" s="193"/>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row>
    <row r="20" spans="1:157" s="184" customFormat="1" ht="296.25" customHeight="1" thickBot="1">
      <c r="A20" s="412"/>
      <c r="B20" s="412"/>
      <c r="C20" s="405"/>
      <c r="D20" s="432" t="s">
        <v>583</v>
      </c>
      <c r="E20" s="206" t="s">
        <v>275</v>
      </c>
      <c r="F20" s="207" t="s">
        <v>276</v>
      </c>
      <c r="G20" s="207" t="s">
        <v>579</v>
      </c>
      <c r="H20" s="419">
        <f>+I20+I21</f>
        <v>0.0121</v>
      </c>
      <c r="I20" s="208">
        <v>0.0071</v>
      </c>
      <c r="J20" s="208">
        <v>0.0071</v>
      </c>
      <c r="K20" s="420">
        <f>+SUM(J20:J21)</f>
        <v>0.0121</v>
      </c>
      <c r="L20" s="209">
        <f>+J20/$K$20</f>
        <v>0.5867768595041323</v>
      </c>
      <c r="M20" s="171">
        <f t="shared" si="28"/>
        <v>0.5867768595041323</v>
      </c>
      <c r="N20" s="208">
        <v>0.154</v>
      </c>
      <c r="O20" s="424"/>
      <c r="P20" s="187" t="s">
        <v>277</v>
      </c>
      <c r="Q20" s="210" t="s">
        <v>549</v>
      </c>
      <c r="R20" s="187" t="s">
        <v>226</v>
      </c>
      <c r="S20" s="188">
        <v>0.8</v>
      </c>
      <c r="T20" s="188">
        <v>1</v>
      </c>
      <c r="U20" s="188"/>
      <c r="V20" s="175"/>
      <c r="W20" s="176">
        <v>0.05</v>
      </c>
      <c r="X20" s="171">
        <f t="shared" si="11"/>
        <v>0.8500000000000001</v>
      </c>
      <c r="Y20" s="180">
        <v>0.05</v>
      </c>
      <c r="Z20" s="180">
        <f t="shared" si="12"/>
        <v>1</v>
      </c>
      <c r="AA20" s="180">
        <f t="shared" si="13"/>
        <v>1</v>
      </c>
      <c r="AB20" s="171">
        <f>IF($J20&gt;0,Y20*$J20,"")</f>
        <v>0.00035500000000000006</v>
      </c>
      <c r="AC20" s="171">
        <f t="shared" si="1"/>
        <v>0.00035500000000000006</v>
      </c>
      <c r="AD20" s="189">
        <f>+'PLAN DE ACCION 2008'!Q133</f>
        <v>40000</v>
      </c>
      <c r="AE20" s="189">
        <f>+'PLAN DE ACCION 2008'!R133</f>
        <v>250175</v>
      </c>
      <c r="AF20" s="190" t="str">
        <f t="shared" si="0"/>
        <v>% COBERTURA TRANSPORTE </v>
      </c>
      <c r="AG20" s="176">
        <v>0.9</v>
      </c>
      <c r="AH20" s="180">
        <f t="shared" si="14"/>
        <v>0.9</v>
      </c>
      <c r="AI20" s="180"/>
      <c r="AJ20" s="180">
        <f t="shared" si="15"/>
        <v>0</v>
      </c>
      <c r="AK20" s="180">
        <f t="shared" si="16"/>
        <v>0</v>
      </c>
      <c r="AL20" s="171">
        <f>IF($J20&gt;0,AI20*$J20,"")</f>
        <v>0</v>
      </c>
      <c r="AM20" s="171">
        <f t="shared" si="2"/>
        <v>0</v>
      </c>
      <c r="AN20" s="189"/>
      <c r="AO20" s="189"/>
      <c r="AP20" s="178" t="str">
        <f t="shared" si="17"/>
        <v>% COBERTURA TRANSPORTE </v>
      </c>
      <c r="AQ20" s="176">
        <v>0.95</v>
      </c>
      <c r="AR20" s="180">
        <f t="shared" si="18"/>
        <v>0.95</v>
      </c>
      <c r="AS20" s="180"/>
      <c r="AT20" s="180">
        <f t="shared" si="19"/>
        <v>0</v>
      </c>
      <c r="AU20" s="180">
        <f t="shared" si="20"/>
        <v>0</v>
      </c>
      <c r="AV20" s="171">
        <f>IF($J20&gt;0,AS20*$J20,"")</f>
        <v>0</v>
      </c>
      <c r="AW20" s="171">
        <f t="shared" si="3"/>
        <v>0</v>
      </c>
      <c r="AX20" s="189"/>
      <c r="AY20" s="189"/>
      <c r="AZ20" s="190" t="str">
        <f t="shared" si="21"/>
        <v>% COBERTURA TRANSPORTE </v>
      </c>
      <c r="BA20" s="176">
        <v>1</v>
      </c>
      <c r="BB20" s="180">
        <f t="shared" si="22"/>
        <v>1</v>
      </c>
      <c r="BC20" s="180"/>
      <c r="BD20" s="180">
        <f t="shared" si="23"/>
        <v>0</v>
      </c>
      <c r="BE20" s="180">
        <f t="shared" si="24"/>
        <v>0</v>
      </c>
      <c r="BF20" s="171">
        <f>IF($J20&gt;0,BC20*$J20,"")</f>
        <v>0</v>
      </c>
      <c r="BG20" s="171">
        <f t="shared" si="4"/>
        <v>0</v>
      </c>
      <c r="BH20" s="189"/>
      <c r="BI20" s="189"/>
      <c r="BJ20" s="190" t="str">
        <f t="shared" si="25"/>
        <v>% COBERTURA TRANSPORTE </v>
      </c>
      <c r="BK20" s="176">
        <v>1</v>
      </c>
      <c r="BL20" s="180">
        <f t="shared" si="26"/>
        <v>1</v>
      </c>
      <c r="BM20" s="171" t="str">
        <f t="shared" si="5"/>
        <v>OK</v>
      </c>
      <c r="BN20" s="180">
        <f t="shared" si="6"/>
        <v>0.05</v>
      </c>
      <c r="BO20" s="171">
        <f t="shared" si="7"/>
        <v>0.05</v>
      </c>
      <c r="BP20" s="171">
        <f t="shared" si="8"/>
        <v>0.05</v>
      </c>
      <c r="BQ20" s="191">
        <f t="shared" si="9"/>
        <v>40000</v>
      </c>
      <c r="BR20" s="191">
        <f t="shared" si="10"/>
        <v>250175</v>
      </c>
      <c r="BS20" s="192" t="str">
        <f t="shared" si="27"/>
        <v>% COBERTURA TRANSPORTE </v>
      </c>
      <c r="BT20" s="193"/>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row>
    <row r="21" spans="1:157" s="184" customFormat="1" ht="287.25" customHeight="1" thickBot="1">
      <c r="A21" s="412"/>
      <c r="B21" s="412"/>
      <c r="C21" s="405"/>
      <c r="D21" s="434"/>
      <c r="E21" s="206" t="s">
        <v>278</v>
      </c>
      <c r="F21" s="207" t="s">
        <v>279</v>
      </c>
      <c r="G21" s="207" t="s">
        <v>580</v>
      </c>
      <c r="H21" s="394"/>
      <c r="I21" s="208">
        <v>0.005</v>
      </c>
      <c r="J21" s="208">
        <v>0.005</v>
      </c>
      <c r="K21" s="422"/>
      <c r="L21" s="209">
        <f>+J21/$K$20</f>
        <v>0.4132231404958678</v>
      </c>
      <c r="M21" s="171">
        <f t="shared" si="28"/>
        <v>0.4132231404958678</v>
      </c>
      <c r="N21" s="208">
        <v>0.1085</v>
      </c>
      <c r="O21" s="424"/>
      <c r="P21" s="187" t="s">
        <v>280</v>
      </c>
      <c r="Q21" s="210" t="s">
        <v>549</v>
      </c>
      <c r="R21" s="187" t="s">
        <v>226</v>
      </c>
      <c r="S21" s="199">
        <v>0</v>
      </c>
      <c r="T21" s="199">
        <v>20</v>
      </c>
      <c r="U21" s="199"/>
      <c r="V21" s="200"/>
      <c r="W21" s="201">
        <v>5</v>
      </c>
      <c r="X21" s="202">
        <f>+W21</f>
        <v>5</v>
      </c>
      <c r="Y21" s="180">
        <v>0</v>
      </c>
      <c r="Z21" s="180">
        <f t="shared" si="12"/>
        <v>0</v>
      </c>
      <c r="AA21" s="180">
        <f t="shared" si="13"/>
        <v>0</v>
      </c>
      <c r="AB21" s="171">
        <f>IF($J21&gt;0,Y21*$J21/20,"")</f>
        <v>0</v>
      </c>
      <c r="AC21" s="171">
        <f t="shared" si="1"/>
        <v>0</v>
      </c>
      <c r="AD21" s="189">
        <f>+'PLAN DE ACCION 2008'!Q134</f>
        <v>0</v>
      </c>
      <c r="AE21" s="189">
        <f>+'PLAN DE ACCION 2008'!R134</f>
        <v>0</v>
      </c>
      <c r="AF21" s="190" t="str">
        <f t="shared" si="0"/>
        <v>Nº BECAS</v>
      </c>
      <c r="AG21" s="201">
        <v>10</v>
      </c>
      <c r="AH21" s="180">
        <f t="shared" si="14"/>
        <v>0.5</v>
      </c>
      <c r="AI21" s="180"/>
      <c r="AJ21" s="180">
        <f t="shared" si="15"/>
        <v>0</v>
      </c>
      <c r="AK21" s="180">
        <f t="shared" si="16"/>
        <v>0</v>
      </c>
      <c r="AL21" s="171">
        <f>IF($J21&gt;0,AI21*$J21/20,"")</f>
        <v>0</v>
      </c>
      <c r="AM21" s="171">
        <f t="shared" si="2"/>
        <v>0</v>
      </c>
      <c r="AN21" s="189"/>
      <c r="AO21" s="189"/>
      <c r="AP21" s="178" t="str">
        <f t="shared" si="17"/>
        <v>Nº BECAS</v>
      </c>
      <c r="AQ21" s="201">
        <v>15</v>
      </c>
      <c r="AR21" s="180">
        <f t="shared" si="18"/>
        <v>0.75</v>
      </c>
      <c r="AS21" s="180"/>
      <c r="AT21" s="180">
        <f t="shared" si="19"/>
        <v>0</v>
      </c>
      <c r="AU21" s="180">
        <f t="shared" si="20"/>
        <v>0</v>
      </c>
      <c r="AV21" s="171">
        <f>IF($J21&gt;0,AS21*$J21/20,"")</f>
        <v>0</v>
      </c>
      <c r="AW21" s="171">
        <f t="shared" si="3"/>
        <v>0</v>
      </c>
      <c r="AX21" s="189"/>
      <c r="AY21" s="189"/>
      <c r="AZ21" s="190" t="str">
        <f t="shared" si="21"/>
        <v>Nº BECAS</v>
      </c>
      <c r="BA21" s="201">
        <v>20</v>
      </c>
      <c r="BB21" s="180">
        <f t="shared" si="22"/>
        <v>1</v>
      </c>
      <c r="BC21" s="180"/>
      <c r="BD21" s="180">
        <f t="shared" si="23"/>
        <v>0</v>
      </c>
      <c r="BE21" s="180">
        <f t="shared" si="24"/>
        <v>0</v>
      </c>
      <c r="BF21" s="171">
        <f>IF($J21&gt;0,BC21*$J21/20,"")</f>
        <v>0</v>
      </c>
      <c r="BG21" s="171">
        <f t="shared" si="4"/>
        <v>0</v>
      </c>
      <c r="BH21" s="189"/>
      <c r="BI21" s="189"/>
      <c r="BJ21" s="190" t="str">
        <f t="shared" si="25"/>
        <v>Nº BECAS</v>
      </c>
      <c r="BK21" s="201">
        <v>20</v>
      </c>
      <c r="BL21" s="180">
        <f t="shared" si="26"/>
        <v>1</v>
      </c>
      <c r="BM21" s="171" t="str">
        <f t="shared" si="5"/>
        <v>OK</v>
      </c>
      <c r="BN21" s="203">
        <f t="shared" si="6"/>
        <v>0</v>
      </c>
      <c r="BO21" s="171">
        <f t="shared" si="7"/>
        <v>0</v>
      </c>
      <c r="BP21" s="171">
        <f t="shared" si="8"/>
        <v>0</v>
      </c>
      <c r="BQ21" s="191">
        <f t="shared" si="9"/>
        <v>0</v>
      </c>
      <c r="BR21" s="191">
        <f t="shared" si="10"/>
        <v>0</v>
      </c>
      <c r="BS21" s="192" t="str">
        <f t="shared" si="27"/>
        <v>Nº BECAS</v>
      </c>
      <c r="BT21" s="193"/>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row>
    <row r="22" spans="1:157" s="184" customFormat="1" ht="409.5" customHeight="1" thickBot="1">
      <c r="A22" s="412"/>
      <c r="B22" s="413"/>
      <c r="C22" s="406"/>
      <c r="D22" s="195" t="s">
        <v>281</v>
      </c>
      <c r="E22" s="195" t="s">
        <v>590</v>
      </c>
      <c r="F22" s="211" t="s">
        <v>282</v>
      </c>
      <c r="G22" s="211" t="s">
        <v>587</v>
      </c>
      <c r="H22" s="188">
        <f>+I22</f>
        <v>0.0089</v>
      </c>
      <c r="I22" s="180">
        <v>0.0089</v>
      </c>
      <c r="J22" s="180">
        <v>0.0089</v>
      </c>
      <c r="K22" s="212">
        <f>+J22</f>
        <v>0.0089</v>
      </c>
      <c r="L22" s="212">
        <v>1</v>
      </c>
      <c r="M22" s="171">
        <f t="shared" si="28"/>
        <v>1</v>
      </c>
      <c r="N22" s="208">
        <v>0.193</v>
      </c>
      <c r="O22" s="425"/>
      <c r="P22" s="187" t="s">
        <v>283</v>
      </c>
      <c r="Q22" s="210" t="s">
        <v>549</v>
      </c>
      <c r="R22" s="187" t="s">
        <v>226</v>
      </c>
      <c r="S22" s="188">
        <v>0.5</v>
      </c>
      <c r="T22" s="188">
        <v>0.9</v>
      </c>
      <c r="U22" s="188"/>
      <c r="V22" s="175"/>
      <c r="W22" s="176">
        <v>0.1</v>
      </c>
      <c r="X22" s="171">
        <f t="shared" si="11"/>
        <v>0.6</v>
      </c>
      <c r="Y22" s="180">
        <v>0.1</v>
      </c>
      <c r="Z22" s="180">
        <f t="shared" si="12"/>
        <v>1</v>
      </c>
      <c r="AA22" s="180">
        <f t="shared" si="13"/>
        <v>1</v>
      </c>
      <c r="AB22" s="171">
        <f>IF($J22&gt;0,Y22*$J22/0.9,"")</f>
        <v>0.000988888888888889</v>
      </c>
      <c r="AC22" s="171">
        <f t="shared" si="1"/>
        <v>0.000988888888888889</v>
      </c>
      <c r="AD22" s="189">
        <f>+'PLAN DE ACCION 2008'!Q156</f>
        <v>44987</v>
      </c>
      <c r="AE22" s="189">
        <f>+'PLAN DE ACCION 2008'!R156</f>
        <v>59586</v>
      </c>
      <c r="AF22" s="190" t="str">
        <f t="shared" si="0"/>
        <v>% COBERTURA RESTAURANTES</v>
      </c>
      <c r="AG22" s="176">
        <v>0.7</v>
      </c>
      <c r="AH22" s="180">
        <f t="shared" si="14"/>
        <v>0.7777777777777777</v>
      </c>
      <c r="AI22" s="180"/>
      <c r="AJ22" s="180">
        <f t="shared" si="15"/>
        <v>0</v>
      </c>
      <c r="AK22" s="180">
        <f t="shared" si="16"/>
        <v>0</v>
      </c>
      <c r="AL22" s="171">
        <f>IF($J22&gt;0,AI22*$J22/0.9,"")</f>
        <v>0</v>
      </c>
      <c r="AM22" s="171">
        <f t="shared" si="2"/>
        <v>0</v>
      </c>
      <c r="AN22" s="189"/>
      <c r="AO22" s="189"/>
      <c r="AP22" s="178" t="str">
        <f t="shared" si="17"/>
        <v>% COBERTURA RESTAURANTES</v>
      </c>
      <c r="AQ22" s="176">
        <v>0.8</v>
      </c>
      <c r="AR22" s="180">
        <f t="shared" si="18"/>
        <v>0.888888888888889</v>
      </c>
      <c r="AS22" s="180"/>
      <c r="AT22" s="180">
        <f t="shared" si="19"/>
        <v>0</v>
      </c>
      <c r="AU22" s="180">
        <f t="shared" si="20"/>
        <v>0</v>
      </c>
      <c r="AV22" s="171">
        <f>IF($J22&gt;0,AS22*$J22/0.9,"")</f>
        <v>0</v>
      </c>
      <c r="AW22" s="171">
        <f t="shared" si="3"/>
        <v>0</v>
      </c>
      <c r="AX22" s="189"/>
      <c r="AY22" s="189"/>
      <c r="AZ22" s="190" t="str">
        <f t="shared" si="21"/>
        <v>% COBERTURA RESTAURANTES</v>
      </c>
      <c r="BA22" s="176">
        <v>0.9</v>
      </c>
      <c r="BB22" s="180">
        <f t="shared" si="22"/>
        <v>1</v>
      </c>
      <c r="BC22" s="180"/>
      <c r="BD22" s="180">
        <f t="shared" si="23"/>
        <v>0</v>
      </c>
      <c r="BE22" s="180">
        <f t="shared" si="24"/>
        <v>0</v>
      </c>
      <c r="BF22" s="171">
        <f>IF($J22&gt;0,BC22*$J22/0.9,"")</f>
        <v>0</v>
      </c>
      <c r="BG22" s="171">
        <f t="shared" si="4"/>
        <v>0</v>
      </c>
      <c r="BH22" s="189"/>
      <c r="BI22" s="189"/>
      <c r="BJ22" s="190" t="str">
        <f t="shared" si="25"/>
        <v>% COBERTURA RESTAURANTES</v>
      </c>
      <c r="BK22" s="176">
        <v>0.9</v>
      </c>
      <c r="BL22" s="180">
        <f t="shared" si="26"/>
        <v>1</v>
      </c>
      <c r="BM22" s="171" t="str">
        <f t="shared" si="5"/>
        <v>OK</v>
      </c>
      <c r="BN22" s="180">
        <f t="shared" si="6"/>
        <v>0.1</v>
      </c>
      <c r="BO22" s="171">
        <f t="shared" si="7"/>
        <v>0.1</v>
      </c>
      <c r="BP22" s="171">
        <f t="shared" si="8"/>
        <v>0.1</v>
      </c>
      <c r="BQ22" s="191">
        <f t="shared" si="9"/>
        <v>44987</v>
      </c>
      <c r="BR22" s="191">
        <f t="shared" si="10"/>
        <v>59586</v>
      </c>
      <c r="BS22" s="192" t="str">
        <f t="shared" si="27"/>
        <v>% COBERTURA RESTAURANTES</v>
      </c>
      <c r="BT22" s="193"/>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row>
    <row r="23" spans="1:157" s="184" customFormat="1" ht="365.25" customHeight="1" thickBot="1">
      <c r="A23" s="412"/>
      <c r="B23" s="416" t="s">
        <v>599</v>
      </c>
      <c r="C23" s="432" t="s">
        <v>284</v>
      </c>
      <c r="D23" s="418" t="s">
        <v>285</v>
      </c>
      <c r="E23" s="195" t="s">
        <v>286</v>
      </c>
      <c r="F23" s="211" t="s">
        <v>287</v>
      </c>
      <c r="G23" s="211" t="s">
        <v>591</v>
      </c>
      <c r="H23" s="419">
        <f>+I23+I24+I25+I26+I27</f>
        <v>0.006699999999999999</v>
      </c>
      <c r="I23" s="180">
        <v>0.001</v>
      </c>
      <c r="J23" s="180">
        <v>0.001</v>
      </c>
      <c r="K23" s="420">
        <f>+J23+J24+J25+J26+J27</f>
        <v>0.006699999999999999</v>
      </c>
      <c r="L23" s="212">
        <f>+J23/$K$23</f>
        <v>0.1492537313432836</v>
      </c>
      <c r="M23" s="171">
        <f t="shared" si="28"/>
        <v>0.1492537313432836</v>
      </c>
      <c r="N23" s="180">
        <v>0.0022</v>
      </c>
      <c r="O23" s="423">
        <f>+M23+M24+M25+M26+M27+M28+M29+M30+M31+M32+M33</f>
        <v>3</v>
      </c>
      <c r="P23" s="187" t="s">
        <v>288</v>
      </c>
      <c r="Q23" s="187" t="s">
        <v>3</v>
      </c>
      <c r="R23" s="187" t="s">
        <v>226</v>
      </c>
      <c r="S23" s="199">
        <v>5</v>
      </c>
      <c r="T23" s="199">
        <v>20</v>
      </c>
      <c r="U23" s="199"/>
      <c r="V23" s="200"/>
      <c r="W23" s="201">
        <v>5</v>
      </c>
      <c r="X23" s="202">
        <f>+W23</f>
        <v>5</v>
      </c>
      <c r="Y23" s="203">
        <v>5</v>
      </c>
      <c r="Z23" s="180">
        <f t="shared" si="12"/>
        <v>1</v>
      </c>
      <c r="AA23" s="180">
        <f t="shared" si="13"/>
        <v>1</v>
      </c>
      <c r="AB23" s="171">
        <f>IF($J23&gt;0,Y23*$J2716,"")</f>
        <v>0</v>
      </c>
      <c r="AC23" s="171">
        <f t="shared" si="1"/>
        <v>0</v>
      </c>
      <c r="AD23" s="189">
        <f>+'PLAN DE ACCION 2008'!Q179</f>
        <v>25508</v>
      </c>
      <c r="AE23" s="189">
        <f>+'PLAN DE ACCION 2008'!R179</f>
        <v>33981</v>
      </c>
      <c r="AF23" s="190" t="str">
        <f t="shared" si="0"/>
        <v>Nº ACTIVIDADES RECREACION</v>
      </c>
      <c r="AG23" s="201">
        <v>10</v>
      </c>
      <c r="AH23" s="180">
        <f t="shared" si="14"/>
        <v>0.5</v>
      </c>
      <c r="AI23" s="180"/>
      <c r="AJ23" s="180">
        <f t="shared" si="15"/>
        <v>0</v>
      </c>
      <c r="AK23" s="180">
        <f t="shared" si="16"/>
        <v>0</v>
      </c>
      <c r="AL23" s="171">
        <f>IF($J23&gt;0,AI23*$J2716,"")</f>
        <v>0</v>
      </c>
      <c r="AM23" s="171">
        <f t="shared" si="2"/>
        <v>0</v>
      </c>
      <c r="AN23" s="189"/>
      <c r="AO23" s="189"/>
      <c r="AP23" s="178" t="str">
        <f t="shared" si="17"/>
        <v>Nº ACTIVIDADES RECREACION</v>
      </c>
      <c r="AQ23" s="201">
        <v>15</v>
      </c>
      <c r="AR23" s="180">
        <f t="shared" si="18"/>
        <v>0.75</v>
      </c>
      <c r="AS23" s="180"/>
      <c r="AT23" s="180">
        <f t="shared" si="19"/>
        <v>0</v>
      </c>
      <c r="AU23" s="180">
        <f t="shared" si="20"/>
        <v>0</v>
      </c>
      <c r="AV23" s="171">
        <f>IF($J23&gt;0,AS23*$J2716,"")</f>
        <v>0</v>
      </c>
      <c r="AW23" s="171">
        <f t="shared" si="3"/>
        <v>0</v>
      </c>
      <c r="AX23" s="189"/>
      <c r="AY23" s="189"/>
      <c r="AZ23" s="190" t="str">
        <f t="shared" si="21"/>
        <v>Nº ACTIVIDADES RECREACION</v>
      </c>
      <c r="BA23" s="201">
        <v>20</v>
      </c>
      <c r="BB23" s="180">
        <f t="shared" si="22"/>
        <v>1</v>
      </c>
      <c r="BC23" s="180"/>
      <c r="BD23" s="180">
        <f t="shared" si="23"/>
        <v>0</v>
      </c>
      <c r="BE23" s="180">
        <f t="shared" si="24"/>
        <v>0</v>
      </c>
      <c r="BF23" s="171">
        <f>IF($J23&gt;0,BC23*$J2716,"")</f>
        <v>0</v>
      </c>
      <c r="BG23" s="171">
        <f t="shared" si="4"/>
        <v>0</v>
      </c>
      <c r="BH23" s="189"/>
      <c r="BI23" s="189"/>
      <c r="BJ23" s="190" t="str">
        <f t="shared" si="25"/>
        <v>Nº ACTIVIDADES RECREACION</v>
      </c>
      <c r="BK23" s="201">
        <v>20</v>
      </c>
      <c r="BL23" s="180">
        <f t="shared" si="26"/>
        <v>1</v>
      </c>
      <c r="BM23" s="171" t="str">
        <f t="shared" si="5"/>
        <v>OK</v>
      </c>
      <c r="BN23" s="203">
        <f t="shared" si="6"/>
        <v>5</v>
      </c>
      <c r="BO23" s="171">
        <f t="shared" si="7"/>
        <v>5</v>
      </c>
      <c r="BP23" s="171">
        <f t="shared" si="8"/>
        <v>1</v>
      </c>
      <c r="BQ23" s="191">
        <f t="shared" si="9"/>
        <v>25508</v>
      </c>
      <c r="BR23" s="191">
        <f t="shared" si="10"/>
        <v>33981</v>
      </c>
      <c r="BS23" s="192" t="str">
        <f t="shared" si="27"/>
        <v>Nº ACTIVIDADES RECREACION</v>
      </c>
      <c r="BT23" s="193"/>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row>
    <row r="24" spans="1:157" s="184" customFormat="1" ht="287.25" customHeight="1" thickBot="1">
      <c r="A24" s="412"/>
      <c r="B24" s="412"/>
      <c r="C24" s="433"/>
      <c r="D24" s="390"/>
      <c r="E24" s="195" t="s">
        <v>289</v>
      </c>
      <c r="F24" s="213" t="s">
        <v>290</v>
      </c>
      <c r="G24" s="213" t="s">
        <v>592</v>
      </c>
      <c r="H24" s="393"/>
      <c r="I24" s="180">
        <v>0.0012</v>
      </c>
      <c r="J24" s="180">
        <v>0.0012</v>
      </c>
      <c r="K24" s="421"/>
      <c r="L24" s="212">
        <f>+J24/$K$23</f>
        <v>0.1791044776119403</v>
      </c>
      <c r="M24" s="171">
        <f t="shared" si="28"/>
        <v>0.1791044776119403</v>
      </c>
      <c r="N24" s="180">
        <v>0.0026</v>
      </c>
      <c r="O24" s="424"/>
      <c r="P24" s="187" t="s">
        <v>291</v>
      </c>
      <c r="Q24" s="187" t="s">
        <v>3</v>
      </c>
      <c r="R24" s="187" t="s">
        <v>226</v>
      </c>
      <c r="S24" s="188">
        <v>0.5</v>
      </c>
      <c r="T24" s="188">
        <v>0.9</v>
      </c>
      <c r="U24" s="188"/>
      <c r="V24" s="175"/>
      <c r="W24" s="176">
        <v>0.1</v>
      </c>
      <c r="X24" s="171">
        <f t="shared" si="11"/>
        <v>0.6</v>
      </c>
      <c r="Y24" s="180">
        <v>0.1</v>
      </c>
      <c r="Z24" s="180">
        <f t="shared" si="12"/>
        <v>1</v>
      </c>
      <c r="AA24" s="180">
        <f t="shared" si="13"/>
        <v>1</v>
      </c>
      <c r="AB24" s="171">
        <f>IF($J24&gt;0,Y24*$J24/0.9,"")</f>
        <v>0.0001333333333333333</v>
      </c>
      <c r="AC24" s="171">
        <f t="shared" si="1"/>
        <v>0.0001333333333333333</v>
      </c>
      <c r="AD24" s="189">
        <f>+'PLAN DE ACCION 2008'!Q180</f>
        <v>9000</v>
      </c>
      <c r="AE24" s="189">
        <f>+'PLAN DE ACCION 2008'!R180</f>
        <v>11800</v>
      </c>
      <c r="AF24" s="190" t="str">
        <f t="shared" si="0"/>
        <v>% COBERTURA ESCUELAS</v>
      </c>
      <c r="AG24" s="176">
        <v>0.7</v>
      </c>
      <c r="AH24" s="180">
        <f t="shared" si="14"/>
        <v>0.7777777777777777</v>
      </c>
      <c r="AI24" s="180"/>
      <c r="AJ24" s="180">
        <f t="shared" si="15"/>
        <v>0</v>
      </c>
      <c r="AK24" s="180">
        <f t="shared" si="16"/>
        <v>0</v>
      </c>
      <c r="AL24" s="171">
        <f>IF($J24&gt;0,AI24*$J24/0.9,"")</f>
        <v>0</v>
      </c>
      <c r="AM24" s="171">
        <f t="shared" si="2"/>
        <v>0</v>
      </c>
      <c r="AN24" s="189"/>
      <c r="AO24" s="189"/>
      <c r="AP24" s="178" t="str">
        <f t="shared" si="17"/>
        <v>% COBERTURA ESCUELAS</v>
      </c>
      <c r="AQ24" s="176">
        <v>0.8</v>
      </c>
      <c r="AR24" s="180">
        <f t="shared" si="18"/>
        <v>0.888888888888889</v>
      </c>
      <c r="AS24" s="180"/>
      <c r="AT24" s="180">
        <f t="shared" si="19"/>
        <v>0</v>
      </c>
      <c r="AU24" s="180">
        <f t="shared" si="20"/>
        <v>0</v>
      </c>
      <c r="AV24" s="171">
        <f>IF($J24&gt;0,AS24*$J24/0.9,"")</f>
        <v>0</v>
      </c>
      <c r="AW24" s="171">
        <f t="shared" si="3"/>
        <v>0</v>
      </c>
      <c r="AX24" s="189"/>
      <c r="AY24" s="189"/>
      <c r="AZ24" s="190" t="str">
        <f t="shared" si="21"/>
        <v>% COBERTURA ESCUELAS</v>
      </c>
      <c r="BA24" s="176">
        <v>0.9</v>
      </c>
      <c r="BB24" s="180">
        <f t="shared" si="22"/>
        <v>1</v>
      </c>
      <c r="BC24" s="180"/>
      <c r="BD24" s="180">
        <f t="shared" si="23"/>
        <v>0</v>
      </c>
      <c r="BE24" s="180">
        <f t="shared" si="24"/>
        <v>0</v>
      </c>
      <c r="BF24" s="171">
        <f>IF($J24&gt;0,BC24*$J24/0.9,"")</f>
        <v>0</v>
      </c>
      <c r="BG24" s="171">
        <f t="shared" si="4"/>
        <v>0</v>
      </c>
      <c r="BH24" s="189"/>
      <c r="BI24" s="189"/>
      <c r="BJ24" s="190" t="str">
        <f t="shared" si="25"/>
        <v>% COBERTURA ESCUELAS</v>
      </c>
      <c r="BK24" s="176">
        <v>0.9</v>
      </c>
      <c r="BL24" s="180">
        <f t="shared" si="26"/>
        <v>1</v>
      </c>
      <c r="BM24" s="171" t="str">
        <f t="shared" si="5"/>
        <v>OK</v>
      </c>
      <c r="BN24" s="180">
        <f t="shared" si="6"/>
        <v>0.1</v>
      </c>
      <c r="BO24" s="171">
        <f t="shared" si="7"/>
        <v>0.1</v>
      </c>
      <c r="BP24" s="171">
        <f t="shared" si="8"/>
        <v>0.1</v>
      </c>
      <c r="BQ24" s="191">
        <f t="shared" si="9"/>
        <v>9000</v>
      </c>
      <c r="BR24" s="191">
        <f t="shared" si="10"/>
        <v>11800</v>
      </c>
      <c r="BS24" s="192" t="str">
        <f t="shared" si="27"/>
        <v>% COBERTURA ESCUELAS</v>
      </c>
      <c r="BT24" s="193"/>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row>
    <row r="25" spans="1:157" s="184" customFormat="1" ht="287.25" customHeight="1" thickBot="1">
      <c r="A25" s="412"/>
      <c r="B25" s="412"/>
      <c r="C25" s="433"/>
      <c r="D25" s="390"/>
      <c r="E25" s="195" t="s">
        <v>292</v>
      </c>
      <c r="F25" s="213" t="s">
        <v>293</v>
      </c>
      <c r="G25" s="213" t="s">
        <v>593</v>
      </c>
      <c r="H25" s="393"/>
      <c r="I25" s="180">
        <v>0.0019</v>
      </c>
      <c r="J25" s="180">
        <v>0.0019</v>
      </c>
      <c r="K25" s="421"/>
      <c r="L25" s="212">
        <f>+J25/$K$23</f>
        <v>0.28358208955223885</v>
      </c>
      <c r="M25" s="171">
        <f t="shared" si="28"/>
        <v>0.28358208955223885</v>
      </c>
      <c r="N25" s="180">
        <v>0.0042</v>
      </c>
      <c r="O25" s="424"/>
      <c r="P25" s="187" t="s">
        <v>294</v>
      </c>
      <c r="Q25" s="187" t="s">
        <v>3</v>
      </c>
      <c r="R25" s="187" t="s">
        <v>226</v>
      </c>
      <c r="S25" s="188">
        <v>0.1</v>
      </c>
      <c r="T25" s="188">
        <v>1</v>
      </c>
      <c r="U25" s="188"/>
      <c r="V25" s="175"/>
      <c r="W25" s="176">
        <v>0.2</v>
      </c>
      <c r="X25" s="171">
        <f t="shared" si="11"/>
        <v>0.30000000000000004</v>
      </c>
      <c r="Y25" s="180">
        <v>0.2</v>
      </c>
      <c r="Z25" s="180">
        <f t="shared" si="12"/>
        <v>1</v>
      </c>
      <c r="AA25" s="180">
        <f t="shared" si="13"/>
        <v>1</v>
      </c>
      <c r="AB25" s="171">
        <f>IF($J25&gt;0,Y25*$J25/0.9,"")</f>
        <v>0.0004222222222222222</v>
      </c>
      <c r="AC25" s="171">
        <f t="shared" si="1"/>
        <v>0.0004222222222222222</v>
      </c>
      <c r="AD25" s="189">
        <f>+'PLAN DE ACCION 2008'!Q181</f>
        <v>2500</v>
      </c>
      <c r="AE25" s="189">
        <f>+'PLAN DE ACCION 2008'!R181</f>
        <v>2500</v>
      </c>
      <c r="AF25" s="190" t="str">
        <f t="shared" si="0"/>
        <v>% DOTACION IMPLEMENTOS DEPORTIVOS</v>
      </c>
      <c r="AG25" s="176">
        <v>0.5</v>
      </c>
      <c r="AH25" s="180">
        <f t="shared" si="14"/>
        <v>0.5</v>
      </c>
      <c r="AI25" s="180"/>
      <c r="AJ25" s="180">
        <f t="shared" si="15"/>
        <v>0</v>
      </c>
      <c r="AK25" s="180">
        <f t="shared" si="16"/>
        <v>0</v>
      </c>
      <c r="AL25" s="171">
        <f>IF($J25&gt;0,AI25*$J25/0.9,"")</f>
        <v>0</v>
      </c>
      <c r="AM25" s="171">
        <f t="shared" si="2"/>
        <v>0</v>
      </c>
      <c r="AN25" s="189"/>
      <c r="AO25" s="189"/>
      <c r="AP25" s="178" t="str">
        <f t="shared" si="17"/>
        <v>% DOTACION IMPLEMENTOS DEPORTIVOS</v>
      </c>
      <c r="AQ25" s="176">
        <v>0.8</v>
      </c>
      <c r="AR25" s="180">
        <f t="shared" si="18"/>
        <v>0.8</v>
      </c>
      <c r="AS25" s="180"/>
      <c r="AT25" s="180">
        <f t="shared" si="19"/>
        <v>0</v>
      </c>
      <c r="AU25" s="180">
        <f t="shared" si="20"/>
        <v>0</v>
      </c>
      <c r="AV25" s="171">
        <f>IF($J25&gt;0,AS25*$J25/0.9,"")</f>
        <v>0</v>
      </c>
      <c r="AW25" s="171">
        <f t="shared" si="3"/>
        <v>0</v>
      </c>
      <c r="AX25" s="189"/>
      <c r="AY25" s="189"/>
      <c r="AZ25" s="190" t="str">
        <f t="shared" si="21"/>
        <v>% DOTACION IMPLEMENTOS DEPORTIVOS</v>
      </c>
      <c r="BA25" s="176">
        <v>1</v>
      </c>
      <c r="BB25" s="180">
        <f t="shared" si="22"/>
        <v>1</v>
      </c>
      <c r="BC25" s="180"/>
      <c r="BD25" s="180">
        <f t="shared" si="23"/>
        <v>0</v>
      </c>
      <c r="BE25" s="180">
        <f t="shared" si="24"/>
        <v>0</v>
      </c>
      <c r="BF25" s="171">
        <f>IF($J25&gt;0,BC25*$J25/0.9,"")</f>
        <v>0</v>
      </c>
      <c r="BG25" s="171">
        <f t="shared" si="4"/>
        <v>0</v>
      </c>
      <c r="BH25" s="189"/>
      <c r="BI25" s="189"/>
      <c r="BJ25" s="190" t="str">
        <f t="shared" si="25"/>
        <v>% DOTACION IMPLEMENTOS DEPORTIVOS</v>
      </c>
      <c r="BK25" s="176">
        <v>1</v>
      </c>
      <c r="BL25" s="180">
        <f t="shared" si="26"/>
        <v>1</v>
      </c>
      <c r="BM25" s="171" t="str">
        <f t="shared" si="5"/>
        <v>OK</v>
      </c>
      <c r="BN25" s="180">
        <f t="shared" si="6"/>
        <v>0.2</v>
      </c>
      <c r="BO25" s="171">
        <f t="shared" si="7"/>
        <v>0.2</v>
      </c>
      <c r="BP25" s="171">
        <f t="shared" si="8"/>
        <v>0.2</v>
      </c>
      <c r="BQ25" s="191">
        <f t="shared" si="9"/>
        <v>2500</v>
      </c>
      <c r="BR25" s="191">
        <f t="shared" si="10"/>
        <v>2500</v>
      </c>
      <c r="BS25" s="192" t="str">
        <f t="shared" si="27"/>
        <v>% DOTACION IMPLEMENTOS DEPORTIVOS</v>
      </c>
      <c r="BT25" s="193"/>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row>
    <row r="26" spans="1:157" s="184" customFormat="1" ht="287.25" customHeight="1" thickBot="1">
      <c r="A26" s="412"/>
      <c r="B26" s="412"/>
      <c r="C26" s="433"/>
      <c r="D26" s="390"/>
      <c r="E26" s="195" t="s">
        <v>295</v>
      </c>
      <c r="F26" s="211" t="s">
        <v>296</v>
      </c>
      <c r="G26" s="211" t="s">
        <v>594</v>
      </c>
      <c r="H26" s="393"/>
      <c r="I26" s="180">
        <v>0.0013</v>
      </c>
      <c r="J26" s="180">
        <v>0.0013</v>
      </c>
      <c r="K26" s="421"/>
      <c r="L26" s="212">
        <f>+J26/$K$23</f>
        <v>0.19402985074626866</v>
      </c>
      <c r="M26" s="171">
        <f t="shared" si="28"/>
        <v>0.19402985074626866</v>
      </c>
      <c r="N26" s="180">
        <v>0.0028</v>
      </c>
      <c r="O26" s="424"/>
      <c r="P26" s="187" t="s">
        <v>297</v>
      </c>
      <c r="Q26" s="187" t="s">
        <v>3</v>
      </c>
      <c r="R26" s="187" t="s">
        <v>236</v>
      </c>
      <c r="S26" s="199">
        <v>5</v>
      </c>
      <c r="T26" s="199">
        <v>5</v>
      </c>
      <c r="U26" s="199"/>
      <c r="V26" s="200"/>
      <c r="W26" s="201">
        <v>5</v>
      </c>
      <c r="X26" s="202">
        <f>+W26</f>
        <v>5</v>
      </c>
      <c r="Y26" s="203">
        <v>5</v>
      </c>
      <c r="Z26" s="180">
        <f t="shared" si="12"/>
        <v>1</v>
      </c>
      <c r="AA26" s="180">
        <f t="shared" si="13"/>
        <v>1</v>
      </c>
      <c r="AB26" s="171">
        <f>IF($J26&gt;0,Y26*$J26/5,"")</f>
        <v>0.0013</v>
      </c>
      <c r="AC26" s="171">
        <f t="shared" si="1"/>
        <v>0.0013</v>
      </c>
      <c r="AD26" s="189">
        <f>+'PLAN DE ACCION 2008'!Q182</f>
        <v>5000</v>
      </c>
      <c r="AE26" s="189">
        <f>+'PLAN DE ACCION 2008'!R182</f>
        <v>10000</v>
      </c>
      <c r="AF26" s="190" t="str">
        <f t="shared" si="0"/>
        <v>Nª CAMPEONATOS</v>
      </c>
      <c r="AG26" s="201">
        <v>5</v>
      </c>
      <c r="AH26" s="180">
        <f t="shared" si="14"/>
        <v>1</v>
      </c>
      <c r="AI26" s="180"/>
      <c r="AJ26" s="180">
        <f t="shared" si="15"/>
        <v>0</v>
      </c>
      <c r="AK26" s="180">
        <f t="shared" si="16"/>
        <v>0</v>
      </c>
      <c r="AL26" s="171">
        <f>IF($J26&gt;0,AI26*$J26/5,"")</f>
        <v>0</v>
      </c>
      <c r="AM26" s="171">
        <f t="shared" si="2"/>
        <v>0</v>
      </c>
      <c r="AN26" s="189"/>
      <c r="AO26" s="189"/>
      <c r="AP26" s="178" t="str">
        <f t="shared" si="17"/>
        <v>Nª CAMPEONATOS</v>
      </c>
      <c r="AQ26" s="201">
        <v>5</v>
      </c>
      <c r="AR26" s="180">
        <f t="shared" si="18"/>
        <v>1</v>
      </c>
      <c r="AS26" s="180"/>
      <c r="AT26" s="180">
        <f t="shared" si="19"/>
        <v>0</v>
      </c>
      <c r="AU26" s="180">
        <f t="shared" si="20"/>
        <v>0</v>
      </c>
      <c r="AV26" s="171">
        <f>IF($J26&gt;0,AS26*$J26/5,"")</f>
        <v>0</v>
      </c>
      <c r="AW26" s="171">
        <f t="shared" si="3"/>
        <v>0</v>
      </c>
      <c r="AX26" s="189"/>
      <c r="AY26" s="189"/>
      <c r="AZ26" s="190" t="str">
        <f t="shared" si="21"/>
        <v>Nª CAMPEONATOS</v>
      </c>
      <c r="BA26" s="201">
        <v>5</v>
      </c>
      <c r="BB26" s="180">
        <f t="shared" si="22"/>
        <v>1</v>
      </c>
      <c r="BC26" s="180"/>
      <c r="BD26" s="180">
        <f t="shared" si="23"/>
        <v>0</v>
      </c>
      <c r="BE26" s="180">
        <f t="shared" si="24"/>
        <v>0</v>
      </c>
      <c r="BF26" s="171">
        <f>IF($J26&gt;0,BC26*$J26/5,"")</f>
        <v>0</v>
      </c>
      <c r="BG26" s="171">
        <f t="shared" si="4"/>
        <v>0</v>
      </c>
      <c r="BH26" s="189"/>
      <c r="BI26" s="189"/>
      <c r="BJ26" s="190" t="str">
        <f t="shared" si="25"/>
        <v>Nª CAMPEONATOS</v>
      </c>
      <c r="BK26" s="201">
        <f>+W26+AG26+AQ26+BA26</f>
        <v>20</v>
      </c>
      <c r="BL26" s="180">
        <f>IF($T26&gt;0,BK26/$T26,"")</f>
        <v>4</v>
      </c>
      <c r="BM26" s="171" t="str">
        <f t="shared" si="5"/>
        <v>AJUSTAR PROYECCIÓN</v>
      </c>
      <c r="BN26" s="203">
        <f t="shared" si="6"/>
        <v>5</v>
      </c>
      <c r="BO26" s="171">
        <f t="shared" si="7"/>
        <v>1.25</v>
      </c>
      <c r="BP26" s="171">
        <f t="shared" si="8"/>
        <v>1</v>
      </c>
      <c r="BQ26" s="191">
        <f t="shared" si="9"/>
        <v>5000</v>
      </c>
      <c r="BR26" s="191">
        <f t="shared" si="10"/>
        <v>10000</v>
      </c>
      <c r="BS26" s="192" t="str">
        <f t="shared" si="27"/>
        <v>Nª CAMPEONATOS</v>
      </c>
      <c r="BT26" s="193"/>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row>
    <row r="27" spans="1:157" s="184" customFormat="1" ht="287.25" customHeight="1" thickBot="1">
      <c r="A27" s="412"/>
      <c r="B27" s="412"/>
      <c r="C27" s="433"/>
      <c r="D27" s="391"/>
      <c r="E27" s="195" t="s">
        <v>298</v>
      </c>
      <c r="F27" s="211" t="s">
        <v>299</v>
      </c>
      <c r="G27" s="211" t="s">
        <v>595</v>
      </c>
      <c r="H27" s="394"/>
      <c r="I27" s="180">
        <v>0.0013</v>
      </c>
      <c r="J27" s="180">
        <v>0.0013</v>
      </c>
      <c r="K27" s="422"/>
      <c r="L27" s="212">
        <f>+J27/$K$23</f>
        <v>0.19402985074626866</v>
      </c>
      <c r="M27" s="171">
        <f t="shared" si="28"/>
        <v>0.19402985074626866</v>
      </c>
      <c r="N27" s="180">
        <v>0.0028</v>
      </c>
      <c r="O27" s="424"/>
      <c r="P27" s="187" t="s">
        <v>300</v>
      </c>
      <c r="Q27" s="187" t="s">
        <v>3</v>
      </c>
      <c r="R27" s="187" t="s">
        <v>236</v>
      </c>
      <c r="S27" s="199">
        <v>5</v>
      </c>
      <c r="T27" s="199">
        <v>5</v>
      </c>
      <c r="U27" s="199"/>
      <c r="V27" s="200"/>
      <c r="W27" s="201">
        <v>5</v>
      </c>
      <c r="X27" s="202">
        <f>+W27</f>
        <v>5</v>
      </c>
      <c r="Y27" s="180">
        <v>0</v>
      </c>
      <c r="Z27" s="180">
        <f t="shared" si="12"/>
        <v>0</v>
      </c>
      <c r="AA27" s="180">
        <f t="shared" si="13"/>
        <v>0</v>
      </c>
      <c r="AB27" s="171">
        <f>IF($J27&gt;0,Y27*$J27/5,"")</f>
        <v>0</v>
      </c>
      <c r="AC27" s="171">
        <f t="shared" si="1"/>
        <v>0</v>
      </c>
      <c r="AD27" s="189">
        <f>+'PLAN DE ACCION 2008'!Q183</f>
        <v>0</v>
      </c>
      <c r="AE27" s="189">
        <f>+'PLAN DE ACCION 2008'!R183</f>
        <v>0</v>
      </c>
      <c r="AF27" s="190" t="str">
        <f t="shared" si="0"/>
        <v>Nº INSTRUCTORES CAPACITADOS</v>
      </c>
      <c r="AG27" s="201">
        <v>5</v>
      </c>
      <c r="AH27" s="180">
        <f t="shared" si="14"/>
        <v>1</v>
      </c>
      <c r="AI27" s="180"/>
      <c r="AJ27" s="180">
        <f t="shared" si="15"/>
        <v>0</v>
      </c>
      <c r="AK27" s="180">
        <f t="shared" si="16"/>
        <v>0</v>
      </c>
      <c r="AL27" s="171">
        <f>IF($J27&gt;0,AI27*$J27/5,"")</f>
        <v>0</v>
      </c>
      <c r="AM27" s="171">
        <f t="shared" si="2"/>
        <v>0</v>
      </c>
      <c r="AN27" s="189"/>
      <c r="AO27" s="189"/>
      <c r="AP27" s="178" t="str">
        <f t="shared" si="17"/>
        <v>Nº INSTRUCTORES CAPACITADOS</v>
      </c>
      <c r="AQ27" s="201">
        <v>5</v>
      </c>
      <c r="AR27" s="180">
        <f t="shared" si="18"/>
        <v>1</v>
      </c>
      <c r="AS27" s="180"/>
      <c r="AT27" s="180">
        <f t="shared" si="19"/>
        <v>0</v>
      </c>
      <c r="AU27" s="180">
        <f t="shared" si="20"/>
        <v>0</v>
      </c>
      <c r="AV27" s="171">
        <f>IF($J27&gt;0,AS27*$J27/5,"")</f>
        <v>0</v>
      </c>
      <c r="AW27" s="171">
        <f t="shared" si="3"/>
        <v>0</v>
      </c>
      <c r="AX27" s="189"/>
      <c r="AY27" s="189"/>
      <c r="AZ27" s="190" t="str">
        <f t="shared" si="21"/>
        <v>Nº INSTRUCTORES CAPACITADOS</v>
      </c>
      <c r="BA27" s="201">
        <v>5</v>
      </c>
      <c r="BB27" s="180">
        <f t="shared" si="22"/>
        <v>1</v>
      </c>
      <c r="BC27" s="180"/>
      <c r="BD27" s="180">
        <f t="shared" si="23"/>
        <v>0</v>
      </c>
      <c r="BE27" s="180">
        <f t="shared" si="24"/>
        <v>0</v>
      </c>
      <c r="BF27" s="171">
        <f>IF($J27&gt;0,BC27*$J27/5,"")</f>
        <v>0</v>
      </c>
      <c r="BG27" s="171">
        <f t="shared" si="4"/>
        <v>0</v>
      </c>
      <c r="BH27" s="189"/>
      <c r="BI27" s="189"/>
      <c r="BJ27" s="190" t="str">
        <f t="shared" si="25"/>
        <v>Nº INSTRUCTORES CAPACITADOS</v>
      </c>
      <c r="BK27" s="201">
        <f>+W27+AG27+AQ27+BA27</f>
        <v>20</v>
      </c>
      <c r="BL27" s="180">
        <f t="shared" si="26"/>
        <v>4</v>
      </c>
      <c r="BM27" s="171" t="str">
        <f t="shared" si="5"/>
        <v>AJUSTAR PROYECCIÓN</v>
      </c>
      <c r="BN27" s="203">
        <f t="shared" si="6"/>
        <v>0</v>
      </c>
      <c r="BO27" s="171">
        <f t="shared" si="7"/>
        <v>0</v>
      </c>
      <c r="BP27" s="171">
        <f t="shared" si="8"/>
        <v>0</v>
      </c>
      <c r="BQ27" s="191">
        <f t="shared" si="9"/>
        <v>0</v>
      </c>
      <c r="BR27" s="191">
        <f t="shared" si="10"/>
        <v>0</v>
      </c>
      <c r="BS27" s="192" t="str">
        <f t="shared" si="27"/>
        <v>Nº INSTRUCTORES CAPACITADOS</v>
      </c>
      <c r="BT27" s="193"/>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row>
    <row r="28" spans="1:157" s="184" customFormat="1" ht="287.25" customHeight="1" thickBot="1">
      <c r="A28" s="412"/>
      <c r="B28" s="412"/>
      <c r="C28" s="433"/>
      <c r="D28" s="418" t="s">
        <v>16</v>
      </c>
      <c r="E28" s="195" t="s">
        <v>301</v>
      </c>
      <c r="F28" s="211" t="s">
        <v>302</v>
      </c>
      <c r="G28" s="211" t="s">
        <v>8</v>
      </c>
      <c r="H28" s="419">
        <f>+I28+I29+I30+I31</f>
        <v>0.005299999999999999</v>
      </c>
      <c r="I28" s="180">
        <v>0.0013</v>
      </c>
      <c r="J28" s="180">
        <v>0.0013</v>
      </c>
      <c r="K28" s="420">
        <f>+SUM(J28:J31)</f>
        <v>0.005299999999999999</v>
      </c>
      <c r="L28" s="212">
        <f>+J28/$K$28</f>
        <v>0.24528301886792456</v>
      </c>
      <c r="M28" s="171">
        <f t="shared" si="28"/>
        <v>0.24528301886792456</v>
      </c>
      <c r="N28" s="180">
        <v>0.0028</v>
      </c>
      <c r="O28" s="424"/>
      <c r="P28" s="187" t="s">
        <v>303</v>
      </c>
      <c r="Q28" s="187" t="s">
        <v>18</v>
      </c>
      <c r="R28" s="187" t="s">
        <v>226</v>
      </c>
      <c r="S28" s="188">
        <v>0.5</v>
      </c>
      <c r="T28" s="188">
        <v>0.9</v>
      </c>
      <c r="U28" s="188"/>
      <c r="V28" s="175"/>
      <c r="W28" s="176">
        <v>0.1</v>
      </c>
      <c r="X28" s="171">
        <f t="shared" si="11"/>
        <v>0.6</v>
      </c>
      <c r="Y28" s="180">
        <v>0.1</v>
      </c>
      <c r="Z28" s="180">
        <f t="shared" si="12"/>
        <v>1</v>
      </c>
      <c r="AA28" s="180">
        <f t="shared" si="13"/>
        <v>1</v>
      </c>
      <c r="AB28" s="171">
        <f>IF($J28&gt;0,Y28*$J28/0.9,"")</f>
        <v>0.00014444444444444444</v>
      </c>
      <c r="AC28" s="171">
        <f t="shared" si="1"/>
        <v>0.00014444444444444444</v>
      </c>
      <c r="AD28" s="189">
        <f>+'PLAN DE ACCION 2008'!Q202</f>
        <v>7500</v>
      </c>
      <c r="AE28" s="189">
        <f>+'PLAN DE ACCION 2008'!R202</f>
        <v>31162</v>
      </c>
      <c r="AF28" s="190" t="str">
        <f t="shared" si="0"/>
        <v>% COBERTURA ESCUELAS CULTURA</v>
      </c>
      <c r="AG28" s="176">
        <v>0.7</v>
      </c>
      <c r="AH28" s="180">
        <f t="shared" si="14"/>
        <v>0.7777777777777777</v>
      </c>
      <c r="AI28" s="180"/>
      <c r="AJ28" s="180">
        <f t="shared" si="15"/>
        <v>0</v>
      </c>
      <c r="AK28" s="180">
        <f t="shared" si="16"/>
        <v>0</v>
      </c>
      <c r="AL28" s="171">
        <f>IF($J28&gt;0,AI28*$J28/0.9,"")</f>
        <v>0</v>
      </c>
      <c r="AM28" s="171">
        <f t="shared" si="2"/>
        <v>0</v>
      </c>
      <c r="AN28" s="189"/>
      <c r="AO28" s="189"/>
      <c r="AP28" s="178" t="str">
        <f t="shared" si="17"/>
        <v>% COBERTURA ESCUELAS CULTURA</v>
      </c>
      <c r="AQ28" s="176">
        <v>0.8</v>
      </c>
      <c r="AR28" s="180">
        <f t="shared" si="18"/>
        <v>0.888888888888889</v>
      </c>
      <c r="AS28" s="180"/>
      <c r="AT28" s="180">
        <f t="shared" si="19"/>
        <v>0</v>
      </c>
      <c r="AU28" s="180">
        <f t="shared" si="20"/>
        <v>0</v>
      </c>
      <c r="AV28" s="171">
        <f>IF($J28&gt;0,AS28*$J28/0.9,"")</f>
        <v>0</v>
      </c>
      <c r="AW28" s="171">
        <f t="shared" si="3"/>
        <v>0</v>
      </c>
      <c r="AX28" s="189"/>
      <c r="AY28" s="189"/>
      <c r="AZ28" s="190" t="str">
        <f t="shared" si="21"/>
        <v>% COBERTURA ESCUELAS CULTURA</v>
      </c>
      <c r="BA28" s="176">
        <v>0.9</v>
      </c>
      <c r="BB28" s="180">
        <f t="shared" si="22"/>
        <v>1</v>
      </c>
      <c r="BC28" s="180"/>
      <c r="BD28" s="180">
        <f t="shared" si="23"/>
        <v>0</v>
      </c>
      <c r="BE28" s="180">
        <f t="shared" si="24"/>
        <v>0</v>
      </c>
      <c r="BF28" s="171">
        <f>IF($J28&gt;0,BC28*$J28/0.9,"")</f>
        <v>0</v>
      </c>
      <c r="BG28" s="171">
        <f t="shared" si="4"/>
        <v>0</v>
      </c>
      <c r="BH28" s="189"/>
      <c r="BI28" s="189"/>
      <c r="BJ28" s="190" t="str">
        <f t="shared" si="25"/>
        <v>% COBERTURA ESCUELAS CULTURA</v>
      </c>
      <c r="BK28" s="176">
        <v>0.9</v>
      </c>
      <c r="BL28" s="180">
        <f t="shared" si="26"/>
        <v>1</v>
      </c>
      <c r="BM28" s="171" t="str">
        <f t="shared" si="5"/>
        <v>OK</v>
      </c>
      <c r="BN28" s="180">
        <f t="shared" si="6"/>
        <v>0.1</v>
      </c>
      <c r="BO28" s="171">
        <f t="shared" si="7"/>
        <v>0.1</v>
      </c>
      <c r="BP28" s="171">
        <f t="shared" si="8"/>
        <v>0.1</v>
      </c>
      <c r="BQ28" s="191">
        <f t="shared" si="9"/>
        <v>7500</v>
      </c>
      <c r="BR28" s="191">
        <f t="shared" si="10"/>
        <v>31162</v>
      </c>
      <c r="BS28" s="192" t="str">
        <f t="shared" si="27"/>
        <v>% COBERTURA ESCUELAS CULTURA</v>
      </c>
      <c r="BT28" s="193"/>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row>
    <row r="29" spans="1:157" s="184" customFormat="1" ht="409.5" customHeight="1" thickBot="1">
      <c r="A29" s="412"/>
      <c r="B29" s="412"/>
      <c r="C29" s="433"/>
      <c r="D29" s="390"/>
      <c r="E29" s="195" t="s">
        <v>304</v>
      </c>
      <c r="F29" s="211" t="s">
        <v>305</v>
      </c>
      <c r="G29" s="213" t="s">
        <v>9</v>
      </c>
      <c r="H29" s="393"/>
      <c r="I29" s="180">
        <v>0.0013</v>
      </c>
      <c r="J29" s="180">
        <v>0.0013</v>
      </c>
      <c r="K29" s="421"/>
      <c r="L29" s="212">
        <f>+J29/$K$28</f>
        <v>0.24528301886792456</v>
      </c>
      <c r="M29" s="171">
        <f t="shared" si="28"/>
        <v>0.24528301886792456</v>
      </c>
      <c r="N29" s="180">
        <v>0.0028</v>
      </c>
      <c r="O29" s="424"/>
      <c r="P29" s="187" t="s">
        <v>317</v>
      </c>
      <c r="Q29" s="187" t="s">
        <v>18</v>
      </c>
      <c r="R29" s="187" t="s">
        <v>226</v>
      </c>
      <c r="S29" s="188">
        <v>0.05</v>
      </c>
      <c r="T29" s="188">
        <v>0.25</v>
      </c>
      <c r="U29" s="188"/>
      <c r="V29" s="175"/>
      <c r="W29" s="176">
        <v>0.05</v>
      </c>
      <c r="X29" s="171">
        <f t="shared" si="11"/>
        <v>0.1</v>
      </c>
      <c r="Y29" s="180">
        <v>0.05</v>
      </c>
      <c r="Z29" s="180">
        <f t="shared" si="12"/>
        <v>1</v>
      </c>
      <c r="AA29" s="180">
        <f t="shared" si="13"/>
        <v>1</v>
      </c>
      <c r="AB29" s="171">
        <f>IF($J29&gt;0,Y29*$J29/0.25,"")</f>
        <v>0.00026</v>
      </c>
      <c r="AC29" s="171">
        <f t="shared" si="1"/>
        <v>0.00026</v>
      </c>
      <c r="AD29" s="189">
        <f>+'PLAN DE ACCION 2008'!Q203</f>
        <v>24005</v>
      </c>
      <c r="AE29" s="189">
        <f>+'PLAN DE ACCION 2008'!R203</f>
        <v>86454</v>
      </c>
      <c r="AF29" s="190" t="str">
        <f t="shared" si="0"/>
        <v>% INTEGRACION HABITANTES</v>
      </c>
      <c r="AG29" s="176">
        <v>0.15</v>
      </c>
      <c r="AH29" s="180">
        <f t="shared" si="14"/>
        <v>0.6</v>
      </c>
      <c r="AI29" s="180"/>
      <c r="AJ29" s="180">
        <f t="shared" si="15"/>
        <v>0</v>
      </c>
      <c r="AK29" s="180">
        <f t="shared" si="16"/>
        <v>0</v>
      </c>
      <c r="AL29" s="171">
        <f>IF($J29&gt;0,AI29*$J29/0.25,"")</f>
        <v>0</v>
      </c>
      <c r="AM29" s="171">
        <f t="shared" si="2"/>
        <v>0</v>
      </c>
      <c r="AN29" s="189"/>
      <c r="AO29" s="189"/>
      <c r="AP29" s="178" t="str">
        <f t="shared" si="17"/>
        <v>% INTEGRACION HABITANTES</v>
      </c>
      <c r="AQ29" s="176">
        <v>0.2</v>
      </c>
      <c r="AR29" s="180">
        <f t="shared" si="18"/>
        <v>0.8</v>
      </c>
      <c r="AS29" s="180"/>
      <c r="AT29" s="180">
        <f t="shared" si="19"/>
        <v>0</v>
      </c>
      <c r="AU29" s="180">
        <f t="shared" si="20"/>
        <v>0</v>
      </c>
      <c r="AV29" s="171">
        <f>IF($J29&gt;0,AS29*$J29/0.25,"")</f>
        <v>0</v>
      </c>
      <c r="AW29" s="171">
        <f t="shared" si="3"/>
        <v>0</v>
      </c>
      <c r="AX29" s="189"/>
      <c r="AY29" s="189"/>
      <c r="AZ29" s="190" t="str">
        <f t="shared" si="21"/>
        <v>% INTEGRACION HABITANTES</v>
      </c>
      <c r="BA29" s="176">
        <v>0.25</v>
      </c>
      <c r="BB29" s="180">
        <f t="shared" si="22"/>
        <v>1</v>
      </c>
      <c r="BC29" s="180"/>
      <c r="BD29" s="180">
        <f t="shared" si="23"/>
        <v>0</v>
      </c>
      <c r="BE29" s="180">
        <f t="shared" si="24"/>
        <v>0</v>
      </c>
      <c r="BF29" s="171">
        <f>IF($J29&gt;0,BC29*$J29/0.25,"")</f>
        <v>0</v>
      </c>
      <c r="BG29" s="171">
        <f t="shared" si="4"/>
        <v>0</v>
      </c>
      <c r="BH29" s="189"/>
      <c r="BI29" s="189"/>
      <c r="BJ29" s="190" t="str">
        <f t="shared" si="25"/>
        <v>% INTEGRACION HABITANTES</v>
      </c>
      <c r="BK29" s="176">
        <v>0.25</v>
      </c>
      <c r="BL29" s="180">
        <f t="shared" si="26"/>
        <v>1</v>
      </c>
      <c r="BM29" s="171" t="str">
        <f t="shared" si="5"/>
        <v>OK</v>
      </c>
      <c r="BN29" s="180">
        <f t="shared" si="6"/>
        <v>0.05</v>
      </c>
      <c r="BO29" s="171">
        <f t="shared" si="7"/>
        <v>0.05</v>
      </c>
      <c r="BP29" s="171">
        <f t="shared" si="8"/>
        <v>0.05</v>
      </c>
      <c r="BQ29" s="191">
        <f t="shared" si="9"/>
        <v>24005</v>
      </c>
      <c r="BR29" s="191">
        <f t="shared" si="10"/>
        <v>86454</v>
      </c>
      <c r="BS29" s="192" t="str">
        <f t="shared" si="27"/>
        <v>% INTEGRACION HABITANTES</v>
      </c>
      <c r="BT29" s="193"/>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row>
    <row r="30" spans="1:157" s="184" customFormat="1" ht="287.25" customHeight="1" thickBot="1">
      <c r="A30" s="412"/>
      <c r="B30" s="412"/>
      <c r="C30" s="433"/>
      <c r="D30" s="390"/>
      <c r="E30" s="195" t="s">
        <v>318</v>
      </c>
      <c r="F30" s="211" t="s">
        <v>319</v>
      </c>
      <c r="G30" s="211" t="s">
        <v>10</v>
      </c>
      <c r="H30" s="393"/>
      <c r="I30" s="180">
        <v>0.0009</v>
      </c>
      <c r="J30" s="180">
        <v>0.0009</v>
      </c>
      <c r="K30" s="421"/>
      <c r="L30" s="212">
        <f>+J30/$K$28</f>
        <v>0.169811320754717</v>
      </c>
      <c r="M30" s="171">
        <f t="shared" si="28"/>
        <v>0.169811320754717</v>
      </c>
      <c r="N30" s="180">
        <v>0.002</v>
      </c>
      <c r="O30" s="424"/>
      <c r="P30" s="187" t="s">
        <v>320</v>
      </c>
      <c r="Q30" s="187" t="s">
        <v>18</v>
      </c>
      <c r="R30" s="187" t="s">
        <v>226</v>
      </c>
      <c r="S30" s="199">
        <v>2</v>
      </c>
      <c r="T30" s="199">
        <v>8</v>
      </c>
      <c r="U30" s="199"/>
      <c r="V30" s="200"/>
      <c r="W30" s="201">
        <v>2</v>
      </c>
      <c r="X30" s="202">
        <f t="shared" si="11"/>
        <v>4</v>
      </c>
      <c r="Y30" s="180">
        <v>0</v>
      </c>
      <c r="Z30" s="180">
        <f t="shared" si="12"/>
        <v>0</v>
      </c>
      <c r="AA30" s="180">
        <f t="shared" si="13"/>
        <v>0</v>
      </c>
      <c r="AB30" s="171">
        <f>IF($J30&gt;0,Y30*$J30/8,"")</f>
        <v>0</v>
      </c>
      <c r="AC30" s="171">
        <f t="shared" si="1"/>
        <v>0</v>
      </c>
      <c r="AD30" s="189">
        <f>+'PLAN DE ACCION 2008'!Q204</f>
        <v>0</v>
      </c>
      <c r="AE30" s="189">
        <f>+'PLAN DE ACCION 2008'!R204</f>
        <v>0</v>
      </c>
      <c r="AF30" s="190" t="str">
        <f t="shared" si="0"/>
        <v>Nº FESTIVALES LECTURA</v>
      </c>
      <c r="AG30" s="201">
        <v>4</v>
      </c>
      <c r="AH30" s="180">
        <f t="shared" si="14"/>
        <v>0.5</v>
      </c>
      <c r="AI30" s="180"/>
      <c r="AJ30" s="180">
        <f t="shared" si="15"/>
        <v>0</v>
      </c>
      <c r="AK30" s="180">
        <f t="shared" si="16"/>
        <v>0</v>
      </c>
      <c r="AL30" s="171">
        <f>IF($J30&gt;0,AI30*$J30/8,"")</f>
        <v>0</v>
      </c>
      <c r="AM30" s="171">
        <f t="shared" si="2"/>
        <v>0</v>
      </c>
      <c r="AN30" s="189"/>
      <c r="AO30" s="189"/>
      <c r="AP30" s="178" t="str">
        <f t="shared" si="17"/>
        <v>Nº FESTIVALES LECTURA</v>
      </c>
      <c r="AQ30" s="201">
        <v>6</v>
      </c>
      <c r="AR30" s="180">
        <f t="shared" si="18"/>
        <v>0.75</v>
      </c>
      <c r="AS30" s="180"/>
      <c r="AT30" s="180">
        <f t="shared" si="19"/>
        <v>0</v>
      </c>
      <c r="AU30" s="180">
        <f t="shared" si="20"/>
        <v>0</v>
      </c>
      <c r="AV30" s="171">
        <f>IF($J30&gt;0,AS30*$J30/8,"")</f>
        <v>0</v>
      </c>
      <c r="AW30" s="171">
        <f t="shared" si="3"/>
        <v>0</v>
      </c>
      <c r="AX30" s="189"/>
      <c r="AY30" s="189"/>
      <c r="AZ30" s="190" t="str">
        <f t="shared" si="21"/>
        <v>Nº FESTIVALES LECTURA</v>
      </c>
      <c r="BA30" s="201">
        <v>8</v>
      </c>
      <c r="BB30" s="180">
        <f t="shared" si="22"/>
        <v>1</v>
      </c>
      <c r="BC30" s="180"/>
      <c r="BD30" s="180">
        <f t="shared" si="23"/>
        <v>0</v>
      </c>
      <c r="BE30" s="180">
        <f t="shared" si="24"/>
        <v>0</v>
      </c>
      <c r="BF30" s="171">
        <f>IF($J30&gt;0,BC30*$J30/8,"")</f>
        <v>0</v>
      </c>
      <c r="BG30" s="171">
        <f t="shared" si="4"/>
        <v>0</v>
      </c>
      <c r="BH30" s="189"/>
      <c r="BI30" s="189"/>
      <c r="BJ30" s="190" t="str">
        <f t="shared" si="25"/>
        <v>Nº FESTIVALES LECTURA</v>
      </c>
      <c r="BK30" s="201">
        <v>8</v>
      </c>
      <c r="BL30" s="180">
        <f t="shared" si="26"/>
        <v>1</v>
      </c>
      <c r="BM30" s="171" t="str">
        <f t="shared" si="5"/>
        <v>OK</v>
      </c>
      <c r="BN30" s="203">
        <f t="shared" si="6"/>
        <v>0</v>
      </c>
      <c r="BO30" s="171">
        <f t="shared" si="7"/>
        <v>0</v>
      </c>
      <c r="BP30" s="171">
        <f t="shared" si="8"/>
        <v>0</v>
      </c>
      <c r="BQ30" s="191">
        <f t="shared" si="9"/>
        <v>0</v>
      </c>
      <c r="BR30" s="191">
        <f t="shared" si="10"/>
        <v>0</v>
      </c>
      <c r="BS30" s="192" t="str">
        <f t="shared" si="27"/>
        <v>Nº FESTIVALES LECTURA</v>
      </c>
      <c r="BT30" s="193"/>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row>
    <row r="31" spans="1:157" s="184" customFormat="1" ht="287.25" customHeight="1" thickBot="1">
      <c r="A31" s="412"/>
      <c r="B31" s="412"/>
      <c r="C31" s="433"/>
      <c r="D31" s="391"/>
      <c r="E31" s="195" t="s">
        <v>321</v>
      </c>
      <c r="F31" s="211" t="s">
        <v>322</v>
      </c>
      <c r="G31" s="211" t="s">
        <v>11</v>
      </c>
      <c r="H31" s="394"/>
      <c r="I31" s="180">
        <v>0.0018</v>
      </c>
      <c r="J31" s="180">
        <v>0.0018</v>
      </c>
      <c r="K31" s="422"/>
      <c r="L31" s="212">
        <f>+J31/$K$28</f>
        <v>0.339622641509434</v>
      </c>
      <c r="M31" s="171">
        <f t="shared" si="28"/>
        <v>0.339622641509434</v>
      </c>
      <c r="N31" s="180">
        <v>0.0039</v>
      </c>
      <c r="O31" s="424"/>
      <c r="P31" s="187" t="s">
        <v>323</v>
      </c>
      <c r="Q31" s="187" t="s">
        <v>18</v>
      </c>
      <c r="R31" s="187" t="s">
        <v>226</v>
      </c>
      <c r="S31" s="188">
        <v>0.1</v>
      </c>
      <c r="T31" s="188">
        <v>0.5</v>
      </c>
      <c r="U31" s="188"/>
      <c r="V31" s="175"/>
      <c r="W31" s="176">
        <v>0.2</v>
      </c>
      <c r="X31" s="171">
        <f t="shared" si="11"/>
        <v>0.30000000000000004</v>
      </c>
      <c r="Y31" s="180">
        <v>0.2</v>
      </c>
      <c r="Z31" s="180">
        <f t="shared" si="12"/>
        <v>1</v>
      </c>
      <c r="AA31" s="180">
        <f t="shared" si="13"/>
        <v>1</v>
      </c>
      <c r="AB31" s="171">
        <f>IF($J31&gt;0,Y31*$J31/0.5,"")</f>
        <v>0.00072</v>
      </c>
      <c r="AC31" s="171">
        <f t="shared" si="1"/>
        <v>0.00072</v>
      </c>
      <c r="AD31" s="189">
        <f>+'PLAN DE ACCION 2008'!Q205</f>
        <v>3000</v>
      </c>
      <c r="AE31" s="189">
        <f>+'PLAN DE ACCION 2008'!R205</f>
        <v>9000</v>
      </c>
      <c r="AF31" s="190" t="str">
        <f t="shared" si="0"/>
        <v>% DE ALUMNOS</v>
      </c>
      <c r="AG31" s="176">
        <v>0.3</v>
      </c>
      <c r="AH31" s="180">
        <f t="shared" si="14"/>
        <v>0.6</v>
      </c>
      <c r="AI31" s="180"/>
      <c r="AJ31" s="180">
        <f t="shared" si="15"/>
        <v>0</v>
      </c>
      <c r="AK31" s="180">
        <f t="shared" si="16"/>
        <v>0</v>
      </c>
      <c r="AL31" s="171">
        <f>IF($J31&gt;0,AI31*$J31/0.5,"")</f>
        <v>0</v>
      </c>
      <c r="AM31" s="171">
        <f t="shared" si="2"/>
        <v>0</v>
      </c>
      <c r="AN31" s="189"/>
      <c r="AO31" s="189"/>
      <c r="AP31" s="178" t="str">
        <f t="shared" si="17"/>
        <v>% DE ALUMNOS</v>
      </c>
      <c r="AQ31" s="176">
        <v>0.4</v>
      </c>
      <c r="AR31" s="180">
        <f t="shared" si="18"/>
        <v>0.8</v>
      </c>
      <c r="AS31" s="180"/>
      <c r="AT31" s="180">
        <f t="shared" si="19"/>
        <v>0</v>
      </c>
      <c r="AU31" s="180">
        <f t="shared" si="20"/>
        <v>0</v>
      </c>
      <c r="AV31" s="171">
        <f>IF($J31&gt;0,AS31*$J31/0.5,"")</f>
        <v>0</v>
      </c>
      <c r="AW31" s="171">
        <f t="shared" si="3"/>
        <v>0</v>
      </c>
      <c r="AX31" s="189"/>
      <c r="AY31" s="189"/>
      <c r="AZ31" s="190" t="str">
        <f t="shared" si="21"/>
        <v>% DE ALUMNOS</v>
      </c>
      <c r="BA31" s="176">
        <v>0.5</v>
      </c>
      <c r="BB31" s="180">
        <f t="shared" si="22"/>
        <v>1</v>
      </c>
      <c r="BC31" s="180"/>
      <c r="BD31" s="180">
        <f t="shared" si="23"/>
        <v>0</v>
      </c>
      <c r="BE31" s="180">
        <f t="shared" si="24"/>
        <v>0</v>
      </c>
      <c r="BF31" s="171">
        <f>IF($J31&gt;0,BC31*$J31/0.5,"")</f>
        <v>0</v>
      </c>
      <c r="BG31" s="171">
        <f t="shared" si="4"/>
        <v>0</v>
      </c>
      <c r="BH31" s="189"/>
      <c r="BI31" s="189"/>
      <c r="BJ31" s="190" t="str">
        <f t="shared" si="25"/>
        <v>% DE ALUMNOS</v>
      </c>
      <c r="BK31" s="176">
        <v>0.5</v>
      </c>
      <c r="BL31" s="180">
        <f t="shared" si="26"/>
        <v>1</v>
      </c>
      <c r="BM31" s="171" t="str">
        <f t="shared" si="5"/>
        <v>OK</v>
      </c>
      <c r="BN31" s="180">
        <f t="shared" si="6"/>
        <v>0.2</v>
      </c>
      <c r="BO31" s="171">
        <f t="shared" si="7"/>
        <v>0.2</v>
      </c>
      <c r="BP31" s="171">
        <f t="shared" si="8"/>
        <v>0.2</v>
      </c>
      <c r="BQ31" s="191">
        <f t="shared" si="9"/>
        <v>3000</v>
      </c>
      <c r="BR31" s="191">
        <f t="shared" si="10"/>
        <v>9000</v>
      </c>
      <c r="BS31" s="192" t="str">
        <f t="shared" si="27"/>
        <v>% DE ALUMNOS</v>
      </c>
      <c r="BT31" s="193"/>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row>
    <row r="32" spans="1:157" s="184" customFormat="1" ht="287.25" customHeight="1" thickBot="1">
      <c r="A32" s="412"/>
      <c r="B32" s="412"/>
      <c r="C32" s="433"/>
      <c r="D32" s="418" t="s">
        <v>27</v>
      </c>
      <c r="E32" s="195" t="s">
        <v>324</v>
      </c>
      <c r="F32" s="211" t="s">
        <v>325</v>
      </c>
      <c r="G32" s="211" t="s">
        <v>24</v>
      </c>
      <c r="H32" s="419">
        <f>+I32+I33</f>
        <v>0.0356</v>
      </c>
      <c r="I32" s="180">
        <v>0.01</v>
      </c>
      <c r="J32" s="180">
        <v>0.01</v>
      </c>
      <c r="K32" s="420">
        <f>+J32+J33</f>
        <v>0.0356</v>
      </c>
      <c r="L32" s="212">
        <f>+J32/$K$32</f>
        <v>0.2808988764044944</v>
      </c>
      <c r="M32" s="171">
        <f t="shared" si="28"/>
        <v>0.2808988764044944</v>
      </c>
      <c r="N32" s="180">
        <v>0.0219</v>
      </c>
      <c r="O32" s="424"/>
      <c r="P32" s="187" t="s">
        <v>326</v>
      </c>
      <c r="Q32" s="187" t="s">
        <v>29</v>
      </c>
      <c r="R32" s="187" t="s">
        <v>226</v>
      </c>
      <c r="S32" s="199">
        <v>50</v>
      </c>
      <c r="T32" s="199">
        <v>200</v>
      </c>
      <c r="U32" s="199"/>
      <c r="V32" s="200"/>
      <c r="W32" s="201">
        <v>50</v>
      </c>
      <c r="X32" s="202">
        <f t="shared" si="11"/>
        <v>100</v>
      </c>
      <c r="Y32" s="203">
        <v>50</v>
      </c>
      <c r="Z32" s="180">
        <f t="shared" si="12"/>
        <v>1</v>
      </c>
      <c r="AA32" s="180">
        <f t="shared" si="13"/>
        <v>1</v>
      </c>
      <c r="AB32" s="171">
        <f>IF($J32&gt;0,Y32*$J32/200,"")</f>
        <v>0.0025</v>
      </c>
      <c r="AC32" s="171">
        <f t="shared" si="1"/>
        <v>0.0025</v>
      </c>
      <c r="AD32" s="189">
        <f>+'PLAN DE ACCION 2008'!Q226</f>
        <v>60953</v>
      </c>
      <c r="AE32" s="189">
        <f>+'PLAN DE ACCION 2008'!R226</f>
        <v>13284</v>
      </c>
      <c r="AF32" s="190" t="str">
        <f t="shared" si="0"/>
        <v>Nª FAMILIAS CUBIERTAS</v>
      </c>
      <c r="AG32" s="201">
        <v>100</v>
      </c>
      <c r="AH32" s="180">
        <f t="shared" si="14"/>
        <v>0.5</v>
      </c>
      <c r="AI32" s="180"/>
      <c r="AJ32" s="180">
        <f t="shared" si="15"/>
        <v>0</v>
      </c>
      <c r="AK32" s="180">
        <f t="shared" si="16"/>
        <v>0</v>
      </c>
      <c r="AL32" s="171">
        <f>IF($J32&gt;0,AI32*$J32/200,"")</f>
        <v>0</v>
      </c>
      <c r="AM32" s="171">
        <f t="shared" si="2"/>
        <v>0</v>
      </c>
      <c r="AN32" s="189"/>
      <c r="AO32" s="189"/>
      <c r="AP32" s="178" t="str">
        <f t="shared" si="17"/>
        <v>Nª FAMILIAS CUBIERTAS</v>
      </c>
      <c r="AQ32" s="201">
        <v>150</v>
      </c>
      <c r="AR32" s="180">
        <f t="shared" si="18"/>
        <v>0.75</v>
      </c>
      <c r="AS32" s="180"/>
      <c r="AT32" s="180">
        <f t="shared" si="19"/>
        <v>0</v>
      </c>
      <c r="AU32" s="180">
        <f t="shared" si="20"/>
        <v>0</v>
      </c>
      <c r="AV32" s="171">
        <f>IF($J32&gt;0,AS32*$J32/200,"")</f>
        <v>0</v>
      </c>
      <c r="AW32" s="171">
        <f t="shared" si="3"/>
        <v>0</v>
      </c>
      <c r="AX32" s="189"/>
      <c r="AY32" s="189"/>
      <c r="AZ32" s="190" t="str">
        <f t="shared" si="21"/>
        <v>Nª FAMILIAS CUBIERTAS</v>
      </c>
      <c r="BA32" s="201">
        <v>200</v>
      </c>
      <c r="BB32" s="180">
        <f t="shared" si="22"/>
        <v>1</v>
      </c>
      <c r="BC32" s="180"/>
      <c r="BD32" s="180">
        <f t="shared" si="23"/>
        <v>0</v>
      </c>
      <c r="BE32" s="180">
        <f t="shared" si="24"/>
        <v>0</v>
      </c>
      <c r="BF32" s="171">
        <f>IF($J32&gt;0,BC32*$J32/200,"")</f>
        <v>0</v>
      </c>
      <c r="BG32" s="171">
        <f t="shared" si="4"/>
        <v>0</v>
      </c>
      <c r="BH32" s="189"/>
      <c r="BI32" s="189"/>
      <c r="BJ32" s="190" t="str">
        <f t="shared" si="25"/>
        <v>Nª FAMILIAS CUBIERTAS</v>
      </c>
      <c r="BK32" s="201">
        <v>200</v>
      </c>
      <c r="BL32" s="180">
        <f t="shared" si="26"/>
        <v>1</v>
      </c>
      <c r="BM32" s="171" t="str">
        <f t="shared" si="5"/>
        <v>OK</v>
      </c>
      <c r="BN32" s="203">
        <f t="shared" si="6"/>
        <v>50</v>
      </c>
      <c r="BO32" s="171">
        <f t="shared" si="7"/>
        <v>50</v>
      </c>
      <c r="BP32" s="171">
        <f t="shared" si="8"/>
        <v>1</v>
      </c>
      <c r="BQ32" s="191">
        <f t="shared" si="9"/>
        <v>60953</v>
      </c>
      <c r="BR32" s="191">
        <f t="shared" si="10"/>
        <v>13284</v>
      </c>
      <c r="BS32" s="192" t="str">
        <f t="shared" si="27"/>
        <v>Nª FAMILIAS CUBIERTAS</v>
      </c>
      <c r="BT32" s="193"/>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row>
    <row r="33" spans="1:157" s="184" customFormat="1" ht="287.25" customHeight="1" thickBot="1">
      <c r="A33" s="413"/>
      <c r="B33" s="413"/>
      <c r="C33" s="434"/>
      <c r="D33" s="391"/>
      <c r="E33" s="194" t="s">
        <v>327</v>
      </c>
      <c r="F33" s="214" t="s">
        <v>328</v>
      </c>
      <c r="G33" s="214" t="s">
        <v>25</v>
      </c>
      <c r="H33" s="394"/>
      <c r="I33" s="197">
        <v>0.0256</v>
      </c>
      <c r="J33" s="197">
        <v>0.0256</v>
      </c>
      <c r="K33" s="435"/>
      <c r="L33" s="212">
        <f>+J33/$K$32</f>
        <v>0.7191011235955057</v>
      </c>
      <c r="M33" s="171">
        <f t="shared" si="28"/>
        <v>0.7191011235955057</v>
      </c>
      <c r="N33" s="215">
        <v>0.0561</v>
      </c>
      <c r="O33" s="436"/>
      <c r="P33" s="187" t="s">
        <v>329</v>
      </c>
      <c r="Q33" s="187" t="s">
        <v>29</v>
      </c>
      <c r="R33" s="187" t="s">
        <v>226</v>
      </c>
      <c r="S33" s="199">
        <v>100</v>
      </c>
      <c r="T33" s="199">
        <v>300</v>
      </c>
      <c r="U33" s="199"/>
      <c r="V33" s="200"/>
      <c r="W33" s="216">
        <v>0</v>
      </c>
      <c r="X33" s="217">
        <f t="shared" si="11"/>
        <v>100</v>
      </c>
      <c r="Y33" s="217">
        <v>0</v>
      </c>
      <c r="Z33" s="215">
        <f t="shared" si="12"/>
      </c>
      <c r="AA33" s="215">
        <f t="shared" si="13"/>
      </c>
      <c r="AB33" s="215">
        <f>IF($J33&gt;0,Y33*$J33/300,"")</f>
        <v>0</v>
      </c>
      <c r="AC33" s="215">
        <f t="shared" si="1"/>
        <v>0</v>
      </c>
      <c r="AD33" s="218">
        <f>+'PLAN DE ACCION 2008'!Q227</f>
        <v>20128</v>
      </c>
      <c r="AE33" s="219">
        <f>+'PLAN DE ACCION 2008'!R227</f>
        <v>0</v>
      </c>
      <c r="AF33" s="220" t="str">
        <f t="shared" si="0"/>
        <v>Nª DOTACIONES DE VIVIENDA POR FAMILIA</v>
      </c>
      <c r="AG33" s="216">
        <v>100</v>
      </c>
      <c r="AH33" s="215">
        <f t="shared" si="14"/>
        <v>0.3333333333333333</v>
      </c>
      <c r="AI33" s="215"/>
      <c r="AJ33" s="215">
        <f t="shared" si="15"/>
        <v>0</v>
      </c>
      <c r="AK33" s="215">
        <f t="shared" si="16"/>
        <v>0</v>
      </c>
      <c r="AL33" s="215">
        <f>IF($J33&gt;0,AI33*$J33/300,"")</f>
        <v>0</v>
      </c>
      <c r="AM33" s="215">
        <f t="shared" si="2"/>
        <v>0</v>
      </c>
      <c r="AN33" s="218"/>
      <c r="AO33" s="218"/>
      <c r="AP33" s="220" t="str">
        <f t="shared" si="17"/>
        <v>Nª DOTACIONES DE VIVIENDA POR FAMILIA</v>
      </c>
      <c r="AQ33" s="216">
        <v>200</v>
      </c>
      <c r="AR33" s="215">
        <f t="shared" si="18"/>
        <v>0.6666666666666666</v>
      </c>
      <c r="AS33" s="215"/>
      <c r="AT33" s="215">
        <f t="shared" si="19"/>
        <v>0</v>
      </c>
      <c r="AU33" s="215">
        <f t="shared" si="20"/>
        <v>0</v>
      </c>
      <c r="AV33" s="215">
        <f>IF($J33&gt;0,AS33*$J33/300,"")</f>
        <v>0</v>
      </c>
      <c r="AW33" s="215">
        <f t="shared" si="3"/>
        <v>0</v>
      </c>
      <c r="AX33" s="218"/>
      <c r="AY33" s="218"/>
      <c r="AZ33" s="220" t="str">
        <f t="shared" si="21"/>
        <v>Nª DOTACIONES DE VIVIENDA POR FAMILIA</v>
      </c>
      <c r="BA33" s="216">
        <v>300</v>
      </c>
      <c r="BB33" s="215">
        <f t="shared" si="22"/>
        <v>1</v>
      </c>
      <c r="BC33" s="215"/>
      <c r="BD33" s="215">
        <f t="shared" si="23"/>
        <v>0</v>
      </c>
      <c r="BE33" s="215">
        <f t="shared" si="24"/>
        <v>0</v>
      </c>
      <c r="BF33" s="215">
        <f>IF($J33&gt;0,BC33*$J33/300,"")</f>
        <v>0</v>
      </c>
      <c r="BG33" s="215">
        <f t="shared" si="4"/>
        <v>0</v>
      </c>
      <c r="BH33" s="218"/>
      <c r="BI33" s="218"/>
      <c r="BJ33" s="220" t="str">
        <f t="shared" si="25"/>
        <v>Nª DOTACIONES DE VIVIENDA POR FAMILIA</v>
      </c>
      <c r="BK33" s="216">
        <v>300</v>
      </c>
      <c r="BL33" s="215">
        <f t="shared" si="26"/>
        <v>1</v>
      </c>
      <c r="BM33" s="215" t="str">
        <f t="shared" si="5"/>
        <v>OK</v>
      </c>
      <c r="BN33" s="217">
        <f t="shared" si="6"/>
        <v>0</v>
      </c>
      <c r="BO33" s="215">
        <f t="shared" si="7"/>
        <v>0</v>
      </c>
      <c r="BP33" s="215">
        <f t="shared" si="8"/>
        <v>0</v>
      </c>
      <c r="BQ33" s="191">
        <f t="shared" si="9"/>
        <v>20128</v>
      </c>
      <c r="BR33" s="191">
        <f t="shared" si="10"/>
        <v>0</v>
      </c>
      <c r="BS33" s="220" t="str">
        <f t="shared" si="27"/>
        <v>Nª DOTACIONES DE VIVIENDA POR FAMILIA</v>
      </c>
      <c r="BT33" s="193"/>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row>
    <row r="34" spans="1:157" s="229" customFormat="1" ht="287.25" customHeight="1" thickBot="1">
      <c r="A34" s="416" t="s">
        <v>33</v>
      </c>
      <c r="B34" s="416" t="s">
        <v>36</v>
      </c>
      <c r="C34" s="432" t="s">
        <v>330</v>
      </c>
      <c r="D34" s="195" t="s">
        <v>331</v>
      </c>
      <c r="E34" s="195" t="s">
        <v>332</v>
      </c>
      <c r="F34" s="195" t="s">
        <v>333</v>
      </c>
      <c r="G34" s="195" t="s">
        <v>34</v>
      </c>
      <c r="H34" s="188">
        <f>+I34</f>
        <v>0.0047</v>
      </c>
      <c r="I34" s="221">
        <v>0.0047</v>
      </c>
      <c r="J34" s="221">
        <v>0.0047</v>
      </c>
      <c r="K34" s="222">
        <v>0.0047</v>
      </c>
      <c r="L34" s="222">
        <f>+J34/K34</f>
        <v>1</v>
      </c>
      <c r="M34" s="171">
        <f t="shared" si="28"/>
        <v>1</v>
      </c>
      <c r="N34" s="171">
        <v>0.0103</v>
      </c>
      <c r="O34" s="437">
        <f>+SUM(N34:N45)</f>
        <v>0.3412</v>
      </c>
      <c r="P34" s="187" t="s">
        <v>334</v>
      </c>
      <c r="Q34" s="210" t="s">
        <v>39</v>
      </c>
      <c r="R34" s="187" t="s">
        <v>226</v>
      </c>
      <c r="S34" s="199">
        <v>0</v>
      </c>
      <c r="T34" s="199">
        <v>600</v>
      </c>
      <c r="U34" s="199"/>
      <c r="V34" s="200"/>
      <c r="W34" s="223">
        <v>150</v>
      </c>
      <c r="X34" s="202">
        <f t="shared" si="11"/>
        <v>150</v>
      </c>
      <c r="Y34" s="202">
        <v>120</v>
      </c>
      <c r="Z34" s="171">
        <f aca="true" t="shared" si="29" ref="Z34:Z47">IF(W34&gt;0,Y34/W34,(IF(Y34&gt;0,1,"")))</f>
        <v>0.8</v>
      </c>
      <c r="AA34" s="171">
        <f t="shared" si="13"/>
        <v>0.8</v>
      </c>
      <c r="AB34" s="171">
        <f>IF($J34&gt;0,Y34*$J34/600,"")</f>
        <v>0.0009400000000000001</v>
      </c>
      <c r="AC34" s="171">
        <f t="shared" si="1"/>
        <v>0.0009400000000000001</v>
      </c>
      <c r="AD34" s="224">
        <f>+'PLAN DE ACCION 2008'!Q249</f>
        <v>18500</v>
      </c>
      <c r="AE34" s="224">
        <f>+'PLAN DE ACCION 2008'!R249</f>
        <v>14420</v>
      </c>
      <c r="AF34" s="178" t="str">
        <f t="shared" si="0"/>
        <v>Nº USUARIOS ATENDIDOS</v>
      </c>
      <c r="AG34" s="223">
        <v>300</v>
      </c>
      <c r="AH34" s="225">
        <f>IF($T34&gt;0,AG34/$T34,"")</f>
        <v>0.5</v>
      </c>
      <c r="AI34" s="171"/>
      <c r="AJ34" s="171">
        <f t="shared" si="15"/>
        <v>0</v>
      </c>
      <c r="AK34" s="171">
        <f t="shared" si="16"/>
        <v>0</v>
      </c>
      <c r="AL34" s="171">
        <f>IF($J34&gt;0,AI34*$J34/600,"")</f>
        <v>0</v>
      </c>
      <c r="AM34" s="171">
        <f t="shared" si="2"/>
        <v>0</v>
      </c>
      <c r="AN34" s="224"/>
      <c r="AO34" s="224"/>
      <c r="AP34" s="178" t="str">
        <f>+AF34</f>
        <v>Nº USUARIOS ATENDIDOS</v>
      </c>
      <c r="AQ34" s="223">
        <v>450</v>
      </c>
      <c r="AR34" s="225">
        <f>IF($T34&gt;0,AQ34/$T34,"")</f>
        <v>0.75</v>
      </c>
      <c r="AS34" s="171"/>
      <c r="AT34" s="171">
        <f t="shared" si="19"/>
        <v>0</v>
      </c>
      <c r="AU34" s="171">
        <f t="shared" si="20"/>
        <v>0</v>
      </c>
      <c r="AV34" s="171">
        <f>IF($J34&gt;0,AS34*$J34/600,"")</f>
        <v>0</v>
      </c>
      <c r="AW34" s="171">
        <f t="shared" si="3"/>
        <v>0</v>
      </c>
      <c r="AX34" s="224"/>
      <c r="AY34" s="224"/>
      <c r="AZ34" s="178" t="str">
        <f>+AF34</f>
        <v>Nº USUARIOS ATENDIDOS</v>
      </c>
      <c r="BA34" s="223">
        <v>600</v>
      </c>
      <c r="BB34" s="225">
        <f>IF($T34&gt;0,BA34/$T34,"")</f>
        <v>1</v>
      </c>
      <c r="BC34" s="171"/>
      <c r="BD34" s="171">
        <f t="shared" si="23"/>
        <v>0</v>
      </c>
      <c r="BE34" s="171">
        <f t="shared" si="24"/>
        <v>0</v>
      </c>
      <c r="BF34" s="171">
        <f>IF($J34&gt;0,BC34*$J34/600,"")</f>
        <v>0</v>
      </c>
      <c r="BG34" s="171">
        <f t="shared" si="4"/>
        <v>0</v>
      </c>
      <c r="BH34" s="224"/>
      <c r="BI34" s="224"/>
      <c r="BJ34" s="182" t="str">
        <f>+AZ34</f>
        <v>Nº USUARIOS ATENDIDOS</v>
      </c>
      <c r="BK34" s="226">
        <v>600</v>
      </c>
      <c r="BL34" s="225">
        <f>IF($T34&gt;0,BK34/$T34,"")</f>
        <v>1</v>
      </c>
      <c r="BM34" s="171" t="str">
        <f t="shared" si="5"/>
        <v>OK</v>
      </c>
      <c r="BN34" s="202">
        <f t="shared" si="6"/>
        <v>120</v>
      </c>
      <c r="BO34" s="171">
        <f t="shared" si="7"/>
        <v>120</v>
      </c>
      <c r="BP34" s="171">
        <f t="shared" si="8"/>
        <v>1</v>
      </c>
      <c r="BQ34" s="191">
        <f t="shared" si="9"/>
        <v>18500</v>
      </c>
      <c r="BR34" s="191">
        <f t="shared" si="10"/>
        <v>14420</v>
      </c>
      <c r="BS34" s="182" t="str">
        <f>+BJ34</f>
        <v>Nº USUARIOS ATENDIDOS</v>
      </c>
      <c r="BT34" s="227"/>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row>
    <row r="35" spans="1:157" s="184" customFormat="1" ht="287.25" customHeight="1" thickBot="1">
      <c r="A35" s="412"/>
      <c r="B35" s="412"/>
      <c r="C35" s="433"/>
      <c r="D35" s="418" t="s">
        <v>46</v>
      </c>
      <c r="E35" s="195" t="s">
        <v>335</v>
      </c>
      <c r="F35" s="230" t="s">
        <v>336</v>
      </c>
      <c r="G35" s="230" t="s">
        <v>40</v>
      </c>
      <c r="H35" s="419">
        <f>+I35+I36+I37</f>
        <v>0.0027</v>
      </c>
      <c r="I35" s="180">
        <v>0.0008</v>
      </c>
      <c r="J35" s="180">
        <v>0.0008</v>
      </c>
      <c r="K35" s="420">
        <f>+J35+J36+J37</f>
        <v>0.0027</v>
      </c>
      <c r="L35" s="198">
        <f>+J35/K35</f>
        <v>0.2962962962962963</v>
      </c>
      <c r="M35" s="171">
        <f t="shared" si="28"/>
        <v>0.2962962962962963</v>
      </c>
      <c r="N35" s="180">
        <v>0.0017</v>
      </c>
      <c r="O35" s="424"/>
      <c r="P35" s="187" t="s">
        <v>337</v>
      </c>
      <c r="Q35" s="210" t="s">
        <v>39</v>
      </c>
      <c r="R35" s="187" t="s">
        <v>226</v>
      </c>
      <c r="S35" s="188">
        <v>0.4</v>
      </c>
      <c r="T35" s="188">
        <v>0.8</v>
      </c>
      <c r="U35" s="188"/>
      <c r="V35" s="175"/>
      <c r="W35" s="231">
        <v>0.1</v>
      </c>
      <c r="X35" s="171">
        <f t="shared" si="11"/>
        <v>0.5</v>
      </c>
      <c r="Y35" s="180">
        <v>0.1</v>
      </c>
      <c r="Z35" s="180">
        <f t="shared" si="29"/>
        <v>1</v>
      </c>
      <c r="AA35" s="180">
        <f t="shared" si="13"/>
        <v>1</v>
      </c>
      <c r="AB35" s="171">
        <f>IF($J35&gt;0,Y35*$J35/0.8,"")</f>
        <v>0.0001</v>
      </c>
      <c r="AC35" s="171">
        <f t="shared" si="1"/>
        <v>0.0001</v>
      </c>
      <c r="AD35" s="189">
        <f>+'PLAN DE ACCION 2008'!Q272</f>
        <v>14500</v>
      </c>
      <c r="AE35" s="189">
        <f>+'PLAN DE ACCION 2008'!R272</f>
        <v>71485</v>
      </c>
      <c r="AF35" s="190" t="str">
        <f t="shared" si="0"/>
        <v>% COBERTURA TECNICAS AGRICOLAS</v>
      </c>
      <c r="AG35" s="231">
        <v>0.6</v>
      </c>
      <c r="AH35" s="225">
        <f aca="true" t="shared" si="30" ref="AH35:AH45">IF($T35&gt;0,AG35/$T35,"")</f>
        <v>0.7499999999999999</v>
      </c>
      <c r="AI35" s="180"/>
      <c r="AJ35" s="180">
        <f t="shared" si="15"/>
        <v>0</v>
      </c>
      <c r="AK35" s="180">
        <f t="shared" si="16"/>
        <v>0</v>
      </c>
      <c r="AL35" s="171">
        <f>IF($J35&gt;0,AI35*$J35/0.8,"")</f>
        <v>0</v>
      </c>
      <c r="AM35" s="171">
        <f t="shared" si="2"/>
        <v>0</v>
      </c>
      <c r="AN35" s="189"/>
      <c r="AO35" s="189"/>
      <c r="AP35" s="190" t="str">
        <f>+AF35</f>
        <v>% COBERTURA TECNICAS AGRICOLAS</v>
      </c>
      <c r="AQ35" s="231">
        <v>0.7</v>
      </c>
      <c r="AR35" s="225">
        <f aca="true" t="shared" si="31" ref="AR35:AR45">IF($T35&gt;0,AQ35/$T35,"")</f>
        <v>0.8749999999999999</v>
      </c>
      <c r="AS35" s="180"/>
      <c r="AT35" s="180">
        <f t="shared" si="19"/>
        <v>0</v>
      </c>
      <c r="AU35" s="180">
        <f t="shared" si="20"/>
        <v>0</v>
      </c>
      <c r="AV35" s="171">
        <f>IF($J35&gt;0,AS35*$J35/0.8,"")</f>
        <v>0</v>
      </c>
      <c r="AW35" s="171">
        <f t="shared" si="3"/>
        <v>0</v>
      </c>
      <c r="AX35" s="189"/>
      <c r="AY35" s="189"/>
      <c r="AZ35" s="190" t="str">
        <f>+AF35</f>
        <v>% COBERTURA TECNICAS AGRICOLAS</v>
      </c>
      <c r="BA35" s="231">
        <v>0.8</v>
      </c>
      <c r="BB35" s="225">
        <f aca="true" t="shared" si="32" ref="BB35:BB45">IF($T35&gt;0,BA35/$T35,"")</f>
        <v>1</v>
      </c>
      <c r="BC35" s="180"/>
      <c r="BD35" s="180">
        <f t="shared" si="23"/>
        <v>0</v>
      </c>
      <c r="BE35" s="180">
        <f t="shared" si="24"/>
        <v>0</v>
      </c>
      <c r="BF35" s="171">
        <f>IF($J35&gt;0,BC35*$J35/0.8,"")</f>
        <v>0</v>
      </c>
      <c r="BG35" s="171">
        <f t="shared" si="4"/>
        <v>0</v>
      </c>
      <c r="BH35" s="189"/>
      <c r="BI35" s="189"/>
      <c r="BJ35" s="190" t="str">
        <f>+AZ35</f>
        <v>% COBERTURA TECNICAS AGRICOLAS</v>
      </c>
      <c r="BK35" s="232">
        <v>0.8</v>
      </c>
      <c r="BL35" s="225">
        <f aca="true" t="shared" si="33" ref="BL35:BL45">IF($T35&gt;0,BK35/$T35,"")</f>
        <v>1</v>
      </c>
      <c r="BM35" s="171" t="str">
        <f t="shared" si="5"/>
        <v>OK</v>
      </c>
      <c r="BN35" s="180">
        <f t="shared" si="6"/>
        <v>0.1</v>
      </c>
      <c r="BO35" s="171">
        <f t="shared" si="7"/>
        <v>0.1</v>
      </c>
      <c r="BP35" s="171">
        <f t="shared" si="8"/>
        <v>0.1</v>
      </c>
      <c r="BQ35" s="191">
        <f t="shared" si="9"/>
        <v>14500</v>
      </c>
      <c r="BR35" s="191">
        <f t="shared" si="10"/>
        <v>71485</v>
      </c>
      <c r="BS35" s="192" t="str">
        <f>+BJ35</f>
        <v>% COBERTURA TECNICAS AGRICOLAS</v>
      </c>
      <c r="BT35" s="193"/>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row>
    <row r="36" spans="1:157" s="184" customFormat="1" ht="287.25" customHeight="1" thickBot="1">
      <c r="A36" s="412"/>
      <c r="B36" s="412"/>
      <c r="C36" s="433"/>
      <c r="D36" s="390"/>
      <c r="E36" s="195" t="s">
        <v>338</v>
      </c>
      <c r="F36" s="230" t="s">
        <v>339</v>
      </c>
      <c r="G36" s="230" t="s">
        <v>41</v>
      </c>
      <c r="H36" s="393"/>
      <c r="I36" s="180">
        <v>0.0009</v>
      </c>
      <c r="J36" s="180">
        <v>0.0009</v>
      </c>
      <c r="K36" s="421"/>
      <c r="L36" s="198">
        <f>+J36/K35</f>
        <v>0.3333333333333333</v>
      </c>
      <c r="M36" s="171">
        <f t="shared" si="28"/>
        <v>0.3333333333333333</v>
      </c>
      <c r="N36" s="180">
        <v>0.002</v>
      </c>
      <c r="O36" s="424"/>
      <c r="P36" s="187" t="s">
        <v>340</v>
      </c>
      <c r="Q36" s="210" t="s">
        <v>39</v>
      </c>
      <c r="R36" s="187" t="s">
        <v>226</v>
      </c>
      <c r="S36" s="199">
        <v>150</v>
      </c>
      <c r="T36" s="199">
        <v>600</v>
      </c>
      <c r="U36" s="199"/>
      <c r="V36" s="200"/>
      <c r="W36" s="201">
        <v>0</v>
      </c>
      <c r="X36" s="202">
        <f t="shared" si="11"/>
        <v>150</v>
      </c>
      <c r="Y36" s="180">
        <v>1.5</v>
      </c>
      <c r="Z36" s="180">
        <f t="shared" si="29"/>
        <v>1</v>
      </c>
      <c r="AA36" s="180">
        <f t="shared" si="13"/>
        <v>1</v>
      </c>
      <c r="AB36" s="171">
        <f>IF($J36&gt;0,Y36*$J36/600,"")</f>
        <v>2.25E-06</v>
      </c>
      <c r="AC36" s="171">
        <f t="shared" si="1"/>
        <v>2.25E-06</v>
      </c>
      <c r="AD36" s="189">
        <f>+'PLAN DE ACCION 2008'!Q273</f>
        <v>3000</v>
      </c>
      <c r="AE36" s="189">
        <f>+'PLAN DE ACCION 2008'!R273</f>
        <v>3000</v>
      </c>
      <c r="AF36" s="190" t="str">
        <f aca="true" t="shared" si="34" ref="AF36:AF67">+P36</f>
        <v>Nº USUARIOS ASESORADOS</v>
      </c>
      <c r="AG36" s="201">
        <v>300</v>
      </c>
      <c r="AH36" s="225">
        <f t="shared" si="30"/>
        <v>0.5</v>
      </c>
      <c r="AI36" s="180"/>
      <c r="AJ36" s="180">
        <f t="shared" si="15"/>
        <v>0</v>
      </c>
      <c r="AK36" s="180">
        <f t="shared" si="16"/>
        <v>0</v>
      </c>
      <c r="AL36" s="171">
        <f>IF($J36&gt;0,AI36*$J36/600,"")</f>
        <v>0</v>
      </c>
      <c r="AM36" s="171">
        <f t="shared" si="2"/>
        <v>0</v>
      </c>
      <c r="AN36" s="189"/>
      <c r="AO36" s="189"/>
      <c r="AP36" s="190" t="str">
        <f aca="true" t="shared" si="35" ref="AP36:AP45">+AF36</f>
        <v>Nº USUARIOS ASESORADOS</v>
      </c>
      <c r="AQ36" s="201">
        <v>450</v>
      </c>
      <c r="AR36" s="225">
        <f t="shared" si="31"/>
        <v>0.75</v>
      </c>
      <c r="AS36" s="180"/>
      <c r="AT36" s="180">
        <f t="shared" si="19"/>
        <v>0</v>
      </c>
      <c r="AU36" s="180">
        <f t="shared" si="20"/>
        <v>0</v>
      </c>
      <c r="AV36" s="171">
        <f>IF($J36&gt;0,AS36*$J36/600,"")</f>
        <v>0</v>
      </c>
      <c r="AW36" s="171">
        <f t="shared" si="3"/>
        <v>0</v>
      </c>
      <c r="AX36" s="189"/>
      <c r="AY36" s="189"/>
      <c r="AZ36" s="190" t="str">
        <f aca="true" t="shared" si="36" ref="AZ36:AZ45">+AF36</f>
        <v>Nº USUARIOS ASESORADOS</v>
      </c>
      <c r="BA36" s="201">
        <v>600</v>
      </c>
      <c r="BB36" s="225">
        <f t="shared" si="32"/>
        <v>1</v>
      </c>
      <c r="BC36" s="180"/>
      <c r="BD36" s="180">
        <f t="shared" si="23"/>
        <v>0</v>
      </c>
      <c r="BE36" s="180">
        <f t="shared" si="24"/>
        <v>0</v>
      </c>
      <c r="BF36" s="171">
        <f>IF($J36&gt;0,BC36*$J36/600,"")</f>
        <v>0</v>
      </c>
      <c r="BG36" s="171">
        <f t="shared" si="4"/>
        <v>0</v>
      </c>
      <c r="BH36" s="189"/>
      <c r="BI36" s="189"/>
      <c r="BJ36" s="190" t="str">
        <f aca="true" t="shared" si="37" ref="BJ36:BJ45">+AZ36</f>
        <v>Nº USUARIOS ASESORADOS</v>
      </c>
      <c r="BK36" s="226">
        <v>600</v>
      </c>
      <c r="BL36" s="225">
        <f t="shared" si="33"/>
        <v>1</v>
      </c>
      <c r="BM36" s="171" t="str">
        <f t="shared" si="5"/>
        <v>OK</v>
      </c>
      <c r="BN36" s="203">
        <f t="shared" si="6"/>
        <v>1.5</v>
      </c>
      <c r="BO36" s="171">
        <f t="shared" si="7"/>
        <v>1.5</v>
      </c>
      <c r="BP36" s="171">
        <f t="shared" si="8"/>
        <v>1</v>
      </c>
      <c r="BQ36" s="191">
        <f t="shared" si="9"/>
        <v>3000</v>
      </c>
      <c r="BR36" s="191">
        <f t="shared" si="10"/>
        <v>3000</v>
      </c>
      <c r="BS36" s="192" t="str">
        <f aca="true" t="shared" si="38" ref="BS36:BS45">+BJ36</f>
        <v>Nº USUARIOS ASESORADOS</v>
      </c>
      <c r="BT36" s="193"/>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row>
    <row r="37" spans="1:157" s="184" customFormat="1" ht="287.25" customHeight="1" thickBot="1">
      <c r="A37" s="412"/>
      <c r="B37" s="412"/>
      <c r="C37" s="433"/>
      <c r="D37" s="391"/>
      <c r="E37" s="195" t="s">
        <v>341</v>
      </c>
      <c r="F37" s="230"/>
      <c r="G37" s="230" t="s">
        <v>42</v>
      </c>
      <c r="H37" s="394"/>
      <c r="I37" s="180">
        <v>0.001</v>
      </c>
      <c r="J37" s="180">
        <v>0.001</v>
      </c>
      <c r="K37" s="422"/>
      <c r="L37" s="198">
        <f>+J37/K35</f>
        <v>0.37037037037037035</v>
      </c>
      <c r="M37" s="171">
        <f t="shared" si="28"/>
        <v>0.37037037037037035</v>
      </c>
      <c r="N37" s="180">
        <v>0.0022</v>
      </c>
      <c r="O37" s="424"/>
      <c r="P37" s="187" t="s">
        <v>342</v>
      </c>
      <c r="Q37" s="210" t="s">
        <v>39</v>
      </c>
      <c r="R37" s="187" t="s">
        <v>226</v>
      </c>
      <c r="S37" s="188">
        <v>0.4</v>
      </c>
      <c r="T37" s="188">
        <v>0.8</v>
      </c>
      <c r="U37" s="199"/>
      <c r="V37" s="200"/>
      <c r="W37" s="176">
        <v>0.1</v>
      </c>
      <c r="X37" s="171">
        <f t="shared" si="11"/>
        <v>0.5</v>
      </c>
      <c r="Y37" s="180">
        <v>0.05</v>
      </c>
      <c r="Z37" s="180">
        <f t="shared" si="29"/>
        <v>0.5</v>
      </c>
      <c r="AA37" s="180">
        <f t="shared" si="13"/>
        <v>0.5</v>
      </c>
      <c r="AB37" s="171">
        <f>IF($J37&gt;0,Y37*$J37/0.8,"")</f>
        <v>6.25E-05</v>
      </c>
      <c r="AC37" s="171">
        <f t="shared" si="1"/>
        <v>6.25E-05</v>
      </c>
      <c r="AD37" s="189">
        <f>+'PLAN DE ACCION 2008'!Q274</f>
        <v>30000</v>
      </c>
      <c r="AE37" s="189">
        <f>+'PLAN DE ACCION 2008'!R274</f>
        <v>1438</v>
      </c>
      <c r="AF37" s="190" t="str">
        <f t="shared" si="34"/>
        <v>% FORTALECIMIENTO </v>
      </c>
      <c r="AG37" s="176">
        <v>0.6</v>
      </c>
      <c r="AH37" s="225">
        <f t="shared" si="30"/>
        <v>0.7499999999999999</v>
      </c>
      <c r="AI37" s="180"/>
      <c r="AJ37" s="180">
        <f t="shared" si="15"/>
        <v>0</v>
      </c>
      <c r="AK37" s="180">
        <f t="shared" si="16"/>
        <v>0</v>
      </c>
      <c r="AL37" s="171">
        <f>IF($J37&gt;0,AI37*$J37/0.8,"")</f>
        <v>0</v>
      </c>
      <c r="AM37" s="171">
        <f t="shared" si="2"/>
        <v>0</v>
      </c>
      <c r="AN37" s="189"/>
      <c r="AO37" s="189"/>
      <c r="AP37" s="190" t="str">
        <f t="shared" si="35"/>
        <v>% FORTALECIMIENTO </v>
      </c>
      <c r="AQ37" s="176">
        <v>0.7</v>
      </c>
      <c r="AR37" s="225">
        <f t="shared" si="31"/>
        <v>0.8749999999999999</v>
      </c>
      <c r="AS37" s="180"/>
      <c r="AT37" s="180">
        <f t="shared" si="19"/>
        <v>0</v>
      </c>
      <c r="AU37" s="180">
        <f t="shared" si="20"/>
        <v>0</v>
      </c>
      <c r="AV37" s="171">
        <f>IF($J37&gt;0,AS37*$J37/0.8,"")</f>
        <v>0</v>
      </c>
      <c r="AW37" s="171">
        <f t="shared" si="3"/>
        <v>0</v>
      </c>
      <c r="AX37" s="189"/>
      <c r="AY37" s="189"/>
      <c r="AZ37" s="190" t="str">
        <f t="shared" si="36"/>
        <v>% FORTALECIMIENTO </v>
      </c>
      <c r="BA37" s="176">
        <v>0.8</v>
      </c>
      <c r="BB37" s="225">
        <f t="shared" si="32"/>
        <v>1</v>
      </c>
      <c r="BC37" s="180"/>
      <c r="BD37" s="180">
        <f t="shared" si="23"/>
        <v>0</v>
      </c>
      <c r="BE37" s="180">
        <f t="shared" si="24"/>
        <v>0</v>
      </c>
      <c r="BF37" s="171">
        <f>IF($J37&gt;0,BC37*$J37/0.8,"")</f>
        <v>0</v>
      </c>
      <c r="BG37" s="171">
        <f t="shared" si="4"/>
        <v>0</v>
      </c>
      <c r="BH37" s="189"/>
      <c r="BI37" s="189"/>
      <c r="BJ37" s="190" t="str">
        <f t="shared" si="37"/>
        <v>% FORTALECIMIENTO </v>
      </c>
      <c r="BK37" s="232">
        <v>0.8</v>
      </c>
      <c r="BL37" s="225">
        <f t="shared" si="33"/>
        <v>1</v>
      </c>
      <c r="BM37" s="171" t="str">
        <f t="shared" si="5"/>
        <v>OK</v>
      </c>
      <c r="BN37" s="180">
        <f t="shared" si="6"/>
        <v>0.05</v>
      </c>
      <c r="BO37" s="171">
        <f t="shared" si="7"/>
        <v>0.05</v>
      </c>
      <c r="BP37" s="171">
        <f t="shared" si="8"/>
        <v>0.05</v>
      </c>
      <c r="BQ37" s="191">
        <f t="shared" si="9"/>
        <v>30000</v>
      </c>
      <c r="BR37" s="191">
        <f t="shared" si="10"/>
        <v>1438</v>
      </c>
      <c r="BS37" s="192" t="str">
        <f t="shared" si="38"/>
        <v>% FORTALECIMIENTO </v>
      </c>
      <c r="BT37" s="193"/>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row>
    <row r="38" spans="1:157" s="184" customFormat="1" ht="287.25" customHeight="1" thickBot="1">
      <c r="A38" s="412"/>
      <c r="B38" s="412"/>
      <c r="C38" s="433"/>
      <c r="D38" s="418" t="s">
        <v>343</v>
      </c>
      <c r="E38" s="195" t="s">
        <v>344</v>
      </c>
      <c r="F38" s="230" t="s">
        <v>345</v>
      </c>
      <c r="G38" s="230" t="s">
        <v>346</v>
      </c>
      <c r="H38" s="419">
        <f>+I38+I39+I40</f>
        <v>0.0011</v>
      </c>
      <c r="I38" s="180">
        <v>0.0003</v>
      </c>
      <c r="J38" s="180">
        <v>0.0003</v>
      </c>
      <c r="K38" s="420">
        <f>+J38+J39+J40</f>
        <v>0.0011</v>
      </c>
      <c r="L38" s="198">
        <f>+J38/$K$38</f>
        <v>0.2727272727272727</v>
      </c>
      <c r="M38" s="171">
        <f t="shared" si="28"/>
        <v>0.2727272727272727</v>
      </c>
      <c r="N38" s="180">
        <v>0.0007</v>
      </c>
      <c r="O38" s="424"/>
      <c r="P38" s="187" t="s">
        <v>347</v>
      </c>
      <c r="Q38" s="210" t="s">
        <v>39</v>
      </c>
      <c r="R38" s="187" t="s">
        <v>226</v>
      </c>
      <c r="S38" s="188">
        <v>0.6</v>
      </c>
      <c r="T38" s="188">
        <v>0.8</v>
      </c>
      <c r="U38" s="188"/>
      <c r="V38" s="175"/>
      <c r="W38" s="176">
        <v>0.05</v>
      </c>
      <c r="X38" s="171">
        <f t="shared" si="11"/>
        <v>0.65</v>
      </c>
      <c r="Y38" s="180">
        <v>0.05</v>
      </c>
      <c r="Z38" s="180">
        <f t="shared" si="29"/>
        <v>1</v>
      </c>
      <c r="AA38" s="180">
        <f t="shared" si="13"/>
        <v>1</v>
      </c>
      <c r="AB38" s="171">
        <f>IF($J38&gt;0,Y38*$J38/0.8,"")</f>
        <v>1.875E-05</v>
      </c>
      <c r="AC38" s="171">
        <f t="shared" si="1"/>
        <v>1.875E-05</v>
      </c>
      <c r="AD38" s="233">
        <f>+'PLAN DE ACCION 2008'!Q295</f>
        <v>3000</v>
      </c>
      <c r="AE38" s="233">
        <f>+'PLAN DE ACCION 2008'!R295</f>
        <v>12785</v>
      </c>
      <c r="AF38" s="190" t="str">
        <f t="shared" si="34"/>
        <v>% FORTALECIMIENTO COMERCIO</v>
      </c>
      <c r="AG38" s="176">
        <v>0.7</v>
      </c>
      <c r="AH38" s="225">
        <f t="shared" si="30"/>
        <v>0.8749999999999999</v>
      </c>
      <c r="AI38" s="180"/>
      <c r="AJ38" s="180">
        <f t="shared" si="15"/>
        <v>0</v>
      </c>
      <c r="AK38" s="180">
        <f t="shared" si="16"/>
        <v>0</v>
      </c>
      <c r="AL38" s="171">
        <f>IF($J38&gt;0,AI38*$J38/0.8,"")</f>
        <v>0</v>
      </c>
      <c r="AM38" s="171">
        <f t="shared" si="2"/>
        <v>0</v>
      </c>
      <c r="AN38" s="233"/>
      <c r="AO38" s="233"/>
      <c r="AP38" s="190" t="str">
        <f t="shared" si="35"/>
        <v>% FORTALECIMIENTO COMERCIO</v>
      </c>
      <c r="AQ38" s="176">
        <v>0.75</v>
      </c>
      <c r="AR38" s="225">
        <f t="shared" si="31"/>
        <v>0.9375</v>
      </c>
      <c r="AS38" s="180"/>
      <c r="AT38" s="180">
        <f t="shared" si="19"/>
        <v>0</v>
      </c>
      <c r="AU38" s="180">
        <f t="shared" si="20"/>
        <v>0</v>
      </c>
      <c r="AV38" s="171">
        <f>IF($J38&gt;0,AS38*$J38/0.8,"")</f>
        <v>0</v>
      </c>
      <c r="AW38" s="171">
        <f t="shared" si="3"/>
        <v>0</v>
      </c>
      <c r="AX38" s="233"/>
      <c r="AY38" s="233"/>
      <c r="AZ38" s="190" t="str">
        <f t="shared" si="36"/>
        <v>% FORTALECIMIENTO COMERCIO</v>
      </c>
      <c r="BA38" s="176">
        <v>0.8</v>
      </c>
      <c r="BB38" s="225">
        <f t="shared" si="32"/>
        <v>1</v>
      </c>
      <c r="BC38" s="180"/>
      <c r="BD38" s="180">
        <f t="shared" si="23"/>
        <v>0</v>
      </c>
      <c r="BE38" s="180">
        <f t="shared" si="24"/>
        <v>0</v>
      </c>
      <c r="BF38" s="171">
        <f>IF($J38&gt;0,BC38*$J38/0.8,"")</f>
        <v>0</v>
      </c>
      <c r="BG38" s="171">
        <f t="shared" si="4"/>
        <v>0</v>
      </c>
      <c r="BH38" s="233"/>
      <c r="BI38" s="233"/>
      <c r="BJ38" s="190" t="str">
        <f t="shared" si="37"/>
        <v>% FORTALECIMIENTO COMERCIO</v>
      </c>
      <c r="BK38" s="232">
        <v>0.8</v>
      </c>
      <c r="BL38" s="225">
        <f t="shared" si="33"/>
        <v>1</v>
      </c>
      <c r="BM38" s="171" t="str">
        <f t="shared" si="5"/>
        <v>OK</v>
      </c>
      <c r="BN38" s="180">
        <f t="shared" si="6"/>
        <v>0.05</v>
      </c>
      <c r="BO38" s="171">
        <f t="shared" si="7"/>
        <v>0.05</v>
      </c>
      <c r="BP38" s="171">
        <f t="shared" si="8"/>
        <v>0.05</v>
      </c>
      <c r="BQ38" s="191">
        <f t="shared" si="9"/>
        <v>3000</v>
      </c>
      <c r="BR38" s="191">
        <f t="shared" si="10"/>
        <v>12785</v>
      </c>
      <c r="BS38" s="192" t="str">
        <f t="shared" si="38"/>
        <v>% FORTALECIMIENTO COMERCIO</v>
      </c>
      <c r="BT38" s="193"/>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row>
    <row r="39" spans="1:157" s="184" customFormat="1" ht="287.25" customHeight="1" thickBot="1">
      <c r="A39" s="412"/>
      <c r="B39" s="412"/>
      <c r="C39" s="433"/>
      <c r="D39" s="390"/>
      <c r="E39" s="195" t="s">
        <v>348</v>
      </c>
      <c r="F39" s="230" t="s">
        <v>349</v>
      </c>
      <c r="G39" s="230" t="s">
        <v>350</v>
      </c>
      <c r="H39" s="393"/>
      <c r="I39" s="180">
        <v>0.0004</v>
      </c>
      <c r="J39" s="180">
        <v>0.0004</v>
      </c>
      <c r="K39" s="421"/>
      <c r="L39" s="198">
        <f>+J39/$K$38</f>
        <v>0.36363636363636365</v>
      </c>
      <c r="M39" s="171">
        <f t="shared" si="28"/>
        <v>0.36363636363636365</v>
      </c>
      <c r="N39" s="180">
        <v>0.0009</v>
      </c>
      <c r="O39" s="424"/>
      <c r="P39" s="187" t="s">
        <v>351</v>
      </c>
      <c r="Q39" s="210" t="s">
        <v>39</v>
      </c>
      <c r="R39" s="187" t="s">
        <v>226</v>
      </c>
      <c r="S39" s="199">
        <v>100</v>
      </c>
      <c r="T39" s="199">
        <v>400</v>
      </c>
      <c r="U39" s="199"/>
      <c r="V39" s="200"/>
      <c r="W39" s="201">
        <v>100</v>
      </c>
      <c r="X39" s="202">
        <f t="shared" si="11"/>
        <v>200</v>
      </c>
      <c r="Y39" s="203">
        <v>100</v>
      </c>
      <c r="Z39" s="180">
        <f t="shared" si="29"/>
        <v>1</v>
      </c>
      <c r="AA39" s="180">
        <f t="shared" si="13"/>
        <v>1</v>
      </c>
      <c r="AB39" s="171">
        <f>IF($J39&gt;0,Y39*$J39/400,"")</f>
        <v>0.0001</v>
      </c>
      <c r="AC39" s="171">
        <f t="shared" si="1"/>
        <v>0.0001</v>
      </c>
      <c r="AD39" s="233">
        <f>+'PLAN DE ACCION 2008'!Q296</f>
        <v>2500</v>
      </c>
      <c r="AE39" s="233">
        <f>+'PLAN DE ACCION 2008'!R296</f>
        <v>7400</v>
      </c>
      <c r="AF39" s="190" t="str">
        <f t="shared" si="34"/>
        <v>Nº CAPACITACIONES PRODUCTORES</v>
      </c>
      <c r="AG39" s="201">
        <v>200</v>
      </c>
      <c r="AH39" s="225">
        <f t="shared" si="30"/>
        <v>0.5</v>
      </c>
      <c r="AI39" s="180"/>
      <c r="AJ39" s="180">
        <f t="shared" si="15"/>
        <v>0</v>
      </c>
      <c r="AK39" s="180">
        <f t="shared" si="16"/>
        <v>0</v>
      </c>
      <c r="AL39" s="171">
        <f>IF($J39&gt;0,AI39*$J39/400,"")</f>
        <v>0</v>
      </c>
      <c r="AM39" s="171">
        <f t="shared" si="2"/>
        <v>0</v>
      </c>
      <c r="AN39" s="233"/>
      <c r="AO39" s="233"/>
      <c r="AP39" s="190" t="str">
        <f t="shared" si="35"/>
        <v>Nº CAPACITACIONES PRODUCTORES</v>
      </c>
      <c r="AQ39" s="201">
        <v>300</v>
      </c>
      <c r="AR39" s="225">
        <f t="shared" si="31"/>
        <v>0.75</v>
      </c>
      <c r="AS39" s="180"/>
      <c r="AT39" s="180">
        <f t="shared" si="19"/>
        <v>0</v>
      </c>
      <c r="AU39" s="180">
        <f t="shared" si="20"/>
        <v>0</v>
      </c>
      <c r="AV39" s="171">
        <f>IF($J39&gt;0,AS39*$J39/400,"")</f>
        <v>0</v>
      </c>
      <c r="AW39" s="171">
        <f t="shared" si="3"/>
        <v>0</v>
      </c>
      <c r="AX39" s="233"/>
      <c r="AY39" s="233"/>
      <c r="AZ39" s="190" t="str">
        <f t="shared" si="36"/>
        <v>Nº CAPACITACIONES PRODUCTORES</v>
      </c>
      <c r="BA39" s="201">
        <v>400</v>
      </c>
      <c r="BB39" s="225">
        <f t="shared" si="32"/>
        <v>1</v>
      </c>
      <c r="BC39" s="180"/>
      <c r="BD39" s="180">
        <f t="shared" si="23"/>
        <v>0</v>
      </c>
      <c r="BE39" s="180">
        <f t="shared" si="24"/>
        <v>0</v>
      </c>
      <c r="BF39" s="171">
        <f>IF($J39&gt;0,BC39*$J39/400,"")</f>
        <v>0</v>
      </c>
      <c r="BG39" s="171">
        <f t="shared" si="4"/>
        <v>0</v>
      </c>
      <c r="BH39" s="233"/>
      <c r="BI39" s="233"/>
      <c r="BJ39" s="190" t="str">
        <f t="shared" si="37"/>
        <v>Nº CAPACITACIONES PRODUCTORES</v>
      </c>
      <c r="BK39" s="226">
        <v>400</v>
      </c>
      <c r="BL39" s="225">
        <f t="shared" si="33"/>
        <v>1</v>
      </c>
      <c r="BM39" s="171" t="str">
        <f t="shared" si="5"/>
        <v>OK</v>
      </c>
      <c r="BN39" s="203">
        <f t="shared" si="6"/>
        <v>100</v>
      </c>
      <c r="BO39" s="171">
        <f t="shared" si="7"/>
        <v>100</v>
      </c>
      <c r="BP39" s="171">
        <f t="shared" si="8"/>
        <v>1</v>
      </c>
      <c r="BQ39" s="191">
        <f t="shared" si="9"/>
        <v>2500</v>
      </c>
      <c r="BR39" s="191">
        <f t="shared" si="10"/>
        <v>7400</v>
      </c>
      <c r="BS39" s="192" t="str">
        <f t="shared" si="38"/>
        <v>Nº CAPACITACIONES PRODUCTORES</v>
      </c>
      <c r="BT39" s="193"/>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row>
    <row r="40" spans="1:157" s="184" customFormat="1" ht="287.25" customHeight="1" thickBot="1">
      <c r="A40" s="412"/>
      <c r="B40" s="413"/>
      <c r="C40" s="434"/>
      <c r="D40" s="391"/>
      <c r="E40" s="195" t="s">
        <v>352</v>
      </c>
      <c r="F40" s="230" t="s">
        <v>353</v>
      </c>
      <c r="G40" s="230" t="s">
        <v>354</v>
      </c>
      <c r="H40" s="394"/>
      <c r="I40" s="180">
        <v>0.0004</v>
      </c>
      <c r="J40" s="180">
        <v>0.0004</v>
      </c>
      <c r="K40" s="422"/>
      <c r="L40" s="198">
        <f>+J40/$K$38</f>
        <v>0.36363636363636365</v>
      </c>
      <c r="M40" s="171">
        <f t="shared" si="28"/>
        <v>0.36363636363636365</v>
      </c>
      <c r="N40" s="180">
        <v>0.0009</v>
      </c>
      <c r="O40" s="424"/>
      <c r="P40" s="187" t="s">
        <v>355</v>
      </c>
      <c r="Q40" s="187" t="s">
        <v>29</v>
      </c>
      <c r="R40" s="187" t="s">
        <v>226</v>
      </c>
      <c r="S40" s="188">
        <v>0</v>
      </c>
      <c r="T40" s="188">
        <v>1</v>
      </c>
      <c r="U40" s="188"/>
      <c r="V40" s="175"/>
      <c r="W40" s="176">
        <v>0</v>
      </c>
      <c r="X40" s="171">
        <f t="shared" si="11"/>
        <v>0</v>
      </c>
      <c r="Y40" s="180">
        <v>1</v>
      </c>
      <c r="Z40" s="180">
        <f t="shared" si="29"/>
        <v>1</v>
      </c>
      <c r="AA40" s="180">
        <f t="shared" si="13"/>
        <v>1</v>
      </c>
      <c r="AB40" s="171">
        <f>IF($J40&gt;0,Y40*$J40/1,"")</f>
        <v>0.0004</v>
      </c>
      <c r="AC40" s="171">
        <f t="shared" si="1"/>
        <v>0.0004</v>
      </c>
      <c r="AD40" s="233">
        <f>+'PLAN DE ACCION 2008'!Q297</f>
        <v>27500</v>
      </c>
      <c r="AE40" s="233">
        <f>+'PLAN DE ACCION 2008'!R297</f>
        <v>34587</v>
      </c>
      <c r="AF40" s="190" t="str">
        <f t="shared" si="34"/>
        <v>ADECUACION MATADERO </v>
      </c>
      <c r="AG40" s="176">
        <v>0.5</v>
      </c>
      <c r="AH40" s="225">
        <f t="shared" si="30"/>
        <v>0.5</v>
      </c>
      <c r="AI40" s="180"/>
      <c r="AJ40" s="180">
        <f t="shared" si="15"/>
        <v>0</v>
      </c>
      <c r="AK40" s="180">
        <f t="shared" si="16"/>
        <v>0</v>
      </c>
      <c r="AL40" s="171">
        <f>IF($J40&gt;0,AI40*$J40/1,"")</f>
        <v>0</v>
      </c>
      <c r="AM40" s="171">
        <f t="shared" si="2"/>
        <v>0</v>
      </c>
      <c r="AN40" s="233"/>
      <c r="AO40" s="233"/>
      <c r="AP40" s="190" t="str">
        <f t="shared" si="35"/>
        <v>ADECUACION MATADERO </v>
      </c>
      <c r="AQ40" s="176">
        <v>0.6</v>
      </c>
      <c r="AR40" s="225">
        <f t="shared" si="31"/>
        <v>0.6</v>
      </c>
      <c r="AS40" s="180"/>
      <c r="AT40" s="180">
        <f t="shared" si="19"/>
        <v>0</v>
      </c>
      <c r="AU40" s="180">
        <f t="shared" si="20"/>
        <v>0</v>
      </c>
      <c r="AV40" s="171">
        <f>IF($J40&gt;0,AS40*$J40/1,"")</f>
        <v>0</v>
      </c>
      <c r="AW40" s="171">
        <f t="shared" si="3"/>
        <v>0</v>
      </c>
      <c r="AX40" s="233"/>
      <c r="AY40" s="233"/>
      <c r="AZ40" s="190" t="str">
        <f t="shared" si="36"/>
        <v>ADECUACION MATADERO </v>
      </c>
      <c r="BA40" s="176">
        <v>0.8</v>
      </c>
      <c r="BB40" s="225">
        <f t="shared" si="32"/>
        <v>0.8</v>
      </c>
      <c r="BC40" s="180"/>
      <c r="BD40" s="180">
        <f t="shared" si="23"/>
        <v>0</v>
      </c>
      <c r="BE40" s="180">
        <f t="shared" si="24"/>
        <v>0</v>
      </c>
      <c r="BF40" s="171">
        <f>IF($J40&gt;0,BC40*$J40/1,"")</f>
        <v>0</v>
      </c>
      <c r="BG40" s="171">
        <f t="shared" si="4"/>
        <v>0</v>
      </c>
      <c r="BH40" s="233"/>
      <c r="BI40" s="233"/>
      <c r="BJ40" s="190" t="str">
        <f t="shared" si="37"/>
        <v>ADECUACION MATADERO </v>
      </c>
      <c r="BK40" s="232">
        <v>1</v>
      </c>
      <c r="BL40" s="225">
        <f t="shared" si="33"/>
        <v>1</v>
      </c>
      <c r="BM40" s="171" t="str">
        <f t="shared" si="5"/>
        <v>OK</v>
      </c>
      <c r="BN40" s="180">
        <f t="shared" si="6"/>
        <v>1</v>
      </c>
      <c r="BO40" s="171">
        <f t="shared" si="7"/>
        <v>1</v>
      </c>
      <c r="BP40" s="171">
        <f t="shared" si="8"/>
        <v>1</v>
      </c>
      <c r="BQ40" s="191">
        <f t="shared" si="9"/>
        <v>27500</v>
      </c>
      <c r="BR40" s="191">
        <f t="shared" si="10"/>
        <v>34587</v>
      </c>
      <c r="BS40" s="192" t="str">
        <f t="shared" si="38"/>
        <v>ADECUACION MATADERO </v>
      </c>
      <c r="BT40" s="193"/>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row>
    <row r="41" spans="1:157" s="229" customFormat="1" ht="287.25" customHeight="1" thickBot="1">
      <c r="A41" s="412"/>
      <c r="B41" s="416" t="s">
        <v>57</v>
      </c>
      <c r="C41" s="432" t="s">
        <v>356</v>
      </c>
      <c r="D41" s="195" t="s">
        <v>58</v>
      </c>
      <c r="E41" s="195" t="s">
        <v>357</v>
      </c>
      <c r="F41" s="195" t="s">
        <v>358</v>
      </c>
      <c r="G41" s="195" t="s">
        <v>55</v>
      </c>
      <c r="H41" s="188">
        <f>+I41</f>
        <v>0.0505</v>
      </c>
      <c r="I41" s="180">
        <v>0.0505</v>
      </c>
      <c r="J41" s="180">
        <v>0.0505</v>
      </c>
      <c r="K41" s="198">
        <v>0.0505</v>
      </c>
      <c r="L41" s="198">
        <v>1</v>
      </c>
      <c r="M41" s="171">
        <f t="shared" si="28"/>
        <v>1</v>
      </c>
      <c r="N41" s="180">
        <v>0.1106</v>
      </c>
      <c r="O41" s="424"/>
      <c r="P41" s="187" t="s">
        <v>359</v>
      </c>
      <c r="Q41" s="187" t="s">
        <v>29</v>
      </c>
      <c r="R41" s="187" t="s">
        <v>226</v>
      </c>
      <c r="S41" s="188">
        <v>0.5</v>
      </c>
      <c r="T41" s="188">
        <v>0.8</v>
      </c>
      <c r="U41" s="188"/>
      <c r="V41" s="175"/>
      <c r="W41" s="176">
        <v>0.1</v>
      </c>
      <c r="X41" s="171">
        <f t="shared" si="11"/>
        <v>0.6</v>
      </c>
      <c r="Y41" s="180">
        <v>0.03</v>
      </c>
      <c r="Z41" s="180">
        <f t="shared" si="29"/>
        <v>0.3</v>
      </c>
      <c r="AA41" s="180">
        <f t="shared" si="13"/>
        <v>0.3</v>
      </c>
      <c r="AB41" s="171">
        <f>IF($J41&gt;0,Y41*$J41/0.8,"")</f>
        <v>0.00189375</v>
      </c>
      <c r="AC41" s="171">
        <f t="shared" si="1"/>
        <v>0.00189375</v>
      </c>
      <c r="AD41" s="233">
        <f>+'PLAN DE ACCION 2008'!Q318</f>
        <v>216191</v>
      </c>
      <c r="AE41" s="233">
        <f>+'PLAN DE ACCION 2008'!R318</f>
        <v>98169</v>
      </c>
      <c r="AF41" s="190" t="str">
        <f t="shared" si="34"/>
        <v>% COBERTURA VIAL URBANA</v>
      </c>
      <c r="AG41" s="176">
        <v>0.6</v>
      </c>
      <c r="AH41" s="225">
        <f t="shared" si="30"/>
        <v>0.7499999999999999</v>
      </c>
      <c r="AI41" s="180"/>
      <c r="AJ41" s="180">
        <f t="shared" si="15"/>
        <v>0</v>
      </c>
      <c r="AK41" s="180">
        <f t="shared" si="16"/>
        <v>0</v>
      </c>
      <c r="AL41" s="171">
        <f>IF($J41&gt;0,AI41*$J41/0.8,"")</f>
        <v>0</v>
      </c>
      <c r="AM41" s="171">
        <f t="shared" si="2"/>
        <v>0</v>
      </c>
      <c r="AN41" s="233"/>
      <c r="AO41" s="233"/>
      <c r="AP41" s="190" t="str">
        <f t="shared" si="35"/>
        <v>% COBERTURA VIAL URBANA</v>
      </c>
      <c r="AQ41" s="176">
        <v>0.7</v>
      </c>
      <c r="AR41" s="225">
        <f t="shared" si="31"/>
        <v>0.8749999999999999</v>
      </c>
      <c r="AS41" s="180"/>
      <c r="AT41" s="180">
        <f t="shared" si="19"/>
        <v>0</v>
      </c>
      <c r="AU41" s="180">
        <f t="shared" si="20"/>
        <v>0</v>
      </c>
      <c r="AV41" s="171">
        <f>IF($J41&gt;0,AS41*$J41/0.8,"")</f>
        <v>0</v>
      </c>
      <c r="AW41" s="171">
        <f t="shared" si="3"/>
        <v>0</v>
      </c>
      <c r="AX41" s="233"/>
      <c r="AY41" s="233"/>
      <c r="AZ41" s="190" t="str">
        <f t="shared" si="36"/>
        <v>% COBERTURA VIAL URBANA</v>
      </c>
      <c r="BA41" s="176">
        <v>0.8</v>
      </c>
      <c r="BB41" s="225">
        <f t="shared" si="32"/>
        <v>1</v>
      </c>
      <c r="BC41" s="180"/>
      <c r="BD41" s="180">
        <f t="shared" si="23"/>
        <v>0</v>
      </c>
      <c r="BE41" s="180">
        <f t="shared" si="24"/>
        <v>0</v>
      </c>
      <c r="BF41" s="171">
        <f>IF($J41&gt;0,BC41*$J41/0.8,"")</f>
        <v>0</v>
      </c>
      <c r="BG41" s="171">
        <f t="shared" si="4"/>
        <v>0</v>
      </c>
      <c r="BH41" s="233"/>
      <c r="BI41" s="233"/>
      <c r="BJ41" s="190" t="str">
        <f t="shared" si="37"/>
        <v>% COBERTURA VIAL URBANA</v>
      </c>
      <c r="BK41" s="232">
        <v>0.8</v>
      </c>
      <c r="BL41" s="225">
        <f t="shared" si="33"/>
        <v>1</v>
      </c>
      <c r="BM41" s="171" t="str">
        <f t="shared" si="5"/>
        <v>OK</v>
      </c>
      <c r="BN41" s="180">
        <f t="shared" si="6"/>
        <v>0.03</v>
      </c>
      <c r="BO41" s="171">
        <f t="shared" si="7"/>
        <v>0.03</v>
      </c>
      <c r="BP41" s="171">
        <f t="shared" si="8"/>
        <v>0.03</v>
      </c>
      <c r="BQ41" s="191">
        <f t="shared" si="9"/>
        <v>216191</v>
      </c>
      <c r="BR41" s="191">
        <f t="shared" si="10"/>
        <v>98169</v>
      </c>
      <c r="BS41" s="192" t="str">
        <f t="shared" si="38"/>
        <v>% COBERTURA VIAL URBANA</v>
      </c>
      <c r="BT41" s="227"/>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8"/>
      <c r="DZ41" s="228"/>
      <c r="EA41" s="228"/>
      <c r="EB41" s="228"/>
      <c r="EC41" s="228"/>
      <c r="ED41" s="228"/>
      <c r="EE41" s="228"/>
      <c r="EF41" s="228"/>
      <c r="EG41" s="228"/>
      <c r="EH41" s="228"/>
      <c r="EI41" s="228"/>
      <c r="EJ41" s="228"/>
      <c r="EK41" s="228"/>
      <c r="EL41" s="228"/>
      <c r="EM41" s="228"/>
      <c r="EN41" s="228"/>
      <c r="EO41" s="228"/>
      <c r="EP41" s="228"/>
      <c r="EQ41" s="228"/>
      <c r="ER41" s="228"/>
      <c r="ES41" s="228"/>
      <c r="ET41" s="228"/>
      <c r="EU41" s="228"/>
      <c r="EV41" s="228"/>
      <c r="EW41" s="228"/>
      <c r="EX41" s="228"/>
      <c r="EY41" s="228"/>
      <c r="EZ41" s="228"/>
      <c r="FA41" s="228"/>
    </row>
    <row r="42" spans="1:157" s="229" customFormat="1" ht="287.25" customHeight="1" thickBot="1">
      <c r="A42" s="412"/>
      <c r="B42" s="413"/>
      <c r="C42" s="434"/>
      <c r="D42" s="195" t="s">
        <v>62</v>
      </c>
      <c r="E42" s="195" t="s">
        <v>360</v>
      </c>
      <c r="F42" s="195" t="s">
        <v>361</v>
      </c>
      <c r="G42" s="195" t="s">
        <v>60</v>
      </c>
      <c r="H42" s="188">
        <f>+I42</f>
        <v>0.0909</v>
      </c>
      <c r="I42" s="180">
        <v>0.0909</v>
      </c>
      <c r="J42" s="180">
        <v>0.0909</v>
      </c>
      <c r="K42" s="198">
        <v>0.0909</v>
      </c>
      <c r="L42" s="198">
        <v>1</v>
      </c>
      <c r="M42" s="171">
        <f t="shared" si="28"/>
        <v>1</v>
      </c>
      <c r="N42" s="180">
        <v>0.199</v>
      </c>
      <c r="O42" s="424"/>
      <c r="P42" s="187" t="s">
        <v>362</v>
      </c>
      <c r="Q42" s="187" t="s">
        <v>29</v>
      </c>
      <c r="R42" s="187" t="s">
        <v>226</v>
      </c>
      <c r="S42" s="188">
        <v>0.8</v>
      </c>
      <c r="T42" s="188">
        <v>0.9</v>
      </c>
      <c r="U42" s="188"/>
      <c r="V42" s="175"/>
      <c r="W42" s="176">
        <v>0.025</v>
      </c>
      <c r="X42" s="171">
        <f t="shared" si="11"/>
        <v>0.8250000000000001</v>
      </c>
      <c r="Y42" s="180">
        <v>0.025</v>
      </c>
      <c r="Z42" s="180">
        <f t="shared" si="29"/>
        <v>1</v>
      </c>
      <c r="AA42" s="180">
        <f t="shared" si="13"/>
        <v>1</v>
      </c>
      <c r="AB42" s="171">
        <f>IF($J42&gt;0,Y42*$J42/0.9,"")</f>
        <v>0.002525</v>
      </c>
      <c r="AC42" s="171">
        <f t="shared" si="1"/>
        <v>0.002525</v>
      </c>
      <c r="AD42" s="233">
        <f>+'PLAN DE ACCION 2008'!Q341</f>
        <v>210000</v>
      </c>
      <c r="AE42" s="233">
        <f>+'PLAN DE ACCION 2008'!R341</f>
        <v>833169</v>
      </c>
      <c r="AF42" s="190" t="str">
        <f t="shared" si="34"/>
        <v>% COBERTURA VIAL RURAL</v>
      </c>
      <c r="AG42" s="176">
        <v>0.85</v>
      </c>
      <c r="AH42" s="225">
        <f t="shared" si="30"/>
        <v>0.9444444444444444</v>
      </c>
      <c r="AI42" s="180"/>
      <c r="AJ42" s="180">
        <f t="shared" si="15"/>
        <v>0</v>
      </c>
      <c r="AK42" s="180">
        <f t="shared" si="16"/>
        <v>0</v>
      </c>
      <c r="AL42" s="171">
        <f>IF($J42&gt;0,AI42*$J42/0.9,"")</f>
        <v>0</v>
      </c>
      <c r="AM42" s="171">
        <f t="shared" si="2"/>
        <v>0</v>
      </c>
      <c r="AN42" s="233"/>
      <c r="AO42" s="233"/>
      <c r="AP42" s="190" t="str">
        <f t="shared" si="35"/>
        <v>% COBERTURA VIAL RURAL</v>
      </c>
      <c r="AQ42" s="176">
        <v>0.875</v>
      </c>
      <c r="AR42" s="225">
        <f t="shared" si="31"/>
        <v>0.9722222222222222</v>
      </c>
      <c r="AS42" s="180"/>
      <c r="AT42" s="180">
        <f t="shared" si="19"/>
        <v>0</v>
      </c>
      <c r="AU42" s="180">
        <f t="shared" si="20"/>
        <v>0</v>
      </c>
      <c r="AV42" s="171">
        <f>IF($J42&gt;0,AS42*$J42/0.9,"")</f>
        <v>0</v>
      </c>
      <c r="AW42" s="171">
        <f t="shared" si="3"/>
        <v>0</v>
      </c>
      <c r="AX42" s="233"/>
      <c r="AY42" s="233"/>
      <c r="AZ42" s="190" t="str">
        <f t="shared" si="36"/>
        <v>% COBERTURA VIAL RURAL</v>
      </c>
      <c r="BA42" s="176">
        <v>0.9</v>
      </c>
      <c r="BB42" s="225">
        <f t="shared" si="32"/>
        <v>1</v>
      </c>
      <c r="BC42" s="180"/>
      <c r="BD42" s="180">
        <f t="shared" si="23"/>
        <v>0</v>
      </c>
      <c r="BE42" s="180">
        <f t="shared" si="24"/>
        <v>0</v>
      </c>
      <c r="BF42" s="171">
        <f>IF($J42&gt;0,BC42*$J42/0.9,"")</f>
        <v>0</v>
      </c>
      <c r="BG42" s="171">
        <f t="shared" si="4"/>
        <v>0</v>
      </c>
      <c r="BH42" s="233"/>
      <c r="BI42" s="233"/>
      <c r="BJ42" s="190" t="str">
        <f t="shared" si="37"/>
        <v>% COBERTURA VIAL RURAL</v>
      </c>
      <c r="BK42" s="232">
        <v>0.9</v>
      </c>
      <c r="BL42" s="225">
        <f t="shared" si="33"/>
        <v>1</v>
      </c>
      <c r="BM42" s="171" t="str">
        <f t="shared" si="5"/>
        <v>OK</v>
      </c>
      <c r="BN42" s="180">
        <f t="shared" si="6"/>
        <v>0.025</v>
      </c>
      <c r="BO42" s="171">
        <f t="shared" si="7"/>
        <v>0.025</v>
      </c>
      <c r="BP42" s="171">
        <f t="shared" si="8"/>
        <v>0.025</v>
      </c>
      <c r="BQ42" s="191">
        <f t="shared" si="9"/>
        <v>210000</v>
      </c>
      <c r="BR42" s="191">
        <f t="shared" si="10"/>
        <v>833169</v>
      </c>
      <c r="BS42" s="192" t="str">
        <f t="shared" si="38"/>
        <v>% COBERTURA VIAL RURAL</v>
      </c>
      <c r="BT42" s="227"/>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row>
    <row r="43" spans="1:157" s="184" customFormat="1" ht="287.25" customHeight="1" thickBot="1">
      <c r="A43" s="412"/>
      <c r="B43" s="416" t="s">
        <v>363</v>
      </c>
      <c r="C43" s="432" t="s">
        <v>364</v>
      </c>
      <c r="D43" s="418" t="s">
        <v>68</v>
      </c>
      <c r="E43" s="195" t="s">
        <v>365</v>
      </c>
      <c r="F43" s="230" t="s">
        <v>366</v>
      </c>
      <c r="G43" s="230" t="s">
        <v>64</v>
      </c>
      <c r="H43" s="419">
        <f>+I43+I44+I45</f>
        <v>0.0059</v>
      </c>
      <c r="I43" s="180">
        <v>0.001</v>
      </c>
      <c r="J43" s="180">
        <v>0.001</v>
      </c>
      <c r="K43" s="420">
        <f>+J43+J44+J45</f>
        <v>0.0059</v>
      </c>
      <c r="L43" s="198">
        <f>+J43/$K$43</f>
        <v>0.16949152542372883</v>
      </c>
      <c r="M43" s="171">
        <f t="shared" si="28"/>
        <v>0.16949152542372883</v>
      </c>
      <c r="N43" s="180">
        <v>0.0022</v>
      </c>
      <c r="O43" s="424"/>
      <c r="P43" s="187" t="s">
        <v>367</v>
      </c>
      <c r="Q43" s="187" t="s">
        <v>18</v>
      </c>
      <c r="R43" s="187" t="s">
        <v>236</v>
      </c>
      <c r="S43" s="199">
        <v>0</v>
      </c>
      <c r="T43" s="199">
        <v>1</v>
      </c>
      <c r="U43" s="199"/>
      <c r="V43" s="200"/>
      <c r="W43" s="201">
        <v>1</v>
      </c>
      <c r="X43" s="202">
        <f t="shared" si="11"/>
        <v>1</v>
      </c>
      <c r="Y43" s="203">
        <v>0</v>
      </c>
      <c r="Z43" s="180">
        <f t="shared" si="29"/>
        <v>0</v>
      </c>
      <c r="AA43" s="180">
        <f t="shared" si="13"/>
        <v>0</v>
      </c>
      <c r="AB43" s="171">
        <f>IF($J43&gt;0,Y43*$J43,"")</f>
        <v>0</v>
      </c>
      <c r="AC43" s="171">
        <f t="shared" si="1"/>
        <v>0</v>
      </c>
      <c r="AD43" s="189">
        <f>+'PLAN DE ACCION 2008'!Q364</f>
        <v>0</v>
      </c>
      <c r="AE43" s="189">
        <f>+'PLAN DE ACCION 2008'!R364</f>
        <v>0</v>
      </c>
      <c r="AF43" s="190" t="str">
        <f t="shared" si="34"/>
        <v>PLAN TURISTICO</v>
      </c>
      <c r="AG43" s="201">
        <v>1</v>
      </c>
      <c r="AH43" s="225">
        <f t="shared" si="30"/>
        <v>1</v>
      </c>
      <c r="AI43" s="180"/>
      <c r="AJ43" s="180">
        <f t="shared" si="15"/>
        <v>0</v>
      </c>
      <c r="AK43" s="180">
        <f t="shared" si="16"/>
        <v>0</v>
      </c>
      <c r="AL43" s="171">
        <f>IF($J43&gt;0,AI43*$J43,"")</f>
        <v>0</v>
      </c>
      <c r="AM43" s="171">
        <f t="shared" si="2"/>
        <v>0</v>
      </c>
      <c r="AN43" s="189"/>
      <c r="AO43" s="189"/>
      <c r="AP43" s="190" t="str">
        <f t="shared" si="35"/>
        <v>PLAN TURISTICO</v>
      </c>
      <c r="AQ43" s="201">
        <v>1</v>
      </c>
      <c r="AR43" s="225">
        <f t="shared" si="31"/>
        <v>1</v>
      </c>
      <c r="AS43" s="180"/>
      <c r="AT43" s="180">
        <f t="shared" si="19"/>
        <v>0</v>
      </c>
      <c r="AU43" s="180">
        <f t="shared" si="20"/>
        <v>0</v>
      </c>
      <c r="AV43" s="171">
        <f>IF($J43&gt;0,AS43*$J43,"")</f>
        <v>0</v>
      </c>
      <c r="AW43" s="171">
        <f t="shared" si="3"/>
        <v>0</v>
      </c>
      <c r="AX43" s="189"/>
      <c r="AY43" s="189"/>
      <c r="AZ43" s="190" t="str">
        <f t="shared" si="36"/>
        <v>PLAN TURISTICO</v>
      </c>
      <c r="BA43" s="201">
        <v>1</v>
      </c>
      <c r="BB43" s="225">
        <f t="shared" si="32"/>
        <v>1</v>
      </c>
      <c r="BC43" s="180"/>
      <c r="BD43" s="180">
        <f t="shared" si="23"/>
        <v>0</v>
      </c>
      <c r="BE43" s="180">
        <f t="shared" si="24"/>
        <v>0</v>
      </c>
      <c r="BF43" s="171">
        <f>IF($J43&gt;0,BC43*$J43,"")</f>
        <v>0</v>
      </c>
      <c r="BG43" s="171">
        <f t="shared" si="4"/>
        <v>0</v>
      </c>
      <c r="BH43" s="189"/>
      <c r="BI43" s="189"/>
      <c r="BJ43" s="190" t="str">
        <f t="shared" si="37"/>
        <v>PLAN TURISTICO</v>
      </c>
      <c r="BK43" s="226">
        <v>1</v>
      </c>
      <c r="BL43" s="225">
        <f t="shared" si="33"/>
        <v>1</v>
      </c>
      <c r="BM43" s="171" t="str">
        <f t="shared" si="5"/>
        <v>OK</v>
      </c>
      <c r="BN43" s="203">
        <f t="shared" si="6"/>
        <v>0</v>
      </c>
      <c r="BO43" s="171">
        <f t="shared" si="7"/>
        <v>0</v>
      </c>
      <c r="BP43" s="171">
        <f t="shared" si="8"/>
        <v>0</v>
      </c>
      <c r="BQ43" s="191">
        <f t="shared" si="9"/>
        <v>0</v>
      </c>
      <c r="BR43" s="191">
        <f t="shared" si="10"/>
        <v>0</v>
      </c>
      <c r="BS43" s="192" t="str">
        <f t="shared" si="38"/>
        <v>PLAN TURISTICO</v>
      </c>
      <c r="BT43" s="193"/>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row>
    <row r="44" spans="1:157" s="184" customFormat="1" ht="287.25" customHeight="1" thickBot="1">
      <c r="A44" s="412"/>
      <c r="B44" s="412"/>
      <c r="C44" s="433"/>
      <c r="D44" s="390"/>
      <c r="E44" s="195" t="s">
        <v>368</v>
      </c>
      <c r="F44" s="230" t="s">
        <v>369</v>
      </c>
      <c r="G44" s="230" t="s">
        <v>65</v>
      </c>
      <c r="H44" s="393"/>
      <c r="I44" s="180">
        <v>0.0029</v>
      </c>
      <c r="J44" s="180">
        <v>0.0029</v>
      </c>
      <c r="K44" s="421"/>
      <c r="L44" s="198">
        <f>+J44/$K$43</f>
        <v>0.4915254237288135</v>
      </c>
      <c r="M44" s="171">
        <f t="shared" si="28"/>
        <v>0.4915254237288135</v>
      </c>
      <c r="N44" s="180">
        <v>0.0063</v>
      </c>
      <c r="O44" s="424"/>
      <c r="P44" s="187" t="s">
        <v>370</v>
      </c>
      <c r="Q44" s="187" t="s">
        <v>18</v>
      </c>
      <c r="R44" s="187" t="s">
        <v>226</v>
      </c>
      <c r="S44" s="188">
        <v>0.2</v>
      </c>
      <c r="T44" s="188">
        <v>0.4</v>
      </c>
      <c r="U44" s="188"/>
      <c r="V44" s="175"/>
      <c r="W44" s="176">
        <v>0.05</v>
      </c>
      <c r="X44" s="171">
        <f t="shared" si="11"/>
        <v>0.25</v>
      </c>
      <c r="Y44" s="180">
        <v>0</v>
      </c>
      <c r="Z44" s="180">
        <f t="shared" si="29"/>
        <v>0</v>
      </c>
      <c r="AA44" s="180">
        <f t="shared" si="13"/>
        <v>0</v>
      </c>
      <c r="AB44" s="171">
        <f>IF($J44&gt;0,Y44*$J44/0.4,"")</f>
        <v>0</v>
      </c>
      <c r="AC44" s="171">
        <f t="shared" si="1"/>
        <v>0</v>
      </c>
      <c r="AD44" s="189">
        <f>+'PLAN DE ACCION 2008'!Q365</f>
        <v>0</v>
      </c>
      <c r="AE44" s="189">
        <f>+'PLAN DE ACCION 2008'!R365</f>
        <v>0</v>
      </c>
      <c r="AF44" s="190" t="str">
        <f t="shared" si="34"/>
        <v>% PARTICIPACION ECOTURISMO</v>
      </c>
      <c r="AG44" s="176">
        <v>0.3</v>
      </c>
      <c r="AH44" s="225">
        <f t="shared" si="30"/>
        <v>0.7499999999999999</v>
      </c>
      <c r="AI44" s="180"/>
      <c r="AJ44" s="180">
        <f t="shared" si="15"/>
        <v>0</v>
      </c>
      <c r="AK44" s="180">
        <f t="shared" si="16"/>
        <v>0</v>
      </c>
      <c r="AL44" s="171">
        <f>IF($J44&gt;0,AI44*$J44/0.4,"")</f>
        <v>0</v>
      </c>
      <c r="AM44" s="171">
        <f t="shared" si="2"/>
        <v>0</v>
      </c>
      <c r="AN44" s="189"/>
      <c r="AO44" s="189"/>
      <c r="AP44" s="190" t="str">
        <f t="shared" si="35"/>
        <v>% PARTICIPACION ECOTURISMO</v>
      </c>
      <c r="AQ44" s="176">
        <v>0.35</v>
      </c>
      <c r="AR44" s="225">
        <f t="shared" si="31"/>
        <v>0.8749999999999999</v>
      </c>
      <c r="AS44" s="180"/>
      <c r="AT44" s="180">
        <f t="shared" si="19"/>
        <v>0</v>
      </c>
      <c r="AU44" s="180">
        <f t="shared" si="20"/>
        <v>0</v>
      </c>
      <c r="AV44" s="171">
        <f>IF($J44&gt;0,AS44*$J44/0.4,"")</f>
        <v>0</v>
      </c>
      <c r="AW44" s="171">
        <f t="shared" si="3"/>
        <v>0</v>
      </c>
      <c r="AX44" s="189"/>
      <c r="AY44" s="189"/>
      <c r="AZ44" s="190" t="str">
        <f t="shared" si="36"/>
        <v>% PARTICIPACION ECOTURISMO</v>
      </c>
      <c r="BA44" s="176">
        <v>0.4</v>
      </c>
      <c r="BB44" s="225">
        <f t="shared" si="32"/>
        <v>1</v>
      </c>
      <c r="BC44" s="180"/>
      <c r="BD44" s="180">
        <f t="shared" si="23"/>
        <v>0</v>
      </c>
      <c r="BE44" s="180">
        <f t="shared" si="24"/>
        <v>0</v>
      </c>
      <c r="BF44" s="171">
        <f>IF($J44&gt;0,BC44*$J44/0.4,"")</f>
        <v>0</v>
      </c>
      <c r="BG44" s="171">
        <f t="shared" si="4"/>
        <v>0</v>
      </c>
      <c r="BH44" s="189"/>
      <c r="BI44" s="189"/>
      <c r="BJ44" s="190" t="str">
        <f t="shared" si="37"/>
        <v>% PARTICIPACION ECOTURISMO</v>
      </c>
      <c r="BK44" s="232">
        <v>0.4</v>
      </c>
      <c r="BL44" s="225">
        <f t="shared" si="33"/>
        <v>1</v>
      </c>
      <c r="BM44" s="171" t="str">
        <f t="shared" si="5"/>
        <v>OK</v>
      </c>
      <c r="BN44" s="180">
        <f t="shared" si="6"/>
        <v>0</v>
      </c>
      <c r="BO44" s="171">
        <f t="shared" si="7"/>
        <v>0</v>
      </c>
      <c r="BP44" s="171">
        <f t="shared" si="8"/>
        <v>0</v>
      </c>
      <c r="BQ44" s="191">
        <f t="shared" si="9"/>
        <v>0</v>
      </c>
      <c r="BR44" s="191">
        <f t="shared" si="10"/>
        <v>0</v>
      </c>
      <c r="BS44" s="192" t="str">
        <f t="shared" si="38"/>
        <v>% PARTICIPACION ECOTURISMO</v>
      </c>
      <c r="BT44" s="193"/>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row>
    <row r="45" spans="1:157" s="184" customFormat="1" ht="287.25" customHeight="1" thickBot="1">
      <c r="A45" s="413"/>
      <c r="B45" s="413"/>
      <c r="C45" s="434"/>
      <c r="D45" s="391"/>
      <c r="E45" s="195" t="s">
        <v>371</v>
      </c>
      <c r="F45" s="230" t="s">
        <v>372</v>
      </c>
      <c r="G45" s="230" t="s">
        <v>66</v>
      </c>
      <c r="H45" s="394"/>
      <c r="I45" s="215">
        <v>0.002</v>
      </c>
      <c r="J45" s="215">
        <v>0.002</v>
      </c>
      <c r="K45" s="435"/>
      <c r="L45" s="234">
        <f>+J45/$K$43</f>
        <v>0.33898305084745767</v>
      </c>
      <c r="M45" s="171">
        <f t="shared" si="28"/>
        <v>0.33898305084745767</v>
      </c>
      <c r="N45" s="215">
        <v>0.0044</v>
      </c>
      <c r="O45" s="436"/>
      <c r="P45" s="187" t="s">
        <v>373</v>
      </c>
      <c r="Q45" s="187" t="s">
        <v>18</v>
      </c>
      <c r="R45" s="187" t="s">
        <v>236</v>
      </c>
      <c r="S45" s="199">
        <v>2</v>
      </c>
      <c r="T45" s="199">
        <v>2</v>
      </c>
      <c r="U45" s="199"/>
      <c r="V45" s="200"/>
      <c r="W45" s="216">
        <v>2</v>
      </c>
      <c r="X45" s="217">
        <f>+W45</f>
        <v>2</v>
      </c>
      <c r="Y45" s="217">
        <v>0</v>
      </c>
      <c r="Z45" s="215">
        <f t="shared" si="29"/>
        <v>0</v>
      </c>
      <c r="AA45" s="215">
        <f t="shared" si="13"/>
        <v>0</v>
      </c>
      <c r="AB45" s="171">
        <f>IF($J45&gt;0,Y45*$J45/2,"")</f>
        <v>0</v>
      </c>
      <c r="AC45" s="215">
        <f t="shared" si="1"/>
        <v>0</v>
      </c>
      <c r="AD45" s="189">
        <f>+'PLAN DE ACCION 2008'!Q366</f>
        <v>0</v>
      </c>
      <c r="AE45" s="189">
        <f>+'PLAN DE ACCION 2008'!R366</f>
        <v>0</v>
      </c>
      <c r="AF45" s="220" t="str">
        <f t="shared" si="34"/>
        <v>Nª CONVENIOS</v>
      </c>
      <c r="AG45" s="216">
        <v>2</v>
      </c>
      <c r="AH45" s="235">
        <f t="shared" si="30"/>
        <v>1</v>
      </c>
      <c r="AI45" s="215"/>
      <c r="AJ45" s="215">
        <f t="shared" si="15"/>
        <v>0</v>
      </c>
      <c r="AK45" s="215">
        <f t="shared" si="16"/>
        <v>0</v>
      </c>
      <c r="AL45" s="215">
        <f>IF($J45&gt;0,AI45*$J45/2,"")</f>
        <v>0</v>
      </c>
      <c r="AM45" s="215">
        <f t="shared" si="2"/>
        <v>0</v>
      </c>
      <c r="AN45" s="218"/>
      <c r="AO45" s="218"/>
      <c r="AP45" s="220" t="str">
        <f t="shared" si="35"/>
        <v>Nª CONVENIOS</v>
      </c>
      <c r="AQ45" s="216">
        <v>2</v>
      </c>
      <c r="AR45" s="235">
        <f t="shared" si="31"/>
        <v>1</v>
      </c>
      <c r="AS45" s="215"/>
      <c r="AT45" s="215">
        <f t="shared" si="19"/>
        <v>0</v>
      </c>
      <c r="AU45" s="215">
        <f t="shared" si="20"/>
        <v>0</v>
      </c>
      <c r="AV45" s="215">
        <f>IF($J45&gt;0,AS45*$J45/2,"")</f>
        <v>0</v>
      </c>
      <c r="AW45" s="215">
        <f t="shared" si="3"/>
        <v>0</v>
      </c>
      <c r="AX45" s="218"/>
      <c r="AY45" s="218"/>
      <c r="AZ45" s="220" t="str">
        <f t="shared" si="36"/>
        <v>Nª CONVENIOS</v>
      </c>
      <c r="BA45" s="216">
        <v>2</v>
      </c>
      <c r="BB45" s="235">
        <f t="shared" si="32"/>
        <v>1</v>
      </c>
      <c r="BC45" s="215"/>
      <c r="BD45" s="215">
        <f t="shared" si="23"/>
        <v>0</v>
      </c>
      <c r="BE45" s="215">
        <f t="shared" si="24"/>
        <v>0</v>
      </c>
      <c r="BF45" s="215">
        <f>IF($J45&gt;0,BC45*$J45/2,"")</f>
        <v>0</v>
      </c>
      <c r="BG45" s="215">
        <f t="shared" si="4"/>
        <v>0</v>
      </c>
      <c r="BH45" s="218"/>
      <c r="BI45" s="218"/>
      <c r="BJ45" s="220" t="str">
        <f t="shared" si="37"/>
        <v>Nª CONVENIOS</v>
      </c>
      <c r="BK45" s="216">
        <v>2</v>
      </c>
      <c r="BL45" s="235">
        <f t="shared" si="33"/>
        <v>1</v>
      </c>
      <c r="BM45" s="215" t="str">
        <f t="shared" si="5"/>
        <v>OK</v>
      </c>
      <c r="BN45" s="217">
        <f t="shared" si="6"/>
        <v>0</v>
      </c>
      <c r="BO45" s="215">
        <f t="shared" si="7"/>
        <v>0</v>
      </c>
      <c r="BP45" s="215">
        <f t="shared" si="8"/>
        <v>0</v>
      </c>
      <c r="BQ45" s="219">
        <f t="shared" si="9"/>
        <v>0</v>
      </c>
      <c r="BR45" s="219">
        <f t="shared" si="10"/>
        <v>0</v>
      </c>
      <c r="BS45" s="220" t="str">
        <f t="shared" si="38"/>
        <v>Nª CONVENIOS</v>
      </c>
      <c r="BT45" s="193"/>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row>
    <row r="46" spans="1:157" s="184" customFormat="1" ht="287.25" customHeight="1" thickBot="1">
      <c r="A46" s="416" t="s">
        <v>72</v>
      </c>
      <c r="B46" s="416" t="s">
        <v>76</v>
      </c>
      <c r="C46" s="432" t="s">
        <v>374</v>
      </c>
      <c r="D46" s="432" t="s">
        <v>375</v>
      </c>
      <c r="E46" s="206" t="s">
        <v>376</v>
      </c>
      <c r="F46" s="236" t="s">
        <v>377</v>
      </c>
      <c r="G46" s="236" t="s">
        <v>73</v>
      </c>
      <c r="H46" s="419">
        <f>+I46+I47</f>
        <v>0.0723</v>
      </c>
      <c r="I46" s="221">
        <v>0.036</v>
      </c>
      <c r="J46" s="221">
        <v>0.036</v>
      </c>
      <c r="K46" s="438">
        <f>+J46+J47</f>
        <v>0.0723</v>
      </c>
      <c r="L46" s="221">
        <f>+J46/$K$46</f>
        <v>0.49792531120331945</v>
      </c>
      <c r="M46" s="171">
        <f t="shared" si="28"/>
        <v>0.49792531120331945</v>
      </c>
      <c r="N46" s="171">
        <v>0.2542</v>
      </c>
      <c r="O46" s="437">
        <f>+N46+N47+N48+N49+N50+N51+N52+N53</f>
        <v>0.9999999999999999</v>
      </c>
      <c r="P46" s="187" t="s">
        <v>378</v>
      </c>
      <c r="Q46" s="210" t="s">
        <v>79</v>
      </c>
      <c r="R46" s="187" t="s">
        <v>236</v>
      </c>
      <c r="S46" s="188">
        <v>0.9</v>
      </c>
      <c r="T46" s="188">
        <v>0.9</v>
      </c>
      <c r="U46" s="188"/>
      <c r="V46" s="175"/>
      <c r="W46" s="179">
        <v>0.9</v>
      </c>
      <c r="X46" s="171">
        <f>+W46</f>
        <v>0.9</v>
      </c>
      <c r="Y46" s="171">
        <v>0.5</v>
      </c>
      <c r="Z46" s="171">
        <f t="shared" si="29"/>
        <v>0.5555555555555556</v>
      </c>
      <c r="AA46" s="171">
        <f t="shared" si="13"/>
        <v>0.5555555555555556</v>
      </c>
      <c r="AB46" s="171">
        <f>IF($J46&gt;0,Y46*$J46/0.9,"")</f>
        <v>0.019999999999999997</v>
      </c>
      <c r="AC46" s="171">
        <f t="shared" si="1"/>
        <v>0.019999999999999997</v>
      </c>
      <c r="AD46" s="237">
        <f>+'PLAN DE ACCION 2008'!Q387</f>
        <v>233453</v>
      </c>
      <c r="AE46" s="237">
        <f>+'PLAN DE ACCION 2008'!R387</f>
        <v>280763</v>
      </c>
      <c r="AF46" s="178" t="str">
        <f t="shared" si="34"/>
        <v>% MANTENIMIENTO</v>
      </c>
      <c r="AG46" s="179">
        <v>0.9</v>
      </c>
      <c r="AH46" s="171">
        <f>IF($T46&gt;0,AG46/$T46,"")</f>
        <v>1</v>
      </c>
      <c r="AI46" s="171"/>
      <c r="AJ46" s="171">
        <f t="shared" si="15"/>
        <v>0</v>
      </c>
      <c r="AK46" s="171">
        <f t="shared" si="16"/>
        <v>0</v>
      </c>
      <c r="AL46" s="171">
        <f>IF($J46&gt;0,AI46*$J46/0.9,"")</f>
        <v>0</v>
      </c>
      <c r="AM46" s="171">
        <f t="shared" si="2"/>
        <v>0</v>
      </c>
      <c r="AN46" s="237"/>
      <c r="AO46" s="237"/>
      <c r="AP46" s="178" t="str">
        <f>+AF46</f>
        <v>% MANTENIMIENTO</v>
      </c>
      <c r="AQ46" s="179">
        <v>0.9</v>
      </c>
      <c r="AR46" s="171">
        <f>IF($T46&gt;0,AQ46/$T46,"")</f>
        <v>1</v>
      </c>
      <c r="AS46" s="171"/>
      <c r="AT46" s="171">
        <f t="shared" si="19"/>
        <v>0</v>
      </c>
      <c r="AU46" s="171">
        <f t="shared" si="20"/>
        <v>0</v>
      </c>
      <c r="AV46" s="171">
        <f>IF($J46&gt;0,AS46*$J46/0.9,"")</f>
        <v>0</v>
      </c>
      <c r="AW46" s="171">
        <f t="shared" si="3"/>
        <v>0</v>
      </c>
      <c r="AX46" s="237"/>
      <c r="AY46" s="237"/>
      <c r="AZ46" s="178" t="str">
        <f>+AF46</f>
        <v>% MANTENIMIENTO</v>
      </c>
      <c r="BA46" s="179">
        <v>0.9</v>
      </c>
      <c r="BB46" s="171">
        <f>IF($T46&gt;0,BA46/$T46,"")</f>
        <v>1</v>
      </c>
      <c r="BC46" s="171"/>
      <c r="BD46" s="171">
        <f t="shared" si="23"/>
        <v>0</v>
      </c>
      <c r="BE46" s="171">
        <f t="shared" si="24"/>
        <v>0</v>
      </c>
      <c r="BF46" s="171">
        <f>IF($J46&gt;0,BC46*$J46/0.9,"")</f>
        <v>0</v>
      </c>
      <c r="BG46" s="171">
        <f t="shared" si="4"/>
        <v>0</v>
      </c>
      <c r="BH46" s="237"/>
      <c r="BI46" s="237"/>
      <c r="BJ46" s="182" t="str">
        <f>+AZ46</f>
        <v>% MANTENIMIENTO</v>
      </c>
      <c r="BK46" s="232">
        <v>0.9</v>
      </c>
      <c r="BL46" s="171">
        <f>IF($T46&gt;0,BK46/$T46,"")</f>
        <v>1</v>
      </c>
      <c r="BM46" s="171" t="str">
        <f t="shared" si="5"/>
        <v>OK</v>
      </c>
      <c r="BN46" s="171">
        <f t="shared" si="6"/>
        <v>0.5</v>
      </c>
      <c r="BO46" s="171">
        <f t="shared" si="7"/>
        <v>0.5</v>
      </c>
      <c r="BP46" s="171">
        <f t="shared" si="8"/>
        <v>0.5</v>
      </c>
      <c r="BQ46" s="181">
        <f t="shared" si="9"/>
        <v>233453</v>
      </c>
      <c r="BR46" s="181">
        <f t="shared" si="10"/>
        <v>280763</v>
      </c>
      <c r="BS46" s="182" t="str">
        <f>+BJ46</f>
        <v>% MANTENIMIENTO</v>
      </c>
      <c r="BT46" s="193"/>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row>
    <row r="47" spans="1:157" s="184" customFormat="1" ht="287.25" customHeight="1" thickBot="1">
      <c r="A47" s="412"/>
      <c r="B47" s="412"/>
      <c r="C47" s="433"/>
      <c r="D47" s="434"/>
      <c r="E47" s="206" t="s">
        <v>379</v>
      </c>
      <c r="F47" s="236" t="s">
        <v>380</v>
      </c>
      <c r="G47" s="236" t="s">
        <v>74</v>
      </c>
      <c r="H47" s="394"/>
      <c r="I47" s="180">
        <v>0.0363</v>
      </c>
      <c r="J47" s="180">
        <v>0.0363</v>
      </c>
      <c r="K47" s="422"/>
      <c r="L47" s="180">
        <f>+J47/$K$46</f>
        <v>0.5020746887966805</v>
      </c>
      <c r="M47" s="171">
        <f t="shared" si="28"/>
        <v>0.5020746887966805</v>
      </c>
      <c r="N47" s="180">
        <v>0.2564</v>
      </c>
      <c r="O47" s="424"/>
      <c r="P47" s="187" t="s">
        <v>381</v>
      </c>
      <c r="Q47" s="210" t="s">
        <v>79</v>
      </c>
      <c r="R47" s="187" t="s">
        <v>226</v>
      </c>
      <c r="S47" s="188">
        <v>0.6</v>
      </c>
      <c r="T47" s="188">
        <v>1</v>
      </c>
      <c r="U47" s="188"/>
      <c r="V47" s="175"/>
      <c r="W47" s="176">
        <v>0.1</v>
      </c>
      <c r="X47" s="171">
        <f t="shared" si="11"/>
        <v>0.7</v>
      </c>
      <c r="Y47" s="180">
        <v>0.1</v>
      </c>
      <c r="Z47" s="180">
        <f t="shared" si="29"/>
        <v>1</v>
      </c>
      <c r="AA47" s="180">
        <f t="shared" si="13"/>
        <v>1</v>
      </c>
      <c r="AB47" s="171">
        <f>IF($J47&gt;0,Y47*$J47,"")</f>
        <v>0.00363</v>
      </c>
      <c r="AC47" s="171">
        <f t="shared" si="1"/>
        <v>0.00363</v>
      </c>
      <c r="AD47" s="237">
        <f>+'PLAN DE ACCION 2008'!Q388</f>
        <v>40000</v>
      </c>
      <c r="AE47" s="237">
        <f>+'PLAN DE ACCION 2008'!R388</f>
        <v>61767</v>
      </c>
      <c r="AF47" s="190" t="str">
        <f t="shared" si="34"/>
        <v>% POTABILIZACION</v>
      </c>
      <c r="AG47" s="176">
        <v>0.8</v>
      </c>
      <c r="AH47" s="180">
        <f>IF($T47&gt;0,AG47/$T47,"")</f>
        <v>0.8</v>
      </c>
      <c r="AI47" s="180"/>
      <c r="AJ47" s="180">
        <f t="shared" si="15"/>
        <v>0</v>
      </c>
      <c r="AK47" s="180">
        <f t="shared" si="16"/>
        <v>0</v>
      </c>
      <c r="AL47" s="171">
        <f>IF($J47&gt;0,AI47*$J47,"")</f>
        <v>0</v>
      </c>
      <c r="AM47" s="171">
        <f t="shared" si="2"/>
        <v>0</v>
      </c>
      <c r="AN47" s="189"/>
      <c r="AO47" s="189"/>
      <c r="AP47" s="190" t="str">
        <f>+AF47</f>
        <v>% POTABILIZACION</v>
      </c>
      <c r="AQ47" s="176">
        <v>0.9</v>
      </c>
      <c r="AR47" s="180">
        <f>IF($T47&gt;0,AQ47/$T47,"")</f>
        <v>0.9</v>
      </c>
      <c r="AS47" s="180"/>
      <c r="AT47" s="180">
        <f t="shared" si="19"/>
        <v>0</v>
      </c>
      <c r="AU47" s="180">
        <f t="shared" si="20"/>
        <v>0</v>
      </c>
      <c r="AV47" s="171">
        <f>IF($J47&gt;0,AS47*$J47,"")</f>
        <v>0</v>
      </c>
      <c r="AW47" s="171">
        <f t="shared" si="3"/>
        <v>0</v>
      </c>
      <c r="AX47" s="189"/>
      <c r="AY47" s="189"/>
      <c r="AZ47" s="190" t="str">
        <f>+AF47</f>
        <v>% POTABILIZACION</v>
      </c>
      <c r="BA47" s="176">
        <v>1</v>
      </c>
      <c r="BB47" s="180">
        <f>IF($T47&gt;0,BA47/$T47,"")</f>
        <v>1</v>
      </c>
      <c r="BC47" s="180"/>
      <c r="BD47" s="180">
        <f t="shared" si="23"/>
        <v>0</v>
      </c>
      <c r="BE47" s="180">
        <f t="shared" si="24"/>
        <v>0</v>
      </c>
      <c r="BF47" s="171">
        <f>IF($J47&gt;0,BC47*$J47,"")</f>
        <v>0</v>
      </c>
      <c r="BG47" s="171">
        <f t="shared" si="4"/>
        <v>0</v>
      </c>
      <c r="BH47" s="189"/>
      <c r="BI47" s="189"/>
      <c r="BJ47" s="190" t="str">
        <f>+AZ47</f>
        <v>% POTABILIZACION</v>
      </c>
      <c r="BK47" s="238">
        <v>1</v>
      </c>
      <c r="BL47" s="180">
        <f>IF($T47&gt;0,BK47/$T47,"")</f>
        <v>1</v>
      </c>
      <c r="BM47" s="171" t="str">
        <f t="shared" si="5"/>
        <v>OK</v>
      </c>
      <c r="BN47" s="180">
        <f t="shared" si="6"/>
        <v>0.1</v>
      </c>
      <c r="BO47" s="171">
        <f t="shared" si="7"/>
        <v>0.1</v>
      </c>
      <c r="BP47" s="171">
        <f t="shared" si="8"/>
        <v>0.1</v>
      </c>
      <c r="BQ47" s="191">
        <f t="shared" si="9"/>
        <v>40000</v>
      </c>
      <c r="BR47" s="191">
        <f t="shared" si="10"/>
        <v>61767</v>
      </c>
      <c r="BS47" s="192" t="str">
        <f>+BJ47</f>
        <v>% POTABILIZACION</v>
      </c>
      <c r="BT47" s="193"/>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row>
    <row r="48" spans="1:157" s="184" customFormat="1" ht="287.25" customHeight="1" thickBot="1">
      <c r="A48" s="412"/>
      <c r="B48" s="412"/>
      <c r="C48" s="433"/>
      <c r="D48" s="432" t="s">
        <v>87</v>
      </c>
      <c r="E48" s="206" t="s">
        <v>88</v>
      </c>
      <c r="F48" s="236" t="s">
        <v>382</v>
      </c>
      <c r="G48" s="236" t="s">
        <v>81</v>
      </c>
      <c r="H48" s="419">
        <f>+I49+I48+I50</f>
        <v>0.050199999999999995</v>
      </c>
      <c r="I48" s="180">
        <v>0.02</v>
      </c>
      <c r="J48" s="180">
        <v>0.02</v>
      </c>
      <c r="K48" s="420">
        <f>+J48+J49+J50</f>
        <v>0.050199999999999995</v>
      </c>
      <c r="L48" s="180">
        <f>+J48/$K$48</f>
        <v>0.39840637450199207</v>
      </c>
      <c r="M48" s="171">
        <f t="shared" si="28"/>
        <v>0.39840637450199207</v>
      </c>
      <c r="N48" s="180">
        <v>0.1412</v>
      </c>
      <c r="O48" s="424"/>
      <c r="P48" s="187" t="s">
        <v>383</v>
      </c>
      <c r="Q48" s="210" t="s">
        <v>79</v>
      </c>
      <c r="R48" s="187" t="s">
        <v>226</v>
      </c>
      <c r="S48" s="188">
        <v>0.4</v>
      </c>
      <c r="T48" s="188">
        <v>0.8</v>
      </c>
      <c r="U48" s="188"/>
      <c r="V48" s="175"/>
      <c r="W48" s="176">
        <v>0.1</v>
      </c>
      <c r="X48" s="171">
        <f t="shared" si="11"/>
        <v>0.5</v>
      </c>
      <c r="Y48" s="180">
        <v>0.0425</v>
      </c>
      <c r="Z48" s="180">
        <f aca="true" t="shared" si="39" ref="Z48:Z58">IF(W48&gt;0,Y48/W48,(IF(Y48&gt;0,1,"")))</f>
        <v>0.425</v>
      </c>
      <c r="AA48" s="180">
        <f t="shared" si="13"/>
        <v>0.425</v>
      </c>
      <c r="AB48" s="171">
        <f>IF($J48&gt;0,Y48*$J48/0.8,"")</f>
        <v>0.0010625</v>
      </c>
      <c r="AC48" s="171">
        <f t="shared" si="1"/>
        <v>0.0010625</v>
      </c>
      <c r="AD48" s="189">
        <f>+'PLAN DE ACCION 2008'!Q410</f>
        <v>202500</v>
      </c>
      <c r="AE48" s="189">
        <f>+'PLAN DE ACCION 2008'!R410</f>
        <v>66829</v>
      </c>
      <c r="AF48" s="190" t="str">
        <f t="shared" si="34"/>
        <v>% MANTENIMIENTO RED ALC</v>
      </c>
      <c r="AG48" s="176">
        <v>0.6</v>
      </c>
      <c r="AH48" s="180">
        <f aca="true" t="shared" si="40" ref="AH48:AH58">IF($T48&gt;0,AG48/$T48,"")</f>
        <v>0.7499999999999999</v>
      </c>
      <c r="AI48" s="180"/>
      <c r="AJ48" s="180">
        <f t="shared" si="15"/>
        <v>0</v>
      </c>
      <c r="AK48" s="180">
        <f t="shared" si="16"/>
        <v>0</v>
      </c>
      <c r="AL48" s="171">
        <f>IF($J48&gt;0,AI48*$J48/0.8,"")</f>
        <v>0</v>
      </c>
      <c r="AM48" s="171">
        <f t="shared" si="2"/>
        <v>0</v>
      </c>
      <c r="AN48" s="189"/>
      <c r="AO48" s="189"/>
      <c r="AP48" s="190" t="str">
        <f aca="true" t="shared" si="41" ref="AP48:AP58">+AF48</f>
        <v>% MANTENIMIENTO RED ALC</v>
      </c>
      <c r="AQ48" s="176">
        <v>0.7</v>
      </c>
      <c r="AR48" s="180">
        <f aca="true" t="shared" si="42" ref="AR48:AR58">IF($T48&gt;0,AQ48/$T48,"")</f>
        <v>0.8749999999999999</v>
      </c>
      <c r="AS48" s="180"/>
      <c r="AT48" s="180">
        <f t="shared" si="19"/>
        <v>0</v>
      </c>
      <c r="AU48" s="180">
        <f t="shared" si="20"/>
        <v>0</v>
      </c>
      <c r="AV48" s="171">
        <f>IF($J48&gt;0,AS48*$J48/0.8,"")</f>
        <v>0</v>
      </c>
      <c r="AW48" s="171">
        <f t="shared" si="3"/>
        <v>0</v>
      </c>
      <c r="AX48" s="189"/>
      <c r="AY48" s="189"/>
      <c r="AZ48" s="190" t="str">
        <f aca="true" t="shared" si="43" ref="AZ48:AZ58">+AF48</f>
        <v>% MANTENIMIENTO RED ALC</v>
      </c>
      <c r="BA48" s="176">
        <v>0.8</v>
      </c>
      <c r="BB48" s="180">
        <f aca="true" t="shared" si="44" ref="BB48:BB58">IF($T48&gt;0,BA48/$T48,"")</f>
        <v>1</v>
      </c>
      <c r="BC48" s="180"/>
      <c r="BD48" s="180">
        <f t="shared" si="23"/>
        <v>0</v>
      </c>
      <c r="BE48" s="180">
        <f t="shared" si="24"/>
        <v>0</v>
      </c>
      <c r="BF48" s="171">
        <f>IF($J48&gt;0,BC48*$J48/0.8,"")</f>
        <v>0</v>
      </c>
      <c r="BG48" s="171">
        <f t="shared" si="4"/>
        <v>0</v>
      </c>
      <c r="BH48" s="189"/>
      <c r="BI48" s="189"/>
      <c r="BJ48" s="190" t="str">
        <f aca="true" t="shared" si="45" ref="BJ48:BJ58">+AZ48</f>
        <v>% MANTENIMIENTO RED ALC</v>
      </c>
      <c r="BK48" s="238">
        <v>0.8</v>
      </c>
      <c r="BL48" s="180">
        <f aca="true" t="shared" si="46" ref="BL48:BL58">IF($T48&gt;0,BK48/$T48,"")</f>
        <v>1</v>
      </c>
      <c r="BM48" s="171" t="str">
        <f t="shared" si="5"/>
        <v>OK</v>
      </c>
      <c r="BN48" s="180">
        <f t="shared" si="6"/>
        <v>0.0425</v>
      </c>
      <c r="BO48" s="171">
        <f t="shared" si="7"/>
        <v>0.0425</v>
      </c>
      <c r="BP48" s="171">
        <f t="shared" si="8"/>
        <v>0.0425</v>
      </c>
      <c r="BQ48" s="191">
        <f t="shared" si="9"/>
        <v>202500</v>
      </c>
      <c r="BR48" s="191">
        <f t="shared" si="10"/>
        <v>66829</v>
      </c>
      <c r="BS48" s="192" t="str">
        <f aca="true" t="shared" si="47" ref="BS48:BS58">+BJ48</f>
        <v>% MANTENIMIENTO RED ALC</v>
      </c>
      <c r="BT48" s="193"/>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row>
    <row r="49" spans="1:157" s="184" customFormat="1" ht="287.25" customHeight="1" thickBot="1">
      <c r="A49" s="412"/>
      <c r="B49" s="412"/>
      <c r="C49" s="433"/>
      <c r="D49" s="433"/>
      <c r="E49" s="206" t="s">
        <v>89</v>
      </c>
      <c r="F49" s="236" t="s">
        <v>384</v>
      </c>
      <c r="G49" s="236" t="s">
        <v>82</v>
      </c>
      <c r="H49" s="393"/>
      <c r="I49" s="180">
        <v>0.01</v>
      </c>
      <c r="J49" s="180">
        <v>0.01</v>
      </c>
      <c r="K49" s="421"/>
      <c r="L49" s="180">
        <f>+J49/$K$48</f>
        <v>0.19920318725099603</v>
      </c>
      <c r="M49" s="171">
        <f t="shared" si="28"/>
        <v>0.19920318725099603</v>
      </c>
      <c r="N49" s="180">
        <v>0.0706</v>
      </c>
      <c r="O49" s="424"/>
      <c r="P49" s="187" t="s">
        <v>385</v>
      </c>
      <c r="Q49" s="210" t="s">
        <v>79</v>
      </c>
      <c r="R49" s="187" t="s">
        <v>226</v>
      </c>
      <c r="S49" s="188">
        <v>0.6</v>
      </c>
      <c r="T49" s="188">
        <v>1</v>
      </c>
      <c r="U49" s="188"/>
      <c r="V49" s="175"/>
      <c r="W49" s="176">
        <v>0.1</v>
      </c>
      <c r="X49" s="171">
        <f t="shared" si="11"/>
        <v>0.7</v>
      </c>
      <c r="Y49" s="180">
        <v>0</v>
      </c>
      <c r="Z49" s="180">
        <f t="shared" si="39"/>
        <v>0</v>
      </c>
      <c r="AA49" s="180">
        <f t="shared" si="13"/>
        <v>0</v>
      </c>
      <c r="AB49" s="171">
        <f>IF($J49&gt;0,Y49*$J49/1,"")</f>
        <v>0</v>
      </c>
      <c r="AC49" s="171">
        <f t="shared" si="1"/>
        <v>0</v>
      </c>
      <c r="AD49" s="189">
        <f>+'PLAN DE ACCION 2008'!Q411</f>
        <v>0</v>
      </c>
      <c r="AE49" s="189">
        <f>+'PLAN DE ACCION 2008'!R411</f>
        <v>149685</v>
      </c>
      <c r="AF49" s="190" t="str">
        <f t="shared" si="34"/>
        <v>% CUBRIMIENTO PLAN MAESTRO</v>
      </c>
      <c r="AG49" s="176">
        <v>0.8</v>
      </c>
      <c r="AH49" s="180">
        <f t="shared" si="40"/>
        <v>0.8</v>
      </c>
      <c r="AI49" s="180"/>
      <c r="AJ49" s="180">
        <f t="shared" si="15"/>
        <v>0</v>
      </c>
      <c r="AK49" s="180">
        <f t="shared" si="16"/>
        <v>0</v>
      </c>
      <c r="AL49" s="171">
        <f>IF($J49&gt;0,AI49*$J49/1,"")</f>
        <v>0</v>
      </c>
      <c r="AM49" s="171">
        <f t="shared" si="2"/>
        <v>0</v>
      </c>
      <c r="AN49" s="189"/>
      <c r="AO49" s="189"/>
      <c r="AP49" s="190" t="str">
        <f t="shared" si="41"/>
        <v>% CUBRIMIENTO PLAN MAESTRO</v>
      </c>
      <c r="AQ49" s="176">
        <v>0.9</v>
      </c>
      <c r="AR49" s="180">
        <f t="shared" si="42"/>
        <v>0.9</v>
      </c>
      <c r="AS49" s="180"/>
      <c r="AT49" s="180">
        <f t="shared" si="19"/>
        <v>0</v>
      </c>
      <c r="AU49" s="180">
        <f t="shared" si="20"/>
        <v>0</v>
      </c>
      <c r="AV49" s="171">
        <f>IF($J49&gt;0,AS49*$J49/1,"")</f>
        <v>0</v>
      </c>
      <c r="AW49" s="171">
        <f t="shared" si="3"/>
        <v>0</v>
      </c>
      <c r="AX49" s="189"/>
      <c r="AY49" s="189"/>
      <c r="AZ49" s="190" t="str">
        <f t="shared" si="43"/>
        <v>% CUBRIMIENTO PLAN MAESTRO</v>
      </c>
      <c r="BA49" s="176">
        <v>1</v>
      </c>
      <c r="BB49" s="180">
        <f t="shared" si="44"/>
        <v>1</v>
      </c>
      <c r="BC49" s="180"/>
      <c r="BD49" s="180">
        <f t="shared" si="23"/>
        <v>0</v>
      </c>
      <c r="BE49" s="180">
        <f t="shared" si="24"/>
        <v>0</v>
      </c>
      <c r="BF49" s="171">
        <f>IF($J49&gt;0,BC49*$J49/1,"")</f>
        <v>0</v>
      </c>
      <c r="BG49" s="171">
        <f t="shared" si="4"/>
        <v>0</v>
      </c>
      <c r="BH49" s="189"/>
      <c r="BI49" s="189"/>
      <c r="BJ49" s="190" t="str">
        <f t="shared" si="45"/>
        <v>% CUBRIMIENTO PLAN MAESTRO</v>
      </c>
      <c r="BK49" s="238">
        <v>1</v>
      </c>
      <c r="BL49" s="180">
        <f t="shared" si="46"/>
        <v>1</v>
      </c>
      <c r="BM49" s="171" t="str">
        <f t="shared" si="5"/>
        <v>OK</v>
      </c>
      <c r="BN49" s="180">
        <f t="shared" si="6"/>
        <v>0</v>
      </c>
      <c r="BO49" s="171">
        <f t="shared" si="7"/>
        <v>0</v>
      </c>
      <c r="BP49" s="171">
        <f t="shared" si="8"/>
        <v>0</v>
      </c>
      <c r="BQ49" s="191">
        <f t="shared" si="9"/>
        <v>0</v>
      </c>
      <c r="BR49" s="191">
        <f t="shared" si="10"/>
        <v>149685</v>
      </c>
      <c r="BS49" s="192" t="str">
        <f t="shared" si="47"/>
        <v>% CUBRIMIENTO PLAN MAESTRO</v>
      </c>
      <c r="BT49" s="193"/>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row>
    <row r="50" spans="1:157" s="184" customFormat="1" ht="287.25" customHeight="1" thickBot="1">
      <c r="A50" s="412"/>
      <c r="B50" s="412"/>
      <c r="C50" s="433"/>
      <c r="D50" s="434"/>
      <c r="E50" s="206" t="s">
        <v>90</v>
      </c>
      <c r="F50" s="236" t="s">
        <v>386</v>
      </c>
      <c r="G50" s="236" t="s">
        <v>387</v>
      </c>
      <c r="H50" s="394"/>
      <c r="I50" s="180">
        <v>0.0202</v>
      </c>
      <c r="J50" s="180">
        <v>0.0202</v>
      </c>
      <c r="K50" s="422"/>
      <c r="L50" s="180">
        <f>+J50/$K$48</f>
        <v>0.402390438247012</v>
      </c>
      <c r="M50" s="171">
        <f t="shared" si="28"/>
        <v>0.402390438247012</v>
      </c>
      <c r="N50" s="180">
        <v>0.1427</v>
      </c>
      <c r="O50" s="424"/>
      <c r="P50" s="187" t="s">
        <v>388</v>
      </c>
      <c r="Q50" s="210" t="s">
        <v>79</v>
      </c>
      <c r="R50" s="187" t="s">
        <v>226</v>
      </c>
      <c r="S50" s="188">
        <v>0.6</v>
      </c>
      <c r="T50" s="188">
        <v>1</v>
      </c>
      <c r="U50" s="188"/>
      <c r="V50" s="175"/>
      <c r="W50" s="176">
        <v>0.1</v>
      </c>
      <c r="X50" s="171">
        <f t="shared" si="11"/>
        <v>0.7</v>
      </c>
      <c r="Y50" s="180">
        <v>0</v>
      </c>
      <c r="Z50" s="180">
        <f t="shared" si="39"/>
        <v>0</v>
      </c>
      <c r="AA50" s="180">
        <f t="shared" si="13"/>
        <v>0</v>
      </c>
      <c r="AB50" s="171">
        <f>IF($J50&gt;0,Y50*$J50/1,"")</f>
        <v>0</v>
      </c>
      <c r="AC50" s="171">
        <f t="shared" si="1"/>
        <v>0</v>
      </c>
      <c r="AD50" s="189">
        <f>+'PLAN DE ACCION 2008'!Q412</f>
        <v>0</v>
      </c>
      <c r="AE50" s="189">
        <f>+'PLAN DE ACCION 2008'!R412</f>
        <v>0</v>
      </c>
      <c r="AF50" s="190" t="str">
        <f t="shared" si="34"/>
        <v>% COBERTURA ALCANTARILLADO</v>
      </c>
      <c r="AG50" s="176">
        <v>0.8</v>
      </c>
      <c r="AH50" s="180">
        <f t="shared" si="40"/>
        <v>0.8</v>
      </c>
      <c r="AI50" s="180"/>
      <c r="AJ50" s="180">
        <f t="shared" si="15"/>
        <v>0</v>
      </c>
      <c r="AK50" s="180">
        <f t="shared" si="16"/>
        <v>0</v>
      </c>
      <c r="AL50" s="171">
        <f>IF($J50&gt;0,AI50*$J50/1,"")</f>
        <v>0</v>
      </c>
      <c r="AM50" s="171">
        <f t="shared" si="2"/>
        <v>0</v>
      </c>
      <c r="AN50" s="189"/>
      <c r="AO50" s="189"/>
      <c r="AP50" s="190" t="str">
        <f t="shared" si="41"/>
        <v>% COBERTURA ALCANTARILLADO</v>
      </c>
      <c r="AQ50" s="176">
        <v>0.9</v>
      </c>
      <c r="AR50" s="180">
        <f t="shared" si="42"/>
        <v>0.9</v>
      </c>
      <c r="AS50" s="180"/>
      <c r="AT50" s="180">
        <f t="shared" si="19"/>
        <v>0</v>
      </c>
      <c r="AU50" s="180">
        <f t="shared" si="20"/>
        <v>0</v>
      </c>
      <c r="AV50" s="171">
        <f>IF($J50&gt;0,AS50*$J50/1,"")</f>
        <v>0</v>
      </c>
      <c r="AW50" s="171">
        <f t="shared" si="3"/>
        <v>0</v>
      </c>
      <c r="AX50" s="189"/>
      <c r="AY50" s="189"/>
      <c r="AZ50" s="190" t="str">
        <f t="shared" si="43"/>
        <v>% COBERTURA ALCANTARILLADO</v>
      </c>
      <c r="BA50" s="176">
        <v>1</v>
      </c>
      <c r="BB50" s="180">
        <f t="shared" si="44"/>
        <v>1</v>
      </c>
      <c r="BC50" s="180"/>
      <c r="BD50" s="180">
        <f t="shared" si="23"/>
        <v>0</v>
      </c>
      <c r="BE50" s="180">
        <f t="shared" si="24"/>
        <v>0</v>
      </c>
      <c r="BF50" s="171">
        <f>IF($J50&gt;0,BC50*$J50/1,"")</f>
        <v>0</v>
      </c>
      <c r="BG50" s="171">
        <f t="shared" si="4"/>
        <v>0</v>
      </c>
      <c r="BH50" s="189"/>
      <c r="BI50" s="189"/>
      <c r="BJ50" s="190" t="str">
        <f t="shared" si="45"/>
        <v>% COBERTURA ALCANTARILLADO</v>
      </c>
      <c r="BK50" s="238">
        <v>1</v>
      </c>
      <c r="BL50" s="180">
        <f t="shared" si="46"/>
        <v>1</v>
      </c>
      <c r="BM50" s="171" t="str">
        <f t="shared" si="5"/>
        <v>OK</v>
      </c>
      <c r="BN50" s="180">
        <f t="shared" si="6"/>
        <v>0</v>
      </c>
      <c r="BO50" s="171">
        <f t="shared" si="7"/>
        <v>0</v>
      </c>
      <c r="BP50" s="171">
        <f t="shared" si="8"/>
        <v>0</v>
      </c>
      <c r="BQ50" s="191">
        <f t="shared" si="9"/>
        <v>0</v>
      </c>
      <c r="BR50" s="191">
        <f t="shared" si="10"/>
        <v>0</v>
      </c>
      <c r="BS50" s="192" t="str">
        <f t="shared" si="47"/>
        <v>% COBERTURA ALCANTARILLADO</v>
      </c>
      <c r="BT50" s="193"/>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row>
    <row r="51" spans="1:157" s="184" customFormat="1" ht="287.25" customHeight="1" thickBot="1">
      <c r="A51" s="412"/>
      <c r="B51" s="412"/>
      <c r="C51" s="433"/>
      <c r="D51" s="432" t="s">
        <v>96</v>
      </c>
      <c r="E51" s="206" t="s">
        <v>389</v>
      </c>
      <c r="F51" s="236" t="s">
        <v>390</v>
      </c>
      <c r="G51" s="236" t="s">
        <v>91</v>
      </c>
      <c r="H51" s="419">
        <f>+I51+I52+I53</f>
        <v>0.0191</v>
      </c>
      <c r="I51" s="180">
        <v>0.005</v>
      </c>
      <c r="J51" s="180">
        <v>0.005</v>
      </c>
      <c r="K51" s="420">
        <f>+J51+J52+J53</f>
        <v>0.0191</v>
      </c>
      <c r="L51" s="180">
        <f>+J51/K51</f>
        <v>0.2617801047120419</v>
      </c>
      <c r="M51" s="171">
        <f t="shared" si="28"/>
        <v>0.2617801047120419</v>
      </c>
      <c r="N51" s="180">
        <v>0.0353</v>
      </c>
      <c r="O51" s="424"/>
      <c r="P51" s="187" t="s">
        <v>391</v>
      </c>
      <c r="Q51" s="210" t="s">
        <v>79</v>
      </c>
      <c r="R51" s="187" t="s">
        <v>226</v>
      </c>
      <c r="S51" s="188">
        <v>0.5</v>
      </c>
      <c r="T51" s="188">
        <v>0.9</v>
      </c>
      <c r="U51" s="188"/>
      <c r="V51" s="175"/>
      <c r="W51" s="176">
        <v>0.1</v>
      </c>
      <c r="X51" s="171">
        <f t="shared" si="11"/>
        <v>0.6</v>
      </c>
      <c r="Y51" s="180">
        <v>0</v>
      </c>
      <c r="Z51" s="180">
        <f t="shared" si="39"/>
        <v>0</v>
      </c>
      <c r="AA51" s="180">
        <f t="shared" si="13"/>
        <v>0</v>
      </c>
      <c r="AB51" s="171">
        <f>IF($J51&gt;0,Y51*$J51/0.9,"")</f>
        <v>0</v>
      </c>
      <c r="AC51" s="171">
        <f t="shared" si="1"/>
        <v>0</v>
      </c>
      <c r="AD51" s="189">
        <f>+'PLAN DE ACCION 2008'!Q433</f>
        <v>30000</v>
      </c>
      <c r="AE51" s="189">
        <f>+'PLAN DE ACCION 2008'!R433</f>
        <v>24963</v>
      </c>
      <c r="AF51" s="190" t="str">
        <f t="shared" si="34"/>
        <v>% SENSIBILIZACION PGIRS</v>
      </c>
      <c r="AG51" s="176">
        <v>0.7</v>
      </c>
      <c r="AH51" s="180">
        <f t="shared" si="40"/>
        <v>0.7777777777777777</v>
      </c>
      <c r="AI51" s="180"/>
      <c r="AJ51" s="180">
        <f t="shared" si="15"/>
        <v>0</v>
      </c>
      <c r="AK51" s="180">
        <f t="shared" si="16"/>
        <v>0</v>
      </c>
      <c r="AL51" s="171">
        <f>IF($J51&gt;0,AI51*$J51/0.9,"")</f>
        <v>0</v>
      </c>
      <c r="AM51" s="171">
        <f t="shared" si="2"/>
        <v>0</v>
      </c>
      <c r="AN51" s="189"/>
      <c r="AO51" s="189"/>
      <c r="AP51" s="190" t="str">
        <f t="shared" si="41"/>
        <v>% SENSIBILIZACION PGIRS</v>
      </c>
      <c r="AQ51" s="176">
        <v>0.8</v>
      </c>
      <c r="AR51" s="180">
        <f t="shared" si="42"/>
        <v>0.888888888888889</v>
      </c>
      <c r="AS51" s="180"/>
      <c r="AT51" s="180">
        <f t="shared" si="19"/>
        <v>0</v>
      </c>
      <c r="AU51" s="180">
        <f t="shared" si="20"/>
        <v>0</v>
      </c>
      <c r="AV51" s="171">
        <f>IF($J51&gt;0,AS51*$J51/0.9,"")</f>
        <v>0</v>
      </c>
      <c r="AW51" s="171">
        <f t="shared" si="3"/>
        <v>0</v>
      </c>
      <c r="AX51" s="189"/>
      <c r="AY51" s="189"/>
      <c r="AZ51" s="190" t="str">
        <f t="shared" si="43"/>
        <v>% SENSIBILIZACION PGIRS</v>
      </c>
      <c r="BA51" s="176">
        <v>0.9</v>
      </c>
      <c r="BB51" s="180">
        <f t="shared" si="44"/>
        <v>1</v>
      </c>
      <c r="BC51" s="180"/>
      <c r="BD51" s="180">
        <f t="shared" si="23"/>
        <v>0</v>
      </c>
      <c r="BE51" s="180">
        <f t="shared" si="24"/>
        <v>0</v>
      </c>
      <c r="BF51" s="171">
        <f>IF($J51&gt;0,BC51*$J51/0.9,"")</f>
        <v>0</v>
      </c>
      <c r="BG51" s="171">
        <f t="shared" si="4"/>
        <v>0</v>
      </c>
      <c r="BH51" s="189"/>
      <c r="BI51" s="189"/>
      <c r="BJ51" s="190" t="str">
        <f t="shared" si="45"/>
        <v>% SENSIBILIZACION PGIRS</v>
      </c>
      <c r="BK51" s="238">
        <v>0.9</v>
      </c>
      <c r="BL51" s="180">
        <f t="shared" si="46"/>
        <v>1</v>
      </c>
      <c r="BM51" s="171" t="str">
        <f t="shared" si="5"/>
        <v>OK</v>
      </c>
      <c r="BN51" s="180">
        <f t="shared" si="6"/>
        <v>0</v>
      </c>
      <c r="BO51" s="171">
        <f t="shared" si="7"/>
        <v>0</v>
      </c>
      <c r="BP51" s="171">
        <f t="shared" si="8"/>
        <v>0</v>
      </c>
      <c r="BQ51" s="191">
        <f t="shared" si="9"/>
        <v>30000</v>
      </c>
      <c r="BR51" s="191">
        <f t="shared" si="10"/>
        <v>24963</v>
      </c>
      <c r="BS51" s="192" t="str">
        <f t="shared" si="47"/>
        <v>% SENSIBILIZACION PGIRS</v>
      </c>
      <c r="BT51" s="193"/>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row>
    <row r="52" spans="1:157" s="184" customFormat="1" ht="287.25" customHeight="1" thickBot="1">
      <c r="A52" s="412"/>
      <c r="B52" s="412"/>
      <c r="C52" s="433"/>
      <c r="D52" s="433"/>
      <c r="E52" s="206" t="s">
        <v>392</v>
      </c>
      <c r="F52" s="236" t="s">
        <v>393</v>
      </c>
      <c r="G52" s="236" t="s">
        <v>92</v>
      </c>
      <c r="H52" s="393"/>
      <c r="I52" s="180">
        <v>0.00705</v>
      </c>
      <c r="J52" s="180">
        <v>0.00705</v>
      </c>
      <c r="K52" s="421"/>
      <c r="L52" s="180">
        <f>+J52/K51</f>
        <v>0.3691099476439791</v>
      </c>
      <c r="M52" s="171">
        <f t="shared" si="28"/>
        <v>0.3691099476439791</v>
      </c>
      <c r="N52" s="180">
        <v>0.0498</v>
      </c>
      <c r="O52" s="424"/>
      <c r="P52" s="187" t="s">
        <v>394</v>
      </c>
      <c r="Q52" s="210" t="s">
        <v>79</v>
      </c>
      <c r="R52" s="187" t="s">
        <v>226</v>
      </c>
      <c r="S52" s="188">
        <v>0.6</v>
      </c>
      <c r="T52" s="188">
        <v>0.8</v>
      </c>
      <c r="U52" s="188"/>
      <c r="V52" s="175"/>
      <c r="W52" s="176">
        <v>0.05</v>
      </c>
      <c r="X52" s="171">
        <f t="shared" si="11"/>
        <v>0.65</v>
      </c>
      <c r="Y52" s="180">
        <v>0</v>
      </c>
      <c r="Z52" s="180">
        <f t="shared" si="39"/>
        <v>0</v>
      </c>
      <c r="AA52" s="180">
        <f t="shared" si="13"/>
        <v>0</v>
      </c>
      <c r="AB52" s="171">
        <f>IF($J52&gt;0,Y52*$J52/0.8,"")</f>
        <v>0</v>
      </c>
      <c r="AC52" s="171">
        <f t="shared" si="1"/>
        <v>0</v>
      </c>
      <c r="AD52" s="189">
        <f>+'PLAN DE ACCION 2008'!Q434</f>
        <v>10000</v>
      </c>
      <c r="AE52" s="189">
        <f>+'PLAN DE ACCION 2008'!R434</f>
        <v>0</v>
      </c>
      <c r="AF52" s="190" t="str">
        <f t="shared" si="34"/>
        <v>% ADECUACION</v>
      </c>
      <c r="AG52" s="176">
        <v>0.7</v>
      </c>
      <c r="AH52" s="180">
        <f t="shared" si="40"/>
        <v>0.8749999999999999</v>
      </c>
      <c r="AI52" s="180"/>
      <c r="AJ52" s="180">
        <f t="shared" si="15"/>
        <v>0</v>
      </c>
      <c r="AK52" s="180">
        <f t="shared" si="16"/>
        <v>0</v>
      </c>
      <c r="AL52" s="171">
        <f>IF($J52&gt;0,AI52*$J52/0.8,"")</f>
        <v>0</v>
      </c>
      <c r="AM52" s="171">
        <f t="shared" si="2"/>
        <v>0</v>
      </c>
      <c r="AN52" s="189"/>
      <c r="AO52" s="189"/>
      <c r="AP52" s="190" t="str">
        <f t="shared" si="41"/>
        <v>% ADECUACION</v>
      </c>
      <c r="AQ52" s="176">
        <v>0.75</v>
      </c>
      <c r="AR52" s="180">
        <f t="shared" si="42"/>
        <v>0.9375</v>
      </c>
      <c r="AS52" s="180"/>
      <c r="AT52" s="180">
        <f t="shared" si="19"/>
        <v>0</v>
      </c>
      <c r="AU52" s="180">
        <f t="shared" si="20"/>
        <v>0</v>
      </c>
      <c r="AV52" s="171">
        <f>IF($J52&gt;0,AS52*$J52/0.8,"")</f>
        <v>0</v>
      </c>
      <c r="AW52" s="171">
        <f t="shared" si="3"/>
        <v>0</v>
      </c>
      <c r="AX52" s="189"/>
      <c r="AY52" s="189"/>
      <c r="AZ52" s="190" t="str">
        <f t="shared" si="43"/>
        <v>% ADECUACION</v>
      </c>
      <c r="BA52" s="176">
        <v>0.8</v>
      </c>
      <c r="BB52" s="180">
        <f t="shared" si="44"/>
        <v>1</v>
      </c>
      <c r="BC52" s="180"/>
      <c r="BD52" s="180">
        <f t="shared" si="23"/>
        <v>0</v>
      </c>
      <c r="BE52" s="180">
        <f t="shared" si="24"/>
        <v>0</v>
      </c>
      <c r="BF52" s="171">
        <f>IF($J52&gt;0,BC52*$J52/0.8,"")</f>
        <v>0</v>
      </c>
      <c r="BG52" s="171">
        <f t="shared" si="4"/>
        <v>0</v>
      </c>
      <c r="BH52" s="189"/>
      <c r="BI52" s="189"/>
      <c r="BJ52" s="190" t="str">
        <f t="shared" si="45"/>
        <v>% ADECUACION</v>
      </c>
      <c r="BK52" s="238">
        <v>0.8</v>
      </c>
      <c r="BL52" s="180">
        <f t="shared" si="46"/>
        <v>1</v>
      </c>
      <c r="BM52" s="171" t="str">
        <f t="shared" si="5"/>
        <v>OK</v>
      </c>
      <c r="BN52" s="180">
        <f t="shared" si="6"/>
        <v>0</v>
      </c>
      <c r="BO52" s="171">
        <f t="shared" si="7"/>
        <v>0</v>
      </c>
      <c r="BP52" s="171">
        <f t="shared" si="8"/>
        <v>0</v>
      </c>
      <c r="BQ52" s="191">
        <f t="shared" si="9"/>
        <v>10000</v>
      </c>
      <c r="BR52" s="191">
        <f t="shared" si="10"/>
        <v>0</v>
      </c>
      <c r="BS52" s="192" t="str">
        <f t="shared" si="47"/>
        <v>% ADECUACION</v>
      </c>
      <c r="BT52" s="193"/>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row>
    <row r="53" spans="1:157" s="184" customFormat="1" ht="287.25" customHeight="1" thickBot="1">
      <c r="A53" s="412"/>
      <c r="B53" s="413"/>
      <c r="C53" s="434"/>
      <c r="D53" s="434"/>
      <c r="E53" s="206" t="s">
        <v>395</v>
      </c>
      <c r="F53" s="236"/>
      <c r="G53" s="236" t="s">
        <v>83</v>
      </c>
      <c r="H53" s="394"/>
      <c r="I53" s="180">
        <v>0.00705</v>
      </c>
      <c r="J53" s="180">
        <v>0.00705</v>
      </c>
      <c r="K53" s="422"/>
      <c r="L53" s="180">
        <f>+J53/K51</f>
        <v>0.3691099476439791</v>
      </c>
      <c r="M53" s="171">
        <f t="shared" si="28"/>
        <v>0.3691099476439791</v>
      </c>
      <c r="N53" s="180">
        <v>0.0498</v>
      </c>
      <c r="O53" s="425"/>
      <c r="P53" s="187" t="s">
        <v>396</v>
      </c>
      <c r="Q53" s="210" t="s">
        <v>79</v>
      </c>
      <c r="R53" s="187" t="s">
        <v>226</v>
      </c>
      <c r="S53" s="188">
        <v>0.6</v>
      </c>
      <c r="T53" s="188">
        <v>0.8</v>
      </c>
      <c r="U53" s="188"/>
      <c r="V53" s="175"/>
      <c r="W53" s="176">
        <v>0.05</v>
      </c>
      <c r="X53" s="171">
        <f t="shared" si="11"/>
        <v>0.65</v>
      </c>
      <c r="Y53" s="180">
        <v>0.05</v>
      </c>
      <c r="Z53" s="180">
        <f t="shared" si="39"/>
        <v>1</v>
      </c>
      <c r="AA53" s="180">
        <f t="shared" si="13"/>
        <v>1</v>
      </c>
      <c r="AB53" s="171">
        <f>IF($J53&gt;0,Y53*$J53/0.8,"")</f>
        <v>0.000440625</v>
      </c>
      <c r="AC53" s="171">
        <f t="shared" si="1"/>
        <v>0.000440625</v>
      </c>
      <c r="AD53" s="189">
        <f>+'PLAN DE ACCION 2008'!Q435</f>
        <v>125000</v>
      </c>
      <c r="AE53" s="189">
        <f>+'PLAN DE ACCION 2008'!R435</f>
        <v>248038</v>
      </c>
      <c r="AF53" s="190" t="str">
        <f t="shared" si="34"/>
        <v>% APOYO</v>
      </c>
      <c r="AG53" s="176">
        <v>0.7</v>
      </c>
      <c r="AH53" s="180">
        <f t="shared" si="40"/>
        <v>0.8749999999999999</v>
      </c>
      <c r="AI53" s="180"/>
      <c r="AJ53" s="180">
        <f t="shared" si="15"/>
        <v>0</v>
      </c>
      <c r="AK53" s="180">
        <f t="shared" si="16"/>
        <v>0</v>
      </c>
      <c r="AL53" s="171">
        <f>IF($J53&gt;0,AI53*$J53/0.8,"")</f>
        <v>0</v>
      </c>
      <c r="AM53" s="171">
        <f t="shared" si="2"/>
        <v>0</v>
      </c>
      <c r="AN53" s="189"/>
      <c r="AO53" s="189"/>
      <c r="AP53" s="190" t="str">
        <f t="shared" si="41"/>
        <v>% APOYO</v>
      </c>
      <c r="AQ53" s="176">
        <v>0.75</v>
      </c>
      <c r="AR53" s="180">
        <f t="shared" si="42"/>
        <v>0.9375</v>
      </c>
      <c r="AS53" s="180"/>
      <c r="AT53" s="180">
        <f t="shared" si="19"/>
        <v>0</v>
      </c>
      <c r="AU53" s="180">
        <f t="shared" si="20"/>
        <v>0</v>
      </c>
      <c r="AV53" s="171">
        <f>IF($J53&gt;0,AS53*$J53/0.8,"")</f>
        <v>0</v>
      </c>
      <c r="AW53" s="171">
        <f t="shared" si="3"/>
        <v>0</v>
      </c>
      <c r="AX53" s="189"/>
      <c r="AY53" s="189"/>
      <c r="AZ53" s="190" t="str">
        <f t="shared" si="43"/>
        <v>% APOYO</v>
      </c>
      <c r="BA53" s="176">
        <v>0.8</v>
      </c>
      <c r="BB53" s="180">
        <f t="shared" si="44"/>
        <v>1</v>
      </c>
      <c r="BC53" s="180"/>
      <c r="BD53" s="180">
        <f t="shared" si="23"/>
        <v>0</v>
      </c>
      <c r="BE53" s="180">
        <f t="shared" si="24"/>
        <v>0</v>
      </c>
      <c r="BF53" s="171">
        <f>IF($J53&gt;0,BC53*$J53/0.8,"")</f>
        <v>0</v>
      </c>
      <c r="BG53" s="171">
        <f t="shared" si="4"/>
        <v>0</v>
      </c>
      <c r="BH53" s="189"/>
      <c r="BI53" s="189"/>
      <c r="BJ53" s="190" t="str">
        <f t="shared" si="45"/>
        <v>% APOYO</v>
      </c>
      <c r="BK53" s="238">
        <v>0.8</v>
      </c>
      <c r="BL53" s="180">
        <f t="shared" si="46"/>
        <v>1</v>
      </c>
      <c r="BM53" s="171" t="str">
        <f t="shared" si="5"/>
        <v>OK</v>
      </c>
      <c r="BN53" s="180">
        <f t="shared" si="6"/>
        <v>0.05</v>
      </c>
      <c r="BO53" s="171">
        <f t="shared" si="7"/>
        <v>0.05</v>
      </c>
      <c r="BP53" s="171">
        <f t="shared" si="8"/>
        <v>0.05</v>
      </c>
      <c r="BQ53" s="191">
        <f t="shared" si="9"/>
        <v>125000</v>
      </c>
      <c r="BR53" s="191">
        <f t="shared" si="10"/>
        <v>248038</v>
      </c>
      <c r="BS53" s="192" t="str">
        <f t="shared" si="47"/>
        <v>% APOYO</v>
      </c>
      <c r="BT53" s="193"/>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row>
    <row r="54" spans="1:157" s="184" customFormat="1" ht="287.25" customHeight="1" thickBot="1">
      <c r="A54" s="412"/>
      <c r="B54" s="416" t="s">
        <v>104</v>
      </c>
      <c r="C54" s="432" t="s">
        <v>397</v>
      </c>
      <c r="D54" s="432" t="s">
        <v>105</v>
      </c>
      <c r="E54" s="206" t="s">
        <v>398</v>
      </c>
      <c r="F54" s="236" t="s">
        <v>399</v>
      </c>
      <c r="G54" s="236" t="s">
        <v>100</v>
      </c>
      <c r="H54" s="419">
        <f>+I54+I55</f>
        <v>0.0071</v>
      </c>
      <c r="I54" s="180">
        <v>0.0031</v>
      </c>
      <c r="J54" s="180">
        <v>0.0031</v>
      </c>
      <c r="K54" s="420">
        <v>0.0071</v>
      </c>
      <c r="L54" s="180">
        <f>+J54/$K$54</f>
        <v>0.43661971830985913</v>
      </c>
      <c r="M54" s="171">
        <f t="shared" si="28"/>
        <v>0.43661971830985913</v>
      </c>
      <c r="N54" s="180">
        <v>0.0068</v>
      </c>
      <c r="O54" s="423">
        <f>+SUM(N54:N58)</f>
        <v>0.0435</v>
      </c>
      <c r="P54" s="187" t="s">
        <v>400</v>
      </c>
      <c r="Q54" s="187" t="s">
        <v>29</v>
      </c>
      <c r="R54" s="187" t="s">
        <v>226</v>
      </c>
      <c r="S54" s="199">
        <v>200</v>
      </c>
      <c r="T54" s="199">
        <v>240</v>
      </c>
      <c r="U54" s="199"/>
      <c r="V54" s="200"/>
      <c r="W54" s="201">
        <v>10</v>
      </c>
      <c r="X54" s="202">
        <f t="shared" si="11"/>
        <v>210</v>
      </c>
      <c r="Y54" s="203">
        <v>10</v>
      </c>
      <c r="Z54" s="180">
        <f t="shared" si="39"/>
        <v>1</v>
      </c>
      <c r="AA54" s="180">
        <f t="shared" si="13"/>
        <v>1</v>
      </c>
      <c r="AB54" s="171">
        <f>IF($J54&gt;0,Y54*$J54/240,"")</f>
        <v>0.00012916666666666667</v>
      </c>
      <c r="AC54" s="171">
        <f t="shared" si="1"/>
        <v>0.00012916666666666667</v>
      </c>
      <c r="AD54" s="189">
        <f>+'PLAN DE ACCION 2008'!Q456</f>
        <v>28090</v>
      </c>
      <c r="AE54" s="189">
        <f>+'PLAN DE ACCION 2008'!R456</f>
        <v>27840</v>
      </c>
      <c r="AF54" s="190" t="str">
        <f t="shared" si="34"/>
        <v>Nº HAS REFORESTAR</v>
      </c>
      <c r="AG54" s="201">
        <v>220</v>
      </c>
      <c r="AH54" s="180">
        <f t="shared" si="40"/>
        <v>0.9166666666666666</v>
      </c>
      <c r="AI54" s="180"/>
      <c r="AJ54" s="180">
        <f t="shared" si="15"/>
        <v>0</v>
      </c>
      <c r="AK54" s="180">
        <f t="shared" si="16"/>
        <v>0</v>
      </c>
      <c r="AL54" s="171">
        <f>IF($J54&gt;0,AI54*$J54/240,"")</f>
        <v>0</v>
      </c>
      <c r="AM54" s="171">
        <f t="shared" si="2"/>
        <v>0</v>
      </c>
      <c r="AN54" s="189"/>
      <c r="AO54" s="189"/>
      <c r="AP54" s="190" t="str">
        <f t="shared" si="41"/>
        <v>Nº HAS REFORESTAR</v>
      </c>
      <c r="AQ54" s="201">
        <v>230</v>
      </c>
      <c r="AR54" s="180">
        <f t="shared" si="42"/>
        <v>0.9583333333333334</v>
      </c>
      <c r="AS54" s="180"/>
      <c r="AT54" s="180">
        <f t="shared" si="19"/>
        <v>0</v>
      </c>
      <c r="AU54" s="180">
        <f t="shared" si="20"/>
        <v>0</v>
      </c>
      <c r="AV54" s="171">
        <f>IF($J54&gt;0,AS54*$J54/240,"")</f>
        <v>0</v>
      </c>
      <c r="AW54" s="171">
        <f t="shared" si="3"/>
        <v>0</v>
      </c>
      <c r="AX54" s="189"/>
      <c r="AY54" s="189"/>
      <c r="AZ54" s="190" t="str">
        <f t="shared" si="43"/>
        <v>Nº HAS REFORESTAR</v>
      </c>
      <c r="BA54" s="201">
        <v>240</v>
      </c>
      <c r="BB54" s="180">
        <f t="shared" si="44"/>
        <v>1</v>
      </c>
      <c r="BC54" s="180"/>
      <c r="BD54" s="180">
        <f t="shared" si="23"/>
        <v>0</v>
      </c>
      <c r="BE54" s="180">
        <f t="shared" si="24"/>
        <v>0</v>
      </c>
      <c r="BF54" s="171">
        <f>IF($J54&gt;0,BC54*$J54/240,"")</f>
        <v>0</v>
      </c>
      <c r="BG54" s="171">
        <f t="shared" si="4"/>
        <v>0</v>
      </c>
      <c r="BH54" s="189"/>
      <c r="BI54" s="189"/>
      <c r="BJ54" s="190" t="str">
        <f t="shared" si="45"/>
        <v>Nº HAS REFORESTAR</v>
      </c>
      <c r="BK54" s="239">
        <v>240</v>
      </c>
      <c r="BL54" s="180">
        <f t="shared" si="46"/>
        <v>1</v>
      </c>
      <c r="BM54" s="171" t="str">
        <f t="shared" si="5"/>
        <v>OK</v>
      </c>
      <c r="BN54" s="203">
        <f t="shared" si="6"/>
        <v>10</v>
      </c>
      <c r="BO54" s="171">
        <f t="shared" si="7"/>
        <v>10</v>
      </c>
      <c r="BP54" s="171">
        <f t="shared" si="8"/>
        <v>1</v>
      </c>
      <c r="BQ54" s="191">
        <f t="shared" si="9"/>
        <v>28090</v>
      </c>
      <c r="BR54" s="191">
        <f t="shared" si="10"/>
        <v>27840</v>
      </c>
      <c r="BS54" s="192" t="str">
        <f t="shared" si="47"/>
        <v>Nº HAS REFORESTAR</v>
      </c>
      <c r="BT54" s="193"/>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row>
    <row r="55" spans="1:157" s="184" customFormat="1" ht="287.25" customHeight="1" thickBot="1">
      <c r="A55" s="412"/>
      <c r="B55" s="412"/>
      <c r="C55" s="433"/>
      <c r="D55" s="434"/>
      <c r="E55" s="206" t="s">
        <v>401</v>
      </c>
      <c r="F55" s="236" t="s">
        <v>399</v>
      </c>
      <c r="G55" s="236" t="s">
        <v>402</v>
      </c>
      <c r="H55" s="394"/>
      <c r="I55" s="180">
        <v>0.004</v>
      </c>
      <c r="J55" s="180">
        <v>0.004</v>
      </c>
      <c r="K55" s="422"/>
      <c r="L55" s="180">
        <f>+J55/$K$54</f>
        <v>0.5633802816901409</v>
      </c>
      <c r="M55" s="171">
        <f t="shared" si="28"/>
        <v>0.5633802816901409</v>
      </c>
      <c r="N55" s="180">
        <v>0.0087</v>
      </c>
      <c r="O55" s="424"/>
      <c r="P55" s="187" t="s">
        <v>403</v>
      </c>
      <c r="Q55" s="187" t="s">
        <v>29</v>
      </c>
      <c r="R55" s="187" t="s">
        <v>226</v>
      </c>
      <c r="S55" s="188">
        <v>0.2</v>
      </c>
      <c r="T55" s="188">
        <v>0.6</v>
      </c>
      <c r="U55" s="199"/>
      <c r="V55" s="200"/>
      <c r="W55" s="176">
        <v>0.1</v>
      </c>
      <c r="X55" s="171">
        <f t="shared" si="11"/>
        <v>0.30000000000000004</v>
      </c>
      <c r="Y55" s="180">
        <v>0.1</v>
      </c>
      <c r="Z55" s="180">
        <f t="shared" si="39"/>
        <v>1</v>
      </c>
      <c r="AA55" s="180">
        <f t="shared" si="13"/>
        <v>1</v>
      </c>
      <c r="AB55" s="171">
        <f>IF($J55&gt;0,Y55*$J55/0.6,"")</f>
        <v>0.0006666666666666668</v>
      </c>
      <c r="AC55" s="171">
        <f t="shared" si="1"/>
        <v>0.0006666666666666668</v>
      </c>
      <c r="AD55" s="189">
        <f>+'PLAN DE ACCION 2008'!Q457</f>
        <v>0</v>
      </c>
      <c r="AE55" s="189">
        <f>+'PLAN DE ACCION 2008'!R457</f>
        <v>138016</v>
      </c>
      <c r="AF55" s="190" t="str">
        <f t="shared" si="34"/>
        <v>% PROTECCION CUENCAS</v>
      </c>
      <c r="AG55" s="176">
        <v>0.4</v>
      </c>
      <c r="AH55" s="180">
        <f t="shared" si="40"/>
        <v>0.6666666666666667</v>
      </c>
      <c r="AI55" s="180"/>
      <c r="AJ55" s="180">
        <f t="shared" si="15"/>
        <v>0</v>
      </c>
      <c r="AK55" s="180">
        <f t="shared" si="16"/>
        <v>0</v>
      </c>
      <c r="AL55" s="171">
        <f>IF($J55&gt;0,AI55*$J55/0.6,"")</f>
        <v>0</v>
      </c>
      <c r="AM55" s="171">
        <f t="shared" si="2"/>
        <v>0</v>
      </c>
      <c r="AN55" s="189"/>
      <c r="AO55" s="189"/>
      <c r="AP55" s="190">
        <v>50</v>
      </c>
      <c r="AQ55" s="176">
        <v>65</v>
      </c>
      <c r="AR55" s="180">
        <f t="shared" si="42"/>
        <v>108.33333333333334</v>
      </c>
      <c r="AS55" s="180"/>
      <c r="AT55" s="180">
        <f t="shared" si="19"/>
        <v>0</v>
      </c>
      <c r="AU55" s="180">
        <f t="shared" si="20"/>
        <v>0</v>
      </c>
      <c r="AV55" s="171">
        <f>IF($J55&gt;0,AS55*$J55/0.6,"")</f>
        <v>0</v>
      </c>
      <c r="AW55" s="171">
        <f t="shared" si="3"/>
        <v>0</v>
      </c>
      <c r="AX55" s="189"/>
      <c r="AY55" s="189"/>
      <c r="AZ55" s="190" t="str">
        <f t="shared" si="43"/>
        <v>% PROTECCION CUENCAS</v>
      </c>
      <c r="BA55" s="176">
        <v>0.6</v>
      </c>
      <c r="BB55" s="180">
        <f t="shared" si="44"/>
        <v>1</v>
      </c>
      <c r="BC55" s="180"/>
      <c r="BD55" s="180">
        <f t="shared" si="23"/>
        <v>0</v>
      </c>
      <c r="BE55" s="180">
        <f t="shared" si="24"/>
        <v>0</v>
      </c>
      <c r="BF55" s="171">
        <f>IF($J55&gt;0,BC55*$J55/0.6,"")</f>
        <v>0</v>
      </c>
      <c r="BG55" s="171">
        <f t="shared" si="4"/>
        <v>0</v>
      </c>
      <c r="BH55" s="189"/>
      <c r="BI55" s="189"/>
      <c r="BJ55" s="190" t="str">
        <f t="shared" si="45"/>
        <v>% PROTECCION CUENCAS</v>
      </c>
      <c r="BK55" s="238">
        <v>0.6</v>
      </c>
      <c r="BL55" s="180">
        <f t="shared" si="46"/>
        <v>1</v>
      </c>
      <c r="BM55" s="171" t="str">
        <f t="shared" si="5"/>
        <v>OK</v>
      </c>
      <c r="BN55" s="180">
        <f t="shared" si="6"/>
        <v>0.1</v>
      </c>
      <c r="BO55" s="171">
        <f t="shared" si="7"/>
        <v>0.1</v>
      </c>
      <c r="BP55" s="171">
        <f t="shared" si="8"/>
        <v>0.1</v>
      </c>
      <c r="BQ55" s="191">
        <f t="shared" si="9"/>
        <v>0</v>
      </c>
      <c r="BR55" s="191">
        <f t="shared" si="10"/>
        <v>138016</v>
      </c>
      <c r="BS55" s="192" t="str">
        <f t="shared" si="47"/>
        <v>% PROTECCION CUENCAS</v>
      </c>
      <c r="BT55" s="193"/>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row>
    <row r="56" spans="1:157" s="184" customFormat="1" ht="287.25" customHeight="1" thickBot="1">
      <c r="A56" s="412"/>
      <c r="B56" s="413"/>
      <c r="C56" s="434"/>
      <c r="D56" s="206" t="s">
        <v>404</v>
      </c>
      <c r="E56" s="206" t="s">
        <v>405</v>
      </c>
      <c r="F56" s="236" t="s">
        <v>406</v>
      </c>
      <c r="G56" s="236" t="s">
        <v>109</v>
      </c>
      <c r="H56" s="188">
        <f>+I56</f>
        <v>0.0108</v>
      </c>
      <c r="I56" s="180">
        <v>0.0108</v>
      </c>
      <c r="J56" s="180">
        <v>0.0108</v>
      </c>
      <c r="K56" s="180">
        <v>0.0108</v>
      </c>
      <c r="L56" s="180">
        <f>+J56/$K$56</f>
        <v>1</v>
      </c>
      <c r="M56" s="171">
        <f t="shared" si="28"/>
        <v>1</v>
      </c>
      <c r="N56" s="180">
        <v>0.0236</v>
      </c>
      <c r="O56" s="424"/>
      <c r="P56" s="187" t="s">
        <v>407</v>
      </c>
      <c r="Q56" s="187" t="s">
        <v>29</v>
      </c>
      <c r="R56" s="187" t="s">
        <v>226</v>
      </c>
      <c r="S56" s="199">
        <v>200</v>
      </c>
      <c r="T56" s="199">
        <v>240</v>
      </c>
      <c r="U56" s="199"/>
      <c r="V56" s="200"/>
      <c r="W56" s="201">
        <v>10</v>
      </c>
      <c r="X56" s="202">
        <f t="shared" si="11"/>
        <v>210</v>
      </c>
      <c r="Y56" s="180">
        <v>0</v>
      </c>
      <c r="Z56" s="180">
        <f t="shared" si="39"/>
        <v>0</v>
      </c>
      <c r="AA56" s="180">
        <f t="shared" si="13"/>
        <v>0</v>
      </c>
      <c r="AB56" s="171">
        <f>IF($J56&gt;0,Y56*$J56/240,"")</f>
        <v>0</v>
      </c>
      <c r="AC56" s="171">
        <f t="shared" si="1"/>
        <v>0</v>
      </c>
      <c r="AD56" s="189">
        <f>+'PLAN DE ACCION 2008'!Q479</f>
        <v>5000</v>
      </c>
      <c r="AE56" s="189">
        <f>+'PLAN DE ACCION 2008'!R479</f>
        <v>0</v>
      </c>
      <c r="AF56" s="190" t="str">
        <f t="shared" si="34"/>
        <v>Nº HAS  COMPRADAS CONSERVACION</v>
      </c>
      <c r="AG56" s="201">
        <v>220</v>
      </c>
      <c r="AH56" s="180">
        <f t="shared" si="40"/>
        <v>0.9166666666666666</v>
      </c>
      <c r="AI56" s="180"/>
      <c r="AJ56" s="180">
        <f t="shared" si="15"/>
        <v>0</v>
      </c>
      <c r="AK56" s="180">
        <f t="shared" si="16"/>
        <v>0</v>
      </c>
      <c r="AL56" s="171">
        <f>IF($J56&gt;0,AI56*$J56/240,"")</f>
        <v>0</v>
      </c>
      <c r="AM56" s="171">
        <f t="shared" si="2"/>
        <v>0</v>
      </c>
      <c r="AN56" s="189"/>
      <c r="AO56" s="189"/>
      <c r="AP56" s="190" t="str">
        <f t="shared" si="41"/>
        <v>Nº HAS  COMPRADAS CONSERVACION</v>
      </c>
      <c r="AQ56" s="201">
        <v>230</v>
      </c>
      <c r="AR56" s="180">
        <f t="shared" si="42"/>
        <v>0.9583333333333334</v>
      </c>
      <c r="AS56" s="180"/>
      <c r="AT56" s="180">
        <f t="shared" si="19"/>
        <v>0</v>
      </c>
      <c r="AU56" s="180">
        <f t="shared" si="20"/>
        <v>0</v>
      </c>
      <c r="AV56" s="171">
        <f>IF($J56&gt;0,AS56*$J56/240,"")</f>
        <v>0</v>
      </c>
      <c r="AW56" s="171">
        <f t="shared" si="3"/>
        <v>0</v>
      </c>
      <c r="AX56" s="189"/>
      <c r="AY56" s="189"/>
      <c r="AZ56" s="190" t="str">
        <f t="shared" si="43"/>
        <v>Nº HAS  COMPRADAS CONSERVACION</v>
      </c>
      <c r="BA56" s="201">
        <v>240</v>
      </c>
      <c r="BB56" s="180">
        <f t="shared" si="44"/>
        <v>1</v>
      </c>
      <c r="BC56" s="180"/>
      <c r="BD56" s="180">
        <f t="shared" si="23"/>
        <v>0</v>
      </c>
      <c r="BE56" s="180">
        <f t="shared" si="24"/>
        <v>0</v>
      </c>
      <c r="BF56" s="171">
        <f>IF($J56&gt;0,BC56*$J56/240,"")</f>
        <v>0</v>
      </c>
      <c r="BG56" s="171">
        <f t="shared" si="4"/>
        <v>0</v>
      </c>
      <c r="BH56" s="189"/>
      <c r="BI56" s="189"/>
      <c r="BJ56" s="190" t="str">
        <f t="shared" si="45"/>
        <v>Nº HAS  COMPRADAS CONSERVACION</v>
      </c>
      <c r="BK56" s="239">
        <v>240</v>
      </c>
      <c r="BL56" s="180">
        <f t="shared" si="46"/>
        <v>1</v>
      </c>
      <c r="BM56" s="171" t="str">
        <f t="shared" si="5"/>
        <v>OK</v>
      </c>
      <c r="BN56" s="203">
        <f t="shared" si="6"/>
        <v>0</v>
      </c>
      <c r="BO56" s="171">
        <f t="shared" si="7"/>
        <v>0</v>
      </c>
      <c r="BP56" s="171">
        <f t="shared" si="8"/>
        <v>0</v>
      </c>
      <c r="BQ56" s="191">
        <f t="shared" si="9"/>
        <v>5000</v>
      </c>
      <c r="BR56" s="191">
        <f t="shared" si="10"/>
        <v>0</v>
      </c>
      <c r="BS56" s="192" t="str">
        <f t="shared" si="47"/>
        <v>Nº HAS  COMPRADAS CONSERVACION</v>
      </c>
      <c r="BT56" s="193"/>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c r="CZ56" s="167"/>
      <c r="DA56" s="167"/>
      <c r="DB56" s="167"/>
      <c r="DC56" s="167"/>
      <c r="DD56" s="167"/>
      <c r="DE56" s="167"/>
      <c r="DF56" s="167"/>
      <c r="DG56" s="167"/>
      <c r="DH56" s="167"/>
      <c r="DI56" s="167"/>
      <c r="DJ56" s="167"/>
      <c r="DK56" s="167"/>
      <c r="DL56" s="167"/>
      <c r="DM56" s="167"/>
      <c r="DN56" s="167"/>
      <c r="DO56" s="167"/>
      <c r="DP56" s="167"/>
      <c r="DQ56" s="167"/>
      <c r="DR56" s="167"/>
      <c r="DS56" s="167"/>
      <c r="DT56" s="167"/>
      <c r="DU56" s="167"/>
      <c r="DV56" s="167"/>
      <c r="DW56" s="167"/>
      <c r="DX56" s="167"/>
      <c r="DY56" s="167"/>
      <c r="DZ56" s="167"/>
      <c r="EA56" s="167"/>
      <c r="EB56" s="167"/>
      <c r="EC56" s="167"/>
      <c r="ED56" s="167"/>
      <c r="EE56" s="167"/>
      <c r="EF56" s="167"/>
      <c r="EG56" s="167"/>
      <c r="EH56" s="167"/>
      <c r="EI56" s="167"/>
      <c r="EJ56" s="167"/>
      <c r="EK56" s="167"/>
      <c r="EL56" s="167"/>
      <c r="EM56" s="167"/>
      <c r="EN56" s="167"/>
      <c r="EO56" s="167"/>
      <c r="EP56" s="167"/>
      <c r="EQ56" s="167"/>
      <c r="ER56" s="167"/>
      <c r="ES56" s="167"/>
      <c r="ET56" s="167"/>
      <c r="EU56" s="167"/>
      <c r="EV56" s="167"/>
      <c r="EW56" s="167"/>
      <c r="EX56" s="167"/>
      <c r="EY56" s="167"/>
      <c r="EZ56" s="167"/>
      <c r="FA56" s="167"/>
    </row>
    <row r="57" spans="1:157" s="184" customFormat="1" ht="287.25" customHeight="1" thickBot="1">
      <c r="A57" s="412"/>
      <c r="B57" s="416" t="s">
        <v>408</v>
      </c>
      <c r="C57" s="432" t="s">
        <v>409</v>
      </c>
      <c r="D57" s="432" t="s">
        <v>118</v>
      </c>
      <c r="E57" s="206" t="s">
        <v>410</v>
      </c>
      <c r="F57" s="236" t="s">
        <v>411</v>
      </c>
      <c r="G57" s="236" t="s">
        <v>113</v>
      </c>
      <c r="H57" s="419">
        <f>+I57+I58</f>
        <v>0.002</v>
      </c>
      <c r="I57" s="180">
        <v>0.001</v>
      </c>
      <c r="J57" s="180">
        <v>0.001</v>
      </c>
      <c r="K57" s="420">
        <f>+J57+J58</f>
        <v>0.002</v>
      </c>
      <c r="L57" s="180">
        <f>+J57/$K$57</f>
        <v>0.5</v>
      </c>
      <c r="M57" s="171">
        <f t="shared" si="28"/>
        <v>0.5</v>
      </c>
      <c r="N57" s="180">
        <v>0.0022</v>
      </c>
      <c r="O57" s="424"/>
      <c r="P57" s="187" t="s">
        <v>412</v>
      </c>
      <c r="Q57" s="187" t="s">
        <v>120</v>
      </c>
      <c r="R57" s="187" t="s">
        <v>226</v>
      </c>
      <c r="S57" s="188">
        <v>0.05</v>
      </c>
      <c r="T57" s="188">
        <v>0.2</v>
      </c>
      <c r="U57" s="188"/>
      <c r="V57" s="175"/>
      <c r="W57" s="176">
        <v>0.05</v>
      </c>
      <c r="X57" s="171">
        <f t="shared" si="11"/>
        <v>0.1</v>
      </c>
      <c r="Y57" s="180">
        <v>0</v>
      </c>
      <c r="Z57" s="180">
        <f t="shared" si="39"/>
        <v>0</v>
      </c>
      <c r="AA57" s="180">
        <f t="shared" si="13"/>
        <v>0</v>
      </c>
      <c r="AB57" s="171">
        <f>IF($J57&gt;0,Y57*$J57/0.2,"")</f>
        <v>0</v>
      </c>
      <c r="AC57" s="171">
        <f t="shared" si="1"/>
        <v>0</v>
      </c>
      <c r="AD57" s="189">
        <f>+'PLAN DE ACCION 2008'!Q502</f>
        <v>0</v>
      </c>
      <c r="AE57" s="189">
        <f>+'PLAN DE ACCION 2008'!R502</f>
        <v>0</v>
      </c>
      <c r="AF57" s="190" t="str">
        <f t="shared" si="34"/>
        <v>% SENSIBILIZACION PROGRAMAS EDUAMBIENTAL</v>
      </c>
      <c r="AG57" s="176">
        <v>0.1</v>
      </c>
      <c r="AH57" s="180">
        <f t="shared" si="40"/>
        <v>0.5</v>
      </c>
      <c r="AI57" s="180"/>
      <c r="AJ57" s="180">
        <f t="shared" si="15"/>
        <v>0</v>
      </c>
      <c r="AK57" s="180">
        <f t="shared" si="16"/>
        <v>0</v>
      </c>
      <c r="AL57" s="171">
        <f>IF($J57&gt;0,AI57*$J57/0.2,"")</f>
        <v>0</v>
      </c>
      <c r="AM57" s="171">
        <f t="shared" si="2"/>
        <v>0</v>
      </c>
      <c r="AN57" s="189"/>
      <c r="AO57" s="189"/>
      <c r="AP57" s="190" t="str">
        <f t="shared" si="41"/>
        <v>% SENSIBILIZACION PROGRAMAS EDUAMBIENTAL</v>
      </c>
      <c r="AQ57" s="176">
        <v>0.15</v>
      </c>
      <c r="AR57" s="180">
        <f t="shared" si="42"/>
        <v>0.7499999999999999</v>
      </c>
      <c r="AS57" s="180"/>
      <c r="AT57" s="180">
        <f t="shared" si="19"/>
        <v>0</v>
      </c>
      <c r="AU57" s="180">
        <f t="shared" si="20"/>
        <v>0</v>
      </c>
      <c r="AV57" s="171">
        <f>IF($J57&gt;0,AS57*$J57/0.2,"")</f>
        <v>0</v>
      </c>
      <c r="AW57" s="171">
        <f t="shared" si="3"/>
        <v>0</v>
      </c>
      <c r="AX57" s="189"/>
      <c r="AY57" s="189"/>
      <c r="AZ57" s="190" t="str">
        <f t="shared" si="43"/>
        <v>% SENSIBILIZACION PROGRAMAS EDUAMBIENTAL</v>
      </c>
      <c r="BA57" s="176">
        <v>0.2</v>
      </c>
      <c r="BB57" s="180">
        <f t="shared" si="44"/>
        <v>1</v>
      </c>
      <c r="BC57" s="180"/>
      <c r="BD57" s="180">
        <f t="shared" si="23"/>
        <v>0</v>
      </c>
      <c r="BE57" s="180">
        <f t="shared" si="24"/>
        <v>0</v>
      </c>
      <c r="BF57" s="171">
        <f>IF($J57&gt;0,BC57*$J57/0.2,"")</f>
        <v>0</v>
      </c>
      <c r="BG57" s="171">
        <f t="shared" si="4"/>
        <v>0</v>
      </c>
      <c r="BH57" s="189"/>
      <c r="BI57" s="189"/>
      <c r="BJ57" s="190" t="str">
        <f t="shared" si="45"/>
        <v>% SENSIBILIZACION PROGRAMAS EDUAMBIENTAL</v>
      </c>
      <c r="BK57" s="238">
        <v>0.2</v>
      </c>
      <c r="BL57" s="180">
        <f t="shared" si="46"/>
        <v>1</v>
      </c>
      <c r="BM57" s="171" t="str">
        <f t="shared" si="5"/>
        <v>OK</v>
      </c>
      <c r="BN57" s="180">
        <f t="shared" si="6"/>
        <v>0</v>
      </c>
      <c r="BO57" s="171">
        <f t="shared" si="7"/>
        <v>0</v>
      </c>
      <c r="BP57" s="171">
        <f t="shared" si="8"/>
        <v>0</v>
      </c>
      <c r="BQ57" s="191">
        <f t="shared" si="9"/>
        <v>0</v>
      </c>
      <c r="BR57" s="191">
        <f t="shared" si="10"/>
        <v>0</v>
      </c>
      <c r="BS57" s="192" t="str">
        <f t="shared" si="47"/>
        <v>% SENSIBILIZACION PROGRAMAS EDUAMBIENTAL</v>
      </c>
      <c r="BT57" s="193"/>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c r="DQ57" s="167"/>
      <c r="DR57" s="167"/>
      <c r="DS57" s="167"/>
      <c r="DT57" s="167"/>
      <c r="DU57" s="167"/>
      <c r="DV57" s="167"/>
      <c r="DW57" s="167"/>
      <c r="DX57" s="167"/>
      <c r="DY57" s="167"/>
      <c r="DZ57" s="167"/>
      <c r="EA57" s="167"/>
      <c r="EB57" s="167"/>
      <c r="EC57" s="167"/>
      <c r="ED57" s="167"/>
      <c r="EE57" s="167"/>
      <c r="EF57" s="167"/>
      <c r="EG57" s="167"/>
      <c r="EH57" s="167"/>
      <c r="EI57" s="167"/>
      <c r="EJ57" s="167"/>
      <c r="EK57" s="167"/>
      <c r="EL57" s="167"/>
      <c r="EM57" s="167"/>
      <c r="EN57" s="167"/>
      <c r="EO57" s="167"/>
      <c r="EP57" s="167"/>
      <c r="EQ57" s="167"/>
      <c r="ER57" s="167"/>
      <c r="ES57" s="167"/>
      <c r="ET57" s="167"/>
      <c r="EU57" s="167"/>
      <c r="EV57" s="167"/>
      <c r="EW57" s="167"/>
      <c r="EX57" s="167"/>
      <c r="EY57" s="167"/>
      <c r="EZ57" s="167"/>
      <c r="FA57" s="167"/>
    </row>
    <row r="58" spans="1:157" s="184" customFormat="1" ht="317.25" customHeight="1" thickBot="1">
      <c r="A58" s="413"/>
      <c r="B58" s="413"/>
      <c r="C58" s="434"/>
      <c r="D58" s="434"/>
      <c r="E58" s="206" t="s">
        <v>413</v>
      </c>
      <c r="F58" s="207" t="s">
        <v>116</v>
      </c>
      <c r="G58" s="207" t="s">
        <v>114</v>
      </c>
      <c r="H58" s="394"/>
      <c r="I58" s="215">
        <v>0.001</v>
      </c>
      <c r="J58" s="215">
        <v>0.001</v>
      </c>
      <c r="K58" s="435"/>
      <c r="L58" s="215">
        <f>+J58/$K$57</f>
        <v>0.5</v>
      </c>
      <c r="M58" s="171">
        <f t="shared" si="28"/>
        <v>0.5</v>
      </c>
      <c r="N58" s="215">
        <v>0.0022</v>
      </c>
      <c r="O58" s="436"/>
      <c r="P58" s="187" t="s">
        <v>414</v>
      </c>
      <c r="Q58" s="187" t="s">
        <v>120</v>
      </c>
      <c r="R58" s="187" t="s">
        <v>226</v>
      </c>
      <c r="S58" s="199">
        <v>0</v>
      </c>
      <c r="T58" s="199">
        <v>400</v>
      </c>
      <c r="U58" s="199"/>
      <c r="V58" s="200"/>
      <c r="W58" s="216">
        <v>0</v>
      </c>
      <c r="X58" s="217">
        <f t="shared" si="11"/>
        <v>0</v>
      </c>
      <c r="Y58" s="215">
        <v>0</v>
      </c>
      <c r="Z58" s="215">
        <f t="shared" si="39"/>
      </c>
      <c r="AA58" s="215">
        <f t="shared" si="13"/>
      </c>
      <c r="AB58" s="171">
        <f>IF($J58&gt;0,Y58*$J58/400,"")</f>
        <v>0</v>
      </c>
      <c r="AC58" s="215">
        <f t="shared" si="1"/>
        <v>0</v>
      </c>
      <c r="AD58" s="219">
        <f>+'PLAN DE ACCION 2008'!Q503</f>
        <v>0</v>
      </c>
      <c r="AE58" s="219">
        <f>+'PLAN DE ACCION 2008'!R503</f>
        <v>0</v>
      </c>
      <c r="AF58" s="220" t="str">
        <f t="shared" si="34"/>
        <v>Nº CAPACITADOS PROGRAMAS EDUAMBIENTAL</v>
      </c>
      <c r="AG58" s="216">
        <v>200</v>
      </c>
      <c r="AH58" s="215">
        <f t="shared" si="40"/>
        <v>0.5</v>
      </c>
      <c r="AI58" s="215"/>
      <c r="AJ58" s="215">
        <f t="shared" si="15"/>
        <v>0</v>
      </c>
      <c r="AK58" s="215">
        <f t="shared" si="16"/>
        <v>0</v>
      </c>
      <c r="AL58" s="215">
        <f>IF($J58&gt;0,AI58*$J58/400,"")</f>
        <v>0</v>
      </c>
      <c r="AM58" s="215">
        <f t="shared" si="2"/>
        <v>0</v>
      </c>
      <c r="AN58" s="218"/>
      <c r="AO58" s="218"/>
      <c r="AP58" s="220" t="str">
        <f t="shared" si="41"/>
        <v>Nº CAPACITADOS PROGRAMAS EDUAMBIENTAL</v>
      </c>
      <c r="AQ58" s="216">
        <v>300</v>
      </c>
      <c r="AR58" s="215">
        <f t="shared" si="42"/>
        <v>0.75</v>
      </c>
      <c r="AS58" s="215"/>
      <c r="AT58" s="215">
        <f t="shared" si="19"/>
        <v>0</v>
      </c>
      <c r="AU58" s="215">
        <f t="shared" si="20"/>
        <v>0</v>
      </c>
      <c r="AV58" s="215">
        <f>IF($J58&gt;0,AS58*$J58/400,"")</f>
        <v>0</v>
      </c>
      <c r="AW58" s="215">
        <f t="shared" si="3"/>
        <v>0</v>
      </c>
      <c r="AX58" s="218"/>
      <c r="AY58" s="218"/>
      <c r="AZ58" s="220" t="str">
        <f t="shared" si="43"/>
        <v>Nº CAPACITADOS PROGRAMAS EDUAMBIENTAL</v>
      </c>
      <c r="BA58" s="216">
        <v>400</v>
      </c>
      <c r="BB58" s="215">
        <f t="shared" si="44"/>
        <v>1</v>
      </c>
      <c r="BC58" s="215"/>
      <c r="BD58" s="215">
        <f t="shared" si="23"/>
        <v>0</v>
      </c>
      <c r="BE58" s="215">
        <f t="shared" si="24"/>
        <v>0</v>
      </c>
      <c r="BF58" s="215">
        <f>IF($J58&gt;0,BC58*$J58/400,"")</f>
        <v>0</v>
      </c>
      <c r="BG58" s="215">
        <f t="shared" si="4"/>
        <v>0</v>
      </c>
      <c r="BH58" s="218"/>
      <c r="BI58" s="218"/>
      <c r="BJ58" s="220" t="str">
        <f t="shared" si="45"/>
        <v>Nº CAPACITADOS PROGRAMAS EDUAMBIENTAL</v>
      </c>
      <c r="BK58" s="216">
        <v>400</v>
      </c>
      <c r="BL58" s="215">
        <f t="shared" si="46"/>
        <v>1</v>
      </c>
      <c r="BM58" s="215" t="str">
        <f t="shared" si="5"/>
        <v>OK</v>
      </c>
      <c r="BN58" s="217">
        <f t="shared" si="6"/>
        <v>0</v>
      </c>
      <c r="BO58" s="215">
        <f t="shared" si="7"/>
        <v>0</v>
      </c>
      <c r="BP58" s="215">
        <f t="shared" si="8"/>
        <v>0</v>
      </c>
      <c r="BQ58" s="219">
        <f t="shared" si="9"/>
        <v>0</v>
      </c>
      <c r="BR58" s="219">
        <f t="shared" si="10"/>
        <v>0</v>
      </c>
      <c r="BS58" s="220" t="str">
        <f t="shared" si="47"/>
        <v>Nº CAPACITADOS PROGRAMAS EDUAMBIENTAL</v>
      </c>
      <c r="BT58" s="193"/>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row>
    <row r="59" spans="1:157" s="184" customFormat="1" ht="287.25" customHeight="1" thickBot="1">
      <c r="A59" s="416" t="s">
        <v>415</v>
      </c>
      <c r="B59" s="416" t="s">
        <v>416</v>
      </c>
      <c r="C59" s="432" t="s">
        <v>417</v>
      </c>
      <c r="D59" s="432" t="s">
        <v>418</v>
      </c>
      <c r="E59" s="206" t="s">
        <v>419</v>
      </c>
      <c r="F59" s="207" t="s">
        <v>420</v>
      </c>
      <c r="G59" s="207" t="s">
        <v>123</v>
      </c>
      <c r="H59" s="419">
        <f>+I59+I60+I61</f>
        <v>0.0049</v>
      </c>
      <c r="I59" s="221">
        <v>0.0016</v>
      </c>
      <c r="J59" s="221">
        <v>0.0016</v>
      </c>
      <c r="K59" s="438">
        <f>+J59+J60+J61</f>
        <v>0.0049</v>
      </c>
      <c r="L59" s="222">
        <f>+J59/$K$59</f>
        <v>0.326530612244898</v>
      </c>
      <c r="M59" s="171">
        <f t="shared" si="28"/>
        <v>0.326530612244898</v>
      </c>
      <c r="N59" s="171">
        <v>0.0035</v>
      </c>
      <c r="O59" s="437">
        <f>+SUM(N59:N74)</f>
        <v>0.1982</v>
      </c>
      <c r="P59" s="187" t="s">
        <v>421</v>
      </c>
      <c r="Q59" s="187" t="s">
        <v>132</v>
      </c>
      <c r="R59" s="187" t="s">
        <v>226</v>
      </c>
      <c r="S59" s="188">
        <v>0.6</v>
      </c>
      <c r="T59" s="188">
        <v>1</v>
      </c>
      <c r="U59" s="188"/>
      <c r="V59" s="175"/>
      <c r="W59" s="179">
        <v>0.1</v>
      </c>
      <c r="X59" s="171">
        <f t="shared" si="11"/>
        <v>0.7</v>
      </c>
      <c r="Y59" s="171">
        <v>0.1</v>
      </c>
      <c r="Z59" s="171">
        <f>IF(W59&gt;0,Y59/W59,(IF(Y59&gt;0,1,"")))</f>
        <v>1</v>
      </c>
      <c r="AA59" s="171">
        <f t="shared" si="13"/>
        <v>1</v>
      </c>
      <c r="AB59" s="171">
        <f>IF($J59&gt;0,Y59*$J59,"")</f>
        <v>0.00016</v>
      </c>
      <c r="AC59" s="171">
        <f t="shared" si="1"/>
        <v>0.00016</v>
      </c>
      <c r="AD59" s="237">
        <f>+'PLAN DE ACCION 2008'!Q525</f>
        <v>20291</v>
      </c>
      <c r="AE59" s="237">
        <f>+'PLAN DE ACCION 2008'!R525</f>
        <v>33236</v>
      </c>
      <c r="AF59" s="178" t="str">
        <f t="shared" si="34"/>
        <v>% MODERNIZACION PROCESOS ADMOS Y GOB</v>
      </c>
      <c r="AG59" s="179">
        <v>0.8</v>
      </c>
      <c r="AH59" s="240">
        <f>IF($T59&gt;0,AG59/$T59,"")</f>
        <v>0.8</v>
      </c>
      <c r="AI59" s="171"/>
      <c r="AJ59" s="171">
        <f t="shared" si="15"/>
        <v>0</v>
      </c>
      <c r="AK59" s="171">
        <f t="shared" si="16"/>
        <v>0</v>
      </c>
      <c r="AL59" s="171">
        <f>IF($J59&gt;0,AI59*$J59,"")</f>
        <v>0</v>
      </c>
      <c r="AM59" s="171">
        <f t="shared" si="2"/>
        <v>0</v>
      </c>
      <c r="AN59" s="237"/>
      <c r="AO59" s="237"/>
      <c r="AP59" s="178" t="str">
        <f>+AF59</f>
        <v>% MODERNIZACION PROCESOS ADMOS Y GOB</v>
      </c>
      <c r="AQ59" s="179">
        <v>0.9</v>
      </c>
      <c r="AR59" s="240">
        <f>IF($T59&gt;0,AQ59/$T59,"")</f>
        <v>0.9</v>
      </c>
      <c r="AS59" s="171"/>
      <c r="AT59" s="171">
        <f t="shared" si="19"/>
        <v>0</v>
      </c>
      <c r="AU59" s="171">
        <f t="shared" si="20"/>
        <v>0</v>
      </c>
      <c r="AV59" s="171">
        <f>IF($J59&gt;0,AS59*$J59,"")</f>
        <v>0</v>
      </c>
      <c r="AW59" s="171">
        <f t="shared" si="3"/>
        <v>0</v>
      </c>
      <c r="AX59" s="237"/>
      <c r="AY59" s="237"/>
      <c r="AZ59" s="178" t="str">
        <f>+AF59</f>
        <v>% MODERNIZACION PROCESOS ADMOS Y GOB</v>
      </c>
      <c r="BA59" s="179">
        <v>1</v>
      </c>
      <c r="BB59" s="240">
        <f>IF($T59&gt;0,BA59/$T59,"")</f>
        <v>1</v>
      </c>
      <c r="BC59" s="171"/>
      <c r="BD59" s="171">
        <f t="shared" si="23"/>
        <v>0</v>
      </c>
      <c r="BE59" s="171">
        <f t="shared" si="24"/>
        <v>0</v>
      </c>
      <c r="BF59" s="171">
        <f>IF($J59&gt;0,BC59*$J59,"")</f>
        <v>0</v>
      </c>
      <c r="BG59" s="171">
        <f t="shared" si="4"/>
        <v>0</v>
      </c>
      <c r="BH59" s="237"/>
      <c r="BI59" s="237"/>
      <c r="BJ59" s="178" t="str">
        <f>+AZ59</f>
        <v>% MODERNIZACION PROCESOS ADMOS Y GOB</v>
      </c>
      <c r="BK59" s="179">
        <v>1</v>
      </c>
      <c r="BL59" s="240">
        <f>IF($T59&gt;0,BK59/$T59,"")</f>
        <v>1</v>
      </c>
      <c r="BM59" s="171" t="str">
        <f t="shared" si="5"/>
        <v>OK</v>
      </c>
      <c r="BN59" s="171">
        <f t="shared" si="6"/>
        <v>0.1</v>
      </c>
      <c r="BO59" s="171">
        <f t="shared" si="7"/>
        <v>0.1</v>
      </c>
      <c r="BP59" s="171">
        <f t="shared" si="8"/>
        <v>0.1</v>
      </c>
      <c r="BQ59" s="181">
        <f t="shared" si="9"/>
        <v>20291</v>
      </c>
      <c r="BR59" s="181">
        <f t="shared" si="10"/>
        <v>33236</v>
      </c>
      <c r="BS59" s="182" t="str">
        <f>+BJ59</f>
        <v>% MODERNIZACION PROCESOS ADMOS Y GOB</v>
      </c>
      <c r="BT59" s="193"/>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7"/>
      <c r="CV59" s="167"/>
      <c r="CW59" s="167"/>
      <c r="CX59" s="167"/>
      <c r="CY59" s="167"/>
      <c r="CZ59" s="167"/>
      <c r="DA59" s="167"/>
      <c r="DB59" s="167"/>
      <c r="DC59" s="167"/>
      <c r="DD59" s="167"/>
      <c r="DE59" s="167"/>
      <c r="DF59" s="167"/>
      <c r="DG59" s="167"/>
      <c r="DH59" s="167"/>
      <c r="DI59" s="167"/>
      <c r="DJ59" s="167"/>
      <c r="DK59" s="167"/>
      <c r="DL59" s="167"/>
      <c r="DM59" s="167"/>
      <c r="DN59" s="167"/>
      <c r="DO59" s="167"/>
      <c r="DP59" s="167"/>
      <c r="DQ59" s="167"/>
      <c r="DR59" s="167"/>
      <c r="DS59" s="167"/>
      <c r="DT59" s="167"/>
      <c r="DU59" s="167"/>
      <c r="DV59" s="167"/>
      <c r="DW59" s="167"/>
      <c r="DX59" s="167"/>
      <c r="DY59" s="167"/>
      <c r="DZ59" s="167"/>
      <c r="EA59" s="167"/>
      <c r="EB59" s="167"/>
      <c r="EC59" s="167"/>
      <c r="ED59" s="167"/>
      <c r="EE59" s="167"/>
      <c r="EF59" s="167"/>
      <c r="EG59" s="167"/>
      <c r="EH59" s="167"/>
      <c r="EI59" s="167"/>
      <c r="EJ59" s="167"/>
      <c r="EK59" s="167"/>
      <c r="EL59" s="167"/>
      <c r="EM59" s="167"/>
      <c r="EN59" s="167"/>
      <c r="EO59" s="167"/>
      <c r="EP59" s="167"/>
      <c r="EQ59" s="167"/>
      <c r="ER59" s="167"/>
      <c r="ES59" s="167"/>
      <c r="ET59" s="167"/>
      <c r="EU59" s="167"/>
      <c r="EV59" s="167"/>
      <c r="EW59" s="167"/>
      <c r="EX59" s="167"/>
      <c r="EY59" s="167"/>
      <c r="EZ59" s="167"/>
      <c r="FA59" s="167"/>
    </row>
    <row r="60" spans="1:157" s="184" customFormat="1" ht="287.25" customHeight="1" thickBot="1">
      <c r="A60" s="412"/>
      <c r="B60" s="412"/>
      <c r="C60" s="433"/>
      <c r="D60" s="433"/>
      <c r="E60" s="206" t="s">
        <v>422</v>
      </c>
      <c r="F60" s="207" t="s">
        <v>423</v>
      </c>
      <c r="G60" s="207" t="s">
        <v>125</v>
      </c>
      <c r="H60" s="393"/>
      <c r="I60" s="180">
        <v>0.0017</v>
      </c>
      <c r="J60" s="180">
        <v>0.0017</v>
      </c>
      <c r="K60" s="421"/>
      <c r="L60" s="240">
        <f>+J60/$K$59</f>
        <v>0.3469387755102041</v>
      </c>
      <c r="M60" s="171">
        <f t="shared" si="28"/>
        <v>0.3469387755102041</v>
      </c>
      <c r="N60" s="180">
        <v>0.0037</v>
      </c>
      <c r="O60" s="424"/>
      <c r="P60" s="187" t="s">
        <v>424</v>
      </c>
      <c r="Q60" s="187" t="s">
        <v>29</v>
      </c>
      <c r="R60" s="187" t="s">
        <v>236</v>
      </c>
      <c r="S60" s="188">
        <v>1</v>
      </c>
      <c r="T60" s="188">
        <v>1</v>
      </c>
      <c r="U60" s="188"/>
      <c r="V60" s="175"/>
      <c r="W60" s="176">
        <v>1</v>
      </c>
      <c r="X60" s="171">
        <f>+W60</f>
        <v>1</v>
      </c>
      <c r="Y60" s="180">
        <v>0</v>
      </c>
      <c r="Z60" s="180">
        <f aca="true" t="shared" si="48" ref="Z60:Z74">IF(W60&gt;0,Y60/W60,(IF(Y60&gt;0,1,"")))</f>
        <v>0</v>
      </c>
      <c r="AA60" s="180">
        <f t="shared" si="13"/>
        <v>0</v>
      </c>
      <c r="AB60" s="171">
        <f>IF($J60&gt;0,Y60*$J60,"")</f>
        <v>0</v>
      </c>
      <c r="AC60" s="171">
        <f t="shared" si="1"/>
        <v>0</v>
      </c>
      <c r="AD60" s="237">
        <f>+'PLAN DE ACCION 2008'!Q526</f>
        <v>0</v>
      </c>
      <c r="AE60" s="237">
        <f>+'PLAN DE ACCION 2008'!R526</f>
        <v>0</v>
      </c>
      <c r="AF60" s="190" t="str">
        <f t="shared" si="34"/>
        <v>% ESTRUCTURACION PERSONAL</v>
      </c>
      <c r="AG60" s="176">
        <v>1</v>
      </c>
      <c r="AH60" s="240">
        <f aca="true" t="shared" si="49" ref="AH60:AH74">IF($T60&gt;0,AG60/$T60,"")</f>
        <v>1</v>
      </c>
      <c r="AI60" s="180"/>
      <c r="AJ60" s="180">
        <f t="shared" si="15"/>
        <v>0</v>
      </c>
      <c r="AK60" s="180">
        <f t="shared" si="16"/>
        <v>0</v>
      </c>
      <c r="AL60" s="171">
        <f>IF($J60&gt;0,AI60*$J60,"")</f>
        <v>0</v>
      </c>
      <c r="AM60" s="171">
        <f t="shared" si="2"/>
        <v>0</v>
      </c>
      <c r="AN60" s="189"/>
      <c r="AO60" s="189"/>
      <c r="AP60" s="190" t="str">
        <f>+AF60</f>
        <v>% ESTRUCTURACION PERSONAL</v>
      </c>
      <c r="AQ60" s="176">
        <v>1</v>
      </c>
      <c r="AR60" s="240">
        <f aca="true" t="shared" si="50" ref="AR60:AR74">IF($T60&gt;0,AQ60/$T60,"")</f>
        <v>1</v>
      </c>
      <c r="AS60" s="180"/>
      <c r="AT60" s="180">
        <f t="shared" si="19"/>
        <v>0</v>
      </c>
      <c r="AU60" s="180">
        <f t="shared" si="20"/>
        <v>0</v>
      </c>
      <c r="AV60" s="171">
        <f>IF($J60&gt;0,AS60*$J60,"")</f>
        <v>0</v>
      </c>
      <c r="AW60" s="171">
        <f t="shared" si="3"/>
        <v>0</v>
      </c>
      <c r="AX60" s="189"/>
      <c r="AY60" s="189"/>
      <c r="AZ60" s="190" t="str">
        <f>+AF60</f>
        <v>% ESTRUCTURACION PERSONAL</v>
      </c>
      <c r="BA60" s="176">
        <v>1</v>
      </c>
      <c r="BB60" s="240">
        <f aca="true" t="shared" si="51" ref="BB60:BB74">IF($T60&gt;0,BA60/$T60,"")</f>
        <v>1</v>
      </c>
      <c r="BC60" s="180"/>
      <c r="BD60" s="180">
        <f t="shared" si="23"/>
        <v>0</v>
      </c>
      <c r="BE60" s="180">
        <f t="shared" si="24"/>
        <v>0</v>
      </c>
      <c r="BF60" s="171">
        <f>IF($J60&gt;0,BC60*$J60,"")</f>
        <v>0</v>
      </c>
      <c r="BG60" s="171">
        <f t="shared" si="4"/>
        <v>0</v>
      </c>
      <c r="BH60" s="189"/>
      <c r="BI60" s="189"/>
      <c r="BJ60" s="190" t="str">
        <f>+AZ60</f>
        <v>% ESTRUCTURACION PERSONAL</v>
      </c>
      <c r="BK60" s="176">
        <v>1</v>
      </c>
      <c r="BL60" s="240">
        <f aca="true" t="shared" si="52" ref="BL60:BL74">IF($T60&gt;0,BK60/$T60,"")</f>
        <v>1</v>
      </c>
      <c r="BM60" s="171" t="str">
        <f t="shared" si="5"/>
        <v>OK</v>
      </c>
      <c r="BN60" s="180">
        <f t="shared" si="6"/>
        <v>0</v>
      </c>
      <c r="BO60" s="171">
        <f t="shared" si="7"/>
        <v>0</v>
      </c>
      <c r="BP60" s="171">
        <f t="shared" si="8"/>
        <v>0</v>
      </c>
      <c r="BQ60" s="191">
        <f t="shared" si="9"/>
        <v>0</v>
      </c>
      <c r="BR60" s="191">
        <f t="shared" si="10"/>
        <v>0</v>
      </c>
      <c r="BS60" s="192" t="str">
        <f>+BJ60</f>
        <v>% ESTRUCTURACION PERSONAL</v>
      </c>
      <c r="BT60" s="193"/>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N60" s="167"/>
      <c r="DO60" s="167"/>
      <c r="DP60" s="167"/>
      <c r="DQ60" s="167"/>
      <c r="DR60" s="167"/>
      <c r="DS60" s="167"/>
      <c r="DT60" s="167"/>
      <c r="DU60" s="167"/>
      <c r="DV60" s="167"/>
      <c r="DW60" s="167"/>
      <c r="DX60" s="167"/>
      <c r="DY60" s="167"/>
      <c r="DZ60" s="167"/>
      <c r="EA60" s="167"/>
      <c r="EB60" s="167"/>
      <c r="EC60" s="167"/>
      <c r="ED60" s="167"/>
      <c r="EE60" s="167"/>
      <c r="EF60" s="167"/>
      <c r="EG60" s="167"/>
      <c r="EH60" s="167"/>
      <c r="EI60" s="167"/>
      <c r="EJ60" s="167"/>
      <c r="EK60" s="167"/>
      <c r="EL60" s="167"/>
      <c r="EM60" s="167"/>
      <c r="EN60" s="167"/>
      <c r="EO60" s="167"/>
      <c r="EP60" s="167"/>
      <c r="EQ60" s="167"/>
      <c r="ER60" s="167"/>
      <c r="ES60" s="167"/>
      <c r="ET60" s="167"/>
      <c r="EU60" s="167"/>
      <c r="EV60" s="167"/>
      <c r="EW60" s="167"/>
      <c r="EX60" s="167"/>
      <c r="EY60" s="167"/>
      <c r="EZ60" s="167"/>
      <c r="FA60" s="167"/>
    </row>
    <row r="61" spans="1:157" s="184" customFormat="1" ht="287.25" customHeight="1" thickBot="1">
      <c r="A61" s="412"/>
      <c r="B61" s="412"/>
      <c r="C61" s="433"/>
      <c r="D61" s="434"/>
      <c r="E61" s="206" t="s">
        <v>425</v>
      </c>
      <c r="F61" s="207" t="s">
        <v>426</v>
      </c>
      <c r="G61" s="207" t="s">
        <v>126</v>
      </c>
      <c r="H61" s="394"/>
      <c r="I61" s="180">
        <v>0.0016</v>
      </c>
      <c r="J61" s="180">
        <v>0.0016</v>
      </c>
      <c r="K61" s="422"/>
      <c r="L61" s="240">
        <f>+J61/$K$59</f>
        <v>0.326530612244898</v>
      </c>
      <c r="M61" s="171">
        <f t="shared" si="28"/>
        <v>0.326530612244898</v>
      </c>
      <c r="N61" s="180">
        <v>0.0035</v>
      </c>
      <c r="O61" s="424"/>
      <c r="P61" s="187" t="s">
        <v>427</v>
      </c>
      <c r="Q61" s="187" t="s">
        <v>549</v>
      </c>
      <c r="R61" s="187" t="s">
        <v>226</v>
      </c>
      <c r="S61" s="188">
        <v>0.6</v>
      </c>
      <c r="T61" s="188">
        <v>0.8</v>
      </c>
      <c r="U61" s="188"/>
      <c r="V61" s="175"/>
      <c r="W61" s="176">
        <v>0.05</v>
      </c>
      <c r="X61" s="171">
        <f t="shared" si="11"/>
        <v>0.65</v>
      </c>
      <c r="Y61" s="180">
        <v>0</v>
      </c>
      <c r="Z61" s="180">
        <f t="shared" si="48"/>
        <v>0</v>
      </c>
      <c r="AA61" s="180">
        <f t="shared" si="13"/>
        <v>0</v>
      </c>
      <c r="AB61" s="171">
        <f>IF($J61&gt;0,Y61*$J61/0.8,"")</f>
        <v>0</v>
      </c>
      <c r="AC61" s="171">
        <f t="shared" si="1"/>
        <v>0</v>
      </c>
      <c r="AD61" s="237">
        <f>+'PLAN DE ACCION 2008'!Q527</f>
        <v>0</v>
      </c>
      <c r="AE61" s="237">
        <f>+'PLAN DE ACCION 2008'!R527</f>
        <v>0</v>
      </c>
      <c r="AF61" s="190" t="str">
        <f t="shared" si="34"/>
        <v>% CAPACITACION EMPLEADOS MUNICIPIO</v>
      </c>
      <c r="AG61" s="176">
        <v>0.7</v>
      </c>
      <c r="AH61" s="240">
        <f t="shared" si="49"/>
        <v>0.8749999999999999</v>
      </c>
      <c r="AI61" s="180"/>
      <c r="AJ61" s="180">
        <f t="shared" si="15"/>
        <v>0</v>
      </c>
      <c r="AK61" s="180">
        <f t="shared" si="16"/>
        <v>0</v>
      </c>
      <c r="AL61" s="171">
        <f>IF($J61&gt;0,AI61*$J61/0.8,"")</f>
        <v>0</v>
      </c>
      <c r="AM61" s="171">
        <f t="shared" si="2"/>
        <v>0</v>
      </c>
      <c r="AN61" s="189"/>
      <c r="AO61" s="189"/>
      <c r="AP61" s="190" t="str">
        <f aca="true" t="shared" si="53" ref="AP61:AP74">+AF61</f>
        <v>% CAPACITACION EMPLEADOS MUNICIPIO</v>
      </c>
      <c r="AQ61" s="176">
        <v>0.75</v>
      </c>
      <c r="AR61" s="240">
        <f t="shared" si="50"/>
        <v>0.9375</v>
      </c>
      <c r="AS61" s="180"/>
      <c r="AT61" s="180">
        <f t="shared" si="19"/>
        <v>0</v>
      </c>
      <c r="AU61" s="180">
        <f t="shared" si="20"/>
        <v>0</v>
      </c>
      <c r="AV61" s="171">
        <f>IF($J61&gt;0,AS61*$J61/0.8,"")</f>
        <v>0</v>
      </c>
      <c r="AW61" s="171">
        <f t="shared" si="3"/>
        <v>0</v>
      </c>
      <c r="AX61" s="189"/>
      <c r="AY61" s="189"/>
      <c r="AZ61" s="190" t="str">
        <f aca="true" t="shared" si="54" ref="AZ61:AZ74">+AF61</f>
        <v>% CAPACITACION EMPLEADOS MUNICIPIO</v>
      </c>
      <c r="BA61" s="176">
        <v>0.8</v>
      </c>
      <c r="BB61" s="240">
        <f t="shared" si="51"/>
        <v>1</v>
      </c>
      <c r="BC61" s="180"/>
      <c r="BD61" s="180">
        <f t="shared" si="23"/>
        <v>0</v>
      </c>
      <c r="BE61" s="180">
        <f t="shared" si="24"/>
        <v>0</v>
      </c>
      <c r="BF61" s="171">
        <f>IF($J61&gt;0,BC61*$J61/0.8,"")</f>
        <v>0</v>
      </c>
      <c r="BG61" s="171">
        <f t="shared" si="4"/>
        <v>0</v>
      </c>
      <c r="BH61" s="189"/>
      <c r="BI61" s="189"/>
      <c r="BJ61" s="190" t="str">
        <f aca="true" t="shared" si="55" ref="BJ61:BJ74">+AZ61</f>
        <v>% CAPACITACION EMPLEADOS MUNICIPIO</v>
      </c>
      <c r="BK61" s="176">
        <v>0.8</v>
      </c>
      <c r="BL61" s="240">
        <f t="shared" si="52"/>
        <v>1</v>
      </c>
      <c r="BM61" s="171" t="str">
        <f t="shared" si="5"/>
        <v>OK</v>
      </c>
      <c r="BN61" s="180">
        <f t="shared" si="6"/>
        <v>0</v>
      </c>
      <c r="BO61" s="171">
        <f t="shared" si="7"/>
        <v>0</v>
      </c>
      <c r="BP61" s="171">
        <f t="shared" si="8"/>
        <v>0</v>
      </c>
      <c r="BQ61" s="191">
        <f t="shared" si="9"/>
        <v>0</v>
      </c>
      <c r="BR61" s="191">
        <f t="shared" si="10"/>
        <v>0</v>
      </c>
      <c r="BS61" s="192" t="str">
        <f aca="true" t="shared" si="56" ref="BS61:BS74">+BJ61</f>
        <v>% CAPACITACION EMPLEADOS MUNICIPIO</v>
      </c>
      <c r="BT61" s="193"/>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67"/>
      <c r="CU61" s="167"/>
      <c r="CV61" s="167"/>
      <c r="CW61" s="167"/>
      <c r="CX61" s="167"/>
      <c r="CY61" s="167"/>
      <c r="CZ61" s="167"/>
      <c r="DA61" s="167"/>
      <c r="DB61" s="167"/>
      <c r="DC61" s="167"/>
      <c r="DD61" s="167"/>
      <c r="DE61" s="167"/>
      <c r="DF61" s="167"/>
      <c r="DG61" s="167"/>
      <c r="DH61" s="167"/>
      <c r="DI61" s="167"/>
      <c r="DJ61" s="167"/>
      <c r="DK61" s="167"/>
      <c r="DL61" s="167"/>
      <c r="DM61" s="167"/>
      <c r="DN61" s="167"/>
      <c r="DO61" s="167"/>
      <c r="DP61" s="167"/>
      <c r="DQ61" s="167"/>
      <c r="DR61" s="167"/>
      <c r="DS61" s="167"/>
      <c r="DT61" s="167"/>
      <c r="DU61" s="167"/>
      <c r="DV61" s="167"/>
      <c r="DW61" s="167"/>
      <c r="DX61" s="167"/>
      <c r="DY61" s="167"/>
      <c r="DZ61" s="167"/>
      <c r="EA61" s="167"/>
      <c r="EB61" s="167"/>
      <c r="EC61" s="167"/>
      <c r="ED61" s="167"/>
      <c r="EE61" s="167"/>
      <c r="EF61" s="167"/>
      <c r="EG61" s="167"/>
      <c r="EH61" s="167"/>
      <c r="EI61" s="167"/>
      <c r="EJ61" s="167"/>
      <c r="EK61" s="167"/>
      <c r="EL61" s="167"/>
      <c r="EM61" s="167"/>
      <c r="EN61" s="167"/>
      <c r="EO61" s="167"/>
      <c r="EP61" s="167"/>
      <c r="EQ61" s="167"/>
      <c r="ER61" s="167"/>
      <c r="ES61" s="167"/>
      <c r="ET61" s="167"/>
      <c r="EU61" s="167"/>
      <c r="EV61" s="167"/>
      <c r="EW61" s="167"/>
      <c r="EX61" s="167"/>
      <c r="EY61" s="167"/>
      <c r="EZ61" s="167"/>
      <c r="FA61" s="167"/>
    </row>
    <row r="62" spans="1:157" s="184" customFormat="1" ht="287.25" customHeight="1" thickBot="1">
      <c r="A62" s="412"/>
      <c r="B62" s="412"/>
      <c r="C62" s="433"/>
      <c r="D62" s="206" t="s">
        <v>428</v>
      </c>
      <c r="E62" s="206" t="s">
        <v>429</v>
      </c>
      <c r="F62" s="207" t="s">
        <v>430</v>
      </c>
      <c r="G62" s="207" t="s">
        <v>133</v>
      </c>
      <c r="H62" s="188">
        <f>+I62</f>
        <v>0.001</v>
      </c>
      <c r="I62" s="171">
        <v>0.001</v>
      </c>
      <c r="J62" s="171">
        <v>0.001</v>
      </c>
      <c r="K62" s="240">
        <v>0.001</v>
      </c>
      <c r="L62" s="198">
        <v>1</v>
      </c>
      <c r="M62" s="171">
        <f t="shared" si="28"/>
        <v>1</v>
      </c>
      <c r="N62" s="180">
        <v>0.0022</v>
      </c>
      <c r="O62" s="424"/>
      <c r="P62" s="187" t="s">
        <v>431</v>
      </c>
      <c r="Q62" s="187" t="s">
        <v>29</v>
      </c>
      <c r="R62" s="187" t="s">
        <v>226</v>
      </c>
      <c r="S62" s="188">
        <v>0.6</v>
      </c>
      <c r="T62" s="188">
        <v>1</v>
      </c>
      <c r="U62" s="188"/>
      <c r="V62" s="175"/>
      <c r="W62" s="176">
        <v>0.1</v>
      </c>
      <c r="X62" s="171">
        <f t="shared" si="11"/>
        <v>0.7</v>
      </c>
      <c r="Y62" s="180">
        <v>0</v>
      </c>
      <c r="Z62" s="180">
        <f t="shared" si="48"/>
        <v>0</v>
      </c>
      <c r="AA62" s="180">
        <f t="shared" si="13"/>
        <v>0</v>
      </c>
      <c r="AB62" s="171">
        <f>IF($J62&gt;0,Y62*$J62/1,"")</f>
        <v>0</v>
      </c>
      <c r="AC62" s="171">
        <f t="shared" si="1"/>
        <v>0</v>
      </c>
      <c r="AD62" s="189">
        <f>+'PLAN DE ACCION 2008'!Q548</f>
        <v>0</v>
      </c>
      <c r="AE62" s="189">
        <f>+'PLAN DE ACCION 2008'!R548</f>
        <v>9000</v>
      </c>
      <c r="AF62" s="190" t="str">
        <f t="shared" si="34"/>
        <v>% ACTUALIZACION</v>
      </c>
      <c r="AG62" s="176">
        <v>0.8</v>
      </c>
      <c r="AH62" s="240">
        <f t="shared" si="49"/>
        <v>0.8</v>
      </c>
      <c r="AI62" s="180"/>
      <c r="AJ62" s="180">
        <f t="shared" si="15"/>
        <v>0</v>
      </c>
      <c r="AK62" s="180">
        <f t="shared" si="16"/>
        <v>0</v>
      </c>
      <c r="AL62" s="171">
        <f>IF($J62&gt;0,AI62*$J62/1,"")</f>
        <v>0</v>
      </c>
      <c r="AM62" s="171">
        <f t="shared" si="2"/>
        <v>0</v>
      </c>
      <c r="AN62" s="189"/>
      <c r="AO62" s="189"/>
      <c r="AP62" s="190" t="str">
        <f t="shared" si="53"/>
        <v>% ACTUALIZACION</v>
      </c>
      <c r="AQ62" s="176">
        <v>0.9</v>
      </c>
      <c r="AR62" s="240">
        <f t="shared" si="50"/>
        <v>0.9</v>
      </c>
      <c r="AS62" s="180"/>
      <c r="AT62" s="180">
        <f t="shared" si="19"/>
        <v>0</v>
      </c>
      <c r="AU62" s="180">
        <f t="shared" si="20"/>
        <v>0</v>
      </c>
      <c r="AV62" s="171">
        <f>IF($J62&gt;0,AS62*$J62/1,"")</f>
        <v>0</v>
      </c>
      <c r="AW62" s="171">
        <f t="shared" si="3"/>
        <v>0</v>
      </c>
      <c r="AX62" s="189"/>
      <c r="AY62" s="189"/>
      <c r="AZ62" s="190" t="str">
        <f t="shared" si="54"/>
        <v>% ACTUALIZACION</v>
      </c>
      <c r="BA62" s="176">
        <v>1</v>
      </c>
      <c r="BB62" s="240">
        <f t="shared" si="51"/>
        <v>1</v>
      </c>
      <c r="BC62" s="180"/>
      <c r="BD62" s="180">
        <f t="shared" si="23"/>
        <v>0</v>
      </c>
      <c r="BE62" s="180">
        <f t="shared" si="24"/>
        <v>0</v>
      </c>
      <c r="BF62" s="171">
        <f>IF($J62&gt;0,BC62*$J62/1,"")</f>
        <v>0</v>
      </c>
      <c r="BG62" s="171">
        <f t="shared" si="4"/>
        <v>0</v>
      </c>
      <c r="BH62" s="189"/>
      <c r="BI62" s="189"/>
      <c r="BJ62" s="190" t="str">
        <f t="shared" si="55"/>
        <v>% ACTUALIZACION</v>
      </c>
      <c r="BK62" s="176">
        <v>1</v>
      </c>
      <c r="BL62" s="240">
        <f t="shared" si="52"/>
        <v>1</v>
      </c>
      <c r="BM62" s="171" t="str">
        <f t="shared" si="5"/>
        <v>OK</v>
      </c>
      <c r="BN62" s="180">
        <f t="shared" si="6"/>
        <v>0</v>
      </c>
      <c r="BO62" s="171">
        <f t="shared" si="7"/>
        <v>0</v>
      </c>
      <c r="BP62" s="171">
        <f t="shared" si="8"/>
        <v>0</v>
      </c>
      <c r="BQ62" s="191">
        <f t="shared" si="9"/>
        <v>0</v>
      </c>
      <c r="BR62" s="191">
        <f t="shared" si="10"/>
        <v>9000</v>
      </c>
      <c r="BS62" s="192" t="str">
        <f t="shared" si="56"/>
        <v>% ACTUALIZACION</v>
      </c>
      <c r="BT62" s="193"/>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7"/>
      <c r="EC62" s="167"/>
      <c r="ED62" s="167"/>
      <c r="EE62" s="167"/>
      <c r="EF62" s="167"/>
      <c r="EG62" s="167"/>
      <c r="EH62" s="167"/>
      <c r="EI62" s="167"/>
      <c r="EJ62" s="167"/>
      <c r="EK62" s="167"/>
      <c r="EL62" s="167"/>
      <c r="EM62" s="167"/>
      <c r="EN62" s="167"/>
      <c r="EO62" s="167"/>
      <c r="EP62" s="167"/>
      <c r="EQ62" s="167"/>
      <c r="ER62" s="167"/>
      <c r="ES62" s="167"/>
      <c r="ET62" s="167"/>
      <c r="EU62" s="167"/>
      <c r="EV62" s="167"/>
      <c r="EW62" s="167"/>
      <c r="EX62" s="167"/>
      <c r="EY62" s="167"/>
      <c r="EZ62" s="167"/>
      <c r="FA62" s="167"/>
    </row>
    <row r="63" spans="1:157" s="184" customFormat="1" ht="287.25" customHeight="1" thickBot="1">
      <c r="A63" s="412"/>
      <c r="B63" s="412"/>
      <c r="C63" s="433"/>
      <c r="D63" s="432" t="s">
        <v>139</v>
      </c>
      <c r="E63" s="206" t="s">
        <v>432</v>
      </c>
      <c r="F63" s="207" t="s">
        <v>433</v>
      </c>
      <c r="G63" s="207" t="s">
        <v>137</v>
      </c>
      <c r="H63" s="419">
        <f>+I63+I64</f>
        <v>0.0156</v>
      </c>
      <c r="I63" s="180">
        <v>0.001</v>
      </c>
      <c r="J63" s="180">
        <v>0.001</v>
      </c>
      <c r="K63" s="420">
        <f>+J63+J64</f>
        <v>0.0156</v>
      </c>
      <c r="L63" s="198">
        <f>+J63/K63</f>
        <v>0.06410256410256411</v>
      </c>
      <c r="M63" s="171">
        <f t="shared" si="28"/>
        <v>0.06410256410256411</v>
      </c>
      <c r="N63" s="180">
        <v>0.0022</v>
      </c>
      <c r="O63" s="424"/>
      <c r="P63" s="187" t="s">
        <v>434</v>
      </c>
      <c r="Q63" s="187" t="s">
        <v>29</v>
      </c>
      <c r="R63" s="187" t="s">
        <v>226</v>
      </c>
      <c r="S63" s="188">
        <v>0.4</v>
      </c>
      <c r="T63" s="188">
        <v>0.8</v>
      </c>
      <c r="U63" s="188"/>
      <c r="V63" s="175"/>
      <c r="W63" s="176">
        <v>0.1</v>
      </c>
      <c r="X63" s="171">
        <f t="shared" si="11"/>
        <v>0.5</v>
      </c>
      <c r="Y63" s="180">
        <v>0</v>
      </c>
      <c r="Z63" s="180">
        <f t="shared" si="48"/>
        <v>0</v>
      </c>
      <c r="AA63" s="180">
        <f t="shared" si="13"/>
        <v>0</v>
      </c>
      <c r="AB63" s="171">
        <f>IF($J63&gt;0,Y63*$J63/0.8,"")</f>
        <v>0</v>
      </c>
      <c r="AC63" s="171">
        <f t="shared" si="1"/>
        <v>0</v>
      </c>
      <c r="AD63" s="189">
        <f>+'PLAN DE ACCION 2008'!Q571</f>
        <v>0</v>
      </c>
      <c r="AE63" s="189">
        <f>+'PLAN DE ACCION 2008'!R571</f>
        <v>0</v>
      </c>
      <c r="AF63" s="190" t="str">
        <f t="shared" si="34"/>
        <v>% POBLADORES CAPACITADOS</v>
      </c>
      <c r="AG63" s="176">
        <v>0.6</v>
      </c>
      <c r="AH63" s="240">
        <f t="shared" si="49"/>
        <v>0.7499999999999999</v>
      </c>
      <c r="AI63" s="180"/>
      <c r="AJ63" s="180">
        <f t="shared" si="15"/>
        <v>0</v>
      </c>
      <c r="AK63" s="180">
        <f t="shared" si="16"/>
        <v>0</v>
      </c>
      <c r="AL63" s="171">
        <f>IF($J63&gt;0,AI63*$J63/0.8,"")</f>
        <v>0</v>
      </c>
      <c r="AM63" s="171">
        <f t="shared" si="2"/>
        <v>0</v>
      </c>
      <c r="AN63" s="189"/>
      <c r="AO63" s="189"/>
      <c r="AP63" s="190" t="str">
        <f t="shared" si="53"/>
        <v>% POBLADORES CAPACITADOS</v>
      </c>
      <c r="AQ63" s="176">
        <v>0.7</v>
      </c>
      <c r="AR63" s="240">
        <f t="shared" si="50"/>
        <v>0.8749999999999999</v>
      </c>
      <c r="AS63" s="180"/>
      <c r="AT63" s="180">
        <f t="shared" si="19"/>
        <v>0</v>
      </c>
      <c r="AU63" s="180">
        <f t="shared" si="20"/>
        <v>0</v>
      </c>
      <c r="AV63" s="171">
        <f>IF($J63&gt;0,AS63*$J63/0.8,"")</f>
        <v>0</v>
      </c>
      <c r="AW63" s="171">
        <f t="shared" si="3"/>
        <v>0</v>
      </c>
      <c r="AX63" s="189"/>
      <c r="AY63" s="189"/>
      <c r="AZ63" s="190" t="str">
        <f t="shared" si="54"/>
        <v>% POBLADORES CAPACITADOS</v>
      </c>
      <c r="BA63" s="176">
        <v>0.8</v>
      </c>
      <c r="BB63" s="240">
        <f t="shared" si="51"/>
        <v>1</v>
      </c>
      <c r="BC63" s="180"/>
      <c r="BD63" s="180">
        <f t="shared" si="23"/>
        <v>0</v>
      </c>
      <c r="BE63" s="180">
        <f t="shared" si="24"/>
        <v>0</v>
      </c>
      <c r="BF63" s="171">
        <f>IF($J63&gt;0,BC63*$J63/0.8,"")</f>
        <v>0</v>
      </c>
      <c r="BG63" s="171">
        <f t="shared" si="4"/>
        <v>0</v>
      </c>
      <c r="BH63" s="189"/>
      <c r="BI63" s="189"/>
      <c r="BJ63" s="190" t="str">
        <f t="shared" si="55"/>
        <v>% POBLADORES CAPACITADOS</v>
      </c>
      <c r="BK63" s="176">
        <v>0.8</v>
      </c>
      <c r="BL63" s="240">
        <f t="shared" si="52"/>
        <v>1</v>
      </c>
      <c r="BM63" s="171" t="str">
        <f t="shared" si="5"/>
        <v>OK</v>
      </c>
      <c r="BN63" s="180">
        <f t="shared" si="6"/>
        <v>0</v>
      </c>
      <c r="BO63" s="171">
        <f t="shared" si="7"/>
        <v>0</v>
      </c>
      <c r="BP63" s="171">
        <f t="shared" si="8"/>
        <v>0</v>
      </c>
      <c r="BQ63" s="191">
        <f t="shared" si="9"/>
        <v>0</v>
      </c>
      <c r="BR63" s="191">
        <f t="shared" si="10"/>
        <v>0</v>
      </c>
      <c r="BS63" s="192" t="str">
        <f t="shared" si="56"/>
        <v>% POBLADORES CAPACITADOS</v>
      </c>
      <c r="BT63" s="193"/>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67"/>
      <c r="DF63" s="167"/>
      <c r="DG63" s="167"/>
      <c r="DH63" s="167"/>
      <c r="DI63" s="167"/>
      <c r="DJ63" s="167"/>
      <c r="DK63" s="167"/>
      <c r="DL63" s="167"/>
      <c r="DM63" s="167"/>
      <c r="DN63" s="167"/>
      <c r="DO63" s="167"/>
      <c r="DP63" s="167"/>
      <c r="DQ63" s="167"/>
      <c r="DR63" s="167"/>
      <c r="DS63" s="167"/>
      <c r="DT63" s="167"/>
      <c r="DU63" s="167"/>
      <c r="DV63" s="167"/>
      <c r="DW63" s="167"/>
      <c r="DX63" s="167"/>
      <c r="DY63" s="167"/>
      <c r="DZ63" s="167"/>
      <c r="EA63" s="167"/>
      <c r="EB63" s="167"/>
      <c r="EC63" s="167"/>
      <c r="ED63" s="167"/>
      <c r="EE63" s="167"/>
      <c r="EF63" s="167"/>
      <c r="EG63" s="167"/>
      <c r="EH63" s="167"/>
      <c r="EI63" s="167"/>
      <c r="EJ63" s="167"/>
      <c r="EK63" s="167"/>
      <c r="EL63" s="167"/>
      <c r="EM63" s="167"/>
      <c r="EN63" s="167"/>
      <c r="EO63" s="167"/>
      <c r="EP63" s="167"/>
      <c r="EQ63" s="167"/>
      <c r="ER63" s="167"/>
      <c r="ES63" s="167"/>
      <c r="ET63" s="167"/>
      <c r="EU63" s="167"/>
      <c r="EV63" s="167"/>
      <c r="EW63" s="167"/>
      <c r="EX63" s="167"/>
      <c r="EY63" s="167"/>
      <c r="EZ63" s="167"/>
      <c r="FA63" s="167"/>
    </row>
    <row r="64" spans="1:157" s="184" customFormat="1" ht="287.25" customHeight="1" thickBot="1">
      <c r="A64" s="412"/>
      <c r="B64" s="413"/>
      <c r="C64" s="434"/>
      <c r="D64" s="434"/>
      <c r="E64" s="206" t="s">
        <v>435</v>
      </c>
      <c r="F64" s="207" t="s">
        <v>436</v>
      </c>
      <c r="G64" s="207" t="s">
        <v>138</v>
      </c>
      <c r="H64" s="394"/>
      <c r="I64" s="180">
        <v>0.0146</v>
      </c>
      <c r="J64" s="180">
        <v>0.0146</v>
      </c>
      <c r="K64" s="422"/>
      <c r="L64" s="198">
        <f>+J64/K63</f>
        <v>0.9358974358974359</v>
      </c>
      <c r="M64" s="171">
        <f t="shared" si="28"/>
        <v>0.9358974358974359</v>
      </c>
      <c r="N64" s="180">
        <v>0.032</v>
      </c>
      <c r="O64" s="424"/>
      <c r="P64" s="187" t="s">
        <v>437</v>
      </c>
      <c r="Q64" s="187" t="s">
        <v>29</v>
      </c>
      <c r="R64" s="187" t="s">
        <v>226</v>
      </c>
      <c r="S64" s="188">
        <v>0.5</v>
      </c>
      <c r="T64" s="188">
        <v>0.9</v>
      </c>
      <c r="U64" s="188"/>
      <c r="V64" s="175"/>
      <c r="W64" s="176">
        <v>0.1</v>
      </c>
      <c r="X64" s="171">
        <f t="shared" si="11"/>
        <v>0.6</v>
      </c>
      <c r="Y64" s="180">
        <v>0.0925</v>
      </c>
      <c r="Z64" s="180">
        <f t="shared" si="48"/>
        <v>0.9249999999999999</v>
      </c>
      <c r="AA64" s="180">
        <f t="shared" si="13"/>
        <v>0.9249999999999999</v>
      </c>
      <c r="AB64" s="171">
        <f>IF($J64&gt;0,Y64*$J64/0.9,"")</f>
        <v>0.0015005555555555553</v>
      </c>
      <c r="AC64" s="171">
        <f t="shared" si="1"/>
        <v>0.0015005555555555553</v>
      </c>
      <c r="AD64" s="189">
        <f>+'PLAN DE ACCION 2008'!Q572</f>
        <v>60000</v>
      </c>
      <c r="AE64" s="189">
        <f>+'PLAN DE ACCION 2008'!R572</f>
        <v>51780</v>
      </c>
      <c r="AF64" s="190" t="str">
        <f t="shared" si="34"/>
        <v>% COBERTURA SERVICIOS PUBLICOS</v>
      </c>
      <c r="AG64" s="176">
        <v>0.7</v>
      </c>
      <c r="AH64" s="240">
        <f t="shared" si="49"/>
        <v>0.7777777777777777</v>
      </c>
      <c r="AI64" s="180"/>
      <c r="AJ64" s="180">
        <f t="shared" si="15"/>
        <v>0</v>
      </c>
      <c r="AK64" s="180">
        <f t="shared" si="16"/>
        <v>0</v>
      </c>
      <c r="AL64" s="171">
        <f>IF($J64&gt;0,AI64*$J64/0.9,"")</f>
        <v>0</v>
      </c>
      <c r="AM64" s="171">
        <f t="shared" si="2"/>
        <v>0</v>
      </c>
      <c r="AN64" s="189"/>
      <c r="AO64" s="189"/>
      <c r="AP64" s="190" t="str">
        <f t="shared" si="53"/>
        <v>% COBERTURA SERVICIOS PUBLICOS</v>
      </c>
      <c r="AQ64" s="176">
        <v>0.8</v>
      </c>
      <c r="AR64" s="240">
        <f t="shared" si="50"/>
        <v>0.888888888888889</v>
      </c>
      <c r="AS64" s="180"/>
      <c r="AT64" s="180">
        <f t="shared" si="19"/>
        <v>0</v>
      </c>
      <c r="AU64" s="180">
        <f t="shared" si="20"/>
        <v>0</v>
      </c>
      <c r="AV64" s="171">
        <f>IF($J64&gt;0,AS64*$J64/0.9,"")</f>
        <v>0</v>
      </c>
      <c r="AW64" s="171">
        <f t="shared" si="3"/>
        <v>0</v>
      </c>
      <c r="AX64" s="189"/>
      <c r="AY64" s="189"/>
      <c r="AZ64" s="190" t="str">
        <f t="shared" si="54"/>
        <v>% COBERTURA SERVICIOS PUBLICOS</v>
      </c>
      <c r="BA64" s="176">
        <v>0.9</v>
      </c>
      <c r="BB64" s="240">
        <f t="shared" si="51"/>
        <v>1</v>
      </c>
      <c r="BC64" s="180"/>
      <c r="BD64" s="180">
        <f t="shared" si="23"/>
        <v>0</v>
      </c>
      <c r="BE64" s="180">
        <f t="shared" si="24"/>
        <v>0</v>
      </c>
      <c r="BF64" s="171">
        <f>IF($J64&gt;0,BC64*$J64/0.9,"")</f>
        <v>0</v>
      </c>
      <c r="BG64" s="171">
        <f t="shared" si="4"/>
        <v>0</v>
      </c>
      <c r="BH64" s="189"/>
      <c r="BI64" s="189"/>
      <c r="BJ64" s="190" t="str">
        <f t="shared" si="55"/>
        <v>% COBERTURA SERVICIOS PUBLICOS</v>
      </c>
      <c r="BK64" s="176">
        <v>0.9</v>
      </c>
      <c r="BL64" s="240">
        <f t="shared" si="52"/>
        <v>1</v>
      </c>
      <c r="BM64" s="171" t="str">
        <f t="shared" si="5"/>
        <v>OK</v>
      </c>
      <c r="BN64" s="180">
        <f t="shared" si="6"/>
        <v>0.0925</v>
      </c>
      <c r="BO64" s="171">
        <f t="shared" si="7"/>
        <v>0.0925</v>
      </c>
      <c r="BP64" s="171">
        <f t="shared" si="8"/>
        <v>0.0925</v>
      </c>
      <c r="BQ64" s="191">
        <f t="shared" si="9"/>
        <v>60000</v>
      </c>
      <c r="BR64" s="191">
        <f t="shared" si="10"/>
        <v>51780</v>
      </c>
      <c r="BS64" s="192" t="str">
        <f t="shared" si="56"/>
        <v>% COBERTURA SERVICIOS PUBLICOS</v>
      </c>
      <c r="BT64" s="193"/>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67"/>
      <c r="CU64" s="167"/>
      <c r="CV64" s="167"/>
      <c r="CW64" s="167"/>
      <c r="CX64" s="167"/>
      <c r="CY64" s="167"/>
      <c r="CZ64" s="167"/>
      <c r="DA64" s="167"/>
      <c r="DB64" s="167"/>
      <c r="DC64" s="167"/>
      <c r="DD64" s="167"/>
      <c r="DE64" s="167"/>
      <c r="DF64" s="167"/>
      <c r="DG64" s="167"/>
      <c r="DH64" s="167"/>
      <c r="DI64" s="167"/>
      <c r="DJ64" s="167"/>
      <c r="DK64" s="167"/>
      <c r="DL64" s="167"/>
      <c r="DM64" s="167"/>
      <c r="DN64" s="167"/>
      <c r="DO64" s="167"/>
      <c r="DP64" s="167"/>
      <c r="DQ64" s="167"/>
      <c r="DR64" s="167"/>
      <c r="DS64" s="167"/>
      <c r="DT64" s="167"/>
      <c r="DU64" s="167"/>
      <c r="DV64" s="167"/>
      <c r="DW64" s="167"/>
      <c r="DX64" s="167"/>
      <c r="DY64" s="167"/>
      <c r="DZ64" s="167"/>
      <c r="EA64" s="167"/>
      <c r="EB64" s="167"/>
      <c r="EC64" s="167"/>
      <c r="ED64" s="167"/>
      <c r="EE64" s="167"/>
      <c r="EF64" s="167"/>
      <c r="EG64" s="167"/>
      <c r="EH64" s="167"/>
      <c r="EI64" s="167"/>
      <c r="EJ64" s="167"/>
      <c r="EK64" s="167"/>
      <c r="EL64" s="167"/>
      <c r="EM64" s="167"/>
      <c r="EN64" s="167"/>
      <c r="EO64" s="167"/>
      <c r="EP64" s="167"/>
      <c r="EQ64" s="167"/>
      <c r="ER64" s="167"/>
      <c r="ES64" s="167"/>
      <c r="ET64" s="167"/>
      <c r="EU64" s="167"/>
      <c r="EV64" s="167"/>
      <c r="EW64" s="167"/>
      <c r="EX64" s="167"/>
      <c r="EY64" s="167"/>
      <c r="EZ64" s="167"/>
      <c r="FA64" s="167"/>
    </row>
    <row r="65" spans="1:157" s="184" customFormat="1" ht="287.25" customHeight="1" thickBot="1">
      <c r="A65" s="412"/>
      <c r="B65" s="416" t="s">
        <v>438</v>
      </c>
      <c r="C65" s="432" t="s">
        <v>439</v>
      </c>
      <c r="D65" s="432" t="s">
        <v>149</v>
      </c>
      <c r="E65" s="206" t="s">
        <v>440</v>
      </c>
      <c r="F65" s="207" t="s">
        <v>441</v>
      </c>
      <c r="G65" s="207" t="s">
        <v>142</v>
      </c>
      <c r="H65" s="419">
        <f>+I65+I66+I67</f>
        <v>0.0045000000000000005</v>
      </c>
      <c r="I65" s="180">
        <v>0.0015</v>
      </c>
      <c r="J65" s="180">
        <v>0.0015</v>
      </c>
      <c r="K65" s="420">
        <f>+J65+J66+J67</f>
        <v>0.0045000000000000005</v>
      </c>
      <c r="L65" s="198">
        <f>+J65/$K$65</f>
        <v>0.3333333333333333</v>
      </c>
      <c r="M65" s="171">
        <f t="shared" si="28"/>
        <v>0.3333333333333333</v>
      </c>
      <c r="N65" s="180">
        <v>0.0033</v>
      </c>
      <c r="O65" s="424"/>
      <c r="P65" s="187" t="s">
        <v>442</v>
      </c>
      <c r="Q65" s="187" t="s">
        <v>549</v>
      </c>
      <c r="R65" s="187" t="s">
        <v>226</v>
      </c>
      <c r="S65" s="188">
        <v>0.5</v>
      </c>
      <c r="T65" s="188">
        <v>0.9</v>
      </c>
      <c r="U65" s="188"/>
      <c r="V65" s="175"/>
      <c r="W65" s="176">
        <v>0.1</v>
      </c>
      <c r="X65" s="171">
        <f t="shared" si="11"/>
        <v>0.6</v>
      </c>
      <c r="Y65" s="180">
        <v>0.02</v>
      </c>
      <c r="Z65" s="180">
        <f t="shared" si="48"/>
        <v>0.19999999999999998</v>
      </c>
      <c r="AA65" s="180">
        <f t="shared" si="13"/>
        <v>0.19999999999999998</v>
      </c>
      <c r="AB65" s="171">
        <f>IF($J65&gt;0,Y65*$J65/0.9,"")</f>
        <v>3.3333333333333335E-05</v>
      </c>
      <c r="AC65" s="171">
        <f t="shared" si="1"/>
        <v>3.3333333333333335E-05</v>
      </c>
      <c r="AD65" s="189">
        <f>+'PLAN DE ACCION 2008'!Q594</f>
        <v>8000</v>
      </c>
      <c r="AE65" s="189">
        <f>+'PLAN DE ACCION 2008'!R594</f>
        <v>1470</v>
      </c>
      <c r="AF65" s="190" t="str">
        <f t="shared" si="34"/>
        <v>% POBLACION ASEGURADA</v>
      </c>
      <c r="AG65" s="176">
        <v>0.7</v>
      </c>
      <c r="AH65" s="240">
        <f t="shared" si="49"/>
        <v>0.7777777777777777</v>
      </c>
      <c r="AI65" s="180"/>
      <c r="AJ65" s="180">
        <f t="shared" si="15"/>
        <v>0</v>
      </c>
      <c r="AK65" s="180">
        <f t="shared" si="16"/>
        <v>0</v>
      </c>
      <c r="AL65" s="171">
        <f>IF($J65&gt;0,AI65*$J65/0.9,"")</f>
        <v>0</v>
      </c>
      <c r="AM65" s="171">
        <f t="shared" si="2"/>
        <v>0</v>
      </c>
      <c r="AN65" s="189"/>
      <c r="AO65" s="189"/>
      <c r="AP65" s="190" t="str">
        <f t="shared" si="53"/>
        <v>% POBLACION ASEGURADA</v>
      </c>
      <c r="AQ65" s="176">
        <v>0.8</v>
      </c>
      <c r="AR65" s="240">
        <f t="shared" si="50"/>
        <v>0.888888888888889</v>
      </c>
      <c r="AS65" s="180"/>
      <c r="AT65" s="180">
        <f t="shared" si="19"/>
        <v>0</v>
      </c>
      <c r="AU65" s="180">
        <f t="shared" si="20"/>
        <v>0</v>
      </c>
      <c r="AV65" s="171">
        <f>IF($J65&gt;0,AS65*$J65/0.9,"")</f>
        <v>0</v>
      </c>
      <c r="AW65" s="171">
        <f t="shared" si="3"/>
        <v>0</v>
      </c>
      <c r="AX65" s="189"/>
      <c r="AY65" s="189"/>
      <c r="AZ65" s="190" t="str">
        <f t="shared" si="54"/>
        <v>% POBLACION ASEGURADA</v>
      </c>
      <c r="BA65" s="176">
        <v>0.9</v>
      </c>
      <c r="BB65" s="240">
        <f t="shared" si="51"/>
        <v>1</v>
      </c>
      <c r="BC65" s="180"/>
      <c r="BD65" s="180">
        <f t="shared" si="23"/>
        <v>0</v>
      </c>
      <c r="BE65" s="180">
        <f t="shared" si="24"/>
        <v>0</v>
      </c>
      <c r="BF65" s="171">
        <f>IF($J65&gt;0,BC65*$J65/0.9,"")</f>
        <v>0</v>
      </c>
      <c r="BG65" s="171">
        <f t="shared" si="4"/>
        <v>0</v>
      </c>
      <c r="BH65" s="189"/>
      <c r="BI65" s="189"/>
      <c r="BJ65" s="190" t="str">
        <f t="shared" si="55"/>
        <v>% POBLACION ASEGURADA</v>
      </c>
      <c r="BK65" s="176">
        <v>0.9</v>
      </c>
      <c r="BL65" s="240">
        <f t="shared" si="52"/>
        <v>1</v>
      </c>
      <c r="BM65" s="171" t="str">
        <f t="shared" si="5"/>
        <v>OK</v>
      </c>
      <c r="BN65" s="180">
        <f t="shared" si="6"/>
        <v>0.02</v>
      </c>
      <c r="BO65" s="171">
        <f t="shared" si="7"/>
        <v>0.02</v>
      </c>
      <c r="BP65" s="171">
        <f t="shared" si="8"/>
        <v>0.02</v>
      </c>
      <c r="BQ65" s="191">
        <f t="shared" si="9"/>
        <v>8000</v>
      </c>
      <c r="BR65" s="191">
        <f t="shared" si="10"/>
        <v>1470</v>
      </c>
      <c r="BS65" s="192" t="str">
        <f t="shared" si="56"/>
        <v>% POBLACION ASEGURADA</v>
      </c>
      <c r="BT65" s="193"/>
      <c r="BU65" s="167"/>
      <c r="BV65" s="167"/>
      <c r="BW65" s="167"/>
      <c r="BX65" s="167"/>
      <c r="BY65" s="167"/>
      <c r="BZ65" s="167"/>
      <c r="CA65" s="167"/>
      <c r="CB65" s="167"/>
      <c r="CC65" s="167"/>
      <c r="CD65" s="167"/>
      <c r="CE65" s="167"/>
      <c r="CF65" s="167"/>
      <c r="CG65" s="167"/>
      <c r="CH65" s="167"/>
      <c r="CI65" s="167"/>
      <c r="CJ65" s="167"/>
      <c r="CK65" s="167"/>
      <c r="CL65" s="167"/>
      <c r="CM65" s="167"/>
      <c r="CN65" s="167"/>
      <c r="CO65" s="167"/>
      <c r="CP65" s="167"/>
      <c r="CQ65" s="167"/>
      <c r="CR65" s="167"/>
      <c r="CS65" s="167"/>
      <c r="CT65" s="167"/>
      <c r="CU65" s="167"/>
      <c r="CV65" s="167"/>
      <c r="CW65" s="167"/>
      <c r="CX65" s="167"/>
      <c r="CY65" s="167"/>
      <c r="CZ65" s="167"/>
      <c r="DA65" s="167"/>
      <c r="DB65" s="167"/>
      <c r="DC65" s="167"/>
      <c r="DD65" s="167"/>
      <c r="DE65" s="167"/>
      <c r="DF65" s="167"/>
      <c r="DG65" s="167"/>
      <c r="DH65" s="167"/>
      <c r="DI65" s="167"/>
      <c r="DJ65" s="167"/>
      <c r="DK65" s="167"/>
      <c r="DL65" s="167"/>
      <c r="DM65" s="167"/>
      <c r="DN65" s="167"/>
      <c r="DO65" s="167"/>
      <c r="DP65" s="167"/>
      <c r="DQ65" s="167"/>
      <c r="DR65" s="167"/>
      <c r="DS65" s="167"/>
      <c r="DT65" s="167"/>
      <c r="DU65" s="167"/>
      <c r="DV65" s="167"/>
      <c r="DW65" s="167"/>
      <c r="DX65" s="167"/>
      <c r="DY65" s="167"/>
      <c r="DZ65" s="167"/>
      <c r="EA65" s="167"/>
      <c r="EB65" s="167"/>
      <c r="EC65" s="167"/>
      <c r="ED65" s="167"/>
      <c r="EE65" s="167"/>
      <c r="EF65" s="167"/>
      <c r="EG65" s="167"/>
      <c r="EH65" s="167"/>
      <c r="EI65" s="167"/>
      <c r="EJ65" s="167"/>
      <c r="EK65" s="167"/>
      <c r="EL65" s="167"/>
      <c r="EM65" s="167"/>
      <c r="EN65" s="167"/>
      <c r="EO65" s="167"/>
      <c r="EP65" s="167"/>
      <c r="EQ65" s="167"/>
      <c r="ER65" s="167"/>
      <c r="ES65" s="167"/>
      <c r="ET65" s="167"/>
      <c r="EU65" s="167"/>
      <c r="EV65" s="167"/>
      <c r="EW65" s="167"/>
      <c r="EX65" s="167"/>
      <c r="EY65" s="167"/>
      <c r="EZ65" s="167"/>
      <c r="FA65" s="167"/>
    </row>
    <row r="66" spans="1:157" s="184" customFormat="1" ht="287.25" customHeight="1" thickBot="1">
      <c r="A66" s="412"/>
      <c r="B66" s="412"/>
      <c r="C66" s="433"/>
      <c r="D66" s="433"/>
      <c r="E66" s="206" t="s">
        <v>443</v>
      </c>
      <c r="F66" s="207" t="s">
        <v>444</v>
      </c>
      <c r="G66" s="207" t="s">
        <v>143</v>
      </c>
      <c r="H66" s="393"/>
      <c r="I66" s="180">
        <v>0.0015</v>
      </c>
      <c r="J66" s="180">
        <v>0.0015</v>
      </c>
      <c r="K66" s="421"/>
      <c r="L66" s="198">
        <f>+J66/$K$65</f>
        <v>0.3333333333333333</v>
      </c>
      <c r="M66" s="171">
        <f t="shared" si="28"/>
        <v>0.3333333333333333</v>
      </c>
      <c r="N66" s="180">
        <v>0.0033</v>
      </c>
      <c r="O66" s="424"/>
      <c r="P66" s="187" t="s">
        <v>445</v>
      </c>
      <c r="Q66" s="187" t="s">
        <v>549</v>
      </c>
      <c r="R66" s="187" t="s">
        <v>446</v>
      </c>
      <c r="S66" s="188">
        <v>0.4</v>
      </c>
      <c r="T66" s="188">
        <v>0.2</v>
      </c>
      <c r="U66" s="188"/>
      <c r="V66" s="175"/>
      <c r="W66" s="176">
        <v>0.05</v>
      </c>
      <c r="X66" s="171">
        <f>+S66-W66</f>
        <v>0.35000000000000003</v>
      </c>
      <c r="Y66" s="180">
        <v>0.05</v>
      </c>
      <c r="Z66" s="180">
        <f t="shared" si="48"/>
        <v>1</v>
      </c>
      <c r="AA66" s="180">
        <f t="shared" si="13"/>
        <v>1</v>
      </c>
      <c r="AB66" s="171">
        <f>IF($J66&gt;0,Y66*$J66/0.2,"")</f>
        <v>0.000375</v>
      </c>
      <c r="AC66" s="171">
        <f t="shared" si="1"/>
        <v>0.000375</v>
      </c>
      <c r="AD66" s="189">
        <f>+'PLAN DE ACCION 2008'!Q595</f>
        <v>7000</v>
      </c>
      <c r="AE66" s="189">
        <f>+'PLAN DE ACCION 2008'!R595</f>
        <v>19000</v>
      </c>
      <c r="AF66" s="190" t="str">
        <f t="shared" si="34"/>
        <v>% REDUCCION</v>
      </c>
      <c r="AG66" s="176">
        <v>0.3</v>
      </c>
      <c r="AH66" s="240">
        <f t="shared" si="49"/>
        <v>1.4999999999999998</v>
      </c>
      <c r="AI66" s="180"/>
      <c r="AJ66" s="180">
        <f t="shared" si="15"/>
        <v>0</v>
      </c>
      <c r="AK66" s="180">
        <f t="shared" si="16"/>
        <v>0</v>
      </c>
      <c r="AL66" s="171">
        <f>IF($J66&gt;0,AI66*$J66/0.2,"")</f>
        <v>0</v>
      </c>
      <c r="AM66" s="171">
        <f t="shared" si="2"/>
        <v>0</v>
      </c>
      <c r="AN66" s="189"/>
      <c r="AO66" s="189"/>
      <c r="AP66" s="190" t="str">
        <f t="shared" si="53"/>
        <v>% REDUCCION</v>
      </c>
      <c r="AQ66" s="176">
        <v>0.25</v>
      </c>
      <c r="AR66" s="240">
        <f t="shared" si="50"/>
        <v>1.25</v>
      </c>
      <c r="AS66" s="180"/>
      <c r="AT66" s="180">
        <f t="shared" si="19"/>
        <v>0</v>
      </c>
      <c r="AU66" s="180">
        <f t="shared" si="20"/>
        <v>0</v>
      </c>
      <c r="AV66" s="171">
        <f>IF($J66&gt;0,AS66*$J66/0.2,"")</f>
        <v>0</v>
      </c>
      <c r="AW66" s="171">
        <f t="shared" si="3"/>
        <v>0</v>
      </c>
      <c r="AX66" s="189"/>
      <c r="AY66" s="189"/>
      <c r="AZ66" s="190" t="str">
        <f t="shared" si="54"/>
        <v>% REDUCCION</v>
      </c>
      <c r="BA66" s="176">
        <v>0.2</v>
      </c>
      <c r="BB66" s="240">
        <f t="shared" si="51"/>
        <v>1</v>
      </c>
      <c r="BC66" s="180"/>
      <c r="BD66" s="180">
        <f t="shared" si="23"/>
        <v>0</v>
      </c>
      <c r="BE66" s="180">
        <f t="shared" si="24"/>
        <v>0</v>
      </c>
      <c r="BF66" s="171">
        <f>IF($J66&gt;0,BC66*$J66/0.2,"")</f>
        <v>0</v>
      </c>
      <c r="BG66" s="171">
        <f t="shared" si="4"/>
        <v>0</v>
      </c>
      <c r="BH66" s="189"/>
      <c r="BI66" s="189"/>
      <c r="BJ66" s="190" t="str">
        <f t="shared" si="55"/>
        <v>% REDUCCION</v>
      </c>
      <c r="BK66" s="176">
        <v>0.2</v>
      </c>
      <c r="BL66" s="240">
        <f t="shared" si="52"/>
        <v>1</v>
      </c>
      <c r="BM66" s="171" t="str">
        <f t="shared" si="5"/>
        <v>OK</v>
      </c>
      <c r="BN66" s="180">
        <f t="shared" si="6"/>
        <v>0.05</v>
      </c>
      <c r="BO66" s="171">
        <f t="shared" si="7"/>
        <v>0.05</v>
      </c>
      <c r="BP66" s="171">
        <f t="shared" si="8"/>
        <v>0.05</v>
      </c>
      <c r="BQ66" s="191">
        <f t="shared" si="9"/>
        <v>7000</v>
      </c>
      <c r="BR66" s="191">
        <f t="shared" si="10"/>
        <v>19000</v>
      </c>
      <c r="BS66" s="192" t="str">
        <f t="shared" si="56"/>
        <v>% REDUCCION</v>
      </c>
      <c r="BT66" s="193"/>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c r="DZ66" s="167"/>
      <c r="EA66" s="167"/>
      <c r="EB66" s="167"/>
      <c r="EC66" s="167"/>
      <c r="ED66" s="167"/>
      <c r="EE66" s="167"/>
      <c r="EF66" s="167"/>
      <c r="EG66" s="167"/>
      <c r="EH66" s="167"/>
      <c r="EI66" s="167"/>
      <c r="EJ66" s="167"/>
      <c r="EK66" s="167"/>
      <c r="EL66" s="167"/>
      <c r="EM66" s="167"/>
      <c r="EN66" s="167"/>
      <c r="EO66" s="167"/>
      <c r="EP66" s="167"/>
      <c r="EQ66" s="167"/>
      <c r="ER66" s="167"/>
      <c r="ES66" s="167"/>
      <c r="ET66" s="167"/>
      <c r="EU66" s="167"/>
      <c r="EV66" s="167"/>
      <c r="EW66" s="167"/>
      <c r="EX66" s="167"/>
      <c r="EY66" s="167"/>
      <c r="EZ66" s="167"/>
      <c r="FA66" s="167"/>
    </row>
    <row r="67" spans="1:157" s="184" customFormat="1" ht="287.25" customHeight="1" thickBot="1">
      <c r="A67" s="412"/>
      <c r="B67" s="413"/>
      <c r="C67" s="434"/>
      <c r="D67" s="434"/>
      <c r="E67" s="206" t="s">
        <v>447</v>
      </c>
      <c r="F67" s="207" t="s">
        <v>448</v>
      </c>
      <c r="G67" s="207" t="s">
        <v>144</v>
      </c>
      <c r="H67" s="394"/>
      <c r="I67" s="180">
        <v>0.0015</v>
      </c>
      <c r="J67" s="180">
        <v>0.0015</v>
      </c>
      <c r="K67" s="422"/>
      <c r="L67" s="198">
        <f>+J67/$K$65</f>
        <v>0.3333333333333333</v>
      </c>
      <c r="M67" s="171">
        <f t="shared" si="28"/>
        <v>0.3333333333333333</v>
      </c>
      <c r="N67" s="180">
        <v>0.0033</v>
      </c>
      <c r="O67" s="424"/>
      <c r="P67" s="187" t="s">
        <v>449</v>
      </c>
      <c r="Q67" s="187" t="s">
        <v>549</v>
      </c>
      <c r="R67" s="187" t="s">
        <v>226</v>
      </c>
      <c r="S67" s="188">
        <v>0.5</v>
      </c>
      <c r="T67" s="188">
        <v>0.9</v>
      </c>
      <c r="U67" s="188"/>
      <c r="V67" s="175"/>
      <c r="W67" s="176">
        <v>0.1</v>
      </c>
      <c r="X67" s="171">
        <f t="shared" si="11"/>
        <v>0.6</v>
      </c>
      <c r="Y67" s="180">
        <v>0.05</v>
      </c>
      <c r="Z67" s="180">
        <f t="shared" si="48"/>
        <v>0.5</v>
      </c>
      <c r="AA67" s="180">
        <f t="shared" si="13"/>
        <v>0.5</v>
      </c>
      <c r="AB67" s="171">
        <f>IF($J67&gt;0,Y67*$J67/0.9,"")</f>
        <v>8.333333333333334E-05</v>
      </c>
      <c r="AC67" s="171">
        <f t="shared" si="1"/>
        <v>8.333333333333334E-05</v>
      </c>
      <c r="AD67" s="189">
        <f>+'PLAN DE ACCION 2008'!Q596</f>
        <v>5000</v>
      </c>
      <c r="AE67" s="189">
        <f>+'PLAN DE ACCION 2008'!R596</f>
        <v>26336</v>
      </c>
      <c r="AF67" s="190" t="str">
        <f t="shared" si="34"/>
        <v>% ESTRATEGIAS</v>
      </c>
      <c r="AG67" s="176">
        <v>0.7</v>
      </c>
      <c r="AH67" s="240">
        <f t="shared" si="49"/>
        <v>0.7777777777777777</v>
      </c>
      <c r="AI67" s="180"/>
      <c r="AJ67" s="180">
        <f t="shared" si="15"/>
        <v>0</v>
      </c>
      <c r="AK67" s="180">
        <f t="shared" si="16"/>
        <v>0</v>
      </c>
      <c r="AL67" s="171">
        <f>IF($J67&gt;0,AI67*$J67/0.9,"")</f>
        <v>0</v>
      </c>
      <c r="AM67" s="171">
        <f t="shared" si="2"/>
        <v>0</v>
      </c>
      <c r="AN67" s="189"/>
      <c r="AO67" s="189"/>
      <c r="AP67" s="190" t="str">
        <f t="shared" si="53"/>
        <v>% ESTRATEGIAS</v>
      </c>
      <c r="AQ67" s="176">
        <v>0.8</v>
      </c>
      <c r="AR67" s="240">
        <f t="shared" si="50"/>
        <v>0.888888888888889</v>
      </c>
      <c r="AS67" s="180"/>
      <c r="AT67" s="180">
        <f t="shared" si="19"/>
        <v>0</v>
      </c>
      <c r="AU67" s="180">
        <f t="shared" si="20"/>
        <v>0</v>
      </c>
      <c r="AV67" s="171">
        <f>IF($J67&gt;0,AS67*$J67/0.9,"")</f>
        <v>0</v>
      </c>
      <c r="AW67" s="171">
        <f t="shared" si="3"/>
        <v>0</v>
      </c>
      <c r="AX67" s="189"/>
      <c r="AY67" s="189"/>
      <c r="AZ67" s="190" t="str">
        <f t="shared" si="54"/>
        <v>% ESTRATEGIAS</v>
      </c>
      <c r="BA67" s="176">
        <v>0.9</v>
      </c>
      <c r="BB67" s="240">
        <f t="shared" si="51"/>
        <v>1</v>
      </c>
      <c r="BC67" s="180"/>
      <c r="BD67" s="180">
        <f t="shared" si="23"/>
        <v>0</v>
      </c>
      <c r="BE67" s="180">
        <f t="shared" si="24"/>
        <v>0</v>
      </c>
      <c r="BF67" s="171">
        <f>IF($J67&gt;0,BC67*$J67/0.9,"")</f>
        <v>0</v>
      </c>
      <c r="BG67" s="171">
        <f t="shared" si="4"/>
        <v>0</v>
      </c>
      <c r="BH67" s="189"/>
      <c r="BI67" s="189"/>
      <c r="BJ67" s="190" t="str">
        <f t="shared" si="55"/>
        <v>% ESTRATEGIAS</v>
      </c>
      <c r="BK67" s="176">
        <v>0.9</v>
      </c>
      <c r="BL67" s="240">
        <f t="shared" si="52"/>
        <v>1</v>
      </c>
      <c r="BM67" s="171" t="str">
        <f t="shared" si="5"/>
        <v>OK</v>
      </c>
      <c r="BN67" s="180">
        <f t="shared" si="6"/>
        <v>0.05</v>
      </c>
      <c r="BO67" s="171">
        <f t="shared" si="7"/>
        <v>0.05</v>
      </c>
      <c r="BP67" s="171">
        <f t="shared" si="8"/>
        <v>0.05</v>
      </c>
      <c r="BQ67" s="191">
        <f t="shared" si="9"/>
        <v>5000</v>
      </c>
      <c r="BR67" s="191">
        <f t="shared" si="10"/>
        <v>26336</v>
      </c>
      <c r="BS67" s="192" t="str">
        <f t="shared" si="56"/>
        <v>% ESTRATEGIAS</v>
      </c>
      <c r="BT67" s="193"/>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67"/>
      <c r="CU67" s="167"/>
      <c r="CV67" s="167"/>
      <c r="CW67" s="167"/>
      <c r="CX67" s="167"/>
      <c r="CY67" s="167"/>
      <c r="CZ67" s="167"/>
      <c r="DA67" s="167"/>
      <c r="DB67" s="167"/>
      <c r="DC67" s="167"/>
      <c r="DD67" s="167"/>
      <c r="DE67" s="167"/>
      <c r="DF67" s="167"/>
      <c r="DG67" s="167"/>
      <c r="DH67" s="167"/>
      <c r="DI67" s="167"/>
      <c r="DJ67" s="167"/>
      <c r="DK67" s="167"/>
      <c r="DL67" s="167"/>
      <c r="DM67" s="167"/>
      <c r="DN67" s="167"/>
      <c r="DO67" s="167"/>
      <c r="DP67" s="167"/>
      <c r="DQ67" s="167"/>
      <c r="DR67" s="167"/>
      <c r="DS67" s="167"/>
      <c r="DT67" s="167"/>
      <c r="DU67" s="167"/>
      <c r="DV67" s="167"/>
      <c r="DW67" s="167"/>
      <c r="DX67" s="167"/>
      <c r="DY67" s="167"/>
      <c r="DZ67" s="167"/>
      <c r="EA67" s="167"/>
      <c r="EB67" s="167"/>
      <c r="EC67" s="167"/>
      <c r="ED67" s="167"/>
      <c r="EE67" s="167"/>
      <c r="EF67" s="167"/>
      <c r="EG67" s="167"/>
      <c r="EH67" s="167"/>
      <c r="EI67" s="167"/>
      <c r="EJ67" s="167"/>
      <c r="EK67" s="167"/>
      <c r="EL67" s="167"/>
      <c r="EM67" s="167"/>
      <c r="EN67" s="167"/>
      <c r="EO67" s="167"/>
      <c r="EP67" s="167"/>
      <c r="EQ67" s="167"/>
      <c r="ER67" s="167"/>
      <c r="ES67" s="167"/>
      <c r="ET67" s="167"/>
      <c r="EU67" s="167"/>
      <c r="EV67" s="167"/>
      <c r="EW67" s="167"/>
      <c r="EX67" s="167"/>
      <c r="EY67" s="167"/>
      <c r="EZ67" s="167"/>
      <c r="FA67" s="167"/>
    </row>
    <row r="68" spans="1:157" s="184" customFormat="1" ht="326.25" customHeight="1" thickBot="1">
      <c r="A68" s="412"/>
      <c r="B68" s="416" t="s">
        <v>450</v>
      </c>
      <c r="C68" s="432" t="s">
        <v>451</v>
      </c>
      <c r="D68" s="206" t="s">
        <v>157</v>
      </c>
      <c r="E68" s="206" t="s">
        <v>452</v>
      </c>
      <c r="F68" s="207" t="s">
        <v>453</v>
      </c>
      <c r="G68" s="207" t="s">
        <v>155</v>
      </c>
      <c r="H68" s="188">
        <f>+I68</f>
        <v>0.0006</v>
      </c>
      <c r="I68" s="180">
        <v>0.0006</v>
      </c>
      <c r="J68" s="180">
        <v>0.0006</v>
      </c>
      <c r="K68" s="198">
        <v>0.0006</v>
      </c>
      <c r="L68" s="198">
        <v>1</v>
      </c>
      <c r="M68" s="171">
        <f t="shared" si="28"/>
        <v>1</v>
      </c>
      <c r="N68" s="180">
        <v>0.0013</v>
      </c>
      <c r="O68" s="424"/>
      <c r="P68" s="187" t="s">
        <v>454</v>
      </c>
      <c r="Q68" s="187" t="s">
        <v>549</v>
      </c>
      <c r="R68" s="187" t="s">
        <v>226</v>
      </c>
      <c r="S68" s="188">
        <v>0.5</v>
      </c>
      <c r="T68" s="188">
        <v>0.9</v>
      </c>
      <c r="U68" s="188"/>
      <c r="V68" s="175"/>
      <c r="W68" s="176">
        <v>0.6</v>
      </c>
      <c r="X68" s="171">
        <f t="shared" si="11"/>
        <v>1.1</v>
      </c>
      <c r="Y68" s="180">
        <v>0</v>
      </c>
      <c r="Z68" s="180">
        <f t="shared" si="48"/>
        <v>0</v>
      </c>
      <c r="AA68" s="180">
        <f t="shared" si="13"/>
        <v>0</v>
      </c>
      <c r="AB68" s="171">
        <f>IF($J68&gt;0,Y68*$J68/0.9,"")</f>
        <v>0</v>
      </c>
      <c r="AC68" s="171">
        <f t="shared" si="1"/>
        <v>0</v>
      </c>
      <c r="AD68" s="189">
        <f>+'PLAN DE ACCION 2008'!Q617</f>
        <v>0</v>
      </c>
      <c r="AE68" s="189">
        <f>+'PLAN DE ACCION 2008'!R617</f>
        <v>0</v>
      </c>
      <c r="AF68" s="190" t="str">
        <f aca="true" t="shared" si="57" ref="AF68:AF74">+P68</f>
        <v>% CAPACITACIONES HE IMPLEMENTACIONES</v>
      </c>
      <c r="AG68" s="176">
        <v>0.7</v>
      </c>
      <c r="AH68" s="240">
        <f t="shared" si="49"/>
        <v>0.7777777777777777</v>
      </c>
      <c r="AI68" s="180"/>
      <c r="AJ68" s="180">
        <f t="shared" si="15"/>
        <v>0</v>
      </c>
      <c r="AK68" s="180">
        <f t="shared" si="16"/>
        <v>0</v>
      </c>
      <c r="AL68" s="171">
        <f>IF($J68&gt;0,AI68*$J68/0.9,"")</f>
        <v>0</v>
      </c>
      <c r="AM68" s="171">
        <f t="shared" si="2"/>
        <v>0</v>
      </c>
      <c r="AN68" s="189"/>
      <c r="AO68" s="189"/>
      <c r="AP68" s="190" t="str">
        <f t="shared" si="53"/>
        <v>% CAPACITACIONES HE IMPLEMENTACIONES</v>
      </c>
      <c r="AQ68" s="176">
        <v>0.8</v>
      </c>
      <c r="AR68" s="240">
        <f t="shared" si="50"/>
        <v>0.888888888888889</v>
      </c>
      <c r="AS68" s="180"/>
      <c r="AT68" s="180">
        <f t="shared" si="19"/>
        <v>0</v>
      </c>
      <c r="AU68" s="180">
        <f t="shared" si="20"/>
        <v>0</v>
      </c>
      <c r="AV68" s="171">
        <f>IF($J68&gt;0,AS68*$J68/0.9,"")</f>
        <v>0</v>
      </c>
      <c r="AW68" s="171">
        <f t="shared" si="3"/>
        <v>0</v>
      </c>
      <c r="AX68" s="189"/>
      <c r="AY68" s="189"/>
      <c r="AZ68" s="190" t="str">
        <f t="shared" si="54"/>
        <v>% CAPACITACIONES HE IMPLEMENTACIONES</v>
      </c>
      <c r="BA68" s="176">
        <v>0.9</v>
      </c>
      <c r="BB68" s="240">
        <f t="shared" si="51"/>
        <v>1</v>
      </c>
      <c r="BC68" s="180"/>
      <c r="BD68" s="180">
        <f t="shared" si="23"/>
        <v>0</v>
      </c>
      <c r="BE68" s="180">
        <f t="shared" si="24"/>
        <v>0</v>
      </c>
      <c r="BF68" s="171">
        <f>IF($J68&gt;0,BC68*$J68/0.9,"")</f>
        <v>0</v>
      </c>
      <c r="BG68" s="171">
        <f t="shared" si="4"/>
        <v>0</v>
      </c>
      <c r="BH68" s="189"/>
      <c r="BI68" s="189"/>
      <c r="BJ68" s="190" t="str">
        <f t="shared" si="55"/>
        <v>% CAPACITACIONES HE IMPLEMENTACIONES</v>
      </c>
      <c r="BK68" s="176">
        <v>0.9</v>
      </c>
      <c r="BL68" s="240">
        <f t="shared" si="52"/>
        <v>1</v>
      </c>
      <c r="BM68" s="171" t="str">
        <f t="shared" si="5"/>
        <v>OK</v>
      </c>
      <c r="BN68" s="180">
        <f t="shared" si="6"/>
        <v>0</v>
      </c>
      <c r="BO68" s="171">
        <f t="shared" si="7"/>
        <v>0</v>
      </c>
      <c r="BP68" s="171">
        <f t="shared" si="8"/>
        <v>0</v>
      </c>
      <c r="BQ68" s="191">
        <f t="shared" si="9"/>
        <v>0</v>
      </c>
      <c r="BR68" s="191">
        <f t="shared" si="10"/>
        <v>0</v>
      </c>
      <c r="BS68" s="192" t="str">
        <f t="shared" si="56"/>
        <v>% CAPACITACIONES HE IMPLEMENTACIONES</v>
      </c>
      <c r="BT68" s="193"/>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67"/>
      <c r="CU68" s="167"/>
      <c r="CV68" s="167"/>
      <c r="CW68" s="167"/>
      <c r="CX68" s="167"/>
      <c r="CY68" s="167"/>
      <c r="CZ68" s="167"/>
      <c r="DA68" s="167"/>
      <c r="DB68" s="167"/>
      <c r="DC68" s="167"/>
      <c r="DD68" s="167"/>
      <c r="DE68" s="167"/>
      <c r="DF68" s="167"/>
      <c r="DG68" s="167"/>
      <c r="DH68" s="167"/>
      <c r="DI68" s="167"/>
      <c r="DJ68" s="167"/>
      <c r="DK68" s="167"/>
      <c r="DL68" s="167"/>
      <c r="DM68" s="167"/>
      <c r="DN68" s="167"/>
      <c r="DO68" s="167"/>
      <c r="DP68" s="167"/>
      <c r="DQ68" s="167"/>
      <c r="DR68" s="167"/>
      <c r="DS68" s="167"/>
      <c r="DT68" s="167"/>
      <c r="DU68" s="167"/>
      <c r="DV68" s="167"/>
      <c r="DW68" s="167"/>
      <c r="DX68" s="167"/>
      <c r="DY68" s="167"/>
      <c r="DZ68" s="167"/>
      <c r="EA68" s="167"/>
      <c r="EB68" s="167"/>
      <c r="EC68" s="167"/>
      <c r="ED68" s="167"/>
      <c r="EE68" s="167"/>
      <c r="EF68" s="167"/>
      <c r="EG68" s="167"/>
      <c r="EH68" s="167"/>
      <c r="EI68" s="167"/>
      <c r="EJ68" s="167"/>
      <c r="EK68" s="167"/>
      <c r="EL68" s="167"/>
      <c r="EM68" s="167"/>
      <c r="EN68" s="167"/>
      <c r="EO68" s="167"/>
      <c r="EP68" s="167"/>
      <c r="EQ68" s="167"/>
      <c r="ER68" s="167"/>
      <c r="ES68" s="167"/>
      <c r="ET68" s="167"/>
      <c r="EU68" s="167"/>
      <c r="EV68" s="167"/>
      <c r="EW68" s="167"/>
      <c r="EX68" s="167"/>
      <c r="EY68" s="167"/>
      <c r="EZ68" s="167"/>
      <c r="FA68" s="167"/>
    </row>
    <row r="69" spans="1:157" s="184" customFormat="1" ht="287.25" customHeight="1" thickBot="1">
      <c r="A69" s="412"/>
      <c r="B69" s="412"/>
      <c r="C69" s="433"/>
      <c r="D69" s="432" t="s">
        <v>455</v>
      </c>
      <c r="E69" s="206" t="s">
        <v>456</v>
      </c>
      <c r="F69" s="207" t="s">
        <v>457</v>
      </c>
      <c r="G69" s="207" t="s">
        <v>159</v>
      </c>
      <c r="H69" s="419">
        <f>+I69+I70</f>
        <v>0.0004</v>
      </c>
      <c r="I69" s="180">
        <v>0.0002</v>
      </c>
      <c r="J69" s="180">
        <v>0.0002</v>
      </c>
      <c r="K69" s="420">
        <f>+J69+J70</f>
        <v>0.0004</v>
      </c>
      <c r="L69" s="198">
        <f>+J69/K69</f>
        <v>0.5</v>
      </c>
      <c r="M69" s="171">
        <f t="shared" si="28"/>
        <v>0.5</v>
      </c>
      <c r="N69" s="180">
        <v>0.0004</v>
      </c>
      <c r="O69" s="424"/>
      <c r="P69" s="187" t="s">
        <v>458</v>
      </c>
      <c r="Q69" s="187" t="s">
        <v>549</v>
      </c>
      <c r="R69" s="187" t="s">
        <v>226</v>
      </c>
      <c r="S69" s="188">
        <v>0.05</v>
      </c>
      <c r="T69" s="188">
        <v>0.25</v>
      </c>
      <c r="U69" s="188"/>
      <c r="V69" s="175"/>
      <c r="W69" s="176">
        <v>0.05</v>
      </c>
      <c r="X69" s="171">
        <f t="shared" si="11"/>
        <v>0.1</v>
      </c>
      <c r="Y69" s="180">
        <v>0</v>
      </c>
      <c r="Z69" s="180">
        <f t="shared" si="48"/>
        <v>0</v>
      </c>
      <c r="AA69" s="180">
        <f t="shared" si="13"/>
        <v>0</v>
      </c>
      <c r="AB69" s="171">
        <f>IF($J69&gt;0,Y69*$J69/0.25,"")</f>
        <v>0</v>
      </c>
      <c r="AC69" s="171">
        <f aca="true" t="shared" si="58" ref="AC69:AC74">IF(AB69&gt;1,IF(AB69="","",1),AB69)</f>
        <v>0</v>
      </c>
      <c r="AD69" s="189">
        <f>+'PLAN DE ACCION 2008'!Q640</f>
        <v>0</v>
      </c>
      <c r="AE69" s="189">
        <f>+'PLAN DE ACCION 2008'!R640</f>
        <v>0</v>
      </c>
      <c r="AF69" s="190" t="str">
        <f t="shared" si="57"/>
        <v>% CAPACITACIONES.</v>
      </c>
      <c r="AG69" s="176">
        <v>0.15</v>
      </c>
      <c r="AH69" s="240">
        <f t="shared" si="49"/>
        <v>0.6</v>
      </c>
      <c r="AI69" s="180"/>
      <c r="AJ69" s="180">
        <f t="shared" si="15"/>
        <v>0</v>
      </c>
      <c r="AK69" s="180">
        <f t="shared" si="16"/>
        <v>0</v>
      </c>
      <c r="AL69" s="171">
        <f>IF($J69&gt;0,AI69*$J69/0.25,"")</f>
        <v>0</v>
      </c>
      <c r="AM69" s="171">
        <f aca="true" t="shared" si="59" ref="AM69:AM74">IF(AL69&gt;1,IF(AL69="","",1),AL69)</f>
        <v>0</v>
      </c>
      <c r="AN69" s="189"/>
      <c r="AO69" s="189"/>
      <c r="AP69" s="190" t="str">
        <f t="shared" si="53"/>
        <v>% CAPACITACIONES.</v>
      </c>
      <c r="AQ69" s="176">
        <v>0.2</v>
      </c>
      <c r="AR69" s="240">
        <f t="shared" si="50"/>
        <v>0.8</v>
      </c>
      <c r="AS69" s="180"/>
      <c r="AT69" s="180">
        <f t="shared" si="19"/>
        <v>0</v>
      </c>
      <c r="AU69" s="180">
        <f t="shared" si="20"/>
        <v>0</v>
      </c>
      <c r="AV69" s="171">
        <f>IF($J69&gt;0,AS69*$J69/0.25,"")</f>
        <v>0</v>
      </c>
      <c r="AW69" s="171">
        <f aca="true" t="shared" si="60" ref="AW69:AW74">IF(AV69&gt;1,IF(AV69="","",1),AV69)</f>
        <v>0</v>
      </c>
      <c r="AX69" s="189"/>
      <c r="AY69" s="189"/>
      <c r="AZ69" s="190" t="str">
        <f t="shared" si="54"/>
        <v>% CAPACITACIONES.</v>
      </c>
      <c r="BA69" s="176">
        <v>0.25</v>
      </c>
      <c r="BB69" s="240">
        <f t="shared" si="51"/>
        <v>1</v>
      </c>
      <c r="BC69" s="180"/>
      <c r="BD69" s="180">
        <f t="shared" si="23"/>
        <v>0</v>
      </c>
      <c r="BE69" s="180">
        <f t="shared" si="24"/>
        <v>0</v>
      </c>
      <c r="BF69" s="171">
        <f>IF($J69&gt;0,BC69*$J69/0.25,"")</f>
        <v>0</v>
      </c>
      <c r="BG69" s="171">
        <f aca="true" t="shared" si="61" ref="BG69:BG74">IF(BF69&gt;1,IF(BF69="","",1),BF69)</f>
        <v>0</v>
      </c>
      <c r="BH69" s="189"/>
      <c r="BI69" s="189"/>
      <c r="BJ69" s="190" t="str">
        <f t="shared" si="55"/>
        <v>% CAPACITACIONES.</v>
      </c>
      <c r="BK69" s="176">
        <v>0.25</v>
      </c>
      <c r="BL69" s="240">
        <f t="shared" si="52"/>
        <v>1</v>
      </c>
      <c r="BM69" s="171" t="str">
        <f aca="true" t="shared" si="62" ref="BM69:BM74">IF(BK69&lt;&gt;T69,IF(BK69=0,"SIN PROGRAMAR","AJUSTAR PROYECCIÓN"),"OK")</f>
        <v>OK</v>
      </c>
      <c r="BN69" s="180">
        <f aca="true" t="shared" si="63" ref="BN69:BN74">+Y69+AI69+AS69+BC69</f>
        <v>0</v>
      </c>
      <c r="BO69" s="171">
        <f aca="true" t="shared" si="64" ref="BO69:BO74">IF(BL69&gt;0,BN69/BL69," ")</f>
        <v>0</v>
      </c>
      <c r="BP69" s="171">
        <f aca="true" t="shared" si="65" ref="BP69:BP74">IF(BO69&gt;1,IF(BO69="","",1),BO69)</f>
        <v>0</v>
      </c>
      <c r="BQ69" s="191">
        <f aca="true" t="shared" si="66" ref="BQ69:BQ74">+AD69+AN69+AX69+BH69</f>
        <v>0</v>
      </c>
      <c r="BR69" s="191">
        <f aca="true" t="shared" si="67" ref="BR69:BR74">+AE69+AO69+AY69+BI69</f>
        <v>0</v>
      </c>
      <c r="BS69" s="192" t="str">
        <f t="shared" si="56"/>
        <v>% CAPACITACIONES.</v>
      </c>
      <c r="BT69" s="193"/>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67"/>
      <c r="CU69" s="167"/>
      <c r="CV69" s="167"/>
      <c r="CW69" s="167"/>
      <c r="CX69" s="167"/>
      <c r="CY69" s="167"/>
      <c r="CZ69" s="167"/>
      <c r="DA69" s="167"/>
      <c r="DB69" s="167"/>
      <c r="DC69" s="167"/>
      <c r="DD69" s="167"/>
      <c r="DE69" s="167"/>
      <c r="DF69" s="167"/>
      <c r="DG69" s="167"/>
      <c r="DH69" s="167"/>
      <c r="DI69" s="167"/>
      <c r="DJ69" s="167"/>
      <c r="DK69" s="167"/>
      <c r="DL69" s="167"/>
      <c r="DM69" s="167"/>
      <c r="DN69" s="167"/>
      <c r="DO69" s="167"/>
      <c r="DP69" s="167"/>
      <c r="DQ69" s="167"/>
      <c r="DR69" s="167"/>
      <c r="DS69" s="167"/>
      <c r="DT69" s="167"/>
      <c r="DU69" s="167"/>
      <c r="DV69" s="167"/>
      <c r="DW69" s="167"/>
      <c r="DX69" s="167"/>
      <c r="DY69" s="167"/>
      <c r="DZ69" s="167"/>
      <c r="EA69" s="167"/>
      <c r="EB69" s="167"/>
      <c r="EC69" s="167"/>
      <c r="ED69" s="167"/>
      <c r="EE69" s="167"/>
      <c r="EF69" s="167"/>
      <c r="EG69" s="167"/>
      <c r="EH69" s="167"/>
      <c r="EI69" s="167"/>
      <c r="EJ69" s="167"/>
      <c r="EK69" s="167"/>
      <c r="EL69" s="167"/>
      <c r="EM69" s="167"/>
      <c r="EN69" s="167"/>
      <c r="EO69" s="167"/>
      <c r="EP69" s="167"/>
      <c r="EQ69" s="167"/>
      <c r="ER69" s="167"/>
      <c r="ES69" s="167"/>
      <c r="ET69" s="167"/>
      <c r="EU69" s="167"/>
      <c r="EV69" s="167"/>
      <c r="EW69" s="167"/>
      <c r="EX69" s="167"/>
      <c r="EY69" s="167"/>
      <c r="EZ69" s="167"/>
      <c r="FA69" s="167"/>
    </row>
    <row r="70" spans="1:157" s="184" customFormat="1" ht="287.25" customHeight="1" thickBot="1">
      <c r="A70" s="412"/>
      <c r="B70" s="413"/>
      <c r="C70" s="434"/>
      <c r="D70" s="434"/>
      <c r="E70" s="206" t="s">
        <v>459</v>
      </c>
      <c r="F70" s="207" t="s">
        <v>460</v>
      </c>
      <c r="G70" s="207" t="s">
        <v>160</v>
      </c>
      <c r="H70" s="394"/>
      <c r="I70" s="180">
        <v>0.0002</v>
      </c>
      <c r="J70" s="180">
        <v>0.0002</v>
      </c>
      <c r="K70" s="422"/>
      <c r="L70" s="198">
        <f>+J70/K69</f>
        <v>0.5</v>
      </c>
      <c r="M70" s="171">
        <f t="shared" si="28"/>
        <v>0.5</v>
      </c>
      <c r="N70" s="180">
        <v>0.0004</v>
      </c>
      <c r="O70" s="424"/>
      <c r="P70" s="187" t="s">
        <v>461</v>
      </c>
      <c r="Q70" s="187" t="s">
        <v>549</v>
      </c>
      <c r="R70" s="187" t="s">
        <v>226</v>
      </c>
      <c r="S70" s="188">
        <v>0.05</v>
      </c>
      <c r="T70" s="188">
        <v>0.2</v>
      </c>
      <c r="U70" s="188"/>
      <c r="V70" s="175"/>
      <c r="W70" s="176">
        <v>0.05</v>
      </c>
      <c r="X70" s="171">
        <f>+W70+S70</f>
        <v>0.1</v>
      </c>
      <c r="Y70" s="180">
        <v>0</v>
      </c>
      <c r="Z70" s="180">
        <f t="shared" si="48"/>
        <v>0</v>
      </c>
      <c r="AA70" s="180">
        <f>IF(Z70&gt;1,IF(Z70="","",Z70),Z70)</f>
        <v>0</v>
      </c>
      <c r="AB70" s="171">
        <f>IF($J70&gt;0,Y70*$J70/0.9,"")</f>
        <v>0</v>
      </c>
      <c r="AC70" s="171">
        <f t="shared" si="58"/>
        <v>0</v>
      </c>
      <c r="AD70" s="189">
        <f>+'PLAN DE ACCION 2008'!Q641</f>
        <v>0</v>
      </c>
      <c r="AE70" s="189">
        <f>+'PLAN DE ACCION 2008'!R641</f>
        <v>0</v>
      </c>
      <c r="AF70" s="190" t="str">
        <f t="shared" si="57"/>
        <v>% POBLACION ORGANIZADAS PARA VEEDORES</v>
      </c>
      <c r="AG70" s="176">
        <v>0.15</v>
      </c>
      <c r="AH70" s="240">
        <f t="shared" si="49"/>
        <v>0.7499999999999999</v>
      </c>
      <c r="AI70" s="180"/>
      <c r="AJ70" s="180">
        <f>IF(AG70&gt;0,AI70/AG70,(IF(AI70&gt;0,1,"")))</f>
        <v>0</v>
      </c>
      <c r="AK70" s="180">
        <f>IF(AJ70&gt;1,IF(AJ70="","",AJ70),AJ70)</f>
        <v>0</v>
      </c>
      <c r="AL70" s="171">
        <f>IF($J70&gt;0,AI70*$J70/0.9,"")</f>
        <v>0</v>
      </c>
      <c r="AM70" s="171">
        <f t="shared" si="59"/>
        <v>0</v>
      </c>
      <c r="AN70" s="189"/>
      <c r="AO70" s="189"/>
      <c r="AP70" s="190" t="str">
        <f t="shared" si="53"/>
        <v>% POBLACION ORGANIZADAS PARA VEEDORES</v>
      </c>
      <c r="AQ70" s="176">
        <v>0.18</v>
      </c>
      <c r="AR70" s="240">
        <f t="shared" si="50"/>
        <v>0.8999999999999999</v>
      </c>
      <c r="AS70" s="180"/>
      <c r="AT70" s="180">
        <f>IF(AQ70&gt;0,AS70/AQ70,(IF(AS70&gt;0,1,"")))</f>
        <v>0</v>
      </c>
      <c r="AU70" s="180">
        <f>IF(AT70&gt;1,IF(AT70="","",AT70),AT70)</f>
        <v>0</v>
      </c>
      <c r="AV70" s="171">
        <f>IF($J70&gt;0,AS70*$J70/0.9,"")</f>
        <v>0</v>
      </c>
      <c r="AW70" s="171">
        <f t="shared" si="60"/>
        <v>0</v>
      </c>
      <c r="AX70" s="189"/>
      <c r="AY70" s="189"/>
      <c r="AZ70" s="190" t="str">
        <f t="shared" si="54"/>
        <v>% POBLACION ORGANIZADAS PARA VEEDORES</v>
      </c>
      <c r="BA70" s="176">
        <v>0.2</v>
      </c>
      <c r="BB70" s="240">
        <f t="shared" si="51"/>
        <v>1</v>
      </c>
      <c r="BC70" s="180"/>
      <c r="BD70" s="180">
        <f>IF(BA70&gt;0,BC70/BA70,(IF(BC70&gt;0,1,"")))</f>
        <v>0</v>
      </c>
      <c r="BE70" s="180">
        <f>IF(BD70&gt;1,IF(BD70="","",BD70),BD70)</f>
        <v>0</v>
      </c>
      <c r="BF70" s="171">
        <f>IF($J70&gt;0,BC70*$J70/0.9,"")</f>
        <v>0</v>
      </c>
      <c r="BG70" s="171">
        <f t="shared" si="61"/>
        <v>0</v>
      </c>
      <c r="BH70" s="189"/>
      <c r="BI70" s="189"/>
      <c r="BJ70" s="190" t="str">
        <f t="shared" si="55"/>
        <v>% POBLACION ORGANIZADAS PARA VEEDORES</v>
      </c>
      <c r="BK70" s="176">
        <v>0.2</v>
      </c>
      <c r="BL70" s="240">
        <f t="shared" si="52"/>
        <v>1</v>
      </c>
      <c r="BM70" s="171" t="str">
        <f t="shared" si="62"/>
        <v>OK</v>
      </c>
      <c r="BN70" s="180">
        <f t="shared" si="63"/>
        <v>0</v>
      </c>
      <c r="BO70" s="171">
        <f t="shared" si="64"/>
        <v>0</v>
      </c>
      <c r="BP70" s="171">
        <f t="shared" si="65"/>
        <v>0</v>
      </c>
      <c r="BQ70" s="191">
        <f t="shared" si="66"/>
        <v>0</v>
      </c>
      <c r="BR70" s="191">
        <f t="shared" si="67"/>
        <v>0</v>
      </c>
      <c r="BS70" s="192" t="str">
        <f t="shared" si="56"/>
        <v>% POBLACION ORGANIZADAS PARA VEEDORES</v>
      </c>
      <c r="BT70" s="193"/>
      <c r="BU70" s="167"/>
      <c r="BV70" s="167"/>
      <c r="BW70" s="167"/>
      <c r="BX70" s="167"/>
      <c r="BY70" s="167"/>
      <c r="BZ70" s="167"/>
      <c r="CA70" s="167"/>
      <c r="CB70" s="167"/>
      <c r="CC70" s="167"/>
      <c r="CD70" s="167"/>
      <c r="CE70" s="167"/>
      <c r="CF70" s="167"/>
      <c r="CG70" s="167"/>
      <c r="CH70" s="167"/>
      <c r="CI70" s="167"/>
      <c r="CJ70" s="167"/>
      <c r="CK70" s="167"/>
      <c r="CL70" s="167"/>
      <c r="CM70" s="167"/>
      <c r="CN70" s="167"/>
      <c r="CO70" s="167"/>
      <c r="CP70" s="167"/>
      <c r="CQ70" s="167"/>
      <c r="CR70" s="167"/>
      <c r="CS70" s="167"/>
      <c r="CT70" s="167"/>
      <c r="CU70" s="167"/>
      <c r="CV70" s="167"/>
      <c r="CW70" s="167"/>
      <c r="CX70" s="167"/>
      <c r="CY70" s="167"/>
      <c r="CZ70" s="167"/>
      <c r="DA70" s="167"/>
      <c r="DB70" s="167"/>
      <c r="DC70" s="167"/>
      <c r="DD70" s="167"/>
      <c r="DE70" s="167"/>
      <c r="DF70" s="167"/>
      <c r="DG70" s="167"/>
      <c r="DH70" s="167"/>
      <c r="DI70" s="167"/>
      <c r="DJ70" s="167"/>
      <c r="DK70" s="167"/>
      <c r="DL70" s="167"/>
      <c r="DM70" s="167"/>
      <c r="DN70" s="167"/>
      <c r="DO70" s="167"/>
      <c r="DP70" s="167"/>
      <c r="DQ70" s="167"/>
      <c r="DR70" s="167"/>
      <c r="DS70" s="167"/>
      <c r="DT70" s="167"/>
      <c r="DU70" s="167"/>
      <c r="DV70" s="167"/>
      <c r="DW70" s="167"/>
      <c r="DX70" s="167"/>
      <c r="DY70" s="167"/>
      <c r="DZ70" s="167"/>
      <c r="EA70" s="167"/>
      <c r="EB70" s="167"/>
      <c r="EC70" s="167"/>
      <c r="ED70" s="167"/>
      <c r="EE70" s="167"/>
      <c r="EF70" s="167"/>
      <c r="EG70" s="167"/>
      <c r="EH70" s="167"/>
      <c r="EI70" s="167"/>
      <c r="EJ70" s="167"/>
      <c r="EK70" s="167"/>
      <c r="EL70" s="167"/>
      <c r="EM70" s="167"/>
      <c r="EN70" s="167"/>
      <c r="EO70" s="167"/>
      <c r="EP70" s="167"/>
      <c r="EQ70" s="167"/>
      <c r="ER70" s="167"/>
      <c r="ES70" s="167"/>
      <c r="ET70" s="167"/>
      <c r="EU70" s="167"/>
      <c r="EV70" s="167"/>
      <c r="EW70" s="167"/>
      <c r="EX70" s="167"/>
      <c r="EY70" s="167"/>
      <c r="EZ70" s="167"/>
      <c r="FA70" s="167"/>
    </row>
    <row r="71" spans="1:157" s="184" customFormat="1" ht="287.25" customHeight="1" thickBot="1">
      <c r="A71" s="412"/>
      <c r="B71" s="416" t="s">
        <v>167</v>
      </c>
      <c r="C71" s="432" t="s">
        <v>462</v>
      </c>
      <c r="D71" s="206" t="s">
        <v>168</v>
      </c>
      <c r="E71" s="206" t="s">
        <v>463</v>
      </c>
      <c r="F71" s="241" t="s">
        <v>464</v>
      </c>
      <c r="G71" s="241" t="s">
        <v>165</v>
      </c>
      <c r="H71" s="188">
        <f>+I71</f>
        <v>0.0024</v>
      </c>
      <c r="I71" s="180">
        <v>0.0024</v>
      </c>
      <c r="J71" s="180">
        <v>0.0024</v>
      </c>
      <c r="K71" s="198">
        <v>0.0024</v>
      </c>
      <c r="L71" s="198">
        <v>1</v>
      </c>
      <c r="M71" s="171">
        <f>+L71</f>
        <v>1</v>
      </c>
      <c r="N71" s="180">
        <v>0.0053</v>
      </c>
      <c r="O71" s="424"/>
      <c r="P71" s="187" t="s">
        <v>465</v>
      </c>
      <c r="Q71" s="187" t="s">
        <v>29</v>
      </c>
      <c r="R71" s="187" t="s">
        <v>226</v>
      </c>
      <c r="S71" s="188">
        <v>0.3</v>
      </c>
      <c r="T71" s="188">
        <v>0.7</v>
      </c>
      <c r="U71" s="188"/>
      <c r="V71" s="175"/>
      <c r="W71" s="176">
        <v>0.1</v>
      </c>
      <c r="X71" s="171">
        <f>+W71+S71</f>
        <v>0.4</v>
      </c>
      <c r="Y71" s="180">
        <v>0.1</v>
      </c>
      <c r="Z71" s="180">
        <f t="shared" si="48"/>
        <v>1</v>
      </c>
      <c r="AA71" s="180">
        <f>IF(Z71&gt;1,IF(Z71="","",Z71),Z71)</f>
        <v>1</v>
      </c>
      <c r="AB71" s="171">
        <f>IF($J71&gt;0,Y71*$J71/0.7,"")</f>
        <v>0.00034285714285714285</v>
      </c>
      <c r="AC71" s="171">
        <f t="shared" si="58"/>
        <v>0.00034285714285714285</v>
      </c>
      <c r="AD71" s="233">
        <f>+'PLAN DE ACCION 2008'!Q663</f>
        <v>29956</v>
      </c>
      <c r="AE71" s="233">
        <f>+'PLAN DE ACCION 2008'!R663</f>
        <v>149051</v>
      </c>
      <c r="AF71" s="190" t="str">
        <f t="shared" si="57"/>
        <v>% MANTENIMIENTO ESTABLECIMIENTOS EDUCATIVOS</v>
      </c>
      <c r="AG71" s="176">
        <v>0.5</v>
      </c>
      <c r="AH71" s="240">
        <f t="shared" si="49"/>
        <v>0.7142857142857143</v>
      </c>
      <c r="AI71" s="180"/>
      <c r="AJ71" s="180">
        <f>IF(AG71&gt;0,AI71/AG71,(IF(AI71&gt;0,1,"")))</f>
        <v>0</v>
      </c>
      <c r="AK71" s="180">
        <f>IF(AJ71&gt;1,IF(AJ71="","",AJ71),AJ71)</f>
        <v>0</v>
      </c>
      <c r="AL71" s="171">
        <f>IF($J71&gt;0,AI71*$J71/0.7,"")</f>
        <v>0</v>
      </c>
      <c r="AM71" s="171">
        <f t="shared" si="59"/>
        <v>0</v>
      </c>
      <c r="AN71" s="233"/>
      <c r="AO71" s="233"/>
      <c r="AP71" s="190" t="str">
        <f t="shared" si="53"/>
        <v>% MANTENIMIENTO ESTABLECIMIENTOS EDUCATIVOS</v>
      </c>
      <c r="AQ71" s="176">
        <v>0.6</v>
      </c>
      <c r="AR71" s="240">
        <f t="shared" si="50"/>
        <v>0.8571428571428572</v>
      </c>
      <c r="AS71" s="180"/>
      <c r="AT71" s="180">
        <f>IF(AQ71&gt;0,AS71/AQ71,(IF(AS71&gt;0,1,"")))</f>
        <v>0</v>
      </c>
      <c r="AU71" s="180">
        <f>IF(AT71&gt;1,IF(AT71="","",AT71),AT71)</f>
        <v>0</v>
      </c>
      <c r="AV71" s="171">
        <f>IF($J71&gt;0,AS71*$J71/0.7,"")</f>
        <v>0</v>
      </c>
      <c r="AW71" s="171">
        <f t="shared" si="60"/>
        <v>0</v>
      </c>
      <c r="AX71" s="233"/>
      <c r="AY71" s="233"/>
      <c r="AZ71" s="190" t="str">
        <f t="shared" si="54"/>
        <v>% MANTENIMIENTO ESTABLECIMIENTOS EDUCATIVOS</v>
      </c>
      <c r="BA71" s="176">
        <v>0.7</v>
      </c>
      <c r="BB71" s="240">
        <f t="shared" si="51"/>
        <v>1</v>
      </c>
      <c r="BC71" s="180"/>
      <c r="BD71" s="180">
        <f>IF(BA71&gt;0,BC71/BA71,(IF(BC71&gt;0,1,"")))</f>
        <v>0</v>
      </c>
      <c r="BE71" s="180">
        <f>IF(BD71&gt;1,IF(BD71="","",BD71),BD71)</f>
        <v>0</v>
      </c>
      <c r="BF71" s="171">
        <f>IF($J71&gt;0,BC71*$J71/0.7,"")</f>
        <v>0</v>
      </c>
      <c r="BG71" s="171">
        <f t="shared" si="61"/>
        <v>0</v>
      </c>
      <c r="BH71" s="233"/>
      <c r="BI71" s="233"/>
      <c r="BJ71" s="190" t="str">
        <f t="shared" si="55"/>
        <v>% MANTENIMIENTO ESTABLECIMIENTOS EDUCATIVOS</v>
      </c>
      <c r="BK71" s="176">
        <v>0.7</v>
      </c>
      <c r="BL71" s="240">
        <f t="shared" si="52"/>
        <v>1</v>
      </c>
      <c r="BM71" s="171" t="str">
        <f t="shared" si="62"/>
        <v>OK</v>
      </c>
      <c r="BN71" s="180">
        <f t="shared" si="63"/>
        <v>0.1</v>
      </c>
      <c r="BO71" s="171">
        <f t="shared" si="64"/>
        <v>0.1</v>
      </c>
      <c r="BP71" s="171">
        <f t="shared" si="65"/>
        <v>0.1</v>
      </c>
      <c r="BQ71" s="191">
        <f t="shared" si="66"/>
        <v>29956</v>
      </c>
      <c r="BR71" s="191">
        <f t="shared" si="67"/>
        <v>149051</v>
      </c>
      <c r="BS71" s="192" t="str">
        <f t="shared" si="56"/>
        <v>% MANTENIMIENTO ESTABLECIMIENTOS EDUCATIVOS</v>
      </c>
      <c r="BT71" s="193"/>
      <c r="BU71" s="167"/>
      <c r="BV71" s="167"/>
      <c r="BW71" s="167"/>
      <c r="BX71" s="167"/>
      <c r="BY71" s="167"/>
      <c r="BZ71" s="167"/>
      <c r="CA71" s="167"/>
      <c r="CB71" s="167"/>
      <c r="CC71" s="167"/>
      <c r="CD71" s="167"/>
      <c r="CE71" s="167"/>
      <c r="CF71" s="167"/>
      <c r="CG71" s="167"/>
      <c r="CH71" s="167"/>
      <c r="CI71" s="167"/>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7"/>
      <c r="DF71" s="167"/>
      <c r="DG71" s="167"/>
      <c r="DH71" s="167"/>
      <c r="DI71" s="167"/>
      <c r="DJ71" s="167"/>
      <c r="DK71" s="167"/>
      <c r="DL71" s="167"/>
      <c r="DM71" s="167"/>
      <c r="DN71" s="167"/>
      <c r="DO71" s="167"/>
      <c r="DP71" s="167"/>
      <c r="DQ71" s="167"/>
      <c r="DR71" s="167"/>
      <c r="DS71" s="167"/>
      <c r="DT71" s="167"/>
      <c r="DU71" s="167"/>
      <c r="DV71" s="167"/>
      <c r="DW71" s="167"/>
      <c r="DX71" s="167"/>
      <c r="DY71" s="167"/>
      <c r="DZ71" s="167"/>
      <c r="EA71" s="167"/>
      <c r="EB71" s="167"/>
      <c r="EC71" s="167"/>
      <c r="ED71" s="167"/>
      <c r="EE71" s="167"/>
      <c r="EF71" s="167"/>
      <c r="EG71" s="167"/>
      <c r="EH71" s="167"/>
      <c r="EI71" s="167"/>
      <c r="EJ71" s="167"/>
      <c r="EK71" s="167"/>
      <c r="EL71" s="167"/>
      <c r="EM71" s="167"/>
      <c r="EN71" s="167"/>
      <c r="EO71" s="167"/>
      <c r="EP71" s="167"/>
      <c r="EQ71" s="167"/>
      <c r="ER71" s="167"/>
      <c r="ES71" s="167"/>
      <c r="ET71" s="167"/>
      <c r="EU71" s="167"/>
      <c r="EV71" s="167"/>
      <c r="EW71" s="167"/>
      <c r="EX71" s="167"/>
      <c r="EY71" s="167"/>
      <c r="EZ71" s="167"/>
      <c r="FA71" s="167"/>
    </row>
    <row r="72" spans="1:157" s="184" customFormat="1" ht="332.25" customHeight="1" thickBot="1">
      <c r="A72" s="412"/>
      <c r="B72" s="412"/>
      <c r="C72" s="434"/>
      <c r="D72" s="206" t="s">
        <v>172</v>
      </c>
      <c r="E72" s="206" t="s">
        <v>466</v>
      </c>
      <c r="F72" s="207" t="s">
        <v>467</v>
      </c>
      <c r="G72" s="207" t="s">
        <v>170</v>
      </c>
      <c r="H72" s="188">
        <f>+I72</f>
        <v>0.0041</v>
      </c>
      <c r="I72" s="180">
        <v>0.0041</v>
      </c>
      <c r="J72" s="180">
        <v>0.0041</v>
      </c>
      <c r="K72" s="198">
        <v>0.0041</v>
      </c>
      <c r="L72" s="198">
        <v>1</v>
      </c>
      <c r="M72" s="171">
        <f t="shared" si="28"/>
        <v>1</v>
      </c>
      <c r="N72" s="180">
        <v>0.009</v>
      </c>
      <c r="O72" s="424"/>
      <c r="P72" s="187" t="s">
        <v>468</v>
      </c>
      <c r="Q72" s="187" t="s">
        <v>29</v>
      </c>
      <c r="R72" s="187" t="s">
        <v>226</v>
      </c>
      <c r="S72" s="188">
        <v>0.5</v>
      </c>
      <c r="T72" s="188">
        <v>0.9</v>
      </c>
      <c r="U72" s="188"/>
      <c r="V72" s="175"/>
      <c r="W72" s="176">
        <v>0.1</v>
      </c>
      <c r="X72" s="171">
        <f>+W72+S72</f>
        <v>0.6</v>
      </c>
      <c r="Y72" s="180">
        <v>0.1</v>
      </c>
      <c r="Z72" s="180">
        <f t="shared" si="48"/>
        <v>1</v>
      </c>
      <c r="AA72" s="180">
        <f>IF(Z72&gt;1,IF(Z72="","",Z72),Z72)</f>
        <v>1</v>
      </c>
      <c r="AB72" s="171">
        <f>IF($J72&gt;0,Y72*$J72/0.9,"")</f>
        <v>0.0004555555555555556</v>
      </c>
      <c r="AC72" s="171">
        <f t="shared" si="58"/>
        <v>0.0004555555555555556</v>
      </c>
      <c r="AD72" s="189">
        <f>+'PLAN DE ACCION 2008'!Q686</f>
        <v>15500</v>
      </c>
      <c r="AE72" s="189">
        <f>+'PLAN DE ACCION 2008'!R686</f>
        <v>25793</v>
      </c>
      <c r="AF72" s="190" t="str">
        <f t="shared" si="57"/>
        <v>% MANTENIMIENTO Y CONSTRUCCION</v>
      </c>
      <c r="AG72" s="176">
        <v>0.7</v>
      </c>
      <c r="AH72" s="240">
        <f t="shared" si="49"/>
        <v>0.7777777777777777</v>
      </c>
      <c r="AI72" s="180"/>
      <c r="AJ72" s="180">
        <f>IF(AG72&gt;0,AI72/AG72,(IF(AI72&gt;0,1,"")))</f>
        <v>0</v>
      </c>
      <c r="AK72" s="180">
        <f>IF(AJ72&gt;1,IF(AJ72="","",AJ72),AJ72)</f>
        <v>0</v>
      </c>
      <c r="AL72" s="171">
        <f>IF($J72&gt;0,AI72*$J72/0.9,"")</f>
        <v>0</v>
      </c>
      <c r="AM72" s="171">
        <f t="shared" si="59"/>
        <v>0</v>
      </c>
      <c r="AN72" s="189"/>
      <c r="AO72" s="189"/>
      <c r="AP72" s="190" t="str">
        <f t="shared" si="53"/>
        <v>% MANTENIMIENTO Y CONSTRUCCION</v>
      </c>
      <c r="AQ72" s="176">
        <v>0.8</v>
      </c>
      <c r="AR72" s="240">
        <f t="shared" si="50"/>
        <v>0.888888888888889</v>
      </c>
      <c r="AS72" s="180"/>
      <c r="AT72" s="180">
        <f>IF(AQ72&gt;0,AS72/AQ72,(IF(AS72&gt;0,1,"")))</f>
        <v>0</v>
      </c>
      <c r="AU72" s="180">
        <f>IF(AT72&gt;1,IF(AT72="","",AT72),AT72)</f>
        <v>0</v>
      </c>
      <c r="AV72" s="171">
        <f>IF($J72&gt;0,AS72*$J72/0.9,"")</f>
        <v>0</v>
      </c>
      <c r="AW72" s="171">
        <f t="shared" si="60"/>
        <v>0</v>
      </c>
      <c r="AX72" s="189"/>
      <c r="AY72" s="189"/>
      <c r="AZ72" s="190" t="str">
        <f t="shared" si="54"/>
        <v>% MANTENIMIENTO Y CONSTRUCCION</v>
      </c>
      <c r="BA72" s="176">
        <v>0.9</v>
      </c>
      <c r="BB72" s="240">
        <f t="shared" si="51"/>
        <v>1</v>
      </c>
      <c r="BC72" s="180"/>
      <c r="BD72" s="180">
        <f>IF(BA72&gt;0,BC72/BA72,(IF(BC72&gt;0,1,"")))</f>
        <v>0</v>
      </c>
      <c r="BE72" s="180">
        <f>IF(BD72&gt;1,IF(BD72="","",BD72),BD72)</f>
        <v>0</v>
      </c>
      <c r="BF72" s="171">
        <f>IF($J72&gt;0,BC72*$J72/0.9,"")</f>
        <v>0</v>
      </c>
      <c r="BG72" s="171">
        <f t="shared" si="61"/>
        <v>0</v>
      </c>
      <c r="BH72" s="189"/>
      <c r="BI72" s="189"/>
      <c r="BJ72" s="190" t="str">
        <f t="shared" si="55"/>
        <v>% MANTENIMIENTO Y CONSTRUCCION</v>
      </c>
      <c r="BK72" s="176">
        <v>0.9</v>
      </c>
      <c r="BL72" s="240">
        <f t="shared" si="52"/>
        <v>1</v>
      </c>
      <c r="BM72" s="171" t="str">
        <f t="shared" si="62"/>
        <v>OK</v>
      </c>
      <c r="BN72" s="180">
        <f t="shared" si="63"/>
        <v>0.1</v>
      </c>
      <c r="BO72" s="171">
        <f t="shared" si="64"/>
        <v>0.1</v>
      </c>
      <c r="BP72" s="171">
        <f t="shared" si="65"/>
        <v>0.1</v>
      </c>
      <c r="BQ72" s="191">
        <f t="shared" si="66"/>
        <v>15500</v>
      </c>
      <c r="BR72" s="191">
        <f t="shared" si="67"/>
        <v>25793</v>
      </c>
      <c r="BS72" s="192" t="str">
        <f t="shared" si="56"/>
        <v>% MANTENIMIENTO Y CONSTRUCCION</v>
      </c>
      <c r="BT72" s="193"/>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7"/>
      <c r="DF72" s="167"/>
      <c r="DG72" s="167"/>
      <c r="DH72" s="167"/>
      <c r="DI72" s="167"/>
      <c r="DJ72" s="167"/>
      <c r="DK72" s="167"/>
      <c r="DL72" s="167"/>
      <c r="DM72" s="167"/>
      <c r="DN72" s="167"/>
      <c r="DO72" s="167"/>
      <c r="DP72" s="167"/>
      <c r="DQ72" s="167"/>
      <c r="DR72" s="167"/>
      <c r="DS72" s="167"/>
      <c r="DT72" s="167"/>
      <c r="DU72" s="167"/>
      <c r="DV72" s="167"/>
      <c r="DW72" s="167"/>
      <c r="DX72" s="167"/>
      <c r="DY72" s="167"/>
      <c r="DZ72" s="167"/>
      <c r="EA72" s="167"/>
      <c r="EB72" s="167"/>
      <c r="EC72" s="167"/>
      <c r="ED72" s="167"/>
      <c r="EE72" s="167"/>
      <c r="EF72" s="167"/>
      <c r="EG72" s="167"/>
      <c r="EH72" s="167"/>
      <c r="EI72" s="167"/>
      <c r="EJ72" s="167"/>
      <c r="EK72" s="167"/>
      <c r="EL72" s="167"/>
      <c r="EM72" s="167"/>
      <c r="EN72" s="167"/>
      <c r="EO72" s="167"/>
      <c r="EP72" s="167"/>
      <c r="EQ72" s="167"/>
      <c r="ER72" s="167"/>
      <c r="ES72" s="167"/>
      <c r="ET72" s="167"/>
      <c r="EU72" s="167"/>
      <c r="EV72" s="167"/>
      <c r="EW72" s="167"/>
      <c r="EX72" s="167"/>
      <c r="EY72" s="167"/>
      <c r="EZ72" s="167"/>
      <c r="FA72" s="167"/>
    </row>
    <row r="73" spans="1:157" s="184" customFormat="1" ht="287.25" customHeight="1" thickBot="1">
      <c r="A73" s="412"/>
      <c r="B73" s="412"/>
      <c r="C73" s="432" t="s">
        <v>469</v>
      </c>
      <c r="D73" s="206" t="s">
        <v>175</v>
      </c>
      <c r="E73" s="206" t="s">
        <v>470</v>
      </c>
      <c r="F73" s="242" t="s">
        <v>471</v>
      </c>
      <c r="G73" s="242" t="s">
        <v>174</v>
      </c>
      <c r="H73" s="188">
        <f>+I73</f>
        <v>0.0471</v>
      </c>
      <c r="I73" s="180">
        <v>0.0471</v>
      </c>
      <c r="J73" s="180">
        <v>0.0471</v>
      </c>
      <c r="K73" s="198">
        <v>0.0471</v>
      </c>
      <c r="L73" s="198">
        <v>1</v>
      </c>
      <c r="M73" s="171">
        <f>+L73</f>
        <v>1</v>
      </c>
      <c r="N73" s="180">
        <v>0.1031</v>
      </c>
      <c r="O73" s="424"/>
      <c r="P73" s="187" t="s">
        <v>472</v>
      </c>
      <c r="Q73" s="187" t="s">
        <v>29</v>
      </c>
      <c r="R73" s="187" t="s">
        <v>226</v>
      </c>
      <c r="S73" s="188">
        <v>0.4</v>
      </c>
      <c r="T73" s="188">
        <v>0.8</v>
      </c>
      <c r="U73" s="188"/>
      <c r="V73" s="175"/>
      <c r="W73" s="176">
        <v>0.1</v>
      </c>
      <c r="X73" s="171">
        <f>+W73+S73</f>
        <v>0.5</v>
      </c>
      <c r="Y73" s="180">
        <v>0.1</v>
      </c>
      <c r="Z73" s="180">
        <f t="shared" si="48"/>
        <v>1</v>
      </c>
      <c r="AA73" s="180">
        <f>IF(Z73&gt;1,IF(Z73="","",Z73),Z73)</f>
        <v>1</v>
      </c>
      <c r="AB73" s="171">
        <f>IF($J73&gt;0,Y73*$J73/0.8,"")</f>
        <v>0.0058875</v>
      </c>
      <c r="AC73" s="171">
        <f t="shared" si="58"/>
        <v>0.0058875</v>
      </c>
      <c r="AD73" s="189">
        <f>+'PLAN DE ACCION 2008'!Q709</f>
        <v>17500</v>
      </c>
      <c r="AE73" s="189">
        <f>+'PLAN DE ACCION 2008'!R709</f>
        <v>29240</v>
      </c>
      <c r="AF73" s="190" t="str">
        <f t="shared" si="57"/>
        <v>% ADECUACION INSTALACIONES MUNICIPALES</v>
      </c>
      <c r="AG73" s="176">
        <v>0.6</v>
      </c>
      <c r="AH73" s="240">
        <f t="shared" si="49"/>
        <v>0.7499999999999999</v>
      </c>
      <c r="AI73" s="180"/>
      <c r="AJ73" s="180">
        <f>IF(AG73&gt;0,AI73/AG73,(IF(AI73&gt;0,1,"")))</f>
        <v>0</v>
      </c>
      <c r="AK73" s="180">
        <f>IF(AJ73&gt;1,IF(AJ73="","",AJ73),AJ73)</f>
        <v>0</v>
      </c>
      <c r="AL73" s="171">
        <f>IF($J73&gt;0,AI73*$J73/0.8,"")</f>
        <v>0</v>
      </c>
      <c r="AM73" s="171">
        <f t="shared" si="59"/>
        <v>0</v>
      </c>
      <c r="AN73" s="189"/>
      <c r="AO73" s="189"/>
      <c r="AP73" s="190" t="str">
        <f t="shared" si="53"/>
        <v>% ADECUACION INSTALACIONES MUNICIPALES</v>
      </c>
      <c r="AQ73" s="176">
        <v>0.7</v>
      </c>
      <c r="AR73" s="240">
        <f t="shared" si="50"/>
        <v>0.8749999999999999</v>
      </c>
      <c r="AS73" s="180"/>
      <c r="AT73" s="180">
        <f>IF(AQ73&gt;0,AS73/AQ73,(IF(AS73&gt;0,1,"")))</f>
        <v>0</v>
      </c>
      <c r="AU73" s="180">
        <f>IF(AT73&gt;1,IF(AT73="","",AT73),AT73)</f>
        <v>0</v>
      </c>
      <c r="AV73" s="171">
        <f>IF($J73&gt;0,AS73*$J73/0.8,"")</f>
        <v>0</v>
      </c>
      <c r="AW73" s="171">
        <f t="shared" si="60"/>
        <v>0</v>
      </c>
      <c r="AX73" s="189"/>
      <c r="AY73" s="189"/>
      <c r="AZ73" s="190" t="str">
        <f t="shared" si="54"/>
        <v>% ADECUACION INSTALACIONES MUNICIPALES</v>
      </c>
      <c r="BA73" s="176">
        <v>0.8</v>
      </c>
      <c r="BB73" s="240">
        <f t="shared" si="51"/>
        <v>1</v>
      </c>
      <c r="BC73" s="180"/>
      <c r="BD73" s="180">
        <f>IF(BA73&gt;0,BC73/BA73,(IF(BC73&gt;0,1,"")))</f>
        <v>0</v>
      </c>
      <c r="BE73" s="180">
        <f>IF(BD73&gt;1,IF(BD73="","",BD73),BD73)</f>
        <v>0</v>
      </c>
      <c r="BF73" s="171">
        <f>IF($J73&gt;0,BC73*$J73/0.8,"")</f>
        <v>0</v>
      </c>
      <c r="BG73" s="171">
        <f t="shared" si="61"/>
        <v>0</v>
      </c>
      <c r="BH73" s="189"/>
      <c r="BI73" s="189"/>
      <c r="BJ73" s="190" t="str">
        <f t="shared" si="55"/>
        <v>% ADECUACION INSTALACIONES MUNICIPALES</v>
      </c>
      <c r="BK73" s="176">
        <v>0.8</v>
      </c>
      <c r="BL73" s="240">
        <f t="shared" si="52"/>
        <v>1</v>
      </c>
      <c r="BM73" s="171" t="str">
        <f t="shared" si="62"/>
        <v>OK</v>
      </c>
      <c r="BN73" s="180">
        <f t="shared" si="63"/>
        <v>0.1</v>
      </c>
      <c r="BO73" s="171">
        <f t="shared" si="64"/>
        <v>0.1</v>
      </c>
      <c r="BP73" s="171">
        <f t="shared" si="65"/>
        <v>0.1</v>
      </c>
      <c r="BQ73" s="191">
        <f t="shared" si="66"/>
        <v>17500</v>
      </c>
      <c r="BR73" s="191">
        <f t="shared" si="67"/>
        <v>29240</v>
      </c>
      <c r="BS73" s="192" t="str">
        <f t="shared" si="56"/>
        <v>% ADECUACION INSTALACIONES MUNICIPALES</v>
      </c>
      <c r="BT73" s="193"/>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7"/>
      <c r="EC73" s="167"/>
      <c r="ED73" s="167"/>
      <c r="EE73" s="167"/>
      <c r="EF73" s="167"/>
      <c r="EG73" s="167"/>
      <c r="EH73" s="167"/>
      <c r="EI73" s="167"/>
      <c r="EJ73" s="167"/>
      <c r="EK73" s="167"/>
      <c r="EL73" s="167"/>
      <c r="EM73" s="167"/>
      <c r="EN73" s="167"/>
      <c r="EO73" s="167"/>
      <c r="EP73" s="167"/>
      <c r="EQ73" s="167"/>
      <c r="ER73" s="167"/>
      <c r="ES73" s="167"/>
      <c r="ET73" s="167"/>
      <c r="EU73" s="167"/>
      <c r="EV73" s="167"/>
      <c r="EW73" s="167"/>
      <c r="EX73" s="167"/>
      <c r="EY73" s="167"/>
      <c r="EZ73" s="167"/>
      <c r="FA73" s="167"/>
    </row>
    <row r="74" spans="1:157" s="184" customFormat="1" ht="287.25" customHeight="1" thickBot="1">
      <c r="A74" s="413"/>
      <c r="B74" s="413"/>
      <c r="C74" s="434"/>
      <c r="D74" s="206" t="s">
        <v>179</v>
      </c>
      <c r="E74" s="206" t="s">
        <v>180</v>
      </c>
      <c r="F74" s="207" t="s">
        <v>473</v>
      </c>
      <c r="G74" s="207" t="s">
        <v>177</v>
      </c>
      <c r="H74" s="188">
        <f>+I74</f>
        <v>0.0099</v>
      </c>
      <c r="I74" s="215">
        <v>0.0099</v>
      </c>
      <c r="J74" s="215">
        <v>0.0099</v>
      </c>
      <c r="K74" s="234">
        <v>0.0099</v>
      </c>
      <c r="L74" s="234">
        <v>0.0099</v>
      </c>
      <c r="M74" s="171">
        <f>+L74</f>
        <v>0.0099</v>
      </c>
      <c r="N74" s="215">
        <v>0.0217</v>
      </c>
      <c r="O74" s="436"/>
      <c r="P74" s="187" t="s">
        <v>474</v>
      </c>
      <c r="Q74" s="187" t="s">
        <v>29</v>
      </c>
      <c r="R74" s="187" t="s">
        <v>226</v>
      </c>
      <c r="S74" s="188">
        <v>0.5</v>
      </c>
      <c r="T74" s="188">
        <v>0.9</v>
      </c>
      <c r="U74" s="188"/>
      <c r="V74" s="175"/>
      <c r="W74" s="243">
        <v>0.1</v>
      </c>
      <c r="X74" s="215">
        <f>+W74+S74</f>
        <v>0.6</v>
      </c>
      <c r="Y74" s="215">
        <v>0</v>
      </c>
      <c r="Z74" s="215">
        <f t="shared" si="48"/>
        <v>0</v>
      </c>
      <c r="AA74" s="215">
        <f>IF(Z74&gt;1,IF(Z74="","",Z74),Z74)</f>
        <v>0</v>
      </c>
      <c r="AB74" s="171">
        <f>IF($J74&gt;0,Y74*$J74/0.9,"")</f>
        <v>0</v>
      </c>
      <c r="AC74" s="171">
        <f t="shared" si="58"/>
        <v>0</v>
      </c>
      <c r="AD74" s="218">
        <f>+'PLAN DE ACCION 2008'!Q732</f>
        <v>0</v>
      </c>
      <c r="AE74" s="218">
        <f>+'PLAN DE ACCION 2008'!R732</f>
        <v>0</v>
      </c>
      <c r="AF74" s="220" t="str">
        <f t="shared" si="57"/>
        <v>% COBERTURA OBRAS ICUNCLUSAS</v>
      </c>
      <c r="AG74" s="243">
        <v>0.7</v>
      </c>
      <c r="AH74" s="244">
        <f t="shared" si="49"/>
        <v>0.7777777777777777</v>
      </c>
      <c r="AI74" s="215"/>
      <c r="AJ74" s="215">
        <f>IF(AG74&gt;0,AI74/AG74,(IF(AI74&gt;0,1,"")))</f>
        <v>0</v>
      </c>
      <c r="AK74" s="215">
        <f>IF(AJ74&gt;1,IF(AJ74="","",AJ74),AJ74)</f>
        <v>0</v>
      </c>
      <c r="AL74" s="171">
        <f>IF($J74&gt;0,AI74*$J74/0.9,"")</f>
        <v>0</v>
      </c>
      <c r="AM74" s="171">
        <f t="shared" si="59"/>
        <v>0</v>
      </c>
      <c r="AN74" s="218"/>
      <c r="AO74" s="218"/>
      <c r="AP74" s="220" t="str">
        <f t="shared" si="53"/>
        <v>% COBERTURA OBRAS ICUNCLUSAS</v>
      </c>
      <c r="AQ74" s="243">
        <v>0.8</v>
      </c>
      <c r="AR74" s="244">
        <f t="shared" si="50"/>
        <v>0.888888888888889</v>
      </c>
      <c r="AS74" s="215"/>
      <c r="AT74" s="215">
        <f>IF(AQ74&gt;0,AS74/AQ74,(IF(AS74&gt;0,1,"")))</f>
        <v>0</v>
      </c>
      <c r="AU74" s="215">
        <f>IF(AT74&gt;1,IF(AT74="","",AT74),AT74)</f>
        <v>0</v>
      </c>
      <c r="AV74" s="171">
        <f>IF($J74&gt;0,AS74*$J74/0.9,"")</f>
        <v>0</v>
      </c>
      <c r="AW74" s="171">
        <f t="shared" si="60"/>
        <v>0</v>
      </c>
      <c r="AX74" s="218"/>
      <c r="AY74" s="218"/>
      <c r="AZ74" s="220" t="str">
        <f t="shared" si="54"/>
        <v>% COBERTURA OBRAS ICUNCLUSAS</v>
      </c>
      <c r="BA74" s="243">
        <v>0.9</v>
      </c>
      <c r="BB74" s="244">
        <f t="shared" si="51"/>
        <v>1</v>
      </c>
      <c r="BC74" s="215"/>
      <c r="BD74" s="215">
        <f>IF(BA74&gt;0,BC74/BA74,(IF(BC74&gt;0,1,"")))</f>
        <v>0</v>
      </c>
      <c r="BE74" s="215">
        <f>IF(BD74&gt;1,IF(BD74="","",BD74),BD74)</f>
        <v>0</v>
      </c>
      <c r="BF74" s="171">
        <f>IF($J74&gt;0,BC74*$J74/0.9,"")</f>
        <v>0</v>
      </c>
      <c r="BG74" s="171">
        <f t="shared" si="61"/>
        <v>0</v>
      </c>
      <c r="BH74" s="218"/>
      <c r="BI74" s="218"/>
      <c r="BJ74" s="220" t="str">
        <f t="shared" si="55"/>
        <v>% COBERTURA OBRAS ICUNCLUSAS</v>
      </c>
      <c r="BK74" s="243">
        <v>0.9</v>
      </c>
      <c r="BL74" s="244">
        <f t="shared" si="52"/>
        <v>1</v>
      </c>
      <c r="BM74" s="171" t="str">
        <f t="shared" si="62"/>
        <v>OK</v>
      </c>
      <c r="BN74" s="180">
        <f t="shared" si="63"/>
        <v>0</v>
      </c>
      <c r="BO74" s="171">
        <f t="shared" si="64"/>
        <v>0</v>
      </c>
      <c r="BP74" s="171">
        <f t="shared" si="65"/>
        <v>0</v>
      </c>
      <c r="BQ74" s="191">
        <f t="shared" si="66"/>
        <v>0</v>
      </c>
      <c r="BR74" s="191">
        <f t="shared" si="67"/>
        <v>0</v>
      </c>
      <c r="BS74" s="220" t="str">
        <f t="shared" si="56"/>
        <v>% COBERTURA OBRAS ICUNCLUSAS</v>
      </c>
      <c r="BT74" s="245"/>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c r="DH74" s="167"/>
      <c r="DI74" s="167"/>
      <c r="DJ74" s="167"/>
      <c r="DK74" s="167"/>
      <c r="DL74" s="167"/>
      <c r="DM74" s="167"/>
      <c r="DN74" s="167"/>
      <c r="DO74" s="167"/>
      <c r="DP74" s="167"/>
      <c r="DQ74" s="167"/>
      <c r="DR74" s="167"/>
      <c r="DS74" s="167"/>
      <c r="DT74" s="167"/>
      <c r="DU74" s="167"/>
      <c r="DV74" s="167"/>
      <c r="DW74" s="167"/>
      <c r="DX74" s="167"/>
      <c r="DY74" s="167"/>
      <c r="DZ74" s="167"/>
      <c r="EA74" s="167"/>
      <c r="EB74" s="167"/>
      <c r="EC74" s="167"/>
      <c r="ED74" s="167"/>
      <c r="EE74" s="167"/>
      <c r="EF74" s="167"/>
      <c r="EG74" s="167"/>
      <c r="EH74" s="167"/>
      <c r="EI74" s="167"/>
      <c r="EJ74" s="167"/>
      <c r="EK74" s="167"/>
      <c r="EL74" s="167"/>
      <c r="EM74" s="167"/>
      <c r="EN74" s="167"/>
      <c r="EO74" s="167"/>
      <c r="EP74" s="167"/>
      <c r="EQ74" s="167"/>
      <c r="ER74" s="167"/>
      <c r="ES74" s="167"/>
      <c r="ET74" s="167"/>
      <c r="EU74" s="167"/>
      <c r="EV74" s="167"/>
      <c r="EW74" s="167"/>
      <c r="EX74" s="167"/>
      <c r="EY74" s="167"/>
      <c r="EZ74" s="167"/>
      <c r="FA74" s="167"/>
    </row>
    <row r="75" spans="8:31" ht="30">
      <c r="H75" s="131"/>
      <c r="J75" s="133"/>
      <c r="AB75" s="149">
        <f>+SUM(AB4:AB74)</f>
        <v>0.21379006933719427</v>
      </c>
      <c r="AC75" s="149">
        <f>+SUM(AC4:AC74)</f>
        <v>0.21379006933719427</v>
      </c>
      <c r="AD75" s="147">
        <f>+SUM(AD4:AD74)</f>
        <v>2597550</v>
      </c>
      <c r="AE75" s="246">
        <f>+SUM(AE4:AE74)</f>
        <v>4449557</v>
      </c>
    </row>
    <row r="76" spans="8:15" ht="30">
      <c r="H76" s="135">
        <f aca="true" t="shared" si="68" ref="H76:O76">+SUM(H4:H74)</f>
        <v>1</v>
      </c>
      <c r="I76" s="135">
        <f t="shared" si="68"/>
        <v>0.9999999999999999</v>
      </c>
      <c r="J76" s="135">
        <f t="shared" si="68"/>
        <v>0.9999999999999999</v>
      </c>
      <c r="K76" s="135">
        <f t="shared" si="68"/>
        <v>1</v>
      </c>
      <c r="L76" s="135">
        <f t="shared" si="68"/>
        <v>31.00989999999999</v>
      </c>
      <c r="M76" s="135">
        <f t="shared" si="68"/>
        <v>31.00989999999999</v>
      </c>
      <c r="N76" s="135">
        <f t="shared" si="68"/>
        <v>3.9999000000000007</v>
      </c>
      <c r="O76" s="135">
        <f t="shared" si="68"/>
        <v>6.8957999999999995</v>
      </c>
    </row>
    <row r="77" spans="10:11" ht="30">
      <c r="J77" s="136"/>
      <c r="K77" s="135"/>
    </row>
    <row r="78" spans="10:30" ht="30">
      <c r="J78" s="136"/>
      <c r="K78" s="135"/>
      <c r="AD78" s="147"/>
    </row>
    <row r="79" spans="10:11" ht="30">
      <c r="J79" s="136"/>
      <c r="K79" s="136"/>
    </row>
    <row r="80" ht="30">
      <c r="J80" s="137"/>
    </row>
    <row r="81" spans="10:30" ht="30">
      <c r="J81" s="131"/>
      <c r="AD81" s="148"/>
    </row>
    <row r="82" ht="30">
      <c r="J82" s="131"/>
    </row>
    <row r="83" ht="30">
      <c r="J83" s="137"/>
    </row>
    <row r="84" spans="10:24" ht="30">
      <c r="J84" s="131"/>
      <c r="X84" s="132">
        <f>123809-93074</f>
        <v>30735</v>
      </c>
    </row>
    <row r="92" spans="30:32" ht="30">
      <c r="AD92" s="138"/>
      <c r="AE92" s="138"/>
      <c r="AF92" s="139"/>
    </row>
  </sheetData>
  <sheetProtection/>
  <mergeCells count="118">
    <mergeCell ref="H35:H37"/>
    <mergeCell ref="K35:K37"/>
    <mergeCell ref="D35:D37"/>
    <mergeCell ref="D46:D47"/>
    <mergeCell ref="K46:K47"/>
    <mergeCell ref="A59:A74"/>
    <mergeCell ref="C73:C74"/>
    <mergeCell ref="D69:D70"/>
    <mergeCell ref="H54:H55"/>
    <mergeCell ref="A46:A58"/>
    <mergeCell ref="B46:B53"/>
    <mergeCell ref="C46:C53"/>
    <mergeCell ref="D48:D50"/>
    <mergeCell ref="D51:D53"/>
    <mergeCell ref="C71:C72"/>
    <mergeCell ref="C68:C70"/>
    <mergeCell ref="K59:K61"/>
    <mergeCell ref="H63:H64"/>
    <mergeCell ref="K63:K64"/>
    <mergeCell ref="H69:H70"/>
    <mergeCell ref="H65:H67"/>
    <mergeCell ref="K65:K67"/>
    <mergeCell ref="C65:C67"/>
    <mergeCell ref="D65:D67"/>
    <mergeCell ref="C59:C64"/>
    <mergeCell ref="K69:K70"/>
    <mergeCell ref="H59:H61"/>
    <mergeCell ref="B54:B56"/>
    <mergeCell ref="C54:C56"/>
    <mergeCell ref="D54:D55"/>
    <mergeCell ref="O59:O74"/>
    <mergeCell ref="B59:B64"/>
    <mergeCell ref="B71:B74"/>
    <mergeCell ref="B68:B70"/>
    <mergeCell ref="D59:D61"/>
    <mergeCell ref="D63:D64"/>
    <mergeCell ref="B65:B67"/>
    <mergeCell ref="B57:B58"/>
    <mergeCell ref="C57:C58"/>
    <mergeCell ref="D57:D58"/>
    <mergeCell ref="H57:H58"/>
    <mergeCell ref="O54:O58"/>
    <mergeCell ref="H48:H50"/>
    <mergeCell ref="K48:K50"/>
    <mergeCell ref="H46:H47"/>
    <mergeCell ref="K57:K58"/>
    <mergeCell ref="O46:O53"/>
    <mergeCell ref="K51:K53"/>
    <mergeCell ref="K54:K55"/>
    <mergeCell ref="H51:H53"/>
    <mergeCell ref="C43:C45"/>
    <mergeCell ref="D43:D45"/>
    <mergeCell ref="H43:H45"/>
    <mergeCell ref="K43:K45"/>
    <mergeCell ref="A34:A45"/>
    <mergeCell ref="B34:B40"/>
    <mergeCell ref="C34:C40"/>
    <mergeCell ref="O34:O45"/>
    <mergeCell ref="B41:B42"/>
    <mergeCell ref="D38:D40"/>
    <mergeCell ref="H38:H40"/>
    <mergeCell ref="K38:K40"/>
    <mergeCell ref="C41:C42"/>
    <mergeCell ref="B43:B45"/>
    <mergeCell ref="O17:O22"/>
    <mergeCell ref="K32:K33"/>
    <mergeCell ref="O23:O33"/>
    <mergeCell ref="D28:D31"/>
    <mergeCell ref="H28:H31"/>
    <mergeCell ref="K28:K31"/>
    <mergeCell ref="H23:H27"/>
    <mergeCell ref="K23:K27"/>
    <mergeCell ref="H32:H33"/>
    <mergeCell ref="H20:H21"/>
    <mergeCell ref="D17:D19"/>
    <mergeCell ref="B23:B33"/>
    <mergeCell ref="C23:C33"/>
    <mergeCell ref="D23:D27"/>
    <mergeCell ref="D32:D33"/>
    <mergeCell ref="D20:D21"/>
    <mergeCell ref="K20:K21"/>
    <mergeCell ref="H17:H19"/>
    <mergeCell ref="K17:K19"/>
    <mergeCell ref="BK1:BT1"/>
    <mergeCell ref="BT2:BT3"/>
    <mergeCell ref="K4:K7"/>
    <mergeCell ref="O4:O7"/>
    <mergeCell ref="BK2:BS2"/>
    <mergeCell ref="D2:U2"/>
    <mergeCell ref="W1:AF1"/>
    <mergeCell ref="D8:D10"/>
    <mergeCell ref="H8:H10"/>
    <mergeCell ref="K8:K10"/>
    <mergeCell ref="O8:O16"/>
    <mergeCell ref="D11:D14"/>
    <mergeCell ref="H11:H14"/>
    <mergeCell ref="K11:K14"/>
    <mergeCell ref="D15:D16"/>
    <mergeCell ref="H15:H16"/>
    <mergeCell ref="K15:K16"/>
    <mergeCell ref="C4:C16"/>
    <mergeCell ref="A2:A3"/>
    <mergeCell ref="B2:B3"/>
    <mergeCell ref="A4:A33"/>
    <mergeCell ref="B4:B16"/>
    <mergeCell ref="C2:C3"/>
    <mergeCell ref="B17:B22"/>
    <mergeCell ref="C17:C22"/>
    <mergeCell ref="D4:D7"/>
    <mergeCell ref="H4:H7"/>
    <mergeCell ref="BA1:BJ1"/>
    <mergeCell ref="BA2:BJ2"/>
    <mergeCell ref="W2:AF2"/>
    <mergeCell ref="AG1:AP1"/>
    <mergeCell ref="AG2:AP2"/>
    <mergeCell ref="AQ1:AZ1"/>
    <mergeCell ref="AQ2:AZ2"/>
    <mergeCell ref="A1:U1"/>
  </mergeCells>
  <hyperlinks>
    <hyperlink ref="P15" r:id="rId1" display="COMISARI@ DE FAMILIA"/>
  </hyperlinks>
  <printOptions horizontalCentered="1" verticalCentered="1"/>
  <pageMargins left="0.5905511811023623" right="0.5905511811023623" top="0.5905511811023623" bottom="0.5905511811023623" header="0" footer="0.3937007874015748"/>
  <pageSetup horizontalDpi="300" verticalDpi="300" orientation="landscape" scale="10" r:id="rId5"/>
  <headerFooter alignWithMargins="0">
    <oddHeader>&amp;C&amp;"-,Negrita"&amp;36EVALUACION DEL PLAN DE DESARROLLO MUNICIPAL DE FOMEQUE 2008-2011
</oddHeader>
  </headerFooter>
  <rowBreaks count="5" manualBreakCount="5">
    <brk id="16" max="71" man="1"/>
    <brk id="21" max="71" man="1"/>
    <brk id="34" max="71" man="1"/>
    <brk id="50" max="71" man="1"/>
    <brk id="64" max="71" man="1"/>
  </rowBreaks>
  <colBreaks count="3" manualBreakCount="3">
    <brk id="32" max="73" man="1"/>
    <brk id="52" max="73" man="1"/>
    <brk id="62" max="73" man="1"/>
  </col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nohosala</cp:lastModifiedBy>
  <cp:lastPrinted>2009-03-06T23:06:43Z</cp:lastPrinted>
  <dcterms:created xsi:type="dcterms:W3CDTF">2009-03-06T12:55:52Z</dcterms:created>
  <dcterms:modified xsi:type="dcterms:W3CDTF">2009-12-12T17:58:15Z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