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10" windowHeight="6000" activeTab="0"/>
  </bookViews>
  <sheets>
    <sheet name="AJUSTE -SECTOR-PRESUPU_08" sheetId="1" r:id="rId1"/>
  </sheets>
  <definedNames>
    <definedName name="_xlnm.Print_Area" localSheetId="0">'AJUSTE -SECTOR-PRESUPU_08'!$A$1:$AJ$111</definedName>
    <definedName name="_xlnm.Print_Titles" localSheetId="0">'AJUSTE -SECTOR-PRESUPU_08'!$1:$8</definedName>
  </definedNames>
  <calcPr fullCalcOnLoad="1"/>
</workbook>
</file>

<file path=xl/sharedStrings.xml><?xml version="1.0" encoding="utf-8"?>
<sst xmlns="http://schemas.openxmlformats.org/spreadsheetml/2006/main" count="385" uniqueCount="326">
  <si>
    <t>CODIGO</t>
  </si>
  <si>
    <t>EDUCACIÓN</t>
  </si>
  <si>
    <t>SUBSIDIOS</t>
  </si>
  <si>
    <t>SALUD</t>
  </si>
  <si>
    <t>AGUA POTABLE Y SANEAMIENTO BASICO</t>
  </si>
  <si>
    <t>INFRAESTRUCTURA VIAL</t>
  </si>
  <si>
    <t>MEDIO AMBIENTE</t>
  </si>
  <si>
    <t>ARTE Y CULTURA</t>
  </si>
  <si>
    <t xml:space="preserve"> </t>
  </si>
  <si>
    <t>VIVIENDA</t>
  </si>
  <si>
    <t>DESARROLLO COMUNITARIO</t>
  </si>
  <si>
    <t>AGROPECUARIO</t>
  </si>
  <si>
    <t>EQUIPAMIENTO</t>
  </si>
  <si>
    <t>FORZOSA</t>
  </si>
  <si>
    <t>LIBRE</t>
  </si>
  <si>
    <t>RECURSOS</t>
  </si>
  <si>
    <t>CREDITO</t>
  </si>
  <si>
    <t>REGALIAS</t>
  </si>
  <si>
    <t>INVERSION</t>
  </si>
  <si>
    <t>SGP</t>
  </si>
  <si>
    <t>EDUCACION</t>
  </si>
  <si>
    <t>P. GNAL</t>
  </si>
  <si>
    <t>COFINAN-</t>
  </si>
  <si>
    <t>CIACION</t>
  </si>
  <si>
    <t>LEY 99/93</t>
  </si>
  <si>
    <t>TOTAL PLAN OPERATIVO ANUAL DE INVERSION</t>
  </si>
  <si>
    <t>SECTOR</t>
  </si>
  <si>
    <t>IDENTIFICACION DEL PROGRAMA</t>
  </si>
  <si>
    <t>IDENTIFICACION DEL SUBPROGRAMA</t>
  </si>
  <si>
    <t>IDENTIFICACION DE LOS PROYECTOS</t>
  </si>
  <si>
    <t>SUBTOTAL SECTOR SALUD</t>
  </si>
  <si>
    <t>SUBTOTAL SECTOR EDUCACION</t>
  </si>
  <si>
    <t>SUBTOTAL SECTOR AGUA POTABLE Y SANEAMIENTO BASICO</t>
  </si>
  <si>
    <t>SUBTOTAL SECTOR ARTE Y CULTURA</t>
  </si>
  <si>
    <t>SUBTOTAL SECTOR AGROPECUARIO</t>
  </si>
  <si>
    <t>ELECTRICO</t>
  </si>
  <si>
    <t>SUBTOTAL SECTOR ELECTRICO</t>
  </si>
  <si>
    <t>SUBTOTAL SECTOR MEDIO AMBIENTE</t>
  </si>
  <si>
    <t>PREVENCION Y ATENCION DE DESASTRES</t>
  </si>
  <si>
    <t>SUBTOTAL SECTOR EQUIPAMIENTO</t>
  </si>
  <si>
    <t>INDICADORES</t>
  </si>
  <si>
    <t>ACTUAL</t>
  </si>
  <si>
    <t>RECURSOS PROPIOS</t>
  </si>
  <si>
    <t>ALIMENTACION</t>
  </si>
  <si>
    <t>ESCOLAR</t>
  </si>
  <si>
    <t>MUNICIPIO DE CAJICA</t>
  </si>
  <si>
    <t xml:space="preserve">RECURSOS </t>
  </si>
  <si>
    <t>FOSYGA</t>
  </si>
  <si>
    <t>DE</t>
  </si>
  <si>
    <t>ETESA</t>
  </si>
  <si>
    <t>RENTAS</t>
  </si>
  <si>
    <t>PROPIAS</t>
  </si>
  <si>
    <t>IMPUESTO</t>
  </si>
  <si>
    <t>TRANSPORTE</t>
  </si>
  <si>
    <t>HIDROCARB.</t>
  </si>
  <si>
    <t>DESTINACION</t>
  </si>
  <si>
    <t>OTRAS FUENTES DE FINANCIACION</t>
  </si>
  <si>
    <t>INFRAESTRUCTURA</t>
  </si>
  <si>
    <t>DOTACION</t>
  </si>
  <si>
    <t>SERVICIOS PUBLICOS</t>
  </si>
  <si>
    <t>ALIMENTACION ESCOLAR</t>
  </si>
  <si>
    <t>REGIMEN SUBSIDIADO CONTINUIDAD</t>
  </si>
  <si>
    <t>SALUD PUBLICA (PAB)</t>
  </si>
  <si>
    <t xml:space="preserve"> DEPORTES Y RECREACION </t>
  </si>
  <si>
    <t>SEGURIDAD</t>
  </si>
  <si>
    <t>DESARROLLO INSTITUCIONAL</t>
  </si>
  <si>
    <t>ATENCION DE DESASTRES</t>
  </si>
  <si>
    <t>TURISMO</t>
  </si>
  <si>
    <t>SUBTOTAL ATENCION DE DESASTRES</t>
  </si>
  <si>
    <t>SUBTOTAL SECTOR TURISMO</t>
  </si>
  <si>
    <t>SUBTOTAL SECTOR DESARROLLO INSTITUCIONAL</t>
  </si>
  <si>
    <t>SUBTOTAL SECTOR INFRAESTRUCTURA VIAL</t>
  </si>
  <si>
    <t>SUBTOTAL SECTOR SEGURIDAD</t>
  </si>
  <si>
    <t>SUBTOTAL SECTOR DESARROLLO COMUNITARIO</t>
  </si>
  <si>
    <t xml:space="preserve">SUBTOTAL SECTOR DEPORTES Y RECREACION </t>
  </si>
  <si>
    <t>EVENTOS DEPORTIVOS</t>
  </si>
  <si>
    <t>ESCUELAS DE FORMACION</t>
  </si>
  <si>
    <t>IMPLEMENTOS DEPORTIVOS</t>
  </si>
  <si>
    <t>EVENTOS CULTURALES</t>
  </si>
  <si>
    <t>VIVIENDA DE INTERES SOCIAL</t>
  </si>
  <si>
    <t>ADULTO MAYOR</t>
  </si>
  <si>
    <t>NIÑEZ</t>
  </si>
  <si>
    <t>JUVENTUD</t>
  </si>
  <si>
    <t>LUDOTECA</t>
  </si>
  <si>
    <t>DISCAPACITADOS</t>
  </si>
  <si>
    <t>DESPLAZADOS</t>
  </si>
  <si>
    <t>MUJER CABEZA DE FAMILIA</t>
  </si>
  <si>
    <t>CAPACITACION COMUNITARIA</t>
  </si>
  <si>
    <t>ADQUISICIÓN EQUIPOS</t>
  </si>
  <si>
    <t>PROGRAMAS DE SEGURIDAD CIUDADANA</t>
  </si>
  <si>
    <t>ASISTENCIA TECNICA</t>
  </si>
  <si>
    <t>APOYO A PEQUEÑOS Y MEDIANOS PRODUCTORES</t>
  </si>
  <si>
    <t>CONSTRUCCION VIAS</t>
  </si>
  <si>
    <t>MANTENIMIENTO DE VIAS</t>
  </si>
  <si>
    <t>ESTUDIOS Y DISEÑOS</t>
  </si>
  <si>
    <t>SEÑALIZACION</t>
  </si>
  <si>
    <t>MANTENIMIENTO DE REDES</t>
  </si>
  <si>
    <t>CONSTRUCCION DE REDES</t>
  </si>
  <si>
    <t>ALUMBRADO PUBLICO</t>
  </si>
  <si>
    <t>CAPACITACION</t>
  </si>
  <si>
    <t>FORTALECIMIENTO INSTITUCIONAL</t>
  </si>
  <si>
    <t>SISTEMA DE INFORMACION</t>
  </si>
  <si>
    <t>REFORESTACION DE CUENCAS</t>
  </si>
  <si>
    <t>RECUPERACION DE ZONAS</t>
  </si>
  <si>
    <t>COMPRA DE PREDIOS RESERVA FORESTAL</t>
  </si>
  <si>
    <t>CONSTRUCCION</t>
  </si>
  <si>
    <t>MANTENIMIENTO DE EDIFICIOS PUBLICOS</t>
  </si>
  <si>
    <t>MANTENIMIENTO DE PARQUES Y PLAZAS</t>
  </si>
  <si>
    <t>COMPRA DE PREDIOS DE INTERES MPAL</t>
  </si>
  <si>
    <t>FOMENTO DEL TURISMO</t>
  </si>
  <si>
    <t>OTROS PROGRAMAS</t>
  </si>
  <si>
    <t>Ampliación y Mantenimiento de establecimientos educativos</t>
  </si>
  <si>
    <t>Dotación equipo, materiales y mobiliario</t>
  </si>
  <si>
    <t>Programa de actualización y aseguramiento de la calidad educativa</t>
  </si>
  <si>
    <t>Alimentación Escolar</t>
  </si>
  <si>
    <t>Contratación de personal profesional y administrativo de apoyo al sistema educativo</t>
  </si>
  <si>
    <t>Pago instructores bandas de guerra</t>
  </si>
  <si>
    <t>Pago de servicios públicos domiciliarios de los establecimientos educativos</t>
  </si>
  <si>
    <t>CONSTRUCCION, ADQUISICION , MEJORAMIENTO Y MANTENIMIENTO DE INFRAESTRUCTUR PROPIA DEL SECTOR</t>
  </si>
  <si>
    <t>ADQUISICION Y/O PRODUCCION DE MATERIALES Y SUMINISTROS</t>
  </si>
  <si>
    <t>DIVULGACION ASISTENCIA TECNICA Y  CAPACITACION</t>
  </si>
  <si>
    <t>PROTECCION Y BIENESTAR SOCIAL</t>
  </si>
  <si>
    <t>Construcción, reposiciòn y mantenimiento de acueductos</t>
  </si>
  <si>
    <t>Subsidios a personas de menores ingresos para el pago de servicios públicos de acueducto, alcantarilado y aseo</t>
  </si>
  <si>
    <t>Programas de promocion y prevencion en salud y plan de atencion básica PAB</t>
  </si>
  <si>
    <t>Subsidios para el acceso a la poblacion con NBI a la atencion en salud-CONTINUIDAD</t>
  </si>
  <si>
    <t>Subsidios para el acceso a la poblacion con NBI a la atencion en salud-AMPLIACION</t>
  </si>
  <si>
    <t>Subsidios para atención en salud a población pobre no asegurada</t>
  </si>
  <si>
    <t>2710202</t>
  </si>
  <si>
    <t>2710204</t>
  </si>
  <si>
    <t>2710290</t>
  </si>
  <si>
    <t>2710208</t>
  </si>
  <si>
    <t>2710207</t>
  </si>
  <si>
    <t>2720112</t>
  </si>
  <si>
    <t>2720108</t>
  </si>
  <si>
    <t>2710302</t>
  </si>
  <si>
    <t>2710312</t>
  </si>
  <si>
    <t>2750503</t>
  </si>
  <si>
    <t xml:space="preserve">APOYO FINANCIERO A LIGAS CLUBES Y EVENTOS DEPORTIVOS </t>
  </si>
  <si>
    <t>DIVULGACION ASISTENCIA TECNICA Y CAPACITACION</t>
  </si>
  <si>
    <t>2750505</t>
  </si>
  <si>
    <t>2750501</t>
  </si>
  <si>
    <t>Construcciòn, mantenimiento y dotaciòn de escenarios del sector</t>
  </si>
  <si>
    <t>Organización y participación en actividades y competencias formativas</t>
  </si>
  <si>
    <t>Organización y estimulo a los mejores deportistas del año</t>
  </si>
  <si>
    <t>Organización y participación en actividades y competencias deportivas competitivas</t>
  </si>
  <si>
    <t>Organización y participación en actividades y competencias deporte asociado</t>
  </si>
  <si>
    <t>Actividades recreativas</t>
  </si>
  <si>
    <t>Formación y capacitación</t>
  </si>
  <si>
    <t>Divulgación de actividades</t>
  </si>
  <si>
    <t>2710603</t>
  </si>
  <si>
    <t>APOYO FINANCIERO A EVENTOS CULTURALES</t>
  </si>
  <si>
    <t>Dotación y mantenimiento de Bibliotecas</t>
  </si>
  <si>
    <t>Dotaciòn de grupos artìsticos y culturales</t>
  </si>
  <si>
    <t>Organización y participación en eventos culturales</t>
  </si>
  <si>
    <t>Promoción y divulgación del municipio</t>
  </si>
  <si>
    <t>Fomento de grupos artísticos y culturales</t>
  </si>
  <si>
    <t>Fortalecimiento de escuelas de arte y cultura</t>
  </si>
  <si>
    <t>Subsidios para vivienda de interses social</t>
  </si>
  <si>
    <t>Construcción y Mejoramiento de vivienda de interes social</t>
  </si>
  <si>
    <t>ASISTENCIA DIRECTA A LA COMUNIDAD</t>
  </si>
  <si>
    <t>2710704</t>
  </si>
  <si>
    <t>2730302</t>
  </si>
  <si>
    <t>2730407</t>
  </si>
  <si>
    <t>Programas para la niñez</t>
  </si>
  <si>
    <t>Apoyo a personas desplazadas por la violencia</t>
  </si>
  <si>
    <t>Apoyo al adulto mayor</t>
  </si>
  <si>
    <t>Apoyo a la población discapacitada</t>
  </si>
  <si>
    <t>Apoyo a programas de la juventud</t>
  </si>
  <si>
    <t>Asistencia a nucleo familiar</t>
  </si>
  <si>
    <t>PARTICIPACION COMUNITARIA</t>
  </si>
  <si>
    <t>2710706</t>
  </si>
  <si>
    <t xml:space="preserve">Mantenimiento y operación lúdotecas </t>
  </si>
  <si>
    <t>Programas de capacitacion comunitaria</t>
  </si>
  <si>
    <t>Reactivaciòn Empresarial</t>
  </si>
  <si>
    <t>Apoyo a hogares comunitarios</t>
  </si>
  <si>
    <t>2710802</t>
  </si>
  <si>
    <t>DIVULGACION ASISTENCIA Y CAPACITACION</t>
  </si>
  <si>
    <t>2710801</t>
  </si>
  <si>
    <t>Programas de seguridad ciudadana</t>
  </si>
  <si>
    <t>Adquisición de equipos para la seguridad ciudadana</t>
  </si>
  <si>
    <t>CONSTRUCCION, ADQUISICION, MEJORAMIENTO Y MANTENIMIENTO DE INFRAESTRUCTUR PROPIA DEL SECTOR</t>
  </si>
  <si>
    <t>Construcción y dotación de granjas integrales</t>
  </si>
  <si>
    <t>Mantenimiento y operación de maquinaria agricola</t>
  </si>
  <si>
    <t>Compra de equipos para el sector agropecuario</t>
  </si>
  <si>
    <t>Fomento al pequeño productor</t>
  </si>
  <si>
    <t>Fomento de actividades agropecuarias y participación empresarial</t>
  </si>
  <si>
    <t>Capacitación y asistencia técnica agropecuaria</t>
  </si>
  <si>
    <t>Creación de centro de gestión tecnologica</t>
  </si>
  <si>
    <t>DIVULGACION Y ASISTENCIA TECNICA Y CAPACITACION</t>
  </si>
  <si>
    <t>2711402</t>
  </si>
  <si>
    <t>CREACION, DOTACION, MANTENIMIENTO Y OPERACIÓN DE UMATAS</t>
  </si>
  <si>
    <t>INVESTIGACION Y ESTUDIOS</t>
  </si>
  <si>
    <t>Construcción de vías y Ciclovias</t>
  </si>
  <si>
    <t>Mantenimiento y reparación de vías</t>
  </si>
  <si>
    <t>Señalización de vías</t>
  </si>
  <si>
    <t>Estudios y diseños de preinversión para el sector</t>
  </si>
  <si>
    <t>2711801</t>
  </si>
  <si>
    <t>2711807</t>
  </si>
  <si>
    <t>Mantenimiento y extensión de redes eléctricas</t>
  </si>
  <si>
    <t>Pago del servicio de alumbrado público</t>
  </si>
  <si>
    <t>2711901</t>
  </si>
  <si>
    <t>2711990</t>
  </si>
  <si>
    <t>LEVANTAMIENTO Y ACTUALIZACION DE INFORMACION PARA PROCESAMIENTO</t>
  </si>
  <si>
    <t>2712209</t>
  </si>
  <si>
    <t>2712206</t>
  </si>
  <si>
    <t>Plan anual de capacitacion</t>
  </si>
  <si>
    <t xml:space="preserve">Asistencia técnica y asesoría para fortalecer la gestion pública </t>
  </si>
  <si>
    <t>Fortalecimiento del sistema de información y procesamiento.</t>
  </si>
  <si>
    <t>PROGRAMAS DE REFORESTACION Y CONTROL A LA EROSION</t>
  </si>
  <si>
    <t>2712101</t>
  </si>
  <si>
    <t>PROGRAMAS DE PROTECCION DEL MEDIO AMBIENTE</t>
  </si>
  <si>
    <t>PROGRAMAS DE DRAGADO  DEFENSA DE CUENCAS Y HOYAS HIDROGRAFICAS</t>
  </si>
  <si>
    <t>Recuperaciòn protecciòn  de zonas de bosque protector, recarga de acuiferos y zonas verdes</t>
  </si>
  <si>
    <t>Recuperaciòn y preservacion de cuencas hidrogràficas</t>
  </si>
  <si>
    <t>Compra de terrenos para reserva forestal</t>
  </si>
  <si>
    <t>Plan de manejo zona ambiental</t>
  </si>
  <si>
    <t>CONSTRUCCION, ADQUISICION , MEJORAMIENTO Y MANTENIMIENTO DE INFRAESTRUCTURA PROPIA DEL SECTOR</t>
  </si>
  <si>
    <t>2712105</t>
  </si>
  <si>
    <t>2712106</t>
  </si>
  <si>
    <t>2712104</t>
  </si>
  <si>
    <t>2712102</t>
  </si>
  <si>
    <t>Ampliación del viviero municipal</t>
  </si>
  <si>
    <t>Programas educativos ambientales</t>
  </si>
  <si>
    <t>PROGRAMAS DE PREVENCION Y ATENCION DE DESASTRES</t>
  </si>
  <si>
    <t>2712304</t>
  </si>
  <si>
    <t xml:space="preserve">Programas de prevención y atención de desastres </t>
  </si>
  <si>
    <t>2712401</t>
  </si>
  <si>
    <t>Compra de predios de interes municipal</t>
  </si>
  <si>
    <t>Mejoramiento de edificios públicos municipales</t>
  </si>
  <si>
    <t>Construcción y Mantenimiento de plazas y parques públicos</t>
  </si>
  <si>
    <t>Construcciòn edificios Pùblicos</t>
  </si>
  <si>
    <t>2711301</t>
  </si>
  <si>
    <t>PROGRAMAS DE DESARROLLO TURISTICO</t>
  </si>
  <si>
    <t>Programas de Desarrollo Turistico</t>
  </si>
  <si>
    <t>2710601</t>
  </si>
  <si>
    <t>2710604</t>
  </si>
  <si>
    <t>TRANSFERENCIAS</t>
  </si>
  <si>
    <t>2711401</t>
  </si>
  <si>
    <t>SOBRETASA</t>
  </si>
  <si>
    <t>Plan operativo UMATA</t>
  </si>
  <si>
    <t>Transferencias 15% CAR</t>
  </si>
  <si>
    <t>Adquisición de equipo y mobiliario urbano</t>
  </si>
  <si>
    <t>EJE</t>
  </si>
  <si>
    <t>CONVIVENCIA</t>
  </si>
  <si>
    <t>CAJICA VITAL</t>
  </si>
  <si>
    <t>HABITAT</t>
  </si>
  <si>
    <t>INFRAESTRUCTURA SOCIAL Y SERVICIOSPÚBLICOS</t>
  </si>
  <si>
    <t>PROGRAMA</t>
  </si>
  <si>
    <t>CONSOLIDACION DEL TEJIDO SOCIAL</t>
  </si>
  <si>
    <t>CAJICA PRODUCTIVA</t>
  </si>
  <si>
    <t>INFRAESTRUCTURA SOCIAL Y DE SERVICIOS PÚBLICOS</t>
  </si>
  <si>
    <t>AMBIENTE SANO</t>
  </si>
  <si>
    <t>INFRAESTRUCTURA SOCIAL Y DE SERVICIOS</t>
  </si>
  <si>
    <t>CAJICA VITAL Y          CULTURA PARA LA CONVIVENCIA</t>
  </si>
  <si>
    <t>CONSOLIDACION DEL TEJIDO SOCIAL ?</t>
  </si>
  <si>
    <t>(PROGRAMA P.D)</t>
  </si>
  <si>
    <t>ECONOMICO</t>
  </si>
  <si>
    <t>FÍSICO</t>
  </si>
  <si>
    <t>SUBTOTAL SECTOR VIVIENDA</t>
  </si>
  <si>
    <t xml:space="preserve">INSTITUCIONAL </t>
  </si>
  <si>
    <t xml:space="preserve">SOCIAL </t>
  </si>
  <si>
    <t>SUPEREJE</t>
  </si>
  <si>
    <t>AGUA POTABLE</t>
  </si>
  <si>
    <t>DEPORTE</t>
  </si>
  <si>
    <t>VIGENCIA FISCAL 2008'</t>
  </si>
  <si>
    <t>IMPLEMENTACION DEL PROGRAMA CAJICA JOVEN Y ACTIVA EN EL MUNICIPIO DE CAJICA CUNDINAMARCA (2004-2009)</t>
  </si>
  <si>
    <t>DIVULGACIÒN DE LOS PROGRAMAS DE COMISARIA DE FAMILIA CAJICÀ, CUNDINAMARCA (2006-2010)</t>
  </si>
  <si>
    <t>IMPLEMENTACION  DE PROGRAMAS DE PROTECCIÒN INTEGRAL A NIÑOS Y NIÑAS ADOLESCENTES, MUNICIPIO DE CAJICÀ</t>
  </si>
  <si>
    <t>IMPLEMENTACIÒN DE FAMILIAS EN CONVIVENCIA</t>
  </si>
  <si>
    <t>ADECUACIÒN IMPLEMENTACIÒN DE PROYECTOS PRODUCTIVOS AGRICOLAS Y PECUARIOS MUNICIPIO DE CAJICÀ</t>
  </si>
  <si>
    <t>ASISTENCIA TECNICA PROFESIONAL A LOS PEQUEÑOS Y  MEDIANOS PRODUCTORES PECUARIOS DEL MUNICIPIO DE CAJICÀ</t>
  </si>
  <si>
    <t>IMPLEMENTACION Y PUESTA EN MARCHA  DEL DEPOSITO MUNICIPAL DE ANIMALES  Y FUNCIONAMIENTO DE JUNTA MUNICIPAL DEFENSORA DE ANIMALES.</t>
  </si>
  <si>
    <t>MEJORAMIENTO Y DOTACION DE LA ESCUELA DE FORMACIÒN ARTÌSTICA DEL MUNICIPIO DE CAJICÀ, CUNDINAMARCA (2006-2009)</t>
  </si>
  <si>
    <t>APROVECHAMIENTO INTEGRAL DEL POTENCIAL TURISTICO DEL MUNICIPIO DE CAJICA</t>
  </si>
  <si>
    <t>APOYO FINANCIERO A LIGAS CLUBES Y EVENTOS DEPORTIVOS</t>
  </si>
  <si>
    <t>FORTALECIMIENTO  Y DIVULGACIÒNDE RECREACIÒN  Y DEPORTE</t>
  </si>
  <si>
    <t>CONSTRUCCION PLAN MAESTRO AGUA POTABLE ,  MUNICIPIO DE CAJICA, CUNDINAMARCA</t>
  </si>
  <si>
    <t>ESTUDIOS Y DISEÑOS PLAN MAESTRO ALCANTARILLADO PLUVIAL Y AGUAS NEGRAS.</t>
  </si>
  <si>
    <t>MEJORAMIENTO Y MANTENIMIENTO DE EDIFICIOS PÙBLICOS MUNICIPALES</t>
  </si>
  <si>
    <t>ADECUACION Y REMODELACION DEL PARQUE EL PRADO DEL MUNICIPIO DE CAJICA</t>
  </si>
  <si>
    <t>MANTENIMIENTO Y DOTACION DE PARQUES MUNICPALES</t>
  </si>
  <si>
    <t>MEJORAMIENTO Y PAVIMENTACION CAMINO DE SANTA LUCIA VEREDA CANELON, MUNICIPIO DE CAJICA</t>
  </si>
  <si>
    <t>CONSTRUCCIÓN DE SIETE AULAS Y UNA BATERIA SANITARIA EN LA INSTITUCIÓN EDUCATIVA DEPARTAMENTAL CAPELLANÍA, MUNICIPIO DE CAJICÁ</t>
  </si>
  <si>
    <t>MEJORAMIENTO Y MANTENIMIENTO DE LAS VIAS URBANAS Y RURALES DEL MUNICIPIO DE CAJICA</t>
  </si>
  <si>
    <t>CONSTRUCCION DE UN MODULO EN PABLO HERRERA</t>
  </si>
  <si>
    <t>AMPLIACION DE ESTABLECIMIENTOS EDUCATIVOS  (GRANJITAS, SAN GABRIEL, POMPILIO MARTINEZ, CAPELLANIA)</t>
  </si>
  <si>
    <t>MEJORAMIENTO DE LA CALIDAD EDUCATIVA</t>
  </si>
  <si>
    <t>SUMINISTRO A LA POBLACION VULNERADA DEL MUNICIPIO DE CAJICA</t>
  </si>
  <si>
    <t>MEJORAMIENTO ,  DOTACION Y  OPERACIÒN DEL CIDT - POLITÈCNICO SABAN CENTRO.</t>
  </si>
  <si>
    <t>PROTECCION Y APOYO AL ADULTO MAYOR</t>
  </si>
  <si>
    <t>MEJORAMIENTO DE LA CALIDAD DE  VIDA DE LOS NIÑOS BENEFICIARIOS DE LOS HOGARES COMUNITARIOS.</t>
  </si>
  <si>
    <t>PROMOCIÒN DEL SECTOR MICROEMPRESARIAL DEL MUNICIPIO DE CAJICA</t>
  </si>
  <si>
    <t>PROMOCION DEL SECTOR MICROEMEPRESARIAL DEL MUNICIPIO DE CAJICA</t>
  </si>
  <si>
    <t>MEJORAMIENTO DE LA INFRAESTRUCTURA FÌSICA , MATERIAL BIBLIOGRÀFICO Y DOTACION DE TECNOLOGÌA  PARA LA BIBLIOTECA PÙBLICA MUNICIPAL DE CAJICÀ</t>
  </si>
  <si>
    <t>SUBSIDIOS PARA EL PAGO DE SERVICIOS PÙBLICOS DE LA POBLACIÒN DE LOS NIVELES 1,2 Y 3 DEL MUNICIPIO DE CAJICA</t>
  </si>
  <si>
    <t>PREVENCION DE RIESGOS Y PROMOCION DE ESTILOS DE VIDA SALUDABLE PARA LA POBLACION DEL MUNICIPIO DE CAJICA (2006-2008)</t>
  </si>
  <si>
    <t>SUBSIDIO A LA POBLACION DE LOS NIVELES 1,2 Y 3 DEL SISBEN DEL MUNICIPIO DE CAJICA</t>
  </si>
  <si>
    <t>OTROS</t>
  </si>
  <si>
    <t>ASISTENCIA EN SALUD A LA POBLACION  POBRE Y VULNERABLE NO CUBIERTA POR EL REGIMEN SUBSIDIADO, NI CONTRIBUTIVO DEL MUNICIPIO DE CAJICA</t>
  </si>
  <si>
    <t>ESPERADO EN EL 2008</t>
  </si>
  <si>
    <t>TOTAL-solicitado</t>
  </si>
  <si>
    <t>CULTURA</t>
  </si>
  <si>
    <t>SALUD PÚBLICA</t>
  </si>
  <si>
    <t>DIFERENCIA</t>
  </si>
  <si>
    <t>VALOR CORRESPONDIENTE POR %</t>
  </si>
  <si>
    <t>TOTAL-AJUSTADO</t>
  </si>
  <si>
    <t>POBLAC. POBRE</t>
  </si>
  <si>
    <t>FONDOS</t>
  </si>
  <si>
    <t>OFERTA</t>
  </si>
  <si>
    <t xml:space="preserve">CONSTRUCCIÓN PRIMEROS AUXILIOS  ESTACION DEL TREN </t>
  </si>
  <si>
    <t>SEGURIDAD Y JUSTICIA</t>
  </si>
  <si>
    <t>FOMENTO EDUCACION SUPERIOR</t>
  </si>
  <si>
    <t>2710803</t>
  </si>
  <si>
    <t>PROGRAMAS SISTEMA PENAL ACUSATORIO</t>
  </si>
  <si>
    <t>IMPLEMENTACION NUEVO SISTEMA PENAL ACUSATORIO</t>
  </si>
  <si>
    <t>Programas del nuevo sistema penal acusatorio</t>
  </si>
  <si>
    <t>**************</t>
  </si>
  <si>
    <t>******</t>
  </si>
  <si>
    <t>Mantenimiento y Operación del  POLITÈCNICO</t>
  </si>
  <si>
    <t>Fomento para Financiación de la Eduación Superior.</t>
  </si>
  <si>
    <t>RENDIM</t>
  </si>
  <si>
    <t>GASTOS DE INVERSION</t>
  </si>
  <si>
    <t>FINANCIE</t>
  </si>
  <si>
    <t>REGIMEN SUBSIDIADO</t>
  </si>
  <si>
    <t xml:space="preserve"> APORTES PATRONAL</t>
  </si>
</sst>
</file>

<file path=xl/styles.xml><?xml version="1.0" encoding="utf-8"?>
<styleSheet xmlns="http://schemas.openxmlformats.org/spreadsheetml/2006/main">
  <numFmts count="6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0.0"/>
    <numFmt numFmtId="195" formatCode="0.000"/>
    <numFmt numFmtId="196" formatCode="0.0000"/>
    <numFmt numFmtId="197" formatCode="_ * #,##0.000_ ;_ * \-#,##0.000_ ;_ * &quot;-&quot;??_ ;_ @_ "/>
    <numFmt numFmtId="198" formatCode="_ * #,##0.0_ ;_ * \-#,##0.0_ ;_ * &quot;-&quot;??_ ;_ @_ "/>
    <numFmt numFmtId="199" formatCode="_ * #,##0_ ;_ * \-#,##0_ ;_ * &quot;-&quot;??_ ;_ @_ "/>
    <numFmt numFmtId="200" formatCode="_ * #,##0.0000_ ;_ * \-#,##0.0000_ ;_ * &quot;-&quot;??_ ;_ @_ "/>
    <numFmt numFmtId="201" formatCode="_ &quot;$&quot;\ * #,##0.0_ ;_ &quot;$&quot;\ * \-#,##0.0_ ;_ &quot;$&quot;\ * &quot;-&quot;??_ ;_ @_ "/>
    <numFmt numFmtId="202" formatCode="_ &quot;$&quot;\ * #,##0_ ;_ &quot;$&quot;\ * \-#,##0_ ;_ &quot;$&quot;\ * &quot;-&quot;??_ ;_ @_ "/>
    <numFmt numFmtId="203" formatCode="0.0%"/>
    <numFmt numFmtId="204" formatCode="#,##0.000_);\(#,##0.000\)"/>
    <numFmt numFmtId="205" formatCode="_(* #,##0.0_);_(* \(#,##0.0\);_(* &quot;-&quot;??_);_(@_)"/>
    <numFmt numFmtId="206" formatCode="_(* #,##0.000_);_(* \(#,##0.000\);_(* &quot;-&quot;??_);_(@_)"/>
    <numFmt numFmtId="207" formatCode="_(* #,##0.0000_);_(* \(#,##0.0000\);_(* &quot;-&quot;??_);_(@_)"/>
    <numFmt numFmtId="208" formatCode="_(* #,##0_);_(* \(#,##0\);_(* &quot;-&quot;??_);_(@_)"/>
    <numFmt numFmtId="209" formatCode="#,##0.0"/>
    <numFmt numFmtId="210" formatCode="#,##0.000"/>
    <numFmt numFmtId="211" formatCode="#,##0.0000"/>
    <numFmt numFmtId="212" formatCode="0.000000"/>
    <numFmt numFmtId="213" formatCode="0.00000"/>
    <numFmt numFmtId="214" formatCode="0.0000000"/>
    <numFmt numFmtId="215" formatCode="&quot;$&quot;\ #,##0.00"/>
  </numFmts>
  <fonts count="1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43" fontId="1" fillId="0" borderId="0" xfId="17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3" fontId="3" fillId="0" borderId="0" xfId="17" applyFont="1" applyFill="1" applyAlignment="1">
      <alignment/>
    </xf>
    <xf numFmtId="0" fontId="4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justify"/>
    </xf>
    <xf numFmtId="0" fontId="1" fillId="0" borderId="3" xfId="0" applyFont="1" applyFill="1" applyBorder="1" applyAlignment="1">
      <alignment horizontal="left" vertical="justify"/>
    </xf>
    <xf numFmtId="0" fontId="3" fillId="2" borderId="4" xfId="0" applyFont="1" applyFill="1" applyBorder="1" applyAlignment="1">
      <alignment horizontal="left" vertical="justify"/>
    </xf>
    <xf numFmtId="43" fontId="3" fillId="0" borderId="3" xfId="17" applyFont="1" applyFill="1" applyBorder="1" applyAlignment="1">
      <alignment horizontal="left" vertical="justify"/>
    </xf>
    <xf numFmtId="43" fontId="1" fillId="0" borderId="3" xfId="17" applyFont="1" applyFill="1" applyBorder="1" applyAlignment="1">
      <alignment horizontal="left" vertical="justify"/>
    </xf>
    <xf numFmtId="0" fontId="1" fillId="0" borderId="0" xfId="0" applyFont="1" applyFill="1" applyAlignment="1">
      <alignment horizontal="left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49" fontId="2" fillId="0" borderId="1" xfId="0" applyNumberFormat="1" applyFont="1" applyFill="1" applyBorder="1" applyAlignment="1">
      <alignment horizontal="left" vertical="justify"/>
    </xf>
    <xf numFmtId="49" fontId="2" fillId="0" borderId="0" xfId="0" applyNumberFormat="1" applyFont="1" applyFill="1" applyBorder="1" applyAlignment="1">
      <alignment horizontal="left" vertical="justify"/>
    </xf>
    <xf numFmtId="49" fontId="2" fillId="0" borderId="3" xfId="0" applyNumberFormat="1" applyFont="1" applyFill="1" applyBorder="1" applyAlignment="1">
      <alignment horizontal="left" vertical="justify"/>
    </xf>
    <xf numFmtId="0" fontId="3" fillId="2" borderId="0" xfId="0" applyFont="1" applyFill="1" applyBorder="1" applyAlignment="1">
      <alignment horizontal="center" vertical="justify"/>
    </xf>
    <xf numFmtId="43" fontId="3" fillId="3" borderId="6" xfId="17" applyFont="1" applyFill="1" applyBorder="1" applyAlignment="1">
      <alignment horizontal="left" vertical="justify"/>
    </xf>
    <xf numFmtId="43" fontId="3" fillId="3" borderId="6" xfId="17" applyFont="1" applyFill="1" applyBorder="1" applyAlignment="1">
      <alignment horizontal="left" vertical="justify" wrapText="1"/>
    </xf>
    <xf numFmtId="0" fontId="1" fillId="2" borderId="5" xfId="0" applyFont="1" applyFill="1" applyBorder="1" applyAlignment="1">
      <alignment horizontal="left" vertical="justify"/>
    </xf>
    <xf numFmtId="0" fontId="3" fillId="2" borderId="7" xfId="0" applyFont="1" applyFill="1" applyBorder="1" applyAlignment="1">
      <alignment horizontal="center" vertical="justify"/>
    </xf>
    <xf numFmtId="43" fontId="3" fillId="4" borderId="5" xfId="17" applyFont="1" applyFill="1" applyBorder="1" applyAlignment="1">
      <alignment horizontal="left" vertical="justify"/>
    </xf>
    <xf numFmtId="0" fontId="1" fillId="0" borderId="4" xfId="0" applyFont="1" applyBorder="1" applyAlignment="1">
      <alignment horizontal="left" vertical="justify" wrapText="1"/>
    </xf>
    <xf numFmtId="49" fontId="3" fillId="0" borderId="8" xfId="17" applyNumberFormat="1" applyFont="1" applyFill="1" applyBorder="1" applyAlignment="1">
      <alignment horizontal="justify" vertical="top"/>
    </xf>
    <xf numFmtId="49" fontId="3" fillId="0" borderId="8" xfId="17" applyNumberFormat="1" applyFont="1" applyFill="1" applyBorder="1" applyAlignment="1">
      <alignment horizontal="center" vertical="top"/>
    </xf>
    <xf numFmtId="49" fontId="3" fillId="0" borderId="9" xfId="17" applyNumberFormat="1" applyFont="1" applyFill="1" applyBorder="1" applyAlignment="1">
      <alignment horizontal="center" vertical="top"/>
    </xf>
    <xf numFmtId="49" fontId="3" fillId="0" borderId="10" xfId="17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justify"/>
    </xf>
    <xf numFmtId="49" fontId="1" fillId="0" borderId="9" xfId="17" applyNumberFormat="1" applyFont="1" applyFill="1" applyBorder="1" applyAlignment="1">
      <alignment horizontal="justify" vertical="top"/>
    </xf>
    <xf numFmtId="49" fontId="2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justify" vertical="top"/>
    </xf>
    <xf numFmtId="0" fontId="3" fillId="2" borderId="11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1" fillId="2" borderId="11" xfId="0" applyFont="1" applyFill="1" applyBorder="1" applyAlignment="1">
      <alignment horizontal="left" vertical="justify"/>
    </xf>
    <xf numFmtId="49" fontId="3" fillId="3" borderId="12" xfId="17" applyNumberFormat="1" applyFont="1" applyFill="1" applyBorder="1" applyAlignment="1">
      <alignment horizontal="center" vertical="top"/>
    </xf>
    <xf numFmtId="49" fontId="3" fillId="4" borderId="10" xfId="0" applyNumberFormat="1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left" vertical="justify"/>
    </xf>
    <xf numFmtId="0" fontId="3" fillId="2" borderId="9" xfId="0" applyFont="1" applyFill="1" applyBorder="1" applyAlignment="1">
      <alignment horizontal="center" vertical="justify"/>
    </xf>
    <xf numFmtId="0" fontId="1" fillId="2" borderId="9" xfId="0" applyFont="1" applyFill="1" applyBorder="1" applyAlignment="1">
      <alignment horizontal="left" vertical="justify"/>
    </xf>
    <xf numFmtId="0" fontId="1" fillId="0" borderId="10" xfId="0" applyFont="1" applyBorder="1" applyAlignment="1">
      <alignment horizontal="justify" vertical="top" wrapText="1"/>
    </xf>
    <xf numFmtId="0" fontId="3" fillId="2" borderId="13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left" vertical="justify"/>
    </xf>
    <xf numFmtId="0" fontId="1" fillId="2" borderId="13" xfId="0" applyFont="1" applyFill="1" applyBorder="1" applyAlignment="1">
      <alignment horizontal="left" vertical="justify"/>
    </xf>
    <xf numFmtId="0" fontId="3" fillId="2" borderId="14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3" fillId="2" borderId="17" xfId="0" applyFont="1" applyFill="1" applyBorder="1" applyAlignment="1">
      <alignment horizontal="center" vertical="justify"/>
    </xf>
    <xf numFmtId="0" fontId="1" fillId="2" borderId="18" xfId="0" applyFont="1" applyFill="1" applyBorder="1" applyAlignment="1">
      <alignment horizontal="left" vertical="justify"/>
    </xf>
    <xf numFmtId="0" fontId="3" fillId="2" borderId="19" xfId="0" applyFont="1" applyFill="1" applyBorder="1" applyAlignment="1">
      <alignment horizontal="center" vertical="justify"/>
    </xf>
    <xf numFmtId="43" fontId="3" fillId="3" borderId="12" xfId="17" applyFont="1" applyFill="1" applyBorder="1" applyAlignment="1">
      <alignment horizontal="justify" vertical="top" wrapText="1"/>
    </xf>
    <xf numFmtId="43" fontId="3" fillId="3" borderId="20" xfId="17" applyFont="1" applyFill="1" applyBorder="1" applyAlignment="1">
      <alignment horizontal="left" vertical="justify" wrapText="1"/>
    </xf>
    <xf numFmtId="43" fontId="3" fillId="4" borderId="21" xfId="17" applyFont="1" applyFill="1" applyBorder="1" applyAlignment="1">
      <alignment horizontal="left" vertical="justify"/>
    </xf>
    <xf numFmtId="43" fontId="1" fillId="0" borderId="22" xfId="17" applyFont="1" applyFill="1" applyBorder="1" applyAlignment="1">
      <alignment horizontal="left" vertical="justify"/>
    </xf>
    <xf numFmtId="43" fontId="3" fillId="0" borderId="15" xfId="17" applyFont="1" applyFill="1" applyBorder="1" applyAlignment="1">
      <alignment horizontal="left" vertical="justify"/>
    </xf>
    <xf numFmtId="49" fontId="2" fillId="0" borderId="22" xfId="0" applyNumberFormat="1" applyFont="1" applyFill="1" applyBorder="1" applyAlignment="1">
      <alignment horizontal="center" vertical="justify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43" fontId="3" fillId="0" borderId="23" xfId="17" applyFont="1" applyFill="1" applyBorder="1" applyAlignment="1">
      <alignment horizontal="left" vertical="justify"/>
    </xf>
    <xf numFmtId="43" fontId="1" fillId="0" borderId="24" xfId="17" applyFont="1" applyFill="1" applyBorder="1" applyAlignment="1">
      <alignment horizontal="left" vertical="justify" wrapText="1"/>
    </xf>
    <xf numFmtId="43" fontId="3" fillId="0" borderId="24" xfId="17" applyFont="1" applyFill="1" applyBorder="1" applyAlignment="1">
      <alignment horizontal="left" vertical="justify" wrapText="1"/>
    </xf>
    <xf numFmtId="43" fontId="1" fillId="0" borderId="5" xfId="17" applyFont="1" applyFill="1" applyBorder="1" applyAlignment="1">
      <alignment horizontal="left" vertical="justify"/>
    </xf>
    <xf numFmtId="43" fontId="3" fillId="0" borderId="5" xfId="17" applyFont="1" applyFill="1" applyBorder="1" applyAlignment="1">
      <alignment horizontal="left" vertical="justify"/>
    </xf>
    <xf numFmtId="43" fontId="1" fillId="0" borderId="25" xfId="17" applyFont="1" applyFill="1" applyBorder="1" applyAlignment="1">
      <alignment horizontal="left" vertical="justify"/>
    </xf>
    <xf numFmtId="43" fontId="1" fillId="0" borderId="23" xfId="17" applyFont="1" applyFill="1" applyBorder="1" applyAlignment="1">
      <alignment horizontal="left" vertical="justify"/>
    </xf>
    <xf numFmtId="43" fontId="1" fillId="0" borderId="15" xfId="17" applyFont="1" applyFill="1" applyBorder="1" applyAlignment="1">
      <alignment horizontal="left" vertical="justify"/>
    </xf>
    <xf numFmtId="0" fontId="1" fillId="0" borderId="5" xfId="0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43" fontId="1" fillId="0" borderId="4" xfId="17" applyFont="1" applyFill="1" applyBorder="1" applyAlignment="1">
      <alignment horizontal="left" vertical="justify" wrapText="1"/>
    </xf>
    <xf numFmtId="0" fontId="1" fillId="0" borderId="15" xfId="0" applyFont="1" applyFill="1" applyBorder="1" applyAlignment="1">
      <alignment horizontal="left" vertical="justify"/>
    </xf>
    <xf numFmtId="43" fontId="1" fillId="0" borderId="7" xfId="17" applyFont="1" applyFill="1" applyBorder="1" applyAlignment="1">
      <alignment/>
    </xf>
    <xf numFmtId="0" fontId="1" fillId="0" borderId="21" xfId="0" applyFont="1" applyBorder="1" applyAlignment="1">
      <alignment horizontal="justify" vertical="justify" wrapText="1"/>
    </xf>
    <xf numFmtId="0" fontId="3" fillId="0" borderId="0" xfId="0" applyFont="1" applyFill="1" applyAlignment="1">
      <alignment horizontal="left" vertical="justify"/>
    </xf>
    <xf numFmtId="49" fontId="3" fillId="0" borderId="12" xfId="17" applyNumberFormat="1" applyFont="1" applyFill="1" applyBorder="1" applyAlignment="1">
      <alignment horizontal="center" vertical="top"/>
    </xf>
    <xf numFmtId="43" fontId="3" fillId="0" borderId="26" xfId="17" applyFont="1" applyFill="1" applyBorder="1" applyAlignment="1">
      <alignment horizontal="left" vertical="justify"/>
    </xf>
    <xf numFmtId="43" fontId="3" fillId="0" borderId="27" xfId="17" applyFont="1" applyFill="1" applyBorder="1" applyAlignment="1">
      <alignment horizontal="left" vertical="justify"/>
    </xf>
    <xf numFmtId="43" fontId="1" fillId="0" borderId="27" xfId="17" applyFont="1" applyFill="1" applyBorder="1" applyAlignment="1">
      <alignment horizontal="left" vertical="justify"/>
    </xf>
    <xf numFmtId="43" fontId="1" fillId="0" borderId="26" xfId="17" applyFont="1" applyFill="1" applyBorder="1" applyAlignment="1">
      <alignment horizontal="left" vertical="justify"/>
    </xf>
    <xf numFmtId="43" fontId="1" fillId="0" borderId="26" xfId="17" applyFont="1" applyFill="1" applyBorder="1" applyAlignment="1">
      <alignment horizontal="left" vertical="justify" wrapText="1"/>
    </xf>
    <xf numFmtId="43" fontId="1" fillId="0" borderId="28" xfId="17" applyFont="1" applyFill="1" applyBorder="1" applyAlignment="1">
      <alignment horizontal="left" vertical="justify" wrapText="1"/>
    </xf>
    <xf numFmtId="0" fontId="1" fillId="0" borderId="29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1" fillId="0" borderId="30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43" fontId="3" fillId="0" borderId="28" xfId="17" applyFont="1" applyFill="1" applyBorder="1" applyAlignment="1">
      <alignment horizontal="left" vertical="justify"/>
    </xf>
    <xf numFmtId="0" fontId="1" fillId="0" borderId="27" xfId="0" applyFont="1" applyFill="1" applyBorder="1" applyAlignment="1">
      <alignment horizontal="left" vertical="justify"/>
    </xf>
    <xf numFmtId="0" fontId="1" fillId="0" borderId="28" xfId="0" applyFont="1" applyFill="1" applyBorder="1" applyAlignment="1">
      <alignment horizontal="left" vertical="justify"/>
    </xf>
    <xf numFmtId="43" fontId="3" fillId="0" borderId="29" xfId="17" applyFont="1" applyFill="1" applyBorder="1" applyAlignment="1">
      <alignment horizontal="left" vertical="justify" wrapText="1"/>
    </xf>
    <xf numFmtId="43" fontId="3" fillId="0" borderId="26" xfId="17" applyFont="1" applyFill="1" applyBorder="1" applyAlignment="1">
      <alignment horizontal="left" vertical="justify" wrapText="1"/>
    </xf>
    <xf numFmtId="0" fontId="1" fillId="0" borderId="30" xfId="0" applyFont="1" applyFill="1" applyBorder="1" applyAlignment="1">
      <alignment horizontal="left" vertical="justify" wrapText="1"/>
    </xf>
    <xf numFmtId="0" fontId="1" fillId="0" borderId="28" xfId="0" applyFont="1" applyFill="1" applyBorder="1" applyAlignment="1">
      <alignment horizontal="left" vertical="justify" wrapText="1"/>
    </xf>
    <xf numFmtId="43" fontId="1" fillId="0" borderId="26" xfId="17" applyFont="1" applyFill="1" applyBorder="1" applyAlignment="1">
      <alignment horizontal="justify" vertical="justify" wrapText="1"/>
    </xf>
    <xf numFmtId="43" fontId="1" fillId="0" borderId="31" xfId="17" applyFont="1" applyFill="1" applyBorder="1" applyAlignment="1">
      <alignment horizontal="left" vertical="justify" wrapText="1"/>
    </xf>
    <xf numFmtId="43" fontId="1" fillId="0" borderId="27" xfId="17" applyFont="1" applyFill="1" applyBorder="1" applyAlignment="1">
      <alignment horizontal="left" vertical="justify" wrapText="1"/>
    </xf>
    <xf numFmtId="43" fontId="3" fillId="0" borderId="27" xfId="17" applyFont="1" applyFill="1" applyBorder="1" applyAlignment="1">
      <alignment horizontal="left" vertical="justify" wrapText="1"/>
    </xf>
    <xf numFmtId="43" fontId="3" fillId="0" borderId="31" xfId="17" applyFont="1" applyFill="1" applyBorder="1" applyAlignment="1">
      <alignment horizontal="left" vertical="justify" wrapText="1"/>
    </xf>
    <xf numFmtId="43" fontId="3" fillId="0" borderId="30" xfId="17" applyFont="1" applyFill="1" applyBorder="1" applyAlignment="1">
      <alignment horizontal="left" vertical="justify" wrapText="1"/>
    </xf>
    <xf numFmtId="0" fontId="1" fillId="0" borderId="31" xfId="0" applyFont="1" applyFill="1" applyBorder="1" applyAlignment="1">
      <alignment horizontal="left" vertical="justify" wrapText="1"/>
    </xf>
    <xf numFmtId="43" fontId="3" fillId="0" borderId="32" xfId="17" applyFont="1" applyFill="1" applyBorder="1" applyAlignment="1">
      <alignment horizontal="left" vertical="justify" wrapText="1"/>
    </xf>
    <xf numFmtId="0" fontId="1" fillId="0" borderId="17" xfId="0" applyFont="1" applyBorder="1" applyAlignment="1">
      <alignment horizontal="left" vertical="justify" wrapText="1"/>
    </xf>
    <xf numFmtId="43" fontId="1" fillId="0" borderId="32" xfId="17" applyFont="1" applyFill="1" applyBorder="1" applyAlignment="1">
      <alignment horizontal="left" vertical="justify" wrapText="1"/>
    </xf>
    <xf numFmtId="43" fontId="1" fillId="0" borderId="26" xfId="17" applyFont="1" applyFill="1" applyBorder="1" applyAlignment="1">
      <alignment horizontal="justify" vertical="top" wrapText="1"/>
    </xf>
    <xf numFmtId="43" fontId="1" fillId="0" borderId="33" xfId="17" applyFont="1" applyFill="1" applyBorder="1" applyAlignment="1">
      <alignment horizontal="justify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justify" wrapText="1"/>
    </xf>
    <xf numFmtId="0" fontId="1" fillId="0" borderId="34" xfId="0" applyFont="1" applyFill="1" applyBorder="1" applyAlignment="1">
      <alignment horizontal="left" vertical="justify"/>
    </xf>
    <xf numFmtId="0" fontId="1" fillId="0" borderId="35" xfId="0" applyFont="1" applyFill="1" applyBorder="1" applyAlignment="1">
      <alignment horizontal="left" vertical="justify"/>
    </xf>
    <xf numFmtId="0" fontId="1" fillId="0" borderId="36" xfId="0" applyFont="1" applyFill="1" applyBorder="1" applyAlignment="1">
      <alignment horizontal="left" vertical="justify"/>
    </xf>
    <xf numFmtId="43" fontId="3" fillId="0" borderId="37" xfId="17" applyFont="1" applyFill="1" applyBorder="1" applyAlignment="1">
      <alignment horizontal="left" vertical="justify" wrapText="1"/>
    </xf>
    <xf numFmtId="43" fontId="3" fillId="0" borderId="38" xfId="17" applyFont="1" applyFill="1" applyBorder="1" applyAlignment="1">
      <alignment horizontal="left" vertical="justify"/>
    </xf>
    <xf numFmtId="43" fontId="3" fillId="0" borderId="33" xfId="17" applyFont="1" applyFill="1" applyBorder="1" applyAlignment="1">
      <alignment horizontal="left" vertical="justify"/>
    </xf>
    <xf numFmtId="43" fontId="3" fillId="0" borderId="39" xfId="17" applyFont="1" applyFill="1" applyBorder="1" applyAlignment="1">
      <alignment horizontal="left" vertical="justify" wrapText="1"/>
    </xf>
    <xf numFmtId="43" fontId="3" fillId="0" borderId="6" xfId="17" applyFont="1" applyFill="1" applyBorder="1" applyAlignment="1">
      <alignment horizontal="left" vertical="justify"/>
    </xf>
    <xf numFmtId="43" fontId="1" fillId="0" borderId="33" xfId="17" applyFont="1" applyBorder="1" applyAlignment="1">
      <alignment horizontal="left" vertical="justify" wrapText="1"/>
    </xf>
    <xf numFmtId="43" fontId="3" fillId="0" borderId="18" xfId="17" applyFont="1" applyFill="1" applyBorder="1" applyAlignment="1">
      <alignment horizontal="left" vertical="justify" wrapText="1"/>
    </xf>
    <xf numFmtId="43" fontId="1" fillId="0" borderId="18" xfId="17" applyFont="1" applyFill="1" applyBorder="1" applyAlignment="1">
      <alignment horizontal="left" vertical="justify" wrapText="1"/>
    </xf>
    <xf numFmtId="43" fontId="1" fillId="0" borderId="38" xfId="17" applyFont="1" applyFill="1" applyBorder="1" applyAlignment="1">
      <alignment horizontal="left" vertical="justify"/>
    </xf>
    <xf numFmtId="0" fontId="1" fillId="0" borderId="33" xfId="0" applyFont="1" applyBorder="1" applyAlignment="1">
      <alignment horizontal="left" vertical="justify" wrapText="1"/>
    </xf>
    <xf numFmtId="0" fontId="1" fillId="0" borderId="39" xfId="0" applyFont="1" applyBorder="1" applyAlignment="1">
      <alignment horizontal="left" vertical="justify" wrapText="1"/>
    </xf>
    <xf numFmtId="0" fontId="1" fillId="0" borderId="6" xfId="0" applyFont="1" applyBorder="1" applyAlignment="1">
      <alignment horizontal="left" vertical="justify" wrapText="1"/>
    </xf>
    <xf numFmtId="0" fontId="1" fillId="0" borderId="38" xfId="0" applyFont="1" applyBorder="1" applyAlignment="1">
      <alignment horizontal="left" vertical="justify" wrapText="1"/>
    </xf>
    <xf numFmtId="0" fontId="1" fillId="0" borderId="4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43" fontId="3" fillId="0" borderId="28" xfId="17" applyFont="1" applyFill="1" applyBorder="1" applyAlignment="1">
      <alignment horizontal="left" vertical="justify" wrapText="1"/>
    </xf>
    <xf numFmtId="0" fontId="1" fillId="0" borderId="34" xfId="0" applyFont="1" applyFill="1" applyBorder="1" applyAlignment="1">
      <alignment horizontal="justify" vertical="top" wrapText="1"/>
    </xf>
    <xf numFmtId="0" fontId="3" fillId="0" borderId="39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/>
    </xf>
    <xf numFmtId="43" fontId="3" fillId="0" borderId="33" xfId="17" applyFont="1" applyFill="1" applyBorder="1" applyAlignment="1">
      <alignment horizontal="left" vertical="justify" wrapText="1"/>
    </xf>
    <xf numFmtId="43" fontId="3" fillId="0" borderId="6" xfId="17" applyFont="1" applyFill="1" applyBorder="1" applyAlignment="1">
      <alignment horizontal="left" vertical="justify" wrapText="1"/>
    </xf>
    <xf numFmtId="43" fontId="3" fillId="0" borderId="38" xfId="17" applyFont="1" applyFill="1" applyBorder="1" applyAlignment="1">
      <alignment horizontal="left" vertical="justify" wrapText="1"/>
    </xf>
    <xf numFmtId="43" fontId="1" fillId="0" borderId="34" xfId="17" applyFont="1" applyFill="1" applyBorder="1" applyAlignment="1">
      <alignment horizontal="justify" vertical="top" wrapText="1"/>
    </xf>
    <xf numFmtId="43" fontId="1" fillId="0" borderId="41" xfId="17" applyFont="1" applyFill="1" applyBorder="1" applyAlignment="1">
      <alignment horizontal="justify" vertical="top" wrapText="1"/>
    </xf>
    <xf numFmtId="43" fontId="1" fillId="0" borderId="42" xfId="17" applyFont="1" applyFill="1" applyBorder="1" applyAlignment="1">
      <alignment horizontal="left" vertical="justify" wrapText="1"/>
    </xf>
    <xf numFmtId="49" fontId="3" fillId="2" borderId="9" xfId="0" applyNumberFormat="1" applyFont="1" applyFill="1" applyBorder="1" applyAlignment="1">
      <alignment horizontal="justify" vertical="justify"/>
    </xf>
    <xf numFmtId="49" fontId="1" fillId="2" borderId="9" xfId="0" applyNumberFormat="1" applyFont="1" applyFill="1" applyBorder="1" applyAlignment="1">
      <alignment horizontal="justify" vertical="justify"/>
    </xf>
    <xf numFmtId="49" fontId="2" fillId="2" borderId="9" xfId="0" applyNumberFormat="1" applyFont="1" applyFill="1" applyBorder="1" applyAlignment="1">
      <alignment horizontal="center" vertical="justify"/>
    </xf>
    <xf numFmtId="49" fontId="3" fillId="2" borderId="9" xfId="0" applyNumberFormat="1" applyFont="1" applyFill="1" applyBorder="1" applyAlignment="1">
      <alignment horizontal="center" wrapText="1"/>
    </xf>
    <xf numFmtId="43" fontId="1" fillId="0" borderId="22" xfId="17" applyFont="1" applyFill="1" applyBorder="1" applyAlignment="1">
      <alignment/>
    </xf>
    <xf numFmtId="43" fontId="1" fillId="0" borderId="0" xfId="17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3" fontId="3" fillId="0" borderId="8" xfId="17" applyFont="1" applyFill="1" applyBorder="1" applyAlignment="1">
      <alignment/>
    </xf>
    <xf numFmtId="43" fontId="3" fillId="0" borderId="9" xfId="17" applyFont="1" applyFill="1" applyBorder="1" applyAlignment="1">
      <alignment/>
    </xf>
    <xf numFmtId="43" fontId="3" fillId="0" borderId="10" xfId="17" applyFont="1" applyFill="1" applyBorder="1" applyAlignment="1">
      <alignment/>
    </xf>
    <xf numFmtId="43" fontId="1" fillId="0" borderId="10" xfId="17" applyFont="1" applyFill="1" applyBorder="1" applyAlignment="1">
      <alignment/>
    </xf>
    <xf numFmtId="43" fontId="1" fillId="0" borderId="8" xfId="17" applyFont="1" applyFill="1" applyBorder="1" applyAlignment="1">
      <alignment/>
    </xf>
    <xf numFmtId="43" fontId="1" fillId="0" borderId="9" xfId="17" applyFont="1" applyFill="1" applyBorder="1" applyAlignment="1">
      <alignment/>
    </xf>
    <xf numFmtId="43" fontId="3" fillId="0" borderId="10" xfId="17" applyFont="1" applyFill="1" applyBorder="1" applyAlignment="1">
      <alignment horizontal="center" vertical="top" textRotation="255" wrapText="1"/>
    </xf>
    <xf numFmtId="43" fontId="1" fillId="0" borderId="8" xfId="17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justify"/>
    </xf>
    <xf numFmtId="0" fontId="5" fillId="0" borderId="3" xfId="0" applyFont="1" applyFill="1" applyBorder="1" applyAlignment="1">
      <alignment horizontal="center" vertical="justify"/>
    </xf>
    <xf numFmtId="43" fontId="3" fillId="0" borderId="3" xfId="17" applyFont="1" applyFill="1" applyBorder="1" applyAlignment="1">
      <alignment horizontal="center" vertical="center" textRotation="255"/>
    </xf>
    <xf numFmtId="43" fontId="3" fillId="0" borderId="2" xfId="17" applyFont="1" applyFill="1" applyBorder="1" applyAlignment="1">
      <alignment horizontal="center" vertical="center" textRotation="255" wrapText="1"/>
    </xf>
    <xf numFmtId="43" fontId="3" fillId="0" borderId="3" xfId="17" applyFont="1" applyFill="1" applyBorder="1" applyAlignment="1">
      <alignment horizontal="center" vertical="center" textRotation="255" wrapText="1"/>
    </xf>
    <xf numFmtId="43" fontId="1" fillId="3" borderId="6" xfId="17" applyFont="1" applyFill="1" applyBorder="1" applyAlignment="1">
      <alignment horizontal="left" vertical="justify"/>
    </xf>
    <xf numFmtId="3" fontId="1" fillId="3" borderId="6" xfId="17" applyNumberFormat="1" applyFont="1" applyFill="1" applyBorder="1" applyAlignment="1">
      <alignment horizontal="right" vertical="justify"/>
    </xf>
    <xf numFmtId="43" fontId="1" fillId="0" borderId="37" xfId="17" applyFont="1" applyFill="1" applyBorder="1" applyAlignment="1">
      <alignment horizontal="left" vertical="justify" wrapText="1"/>
    </xf>
    <xf numFmtId="43" fontId="3" fillId="0" borderId="14" xfId="17" applyFont="1" applyFill="1" applyBorder="1" applyAlignment="1">
      <alignment horizontal="left" vertical="justify" wrapText="1"/>
    </xf>
    <xf numFmtId="43" fontId="1" fillId="0" borderId="14" xfId="17" applyFont="1" applyFill="1" applyBorder="1" applyAlignment="1">
      <alignment vertical="top" wrapText="1"/>
    </xf>
    <xf numFmtId="43" fontId="7" fillId="0" borderId="31" xfId="17" applyFont="1" applyFill="1" applyBorder="1" applyAlignment="1">
      <alignment horizontal="left" vertical="justify" wrapText="1"/>
    </xf>
    <xf numFmtId="0" fontId="7" fillId="0" borderId="30" xfId="0" applyFont="1" applyFill="1" applyBorder="1" applyAlignment="1">
      <alignment horizontal="left" vertical="justify" wrapText="1"/>
    </xf>
    <xf numFmtId="43" fontId="6" fillId="0" borderId="30" xfId="17" applyFont="1" applyFill="1" applyBorder="1" applyAlignment="1">
      <alignment horizontal="left" vertical="justify" wrapText="1"/>
    </xf>
    <xf numFmtId="0" fontId="7" fillId="0" borderId="32" xfId="0" applyFont="1" applyBorder="1" applyAlignment="1">
      <alignment horizontal="center" vertical="center" wrapText="1"/>
    </xf>
    <xf numFmtId="43" fontId="1" fillId="0" borderId="29" xfId="17" applyFont="1" applyFill="1" applyBorder="1" applyAlignment="1">
      <alignment horizontal="left" vertical="top" wrapText="1"/>
    </xf>
    <xf numFmtId="43" fontId="1" fillId="0" borderId="9" xfId="17" applyFont="1" applyFill="1" applyBorder="1" applyAlignment="1">
      <alignment vertical="top" wrapText="1"/>
    </xf>
    <xf numFmtId="43" fontId="7" fillId="0" borderId="17" xfId="17" applyFont="1" applyFill="1" applyBorder="1" applyAlignment="1">
      <alignment horizontal="left" vertical="top" wrapText="1"/>
    </xf>
    <xf numFmtId="43" fontId="6" fillId="0" borderId="37" xfId="17" applyFont="1" applyFill="1" applyBorder="1" applyAlignment="1">
      <alignment horizontal="left" vertical="top" wrapText="1"/>
    </xf>
    <xf numFmtId="43" fontId="7" fillId="0" borderId="17" xfId="17" applyFont="1" applyFill="1" applyBorder="1" applyAlignment="1">
      <alignment vertical="top" wrapText="1"/>
    </xf>
    <xf numFmtId="43" fontId="7" fillId="0" borderId="32" xfId="17" applyFont="1" applyFill="1" applyBorder="1" applyAlignment="1">
      <alignment vertical="top" wrapText="1"/>
    </xf>
    <xf numFmtId="43" fontId="7" fillId="0" borderId="29" xfId="17" applyFont="1" applyFill="1" applyBorder="1" applyAlignment="1">
      <alignment horizontal="left" vertical="justify" wrapText="1"/>
    </xf>
    <xf numFmtId="0" fontId="7" fillId="0" borderId="43" xfId="0" applyFont="1" applyFill="1" applyBorder="1" applyAlignment="1">
      <alignment horizontal="left" vertical="justify" wrapText="1"/>
    </xf>
    <xf numFmtId="43" fontId="3" fillId="0" borderId="14" xfId="17" applyFont="1" applyFill="1" applyBorder="1" applyAlignment="1">
      <alignment vertical="justify" wrapText="1"/>
    </xf>
    <xf numFmtId="43" fontId="3" fillId="0" borderId="32" xfId="17" applyFont="1" applyFill="1" applyBorder="1" applyAlignment="1">
      <alignment vertical="justify" wrapText="1"/>
    </xf>
    <xf numFmtId="43" fontId="6" fillId="0" borderId="31" xfId="17" applyFont="1" applyFill="1" applyBorder="1" applyAlignment="1">
      <alignment vertical="justify" wrapText="1"/>
    </xf>
    <xf numFmtId="3" fontId="1" fillId="0" borderId="0" xfId="0" applyNumberFormat="1" applyFont="1" applyFill="1" applyAlignment="1">
      <alignment/>
    </xf>
    <xf numFmtId="10" fontId="3" fillId="3" borderId="12" xfId="17" applyNumberFormat="1" applyFont="1" applyFill="1" applyBorder="1" applyAlignment="1">
      <alignment horizontal="justify" vertical="top"/>
    </xf>
    <xf numFmtId="43" fontId="7" fillId="0" borderId="44" xfId="17" applyFont="1" applyFill="1" applyBorder="1" applyAlignment="1">
      <alignment horizontal="left" vertical="justify" wrapText="1"/>
    </xf>
    <xf numFmtId="43" fontId="10" fillId="0" borderId="14" xfId="17" applyFont="1" applyFill="1" applyBorder="1" applyAlignment="1">
      <alignment horizontal="left" vertical="justify" wrapText="1"/>
    </xf>
    <xf numFmtId="43" fontId="7" fillId="0" borderId="29" xfId="17" applyFont="1" applyFill="1" applyBorder="1" applyAlignment="1">
      <alignment horizontal="left" vertical="top" wrapText="1"/>
    </xf>
    <xf numFmtId="43" fontId="1" fillId="0" borderId="0" xfId="0" applyNumberFormat="1" applyFont="1" applyFill="1" applyAlignment="1">
      <alignment/>
    </xf>
    <xf numFmtId="215" fontId="1" fillId="0" borderId="0" xfId="0" applyNumberFormat="1" applyFont="1" applyFill="1" applyAlignment="1">
      <alignment horizontal="left" vertical="justify"/>
    </xf>
    <xf numFmtId="0" fontId="4" fillId="0" borderId="0" xfId="0" applyFont="1" applyFill="1" applyAlignment="1">
      <alignment horizontal="center" wrapText="1"/>
    </xf>
    <xf numFmtId="43" fontId="1" fillId="0" borderId="31" xfId="17" applyFont="1" applyFill="1" applyBorder="1" applyAlignment="1">
      <alignment horizontal="left" vertical="top" wrapText="1"/>
    </xf>
    <xf numFmtId="43" fontId="7" fillId="0" borderId="45" xfId="17" applyFont="1" applyBorder="1" applyAlignment="1">
      <alignment horizontal="left" vertical="top" wrapText="1"/>
    </xf>
    <xf numFmtId="43" fontId="1" fillId="0" borderId="28" xfId="17" applyFont="1" applyFill="1" applyBorder="1" applyAlignment="1">
      <alignment horizontal="left" vertical="justify"/>
    </xf>
    <xf numFmtId="43" fontId="3" fillId="0" borderId="8" xfId="17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vertical="top" wrapText="1"/>
    </xf>
    <xf numFmtId="43" fontId="6" fillId="0" borderId="39" xfId="17" applyFont="1" applyFill="1" applyBorder="1" applyAlignment="1">
      <alignment horizontal="left" vertical="justify" wrapText="1"/>
    </xf>
    <xf numFmtId="49" fontId="3" fillId="0" borderId="8" xfId="17" applyNumberFormat="1" applyFont="1" applyFill="1" applyBorder="1" applyAlignment="1">
      <alignment vertical="top"/>
    </xf>
    <xf numFmtId="49" fontId="3" fillId="0" borderId="9" xfId="17" applyNumberFormat="1" applyFont="1" applyFill="1" applyBorder="1" applyAlignment="1">
      <alignment vertical="top"/>
    </xf>
    <xf numFmtId="3" fontId="1" fillId="0" borderId="0" xfId="0" applyNumberFormat="1" applyFont="1" applyFill="1" applyAlignment="1">
      <alignment horizontal="left" vertical="justify"/>
    </xf>
    <xf numFmtId="43" fontId="3" fillId="0" borderId="0" xfId="17" applyFont="1" applyFill="1" applyBorder="1" applyAlignment="1">
      <alignment horizontal="justify" vertical="center"/>
    </xf>
    <xf numFmtId="0" fontId="1" fillId="0" borderId="21" xfId="0" applyFont="1" applyFill="1" applyBorder="1" applyAlignment="1">
      <alignment horizontal="left" vertical="justify" wrapText="1"/>
    </xf>
    <xf numFmtId="0" fontId="1" fillId="0" borderId="5" xfId="0" applyFont="1" applyFill="1" applyBorder="1" applyAlignment="1">
      <alignment horizontal="left" vertical="justify" wrapText="1"/>
    </xf>
    <xf numFmtId="49" fontId="3" fillId="0" borderId="8" xfId="17" applyNumberFormat="1" applyFont="1" applyFill="1" applyBorder="1" applyAlignment="1">
      <alignment horizontal="center" vertical="top" wrapText="1"/>
    </xf>
    <xf numFmtId="49" fontId="3" fillId="0" borderId="9" xfId="17" applyNumberFormat="1" applyFont="1" applyFill="1" applyBorder="1" applyAlignment="1">
      <alignment horizontal="center" vertical="top" wrapText="1"/>
    </xf>
    <xf numFmtId="3" fontId="1" fillId="6" borderId="0" xfId="0" applyNumberFormat="1" applyFont="1" applyFill="1" applyAlignment="1">
      <alignment horizontal="left" vertical="justify"/>
    </xf>
    <xf numFmtId="43" fontId="3" fillId="0" borderId="9" xfId="17" applyFont="1" applyFill="1" applyBorder="1" applyAlignment="1">
      <alignment horizontal="center" vertical="center" textRotation="255"/>
    </xf>
    <xf numFmtId="43" fontId="1" fillId="0" borderId="33" xfId="17" applyFont="1" applyFill="1" applyBorder="1" applyAlignment="1">
      <alignment/>
    </xf>
    <xf numFmtId="43" fontId="1" fillId="0" borderId="28" xfId="17" applyFont="1" applyFill="1" applyBorder="1" applyAlignment="1">
      <alignment/>
    </xf>
    <xf numFmtId="43" fontId="3" fillId="5" borderId="10" xfId="17" applyFont="1" applyFill="1" applyBorder="1" applyAlignment="1">
      <alignment horizontal="center" vertical="top" wrapText="1"/>
    </xf>
    <xf numFmtId="43" fontId="3" fillId="5" borderId="8" xfId="17" applyFont="1" applyFill="1" applyBorder="1" applyAlignment="1">
      <alignment horizontal="center" vertical="top" wrapText="1"/>
    </xf>
    <xf numFmtId="43" fontId="3" fillId="5" borderId="9" xfId="17" applyFont="1" applyFill="1" applyBorder="1" applyAlignment="1">
      <alignment horizontal="center" vertical="top" wrapText="1"/>
    </xf>
    <xf numFmtId="43" fontId="3" fillId="0" borderId="8" xfId="17" applyFont="1" applyFill="1" applyBorder="1" applyAlignment="1">
      <alignment horizontal="center" vertical="top" wrapText="1"/>
    </xf>
    <xf numFmtId="43" fontId="3" fillId="0" borderId="9" xfId="17" applyFont="1" applyFill="1" applyBorder="1" applyAlignment="1">
      <alignment horizontal="center" vertical="top" wrapText="1"/>
    </xf>
    <xf numFmtId="43" fontId="3" fillId="0" borderId="10" xfId="17" applyFont="1" applyFill="1" applyBorder="1" applyAlignment="1">
      <alignment horizontal="center" vertical="top" wrapText="1"/>
    </xf>
    <xf numFmtId="43" fontId="3" fillId="0" borderId="22" xfId="17" applyFont="1" applyFill="1" applyBorder="1" applyAlignment="1">
      <alignment horizontal="center" vertical="top" textRotation="255" wrapText="1"/>
    </xf>
    <xf numFmtId="43" fontId="3" fillId="0" borderId="9" xfId="17" applyFont="1" applyFill="1" applyBorder="1" applyAlignment="1">
      <alignment horizontal="center" vertical="center" textRotation="255"/>
    </xf>
    <xf numFmtId="49" fontId="3" fillId="0" borderId="8" xfId="17" applyNumberFormat="1" applyFont="1" applyFill="1" applyBorder="1" applyAlignment="1">
      <alignment horizontal="center" vertical="center" textRotation="255"/>
    </xf>
    <xf numFmtId="49" fontId="3" fillId="0" borderId="9" xfId="17" applyNumberFormat="1" applyFont="1" applyFill="1" applyBorder="1" applyAlignment="1">
      <alignment horizontal="center" vertical="center" textRotation="255"/>
    </xf>
    <xf numFmtId="49" fontId="3" fillId="0" borderId="10" xfId="17" applyNumberFormat="1" applyFont="1" applyFill="1" applyBorder="1" applyAlignment="1">
      <alignment horizontal="center" vertical="center" textRotation="255"/>
    </xf>
    <xf numFmtId="43" fontId="3" fillId="0" borderId="10" xfId="17" applyFont="1" applyFill="1" applyBorder="1" applyAlignment="1">
      <alignment horizontal="justify" vertical="center"/>
    </xf>
    <xf numFmtId="43" fontId="3" fillId="0" borderId="8" xfId="17" applyFont="1" applyFill="1" applyBorder="1" applyAlignment="1">
      <alignment horizontal="center" vertical="center" textRotation="255" wrapText="1"/>
    </xf>
    <xf numFmtId="43" fontId="3" fillId="0" borderId="9" xfId="17" applyFont="1" applyFill="1" applyBorder="1" applyAlignment="1">
      <alignment horizontal="center" vertical="center" textRotation="255" wrapText="1"/>
    </xf>
    <xf numFmtId="43" fontId="3" fillId="0" borderId="10" xfId="17" applyFont="1" applyFill="1" applyBorder="1" applyAlignment="1">
      <alignment horizontal="center" vertical="center" textRotation="255" wrapText="1"/>
    </xf>
    <xf numFmtId="43" fontId="3" fillId="0" borderId="2" xfId="17" applyFont="1" applyFill="1" applyBorder="1" applyAlignment="1">
      <alignment horizontal="center" vertical="top" textRotation="255" wrapText="1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3" fontId="1" fillId="0" borderId="25" xfId="17" applyNumberFormat="1" applyFont="1" applyFill="1" applyBorder="1" applyAlignment="1">
      <alignment horizontal="right" vertical="justify"/>
    </xf>
    <xf numFmtId="3" fontId="1" fillId="0" borderId="23" xfId="17" applyNumberFormat="1" applyFont="1" applyFill="1" applyBorder="1" applyAlignment="1">
      <alignment horizontal="right" vertical="justify"/>
    </xf>
    <xf numFmtId="3" fontId="1" fillId="0" borderId="46" xfId="17" applyNumberFormat="1" applyFont="1" applyFill="1" applyBorder="1" applyAlignment="1">
      <alignment horizontal="right" vertical="justify"/>
    </xf>
    <xf numFmtId="3" fontId="3" fillId="3" borderId="47" xfId="17" applyNumberFormat="1" applyFont="1" applyFill="1" applyBorder="1" applyAlignment="1">
      <alignment horizontal="right" vertical="justify"/>
    </xf>
    <xf numFmtId="3" fontId="1" fillId="0" borderId="0" xfId="17" applyNumberFormat="1" applyFont="1" applyFill="1" applyBorder="1" applyAlignment="1">
      <alignment/>
    </xf>
    <xf numFmtId="49" fontId="3" fillId="2" borderId="8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left" vertical="justify"/>
    </xf>
    <xf numFmtId="49" fontId="3" fillId="2" borderId="24" xfId="0" applyNumberFormat="1" applyFont="1" applyFill="1" applyBorder="1" applyAlignment="1">
      <alignment horizontal="left" vertical="justify"/>
    </xf>
    <xf numFmtId="3" fontId="3" fillId="0" borderId="26" xfId="17" applyNumberFormat="1" applyFont="1" applyFill="1" applyBorder="1" applyAlignment="1">
      <alignment horizontal="right" vertical="justify"/>
    </xf>
    <xf numFmtId="3" fontId="1" fillId="0" borderId="33" xfId="17" applyNumberFormat="1" applyFont="1" applyFill="1" applyBorder="1" applyAlignment="1">
      <alignment horizontal="right" vertical="justify"/>
    </xf>
    <xf numFmtId="3" fontId="1" fillId="0" borderId="26" xfId="17" applyNumberFormat="1" applyFont="1" applyFill="1" applyBorder="1" applyAlignment="1">
      <alignment horizontal="right" vertical="justify"/>
    </xf>
    <xf numFmtId="3" fontId="1" fillId="0" borderId="27" xfId="17" applyNumberFormat="1" applyFont="1" applyFill="1" applyBorder="1" applyAlignment="1">
      <alignment horizontal="right" vertical="justify"/>
    </xf>
    <xf numFmtId="49" fontId="3" fillId="0" borderId="8" xfId="17" applyNumberFormat="1" applyFont="1" applyFill="1" applyBorder="1" applyAlignment="1">
      <alignment horizontal="center" vertical="center" wrapText="1"/>
    </xf>
    <xf numFmtId="49" fontId="3" fillId="0" borderId="9" xfId="17" applyNumberFormat="1" applyFont="1" applyFill="1" applyBorder="1" applyAlignment="1">
      <alignment horizontal="center" vertical="center" wrapText="1"/>
    </xf>
    <xf numFmtId="49" fontId="3" fillId="0" borderId="10" xfId="17" applyNumberFormat="1" applyFont="1" applyFill="1" applyBorder="1" applyAlignment="1">
      <alignment horizontal="center" vertical="center" wrapText="1"/>
    </xf>
    <xf numFmtId="43" fontId="3" fillId="0" borderId="8" xfId="17" applyFont="1" applyFill="1" applyBorder="1" applyAlignment="1">
      <alignment horizontal="justify" vertical="center"/>
    </xf>
    <xf numFmtId="3" fontId="1" fillId="0" borderId="48" xfId="17" applyNumberFormat="1" applyFont="1" applyFill="1" applyBorder="1" applyAlignment="1">
      <alignment horizontal="right" vertical="justify"/>
    </xf>
    <xf numFmtId="3" fontId="3" fillId="0" borderId="33" xfId="17" applyNumberFormat="1" applyFont="1" applyFill="1" applyBorder="1" applyAlignment="1">
      <alignment horizontal="right" vertical="justify"/>
    </xf>
    <xf numFmtId="3" fontId="3" fillId="0" borderId="49" xfId="17" applyNumberFormat="1" applyFont="1" applyFill="1" applyBorder="1" applyAlignment="1">
      <alignment horizontal="right" vertical="justify"/>
    </xf>
    <xf numFmtId="3" fontId="1" fillId="0" borderId="33" xfId="17" applyNumberFormat="1" applyFont="1" applyBorder="1" applyAlignment="1">
      <alignment horizontal="right" vertical="justify" wrapText="1"/>
    </xf>
    <xf numFmtId="3" fontId="1" fillId="0" borderId="49" xfId="17" applyNumberFormat="1" applyFont="1" applyFill="1" applyBorder="1" applyAlignment="1">
      <alignment horizontal="right" vertical="justify"/>
    </xf>
    <xf numFmtId="3" fontId="3" fillId="0" borderId="27" xfId="17" applyNumberFormat="1" applyFont="1" applyFill="1" applyBorder="1" applyAlignment="1">
      <alignment horizontal="right" vertical="justify"/>
    </xf>
    <xf numFmtId="3" fontId="1" fillId="0" borderId="50" xfId="17" applyNumberFormat="1" applyFont="1" applyFill="1" applyBorder="1" applyAlignment="1">
      <alignment horizontal="right" vertical="justify"/>
    </xf>
    <xf numFmtId="3" fontId="1" fillId="0" borderId="28" xfId="17" applyNumberFormat="1" applyFont="1" applyFill="1" applyBorder="1" applyAlignment="1">
      <alignment horizontal="right" vertical="justify"/>
    </xf>
    <xf numFmtId="3" fontId="1" fillId="0" borderId="51" xfId="17" applyNumberFormat="1" applyFont="1" applyFill="1" applyBorder="1" applyAlignment="1">
      <alignment horizontal="right" vertical="justify"/>
    </xf>
    <xf numFmtId="3" fontId="3" fillId="3" borderId="6" xfId="17" applyNumberFormat="1" applyFont="1" applyFill="1" applyBorder="1" applyAlignment="1">
      <alignment horizontal="right" vertical="justify"/>
    </xf>
    <xf numFmtId="3" fontId="3" fillId="3" borderId="15" xfId="17" applyNumberFormat="1" applyFont="1" applyFill="1" applyBorder="1" applyAlignment="1">
      <alignment horizontal="right" vertical="justify"/>
    </xf>
    <xf numFmtId="3" fontId="3" fillId="3" borderId="52" xfId="17" applyNumberFormat="1" applyFont="1" applyFill="1" applyBorder="1" applyAlignment="1">
      <alignment horizontal="right" vertical="justify"/>
    </xf>
    <xf numFmtId="3" fontId="1" fillId="0" borderId="15" xfId="17" applyNumberFormat="1" applyFont="1" applyFill="1" applyBorder="1" applyAlignment="1">
      <alignment horizontal="right" vertical="justify"/>
    </xf>
    <xf numFmtId="3" fontId="1" fillId="0" borderId="53" xfId="17" applyNumberFormat="1" applyFont="1" applyFill="1" applyBorder="1" applyAlignment="1">
      <alignment horizontal="right" vertical="justify"/>
    </xf>
    <xf numFmtId="3" fontId="1" fillId="0" borderId="33" xfId="17" applyNumberFormat="1" applyFont="1" applyFill="1" applyBorder="1" applyAlignment="1">
      <alignment vertical="justify"/>
    </xf>
    <xf numFmtId="3" fontId="1" fillId="0" borderId="33" xfId="17" applyNumberFormat="1" applyFont="1" applyFill="1" applyBorder="1" applyAlignment="1">
      <alignment horizontal="center" vertical="justify"/>
    </xf>
    <xf numFmtId="3" fontId="1" fillId="0" borderId="33" xfId="17" applyNumberFormat="1" applyFont="1" applyBorder="1" applyAlignment="1">
      <alignment horizontal="center" vertical="justify"/>
    </xf>
    <xf numFmtId="3" fontId="1" fillId="0" borderId="27" xfId="17" applyNumberFormat="1" applyFont="1" applyFill="1" applyBorder="1" applyAlignment="1">
      <alignment vertical="justify"/>
    </xf>
    <xf numFmtId="3" fontId="1" fillId="0" borderId="38" xfId="17" applyNumberFormat="1" applyFont="1" applyFill="1" applyBorder="1" applyAlignment="1">
      <alignment horizontal="right" vertical="justify"/>
    </xf>
    <xf numFmtId="3" fontId="1" fillId="0" borderId="38" xfId="17" applyNumberFormat="1" applyFont="1" applyBorder="1" applyAlignment="1">
      <alignment horizontal="right" vertical="justify"/>
    </xf>
    <xf numFmtId="3" fontId="1" fillId="0" borderId="54" xfId="17" applyNumberFormat="1" applyFont="1" applyFill="1" applyBorder="1" applyAlignment="1">
      <alignment vertical="justify"/>
    </xf>
    <xf numFmtId="3" fontId="1" fillId="0" borderId="13" xfId="17" applyNumberFormat="1" applyFont="1" applyFill="1" applyBorder="1" applyAlignment="1">
      <alignment horizontal="right" vertical="justify"/>
    </xf>
    <xf numFmtId="3" fontId="1" fillId="3" borderId="5" xfId="17" applyNumberFormat="1" applyFont="1" applyFill="1" applyBorder="1" applyAlignment="1">
      <alignment horizontal="right" vertical="justify"/>
    </xf>
    <xf numFmtId="3" fontId="1" fillId="0" borderId="6" xfId="0" applyNumberFormat="1" applyFont="1" applyBorder="1" applyAlignment="1">
      <alignment horizontal="right" vertical="justify" wrapText="1"/>
    </xf>
    <xf numFmtId="3" fontId="1" fillId="0" borderId="6" xfId="17" applyNumberFormat="1" applyFont="1" applyFill="1" applyBorder="1" applyAlignment="1">
      <alignment horizontal="right" vertical="justify"/>
    </xf>
    <xf numFmtId="3" fontId="1" fillId="0" borderId="6" xfId="17" applyNumberFormat="1" applyFont="1" applyBorder="1" applyAlignment="1">
      <alignment horizontal="right" vertical="justify"/>
    </xf>
    <xf numFmtId="3" fontId="1" fillId="0" borderId="55" xfId="17" applyNumberFormat="1" applyFont="1" applyFill="1" applyBorder="1" applyAlignment="1">
      <alignment horizontal="right" vertical="justify"/>
    </xf>
    <xf numFmtId="3" fontId="1" fillId="0" borderId="33" xfId="0" applyNumberFormat="1" applyFont="1" applyBorder="1" applyAlignment="1">
      <alignment horizontal="right" vertical="justify" wrapText="1"/>
    </xf>
    <xf numFmtId="3" fontId="1" fillId="0" borderId="33" xfId="17" applyNumberFormat="1" applyFont="1" applyBorder="1" applyAlignment="1">
      <alignment horizontal="right" vertical="justify"/>
    </xf>
    <xf numFmtId="3" fontId="1" fillId="0" borderId="27" xfId="0" applyNumberFormat="1" applyFont="1" applyBorder="1" applyAlignment="1">
      <alignment horizontal="right" vertical="justify" wrapText="1"/>
    </xf>
    <xf numFmtId="3" fontId="1" fillId="0" borderId="27" xfId="17" applyNumberFormat="1" applyFont="1" applyBorder="1" applyAlignment="1">
      <alignment horizontal="right" vertical="justify"/>
    </xf>
    <xf numFmtId="3" fontId="1" fillId="0" borderId="28" xfId="0" applyNumberFormat="1" applyFont="1" applyBorder="1" applyAlignment="1">
      <alignment horizontal="right" vertical="justify" wrapText="1"/>
    </xf>
    <xf numFmtId="3" fontId="1" fillId="0" borderId="28" xfId="17" applyNumberFormat="1" applyFont="1" applyBorder="1" applyAlignment="1">
      <alignment horizontal="right" vertical="justify"/>
    </xf>
    <xf numFmtId="3" fontId="1" fillId="0" borderId="38" xfId="0" applyNumberFormat="1" applyFont="1" applyBorder="1" applyAlignment="1">
      <alignment horizontal="right" vertical="justify" wrapText="1"/>
    </xf>
    <xf numFmtId="3" fontId="1" fillId="0" borderId="56" xfId="17" applyNumberFormat="1" applyFont="1" applyFill="1" applyBorder="1" applyAlignment="1">
      <alignment horizontal="right" vertical="justify"/>
    </xf>
    <xf numFmtId="3" fontId="3" fillId="3" borderId="6" xfId="17" applyNumberFormat="1" applyFont="1" applyFill="1" applyBorder="1" applyAlignment="1">
      <alignment horizontal="right" vertical="justify" wrapText="1"/>
    </xf>
    <xf numFmtId="3" fontId="1" fillId="0" borderId="26" xfId="17" applyNumberFormat="1" applyFont="1" applyBorder="1" applyAlignment="1">
      <alignment horizontal="right" vertical="justify"/>
    </xf>
    <xf numFmtId="3" fontId="1" fillId="0" borderId="5" xfId="17" applyNumberFormat="1" applyFont="1" applyFill="1" applyBorder="1" applyAlignment="1">
      <alignment horizontal="right" vertical="justify"/>
    </xf>
    <xf numFmtId="3" fontId="1" fillId="0" borderId="26" xfId="0" applyNumberFormat="1" applyFont="1" applyBorder="1" applyAlignment="1">
      <alignment horizontal="right" vertical="justify" wrapText="1"/>
    </xf>
    <xf numFmtId="3" fontId="3" fillId="0" borderId="27" xfId="0" applyNumberFormat="1" applyFont="1" applyFill="1" applyBorder="1" applyAlignment="1">
      <alignment horizontal="right" vertical="justify"/>
    </xf>
    <xf numFmtId="3" fontId="7" fillId="0" borderId="27" xfId="17" applyNumberFormat="1" applyFont="1" applyFill="1" applyBorder="1" applyAlignment="1">
      <alignment horizontal="right" vertical="justify"/>
    </xf>
    <xf numFmtId="3" fontId="1" fillId="0" borderId="28" xfId="0" applyNumberFormat="1" applyFont="1" applyFill="1" applyBorder="1" applyAlignment="1">
      <alignment horizontal="right" vertical="justify"/>
    </xf>
    <xf numFmtId="3" fontId="1" fillId="0" borderId="34" xfId="0" applyNumberFormat="1" applyFont="1" applyFill="1" applyBorder="1" applyAlignment="1">
      <alignment horizontal="right" vertical="justify"/>
    </xf>
    <xf numFmtId="3" fontId="1" fillId="0" borderId="34" xfId="17" applyNumberFormat="1" applyFont="1" applyFill="1" applyBorder="1" applyAlignment="1">
      <alignment horizontal="right" vertical="justify"/>
    </xf>
    <xf numFmtId="3" fontId="1" fillId="0" borderId="34" xfId="17" applyNumberFormat="1" applyFont="1" applyBorder="1" applyAlignment="1">
      <alignment horizontal="right" vertical="justify"/>
    </xf>
    <xf numFmtId="3" fontId="1" fillId="0" borderId="57" xfId="17" applyNumberFormat="1" applyFont="1" applyFill="1" applyBorder="1" applyAlignment="1">
      <alignment horizontal="right" vertical="justify"/>
    </xf>
    <xf numFmtId="3" fontId="1" fillId="0" borderId="35" xfId="0" applyNumberFormat="1" applyFont="1" applyFill="1" applyBorder="1" applyAlignment="1">
      <alignment horizontal="right" vertical="justify"/>
    </xf>
    <xf numFmtId="3" fontId="1" fillId="0" borderId="35" xfId="17" applyNumberFormat="1" applyFont="1" applyFill="1" applyBorder="1" applyAlignment="1">
      <alignment horizontal="right" vertical="justify"/>
    </xf>
    <xf numFmtId="3" fontId="1" fillId="0" borderId="35" xfId="17" applyNumberFormat="1" applyFont="1" applyBorder="1" applyAlignment="1">
      <alignment horizontal="right" vertical="justify"/>
    </xf>
    <xf numFmtId="3" fontId="1" fillId="0" borderId="58" xfId="17" applyNumberFormat="1" applyFont="1" applyFill="1" applyBorder="1" applyAlignment="1">
      <alignment horizontal="right" vertical="justify"/>
    </xf>
    <xf numFmtId="3" fontId="1" fillId="0" borderId="36" xfId="0" applyNumberFormat="1" applyFont="1" applyFill="1" applyBorder="1" applyAlignment="1">
      <alignment horizontal="right" vertical="justify"/>
    </xf>
    <xf numFmtId="3" fontId="1" fillId="0" borderId="36" xfId="17" applyNumberFormat="1" applyFont="1" applyFill="1" applyBorder="1" applyAlignment="1">
      <alignment horizontal="right" vertical="justify"/>
    </xf>
    <xf numFmtId="3" fontId="1" fillId="0" borderId="36" xfId="17" applyNumberFormat="1" applyFont="1" applyBorder="1" applyAlignment="1">
      <alignment horizontal="right" vertical="justify"/>
    </xf>
    <xf numFmtId="3" fontId="1" fillId="0" borderId="59" xfId="17" applyNumberFormat="1" applyFont="1" applyFill="1" applyBorder="1" applyAlignment="1">
      <alignment horizontal="right" vertical="justify"/>
    </xf>
    <xf numFmtId="3" fontId="1" fillId="0" borderId="5" xfId="0" applyNumberFormat="1" applyFont="1" applyFill="1" applyBorder="1" applyAlignment="1">
      <alignment horizontal="right" vertical="justify"/>
    </xf>
    <xf numFmtId="3" fontId="1" fillId="0" borderId="5" xfId="17" applyNumberFormat="1" applyFont="1" applyBorder="1" applyAlignment="1">
      <alignment horizontal="right" vertical="justify"/>
    </xf>
    <xf numFmtId="3" fontId="1" fillId="0" borderId="19" xfId="17" applyNumberFormat="1" applyFont="1" applyFill="1" applyBorder="1" applyAlignment="1">
      <alignment horizontal="right" vertical="justify"/>
    </xf>
    <xf numFmtId="3" fontId="3" fillId="0" borderId="26" xfId="17" applyNumberFormat="1" applyFont="1" applyFill="1" applyBorder="1" applyAlignment="1">
      <alignment horizontal="right" vertical="justify" wrapText="1"/>
    </xf>
    <xf numFmtId="3" fontId="1" fillId="0" borderId="5" xfId="0" applyNumberFormat="1" applyFont="1" applyBorder="1" applyAlignment="1">
      <alignment horizontal="right" vertical="justify" wrapText="1"/>
    </xf>
    <xf numFmtId="43" fontId="3" fillId="0" borderId="8" xfId="17" applyFont="1" applyFill="1" applyBorder="1" applyAlignment="1">
      <alignment horizontal="center" vertical="center" textRotation="255"/>
    </xf>
    <xf numFmtId="43" fontId="3" fillId="0" borderId="10" xfId="17" applyFont="1" applyFill="1" applyBorder="1" applyAlignment="1">
      <alignment horizontal="center" vertical="center" textRotation="255"/>
    </xf>
    <xf numFmtId="3" fontId="3" fillId="0" borderId="6" xfId="17" applyNumberFormat="1" applyFont="1" applyFill="1" applyBorder="1" applyAlignment="1">
      <alignment horizontal="right" vertical="justify"/>
    </xf>
    <xf numFmtId="3" fontId="3" fillId="0" borderId="55" xfId="17" applyNumberFormat="1" applyFont="1" applyFill="1" applyBorder="1" applyAlignment="1">
      <alignment horizontal="right" vertical="justify"/>
    </xf>
    <xf numFmtId="3" fontId="3" fillId="0" borderId="5" xfId="17" applyNumberFormat="1" applyFont="1" applyFill="1" applyBorder="1" applyAlignment="1">
      <alignment horizontal="right" vertical="justify"/>
    </xf>
    <xf numFmtId="3" fontId="3" fillId="0" borderId="19" xfId="17" applyNumberFormat="1" applyFont="1" applyFill="1" applyBorder="1" applyAlignment="1">
      <alignment horizontal="right" vertical="justify"/>
    </xf>
    <xf numFmtId="3" fontId="3" fillId="0" borderId="15" xfId="17" applyNumberFormat="1" applyFont="1" applyFill="1" applyBorder="1" applyAlignment="1">
      <alignment horizontal="right" vertical="justify"/>
    </xf>
    <xf numFmtId="3" fontId="1" fillId="0" borderId="15" xfId="17" applyNumberFormat="1" applyFont="1" applyBorder="1" applyAlignment="1">
      <alignment horizontal="right" vertical="justify"/>
    </xf>
    <xf numFmtId="3" fontId="1" fillId="0" borderId="52" xfId="17" applyNumberFormat="1" applyFont="1" applyFill="1" applyBorder="1" applyAlignment="1">
      <alignment horizontal="right" vertical="justify"/>
    </xf>
    <xf numFmtId="3" fontId="3" fillId="0" borderId="4" xfId="0" applyNumberFormat="1" applyFont="1" applyFill="1" applyBorder="1" applyAlignment="1">
      <alignment horizontal="right" vertical="justify"/>
    </xf>
    <xf numFmtId="3" fontId="1" fillId="0" borderId="4" xfId="17" applyNumberFormat="1" applyFont="1" applyFill="1" applyBorder="1" applyAlignment="1">
      <alignment horizontal="right" vertical="justify"/>
    </xf>
    <xf numFmtId="3" fontId="1" fillId="0" borderId="4" xfId="17" applyNumberFormat="1" applyFont="1" applyBorder="1" applyAlignment="1">
      <alignment horizontal="right" vertical="justify"/>
    </xf>
    <xf numFmtId="0" fontId="1" fillId="5" borderId="8" xfId="0" applyFont="1" applyFill="1" applyBorder="1" applyAlignment="1">
      <alignment horizontal="center" vertical="top" wrapText="1"/>
    </xf>
    <xf numFmtId="3" fontId="1" fillId="0" borderId="26" xfId="17" applyNumberFormat="1" applyFont="1" applyFill="1" applyBorder="1" applyAlignment="1">
      <alignment vertical="justify"/>
    </xf>
    <xf numFmtId="0" fontId="1" fillId="5" borderId="60" xfId="0" applyFont="1" applyFill="1" applyBorder="1" applyAlignment="1">
      <alignment horizontal="center" vertical="top" wrapText="1"/>
    </xf>
    <xf numFmtId="0" fontId="1" fillId="5" borderId="61" xfId="0" applyFont="1" applyFill="1" applyBorder="1" applyAlignment="1">
      <alignment horizontal="center" vertical="top" wrapText="1"/>
    </xf>
    <xf numFmtId="3" fontId="3" fillId="0" borderId="28" xfId="17" applyNumberFormat="1" applyFont="1" applyFill="1" applyBorder="1" applyAlignment="1">
      <alignment horizontal="right" vertical="justify"/>
    </xf>
    <xf numFmtId="3" fontId="1" fillId="0" borderId="28" xfId="17" applyNumberFormat="1" applyFont="1" applyFill="1" applyBorder="1" applyAlignment="1">
      <alignment vertical="justify"/>
    </xf>
    <xf numFmtId="3" fontId="1" fillId="0" borderId="15" xfId="17" applyNumberFormat="1" applyFont="1" applyFill="1" applyBorder="1" applyAlignment="1">
      <alignment vertical="justify"/>
    </xf>
    <xf numFmtId="3" fontId="3" fillId="0" borderId="38" xfId="17" applyNumberFormat="1" applyFont="1" applyFill="1" applyBorder="1" applyAlignment="1">
      <alignment horizontal="right" vertical="justify"/>
    </xf>
    <xf numFmtId="3" fontId="1" fillId="0" borderId="38" xfId="17" applyNumberFormat="1" applyFont="1" applyFill="1" applyBorder="1" applyAlignment="1">
      <alignment vertical="justify"/>
    </xf>
    <xf numFmtId="3" fontId="1" fillId="0" borderId="6" xfId="17" applyNumberFormat="1" applyFont="1" applyFill="1" applyBorder="1" applyAlignment="1">
      <alignment vertical="justify"/>
    </xf>
    <xf numFmtId="3" fontId="1" fillId="0" borderId="26" xfId="17" applyNumberFormat="1" applyFont="1" applyFill="1" applyBorder="1" applyAlignment="1">
      <alignment horizontal="right" vertical="justify" wrapText="1"/>
    </xf>
    <xf numFmtId="3" fontId="1" fillId="0" borderId="27" xfId="17" applyNumberFormat="1" applyFont="1" applyFill="1" applyBorder="1" applyAlignment="1">
      <alignment horizontal="right" vertical="justify" wrapText="1"/>
    </xf>
    <xf numFmtId="3" fontId="3" fillId="0" borderId="50" xfId="17" applyNumberFormat="1" applyFont="1" applyFill="1" applyBorder="1" applyAlignment="1">
      <alignment horizontal="right" vertical="justify"/>
    </xf>
    <xf numFmtId="3" fontId="1" fillId="0" borderId="28" xfId="17" applyNumberFormat="1" applyFont="1" applyFill="1" applyBorder="1" applyAlignment="1">
      <alignment horizontal="right" vertical="justify" wrapText="1"/>
    </xf>
    <xf numFmtId="3" fontId="3" fillId="0" borderId="51" xfId="17" applyNumberFormat="1" applyFont="1" applyFill="1" applyBorder="1" applyAlignment="1">
      <alignment horizontal="right" vertical="justify"/>
    </xf>
    <xf numFmtId="43" fontId="1" fillId="5" borderId="8" xfId="17" applyFont="1" applyFill="1" applyBorder="1" applyAlignment="1">
      <alignment horizontal="center" vertical="top" wrapText="1"/>
    </xf>
    <xf numFmtId="43" fontId="1" fillId="5" borderId="10" xfId="17" applyFont="1" applyFill="1" applyBorder="1" applyAlignment="1">
      <alignment horizontal="center" vertical="top" wrapText="1"/>
    </xf>
    <xf numFmtId="3" fontId="1" fillId="0" borderId="4" xfId="17" applyNumberFormat="1" applyFont="1" applyFill="1" applyBorder="1" applyAlignment="1">
      <alignment horizontal="right" vertical="justify" wrapText="1"/>
    </xf>
    <xf numFmtId="3" fontId="1" fillId="0" borderId="4" xfId="0" applyNumberFormat="1" applyFont="1" applyBorder="1" applyAlignment="1">
      <alignment horizontal="right" vertical="justify" wrapText="1"/>
    </xf>
    <xf numFmtId="3" fontId="3" fillId="0" borderId="6" xfId="0" applyNumberFormat="1" applyFont="1" applyFill="1" applyBorder="1" applyAlignment="1">
      <alignment horizontal="right" vertical="justify"/>
    </xf>
    <xf numFmtId="3" fontId="3" fillId="0" borderId="56" xfId="17" applyNumberFormat="1" applyFont="1" applyFill="1" applyBorder="1" applyAlignment="1">
      <alignment horizontal="right" vertical="justify"/>
    </xf>
    <xf numFmtId="3" fontId="3" fillId="0" borderId="34" xfId="17" applyNumberFormat="1" applyFont="1" applyFill="1" applyBorder="1" applyAlignment="1">
      <alignment horizontal="right" vertical="justify"/>
    </xf>
    <xf numFmtId="4" fontId="3" fillId="0" borderId="34" xfId="17" applyNumberFormat="1" applyFont="1" applyFill="1" applyBorder="1" applyAlignment="1">
      <alignment horizontal="right" vertical="justify"/>
    </xf>
    <xf numFmtId="3" fontId="3" fillId="0" borderId="57" xfId="17" applyNumberFormat="1" applyFont="1" applyFill="1" applyBorder="1" applyAlignment="1">
      <alignment horizontal="right" vertical="justify"/>
    </xf>
    <xf numFmtId="3" fontId="3" fillId="0" borderId="42" xfId="17" applyNumberFormat="1" applyFont="1" applyFill="1" applyBorder="1" applyAlignment="1">
      <alignment horizontal="right" vertical="justify"/>
    </xf>
    <xf numFmtId="3" fontId="1" fillId="0" borderId="42" xfId="17" applyNumberFormat="1" applyFont="1" applyFill="1" applyBorder="1" applyAlignment="1">
      <alignment horizontal="right" vertical="justify"/>
    </xf>
    <xf numFmtId="3" fontId="3" fillId="0" borderId="62" xfId="17" applyNumberFormat="1" applyFont="1" applyFill="1" applyBorder="1" applyAlignment="1">
      <alignment horizontal="right" vertical="justify"/>
    </xf>
    <xf numFmtId="3" fontId="3" fillId="4" borderId="5" xfId="17" applyNumberFormat="1" applyFont="1" applyFill="1" applyBorder="1" applyAlignment="1">
      <alignment horizontal="right" vertical="justify"/>
    </xf>
    <xf numFmtId="49" fontId="1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3" fontId="1" fillId="5" borderId="9" xfId="17" applyFont="1" applyFill="1" applyBorder="1" applyAlignment="1">
      <alignment horizontal="center" vertical="top" wrapText="1"/>
    </xf>
    <xf numFmtId="43" fontId="3" fillId="5" borderId="12" xfId="17" applyFont="1" applyFill="1" applyBorder="1" applyAlignment="1">
      <alignment horizontal="center" vertical="top" wrapText="1"/>
    </xf>
    <xf numFmtId="43" fontId="3" fillId="0" borderId="12" xfId="17" applyFont="1" applyFill="1" applyBorder="1" applyAlignment="1">
      <alignment horizontal="center" vertical="top" wrapText="1"/>
    </xf>
    <xf numFmtId="43" fontId="1" fillId="5" borderId="12" xfId="17" applyFont="1" applyFill="1" applyBorder="1" applyAlignment="1">
      <alignment horizontal="center" vertical="top" wrapText="1"/>
    </xf>
    <xf numFmtId="43" fontId="1" fillId="5" borderId="63" xfId="17" applyFont="1" applyFill="1" applyBorder="1" applyAlignment="1">
      <alignment horizontal="center" vertical="top" wrapText="1"/>
    </xf>
    <xf numFmtId="43" fontId="1" fillId="5" borderId="60" xfId="17" applyFont="1" applyFill="1" applyBorder="1" applyAlignment="1">
      <alignment horizontal="center" vertical="top" wrapText="1"/>
    </xf>
    <xf numFmtId="43" fontId="1" fillId="5" borderId="64" xfId="17" applyFont="1" applyFill="1" applyBorder="1" applyAlignment="1">
      <alignment horizontal="center" vertical="top" wrapText="1"/>
    </xf>
    <xf numFmtId="43" fontId="1" fillId="5" borderId="65" xfId="17" applyFont="1" applyFill="1" applyBorder="1" applyAlignment="1">
      <alignment horizontal="center" vertical="top" wrapText="1"/>
    </xf>
    <xf numFmtId="49" fontId="3" fillId="3" borderId="12" xfId="17" applyNumberFormat="1" applyFont="1" applyFill="1" applyBorder="1" applyAlignment="1">
      <alignment horizontal="center" vertical="top" wrapText="1"/>
    </xf>
    <xf numFmtId="43" fontId="3" fillId="3" borderId="12" xfId="17" applyFont="1" applyFill="1" applyBorder="1" applyAlignment="1">
      <alignment horizontal="center" vertical="top" wrapText="1"/>
    </xf>
    <xf numFmtId="49" fontId="3" fillId="5" borderId="8" xfId="17" applyNumberFormat="1" applyFont="1" applyFill="1" applyBorder="1" applyAlignment="1">
      <alignment horizontal="center" vertical="top" wrapText="1"/>
    </xf>
    <xf numFmtId="49" fontId="3" fillId="5" borderId="9" xfId="17" applyNumberFormat="1" applyFont="1" applyFill="1" applyBorder="1" applyAlignment="1">
      <alignment horizontal="center" vertical="top" wrapText="1"/>
    </xf>
    <xf numFmtId="49" fontId="3" fillId="5" borderId="10" xfId="17" applyNumberFormat="1" applyFont="1" applyFill="1" applyBorder="1" applyAlignment="1">
      <alignment horizontal="center" vertical="top" wrapText="1"/>
    </xf>
    <xf numFmtId="43" fontId="1" fillId="5" borderId="61" xfId="17" applyFont="1" applyFill="1" applyBorder="1" applyAlignment="1">
      <alignment horizontal="center" vertical="top" wrapText="1"/>
    </xf>
    <xf numFmtId="43" fontId="1" fillId="3" borderId="39" xfId="17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" fillId="5" borderId="6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43" fontId="3" fillId="0" borderId="8" xfId="17" applyFont="1" applyFill="1" applyBorder="1" applyAlignment="1">
      <alignment horizontal="center" vertical="center" wrapText="1"/>
    </xf>
    <xf numFmtId="43" fontId="3" fillId="0" borderId="9" xfId="17" applyFont="1" applyFill="1" applyBorder="1" applyAlignment="1">
      <alignment horizontal="center" vertical="center" wrapText="1"/>
    </xf>
    <xf numFmtId="43" fontId="3" fillId="0" borderId="10" xfId="17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top" wrapText="1"/>
    </xf>
    <xf numFmtId="0" fontId="1" fillId="5" borderId="65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1" fillId="5" borderId="66" xfId="0" applyFont="1" applyFill="1" applyBorder="1" applyAlignment="1">
      <alignment horizontal="center" vertical="top" wrapText="1"/>
    </xf>
    <xf numFmtId="0" fontId="1" fillId="5" borderId="67" xfId="0" applyFont="1" applyFill="1" applyBorder="1" applyAlignment="1">
      <alignment horizontal="center" vertical="top" wrapText="1"/>
    </xf>
    <xf numFmtId="0" fontId="1" fillId="5" borderId="6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3" fontId="1" fillId="0" borderId="12" xfId="17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3" fontId="3" fillId="0" borderId="65" xfId="1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9" fontId="1" fillId="5" borderId="9" xfId="21" applyFont="1" applyFill="1" applyBorder="1" applyAlignment="1">
      <alignment horizontal="center" vertical="top" wrapText="1"/>
    </xf>
    <xf numFmtId="9" fontId="1" fillId="5" borderId="65" xfId="21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43" fontId="3" fillId="0" borderId="2" xfId="17" applyFont="1" applyFill="1" applyBorder="1" applyAlignment="1">
      <alignment horizontal="center" vertical="center" textRotation="255"/>
    </xf>
    <xf numFmtId="43" fontId="3" fillId="0" borderId="3" xfId="17" applyFont="1" applyFill="1" applyBorder="1" applyAlignment="1">
      <alignment horizontal="center" vertical="center" textRotation="255"/>
    </xf>
    <xf numFmtId="43" fontId="3" fillId="0" borderId="22" xfId="17" applyFont="1" applyFill="1" applyBorder="1" applyAlignment="1">
      <alignment horizontal="center" vertical="center" textRotation="255"/>
    </xf>
    <xf numFmtId="49" fontId="3" fillId="0" borderId="8" xfId="17" applyNumberFormat="1" applyFont="1" applyFill="1" applyBorder="1" applyAlignment="1">
      <alignment horizontal="center" vertical="top"/>
    </xf>
    <xf numFmtId="49" fontId="3" fillId="0" borderId="9" xfId="17" applyNumberFormat="1" applyFont="1" applyFill="1" applyBorder="1" applyAlignment="1">
      <alignment horizontal="center" vertical="top"/>
    </xf>
    <xf numFmtId="49" fontId="3" fillId="0" borderId="10" xfId="17" applyNumberFormat="1" applyFont="1" applyFill="1" applyBorder="1" applyAlignment="1">
      <alignment horizontal="center" vertical="top"/>
    </xf>
    <xf numFmtId="49" fontId="3" fillId="5" borderId="8" xfId="17" applyNumberFormat="1" applyFont="1" applyFill="1" applyBorder="1" applyAlignment="1">
      <alignment horizontal="center" vertical="top" wrapText="1"/>
    </xf>
    <xf numFmtId="49" fontId="3" fillId="5" borderId="9" xfId="17" applyNumberFormat="1" applyFont="1" applyFill="1" applyBorder="1" applyAlignment="1">
      <alignment horizontal="center" vertical="top" wrapText="1"/>
    </xf>
    <xf numFmtId="49" fontId="3" fillId="5" borderId="10" xfId="17" applyNumberFormat="1" applyFont="1" applyFill="1" applyBorder="1" applyAlignment="1">
      <alignment horizontal="center" vertical="top" wrapText="1"/>
    </xf>
    <xf numFmtId="43" fontId="3" fillId="4" borderId="10" xfId="17" applyFont="1" applyFill="1" applyBorder="1" applyAlignment="1">
      <alignment horizontal="center" vertical="top" wrapText="1"/>
    </xf>
    <xf numFmtId="3" fontId="1" fillId="0" borderId="54" xfId="17" applyNumberFormat="1" applyFont="1" applyFill="1" applyBorder="1" applyAlignment="1">
      <alignment horizontal="right" vertical="justify"/>
    </xf>
    <xf numFmtId="3" fontId="1" fillId="0" borderId="47" xfId="17" applyNumberFormat="1" applyFont="1" applyFill="1" applyBorder="1" applyAlignment="1">
      <alignment horizontal="right" vertical="justify"/>
    </xf>
    <xf numFmtId="3" fontId="1" fillId="0" borderId="69" xfId="17" applyNumberFormat="1" applyFont="1" applyFill="1" applyBorder="1" applyAlignment="1">
      <alignment horizontal="right" vertical="justify"/>
    </xf>
    <xf numFmtId="3" fontId="1" fillId="0" borderId="22" xfId="17" applyNumberFormat="1" applyFont="1" applyFill="1" applyBorder="1" applyAlignment="1">
      <alignment horizontal="right" vertical="justify"/>
    </xf>
    <xf numFmtId="3" fontId="1" fillId="0" borderId="2" xfId="17" applyNumberFormat="1" applyFont="1" applyFill="1" applyBorder="1" applyAlignment="1">
      <alignment horizontal="right" vertical="justify"/>
    </xf>
    <xf numFmtId="3" fontId="1" fillId="0" borderId="23" xfId="17" applyNumberFormat="1" applyFont="1" applyFill="1" applyBorder="1" applyAlignment="1">
      <alignment vertical="justify"/>
    </xf>
    <xf numFmtId="3" fontId="1" fillId="0" borderId="46" xfId="17" applyNumberFormat="1" applyFont="1" applyFill="1" applyBorder="1" applyAlignment="1">
      <alignment vertical="justify"/>
    </xf>
    <xf numFmtId="3" fontId="1" fillId="0" borderId="3" xfId="17" applyNumberFormat="1" applyFont="1" applyFill="1" applyBorder="1" applyAlignment="1">
      <alignment horizontal="right" vertical="justify"/>
    </xf>
    <xf numFmtId="3" fontId="3" fillId="4" borderId="22" xfId="17" applyNumberFormat="1" applyFont="1" applyFill="1" applyBorder="1" applyAlignment="1">
      <alignment horizontal="right" vertical="justify"/>
    </xf>
    <xf numFmtId="43" fontId="3" fillId="0" borderId="39" xfId="17" applyFont="1" applyFill="1" applyBorder="1" applyAlignment="1">
      <alignment/>
    </xf>
    <xf numFmtId="3" fontId="1" fillId="0" borderId="70" xfId="17" applyNumberFormat="1" applyFont="1" applyFill="1" applyBorder="1" applyAlignment="1">
      <alignment horizontal="right" vertical="justify"/>
    </xf>
    <xf numFmtId="43" fontId="3" fillId="0" borderId="11" xfId="17" applyFont="1" applyFill="1" applyBorder="1" applyAlignment="1">
      <alignment/>
    </xf>
    <xf numFmtId="43" fontId="3" fillId="5" borderId="8" xfId="17" applyFont="1" applyFill="1" applyBorder="1" applyAlignment="1">
      <alignment horizontal="center" vertical="center" wrapText="1"/>
    </xf>
    <xf numFmtId="43" fontId="3" fillId="5" borderId="9" xfId="17" applyFont="1" applyFill="1" applyBorder="1" applyAlignment="1">
      <alignment horizontal="center" vertical="center" wrapText="1"/>
    </xf>
    <xf numFmtId="43" fontId="3" fillId="5" borderId="10" xfId="17" applyFont="1" applyFill="1" applyBorder="1" applyAlignment="1">
      <alignment horizontal="center" vertical="center" wrapText="1"/>
    </xf>
    <xf numFmtId="43" fontId="3" fillId="5" borderId="8" xfId="17" applyFont="1" applyFill="1" applyBorder="1" applyAlignment="1">
      <alignment horizontal="center" vertical="top" wrapText="1"/>
    </xf>
    <xf numFmtId="43" fontId="3" fillId="5" borderId="9" xfId="17" applyFont="1" applyFill="1" applyBorder="1" applyAlignment="1">
      <alignment horizontal="center" vertical="top" wrapText="1"/>
    </xf>
    <xf numFmtId="43" fontId="3" fillId="5" borderId="10" xfId="17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justify"/>
    </xf>
    <xf numFmtId="49" fontId="2" fillId="0" borderId="7" xfId="0" applyNumberFormat="1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53" xfId="0" applyNumberFormat="1" applyFont="1" applyFill="1" applyBorder="1" applyAlignment="1">
      <alignment horizontal="center" vertical="justify"/>
    </xf>
    <xf numFmtId="49" fontId="3" fillId="2" borderId="71" xfId="0" applyNumberFormat="1" applyFont="1" applyFill="1" applyBorder="1" applyAlignment="1">
      <alignment horizontal="center" vertical="justify"/>
    </xf>
    <xf numFmtId="49" fontId="3" fillId="2" borderId="72" xfId="0" applyNumberFormat="1" applyFont="1" applyFill="1" applyBorder="1" applyAlignment="1">
      <alignment horizontal="center" vertical="justify"/>
    </xf>
    <xf numFmtId="49" fontId="3" fillId="2" borderId="47" xfId="0" applyNumberFormat="1" applyFont="1" applyFill="1" applyBorder="1" applyAlignment="1">
      <alignment horizontal="center" vertical="justify"/>
    </xf>
    <xf numFmtId="49" fontId="3" fillId="2" borderId="73" xfId="0" applyNumberFormat="1" applyFont="1" applyFill="1" applyBorder="1" applyAlignment="1">
      <alignment horizontal="center" vertical="justify"/>
    </xf>
    <xf numFmtId="43" fontId="3" fillId="0" borderId="2" xfId="17" applyFont="1" applyFill="1" applyBorder="1" applyAlignment="1">
      <alignment horizontal="center" vertical="center" wrapText="1"/>
    </xf>
    <xf numFmtId="43" fontId="3" fillId="0" borderId="3" xfId="17" applyFont="1" applyFill="1" applyBorder="1" applyAlignment="1">
      <alignment horizontal="center" vertical="center" wrapText="1"/>
    </xf>
    <xf numFmtId="43" fontId="3" fillId="0" borderId="22" xfId="17" applyFont="1" applyFill="1" applyBorder="1" applyAlignment="1">
      <alignment horizontal="center" vertical="center" wrapText="1"/>
    </xf>
    <xf numFmtId="43" fontId="3" fillId="0" borderId="8" xfId="17" applyFont="1" applyFill="1" applyBorder="1" applyAlignment="1">
      <alignment horizontal="center" vertical="center"/>
    </xf>
    <xf numFmtId="43" fontId="3" fillId="0" borderId="9" xfId="17" applyFont="1" applyFill="1" applyBorder="1" applyAlignment="1">
      <alignment horizontal="center" vertical="center"/>
    </xf>
    <xf numFmtId="43" fontId="3" fillId="0" borderId="10" xfId="17" applyFont="1" applyFill="1" applyBorder="1" applyAlignment="1">
      <alignment horizontal="center" vertical="center"/>
    </xf>
    <xf numFmtId="43" fontId="3" fillId="0" borderId="16" xfId="17" applyFont="1" applyFill="1" applyBorder="1" applyAlignment="1">
      <alignment horizontal="center" vertical="center" textRotation="255"/>
    </xf>
    <xf numFmtId="43" fontId="3" fillId="0" borderId="0" xfId="17" applyFont="1" applyFill="1" applyBorder="1" applyAlignment="1">
      <alignment horizontal="center" vertical="center" textRotation="255"/>
    </xf>
    <xf numFmtId="43" fontId="3" fillId="0" borderId="7" xfId="17" applyFont="1" applyFill="1" applyBorder="1" applyAlignment="1">
      <alignment horizontal="center" vertical="center" textRotation="255"/>
    </xf>
    <xf numFmtId="43" fontId="1" fillId="0" borderId="14" xfId="17" applyFont="1" applyFill="1" applyBorder="1" applyAlignment="1">
      <alignment horizontal="center" vertical="top" wrapText="1"/>
    </xf>
    <xf numFmtId="43" fontId="1" fillId="0" borderId="18" xfId="17" applyFont="1" applyFill="1" applyBorder="1" applyAlignment="1">
      <alignment horizontal="center" vertical="top" wrapText="1"/>
    </xf>
    <xf numFmtId="49" fontId="3" fillId="0" borderId="2" xfId="17" applyNumberFormat="1" applyFont="1" applyFill="1" applyBorder="1" applyAlignment="1">
      <alignment horizontal="center" vertical="center" textRotation="255" wrapText="1"/>
    </xf>
    <xf numFmtId="49" fontId="3" fillId="0" borderId="3" xfId="17" applyNumberFormat="1" applyFont="1" applyFill="1" applyBorder="1" applyAlignment="1">
      <alignment horizontal="center" vertical="center" textRotation="255" wrapText="1"/>
    </xf>
    <xf numFmtId="49" fontId="3" fillId="0" borderId="22" xfId="17" applyNumberFormat="1" applyFont="1" applyFill="1" applyBorder="1" applyAlignment="1">
      <alignment horizontal="center" vertical="center" textRotation="255" wrapText="1"/>
    </xf>
    <xf numFmtId="43" fontId="3" fillId="0" borderId="2" xfId="17" applyFont="1" applyFill="1" applyBorder="1" applyAlignment="1">
      <alignment horizontal="center" vertical="center" textRotation="255" wrapText="1"/>
    </xf>
    <xf numFmtId="43" fontId="3" fillId="0" borderId="3" xfId="17" applyFont="1" applyFill="1" applyBorder="1" applyAlignment="1">
      <alignment horizontal="center" vertical="center" textRotation="255" wrapText="1"/>
    </xf>
    <xf numFmtId="43" fontId="3" fillId="0" borderId="22" xfId="17" applyFont="1" applyFill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43" fontId="3" fillId="0" borderId="8" xfId="17" applyFont="1" applyFill="1" applyBorder="1" applyAlignment="1">
      <alignment horizontal="center" vertical="top" textRotation="255" wrapText="1"/>
    </xf>
    <xf numFmtId="43" fontId="3" fillId="0" borderId="9" xfId="17" applyFont="1" applyFill="1" applyBorder="1" applyAlignment="1">
      <alignment horizontal="center" vertical="top" textRotation="255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1" fillId="5" borderId="61" xfId="0" applyFont="1" applyFill="1" applyBorder="1" applyAlignment="1">
      <alignment horizontal="center" vertical="top" wrapText="1"/>
    </xf>
    <xf numFmtId="0" fontId="1" fillId="5" borderId="6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43" fontId="3" fillId="0" borderId="8" xfId="17" applyFont="1" applyFill="1" applyBorder="1" applyAlignment="1">
      <alignment horizontal="center" vertical="top" wrapText="1"/>
    </xf>
    <xf numFmtId="43" fontId="3" fillId="0" borderId="9" xfId="17" applyFont="1" applyFill="1" applyBorder="1" applyAlignment="1">
      <alignment horizontal="center" vertical="top" wrapText="1"/>
    </xf>
    <xf numFmtId="43" fontId="3" fillId="0" borderId="10" xfId="17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43" fontId="1" fillId="5" borderId="8" xfId="17" applyFont="1" applyFill="1" applyBorder="1" applyAlignment="1">
      <alignment horizontal="center" vertical="top" wrapText="1"/>
    </xf>
    <xf numFmtId="43" fontId="1" fillId="5" borderId="10" xfId="17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74" xfId="0" applyFont="1" applyFill="1" applyBorder="1" applyAlignment="1">
      <alignment horizontal="center" vertical="top" wrapText="1"/>
    </xf>
    <xf numFmtId="43" fontId="1" fillId="0" borderId="32" xfId="17" applyFont="1" applyFill="1" applyBorder="1" applyAlignment="1">
      <alignment horizontal="center" vertical="top" wrapText="1"/>
    </xf>
    <xf numFmtId="43" fontId="1" fillId="0" borderId="37" xfId="17" applyFont="1" applyFill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1" fillId="0" borderId="38" xfId="17" applyNumberFormat="1" applyFont="1" applyFill="1" applyBorder="1" applyAlignment="1">
      <alignment horizontal="right" vertical="justify"/>
    </xf>
    <xf numFmtId="3" fontId="1" fillId="0" borderId="5" xfId="17" applyNumberFormat="1" applyFont="1" applyFill="1" applyBorder="1" applyAlignment="1">
      <alignment horizontal="right" vertical="justify"/>
    </xf>
    <xf numFmtId="3" fontId="1" fillId="0" borderId="38" xfId="17" applyNumberFormat="1" applyFont="1" applyBorder="1" applyAlignment="1">
      <alignment horizontal="center" vertical="justify"/>
    </xf>
    <xf numFmtId="3" fontId="1" fillId="0" borderId="5" xfId="17" applyNumberFormat="1" applyFont="1" applyBorder="1" applyAlignment="1">
      <alignment horizontal="center" vertical="justify"/>
    </xf>
    <xf numFmtId="3" fontId="1" fillId="0" borderId="69" xfId="17" applyNumberFormat="1" applyFont="1" applyFill="1" applyBorder="1" applyAlignment="1">
      <alignment horizontal="right" vertical="justify"/>
    </xf>
    <xf numFmtId="3" fontId="1" fillId="0" borderId="22" xfId="17" applyNumberFormat="1" applyFont="1" applyFill="1" applyBorder="1" applyAlignment="1">
      <alignment horizontal="right" vertic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0"/>
  <sheetViews>
    <sheetView tabSelected="1" zoomScale="75" zoomScaleNormal="75" zoomScaleSheetLayoutView="75" workbookViewId="0" topLeftCell="E1">
      <selection activeCell="E3" sqref="E3:AJ3"/>
    </sheetView>
  </sheetViews>
  <sheetFormatPr defaultColWidth="11.421875" defaultRowHeight="12.75"/>
  <cols>
    <col min="1" max="1" width="13.140625" style="3" hidden="1" customWidth="1"/>
    <col min="2" max="2" width="0" style="3" hidden="1" customWidth="1"/>
    <col min="3" max="3" width="20.28125" style="3" hidden="1" customWidth="1"/>
    <col min="4" max="4" width="16.8515625" style="3" hidden="1" customWidth="1"/>
    <col min="5" max="5" width="8.421875" style="4" customWidth="1"/>
    <col min="6" max="6" width="10.28125" style="4" hidden="1" customWidth="1"/>
    <col min="7" max="7" width="18.140625" style="4" customWidth="1"/>
    <col min="8" max="8" width="30.57421875" style="13" hidden="1" customWidth="1"/>
    <col min="9" max="9" width="17.7109375" style="13" customWidth="1"/>
    <col min="10" max="10" width="38.8515625" style="13" hidden="1" customWidth="1"/>
    <col min="11" max="11" width="15.28125" style="13" hidden="1" customWidth="1"/>
    <col min="12" max="12" width="15.421875" style="13" hidden="1" customWidth="1"/>
    <col min="13" max="13" width="15.140625" style="13" hidden="1" customWidth="1"/>
    <col min="14" max="14" width="13.7109375" style="13" customWidth="1"/>
    <col min="15" max="15" width="12.57421875" style="13" customWidth="1"/>
    <col min="16" max="16" width="12.00390625" style="13" customWidth="1"/>
    <col min="17" max="17" width="13.8515625" style="13" customWidth="1"/>
    <col min="18" max="18" width="12.8515625" style="13" bestFit="1" customWidth="1"/>
    <col min="19" max="19" width="12.28125" style="13" customWidth="1"/>
    <col min="20" max="20" width="12.8515625" style="13" customWidth="1"/>
    <col min="21" max="21" width="10.8515625" style="13" customWidth="1"/>
    <col min="22" max="22" width="11.57421875" style="13" customWidth="1"/>
    <col min="23" max="23" width="12.28125" style="13" customWidth="1"/>
    <col min="24" max="24" width="13.28125" style="13" hidden="1" customWidth="1"/>
    <col min="25" max="25" width="11.00390625" style="13" customWidth="1"/>
    <col min="26" max="26" width="13.57421875" style="13" hidden="1" customWidth="1"/>
    <col min="27" max="27" width="11.28125" style="13" customWidth="1"/>
    <col min="28" max="28" width="11.7109375" style="13" bestFit="1" customWidth="1"/>
    <col min="29" max="29" width="11.421875" style="13" customWidth="1"/>
    <col min="30" max="30" width="12.28125" style="13" customWidth="1"/>
    <col min="31" max="31" width="10.7109375" style="13" customWidth="1"/>
    <col min="32" max="32" width="12.28125" style="13" customWidth="1"/>
    <col min="33" max="33" width="12.00390625" style="13" customWidth="1"/>
    <col min="34" max="34" width="12.8515625" style="13" bestFit="1" customWidth="1"/>
    <col min="35" max="35" width="12.57421875" style="13" bestFit="1" customWidth="1"/>
    <col min="36" max="36" width="14.8515625" style="13" customWidth="1"/>
    <col min="37" max="37" width="17.8515625" style="13" hidden="1" customWidth="1"/>
    <col min="38" max="38" width="16.140625" style="3" hidden="1" customWidth="1"/>
    <col min="39" max="39" width="21.8515625" style="3" hidden="1" customWidth="1"/>
    <col min="40" max="40" width="17.140625" style="3" hidden="1" customWidth="1"/>
    <col min="41" max="44" width="0" style="3" hidden="1" customWidth="1"/>
    <col min="45" max="16384" width="11.421875" style="3" customWidth="1"/>
  </cols>
  <sheetData>
    <row r="1" spans="1:37" ht="18" customHeight="1">
      <c r="A1" s="159" t="s">
        <v>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60"/>
      <c r="AK1" s="8"/>
    </row>
    <row r="2" spans="5:37" ht="18.75" customHeight="1">
      <c r="E2" s="418" t="s">
        <v>322</v>
      </c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9"/>
    </row>
    <row r="3" spans="5:37" ht="18.75" customHeight="1" thickBot="1">
      <c r="E3" s="419" t="s">
        <v>265</v>
      </c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59"/>
    </row>
    <row r="4" spans="5:37" ht="16.5" hidden="1" thickBot="1">
      <c r="E4" s="7"/>
      <c r="F4" s="7"/>
      <c r="G4" s="7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8"/>
      <c r="AK4" s="9"/>
    </row>
    <row r="5" spans="1:37" ht="22.5" customHeight="1" thickBot="1">
      <c r="A5" s="32"/>
      <c r="B5" s="32"/>
      <c r="C5" s="32"/>
      <c r="D5" s="32"/>
      <c r="E5" s="235"/>
      <c r="F5" s="235"/>
      <c r="G5" s="420" t="s">
        <v>27</v>
      </c>
      <c r="H5" s="236"/>
      <c r="I5" s="236"/>
      <c r="J5" s="237"/>
      <c r="K5" s="423" t="s">
        <v>40</v>
      </c>
      <c r="L5" s="424"/>
      <c r="M5" s="425" t="s">
        <v>42</v>
      </c>
      <c r="N5" s="426"/>
      <c r="O5" s="425" t="s">
        <v>56</v>
      </c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6"/>
      <c r="AK5" s="9"/>
    </row>
    <row r="6" spans="1:37" s="6" customFormat="1" ht="11.25">
      <c r="A6" s="140"/>
      <c r="B6" s="140"/>
      <c r="C6" s="140" t="s">
        <v>26</v>
      </c>
      <c r="D6" s="140"/>
      <c r="E6" s="33" t="s">
        <v>26</v>
      </c>
      <c r="F6" s="33"/>
      <c r="G6" s="421"/>
      <c r="H6" s="41"/>
      <c r="I6" s="41"/>
      <c r="J6" s="36"/>
      <c r="K6" s="10"/>
      <c r="L6" s="46"/>
      <c r="M6" s="48" t="s">
        <v>239</v>
      </c>
      <c r="N6" s="49" t="s">
        <v>14</v>
      </c>
      <c r="O6" s="49" t="s">
        <v>19</v>
      </c>
      <c r="P6" s="49" t="s">
        <v>19</v>
      </c>
      <c r="Q6" s="49" t="s">
        <v>19</v>
      </c>
      <c r="R6" s="49" t="s">
        <v>19</v>
      </c>
      <c r="S6" s="49" t="s">
        <v>19</v>
      </c>
      <c r="T6" s="49" t="s">
        <v>19</v>
      </c>
      <c r="U6" s="49" t="s">
        <v>19</v>
      </c>
      <c r="V6" s="49" t="s">
        <v>19</v>
      </c>
      <c r="W6" s="49" t="s">
        <v>19</v>
      </c>
      <c r="X6" s="49" t="s">
        <v>19</v>
      </c>
      <c r="Y6" s="49" t="s">
        <v>19</v>
      </c>
      <c r="Z6" s="50" t="s">
        <v>15</v>
      </c>
      <c r="AA6" s="50" t="s">
        <v>15</v>
      </c>
      <c r="AB6" s="49"/>
      <c r="AC6" s="49" t="s">
        <v>52</v>
      </c>
      <c r="AD6" s="49" t="s">
        <v>50</v>
      </c>
      <c r="AE6" s="49" t="s">
        <v>15</v>
      </c>
      <c r="AF6" s="49" t="s">
        <v>46</v>
      </c>
      <c r="AG6" s="49" t="s">
        <v>15</v>
      </c>
      <c r="AH6" s="49" t="s">
        <v>321</v>
      </c>
      <c r="AI6" s="49" t="s">
        <v>298</v>
      </c>
      <c r="AJ6" s="227" t="s">
        <v>18</v>
      </c>
      <c r="AK6" s="227" t="s">
        <v>18</v>
      </c>
    </row>
    <row r="7" spans="1:39" s="6" customFormat="1" ht="35.25" customHeight="1">
      <c r="A7" s="142" t="s">
        <v>262</v>
      </c>
      <c r="B7" s="142" t="s">
        <v>243</v>
      </c>
      <c r="C7" s="143" t="s">
        <v>256</v>
      </c>
      <c r="D7" s="143" t="s">
        <v>248</v>
      </c>
      <c r="E7" s="33"/>
      <c r="F7" s="33" t="s">
        <v>0</v>
      </c>
      <c r="G7" s="421"/>
      <c r="H7" s="42" t="s">
        <v>27</v>
      </c>
      <c r="I7" s="42" t="s">
        <v>28</v>
      </c>
      <c r="J7" s="37" t="s">
        <v>29</v>
      </c>
      <c r="K7" s="14" t="s">
        <v>41</v>
      </c>
      <c r="L7" s="45" t="s">
        <v>300</v>
      </c>
      <c r="M7" s="51"/>
      <c r="N7" s="14" t="s">
        <v>55</v>
      </c>
      <c r="O7" s="14" t="s">
        <v>20</v>
      </c>
      <c r="P7" s="14" t="s">
        <v>303</v>
      </c>
      <c r="Q7" s="14" t="s">
        <v>324</v>
      </c>
      <c r="R7" s="14" t="s">
        <v>307</v>
      </c>
      <c r="S7" s="14" t="s">
        <v>307</v>
      </c>
      <c r="T7" s="14" t="s">
        <v>263</v>
      </c>
      <c r="U7" s="14" t="s">
        <v>264</v>
      </c>
      <c r="V7" s="14" t="s">
        <v>302</v>
      </c>
      <c r="W7" s="14" t="s">
        <v>21</v>
      </c>
      <c r="X7" s="14" t="s">
        <v>21</v>
      </c>
      <c r="Y7" s="14" t="s">
        <v>43</v>
      </c>
      <c r="Z7" s="19" t="s">
        <v>16</v>
      </c>
      <c r="AA7" s="19" t="s">
        <v>22</v>
      </c>
      <c r="AB7" s="14" t="s">
        <v>15</v>
      </c>
      <c r="AC7" s="14" t="s">
        <v>53</v>
      </c>
      <c r="AD7" s="14" t="s">
        <v>51</v>
      </c>
      <c r="AE7" s="14" t="s">
        <v>48</v>
      </c>
      <c r="AF7" s="14" t="s">
        <v>47</v>
      </c>
      <c r="AG7" s="14" t="s">
        <v>49</v>
      </c>
      <c r="AH7" s="14" t="s">
        <v>323</v>
      </c>
      <c r="AI7" s="14"/>
      <c r="AJ7" s="228" t="s">
        <v>301</v>
      </c>
      <c r="AK7" s="228" t="s">
        <v>306</v>
      </c>
      <c r="AL7" s="191" t="s">
        <v>305</v>
      </c>
      <c r="AM7" s="6" t="s">
        <v>304</v>
      </c>
    </row>
    <row r="8" spans="1:37" s="2" customFormat="1" ht="23.25" thickBot="1">
      <c r="A8" s="141"/>
      <c r="B8" s="141"/>
      <c r="C8" s="141"/>
      <c r="D8" s="141"/>
      <c r="E8" s="34"/>
      <c r="F8" s="34"/>
      <c r="G8" s="422"/>
      <c r="H8" s="43"/>
      <c r="I8" s="43"/>
      <c r="J8" s="38"/>
      <c r="K8" s="30"/>
      <c r="L8" s="47"/>
      <c r="M8" s="52"/>
      <c r="N8" s="22"/>
      <c r="O8" s="15"/>
      <c r="P8" s="15"/>
      <c r="Q8" s="15"/>
      <c r="R8" s="15" t="s">
        <v>309</v>
      </c>
      <c r="S8" s="15" t="s">
        <v>325</v>
      </c>
      <c r="T8" s="15"/>
      <c r="U8" s="15"/>
      <c r="V8" s="15"/>
      <c r="W8" s="15" t="s">
        <v>13</v>
      </c>
      <c r="X8" s="15" t="s">
        <v>14</v>
      </c>
      <c r="Y8" s="15" t="s">
        <v>44</v>
      </c>
      <c r="Z8" s="23"/>
      <c r="AA8" s="23" t="s">
        <v>23</v>
      </c>
      <c r="AB8" s="15" t="s">
        <v>24</v>
      </c>
      <c r="AC8" s="15" t="s">
        <v>54</v>
      </c>
      <c r="AD8" s="15" t="s">
        <v>308</v>
      </c>
      <c r="AE8" s="15" t="s">
        <v>17</v>
      </c>
      <c r="AF8" s="15"/>
      <c r="AG8" s="15"/>
      <c r="AH8" s="53"/>
      <c r="AI8" s="15"/>
      <c r="AJ8" s="229">
        <v>2008</v>
      </c>
      <c r="AK8" s="229">
        <v>2008</v>
      </c>
    </row>
    <row r="9" spans="1:37" s="5" customFormat="1" ht="93" customHeight="1" thickBot="1">
      <c r="A9" s="305" t="s">
        <v>244</v>
      </c>
      <c r="B9" s="390" t="s">
        <v>261</v>
      </c>
      <c r="C9" s="390" t="s">
        <v>245</v>
      </c>
      <c r="D9" s="151"/>
      <c r="E9" s="305" t="s">
        <v>1</v>
      </c>
      <c r="F9" s="393" t="s">
        <v>128</v>
      </c>
      <c r="G9" s="415" t="s">
        <v>118</v>
      </c>
      <c r="H9" s="214" t="s">
        <v>57</v>
      </c>
      <c r="I9" s="332" t="s">
        <v>111</v>
      </c>
      <c r="J9" s="168" t="s">
        <v>283</v>
      </c>
      <c r="K9" s="106"/>
      <c r="L9" s="106"/>
      <c r="M9" s="238"/>
      <c r="N9" s="239">
        <f>1100000000-169815197-11279860-11279860+41248468</f>
        <v>948873551</v>
      </c>
      <c r="O9" s="240"/>
      <c r="P9" s="240"/>
      <c r="Q9" s="240"/>
      <c r="R9" s="240"/>
      <c r="S9" s="240"/>
      <c r="T9" s="240"/>
      <c r="U9" s="240"/>
      <c r="V9" s="240"/>
      <c r="W9" s="240"/>
      <c r="X9" s="238"/>
      <c r="Y9" s="240"/>
      <c r="Z9" s="238"/>
      <c r="AA9" s="238"/>
      <c r="AB9" s="238"/>
      <c r="AC9" s="238"/>
      <c r="AD9" s="238"/>
      <c r="AE9" s="241">
        <f>2654300*22.5%</f>
        <v>597217.5</v>
      </c>
      <c r="AF9" s="238"/>
      <c r="AG9" s="238"/>
      <c r="AH9" s="246">
        <v>11279860</v>
      </c>
      <c r="AI9" s="409"/>
      <c r="AJ9" s="400">
        <f>SUM(N9:AI9)</f>
        <v>960750628.5</v>
      </c>
      <c r="AK9" s="12">
        <f>AJ9/2</f>
        <v>480375314.25</v>
      </c>
    </row>
    <row r="10" spans="1:37" s="5" customFormat="1" ht="22.5" hidden="1">
      <c r="A10" s="218"/>
      <c r="B10" s="391"/>
      <c r="C10" s="391"/>
      <c r="D10" s="152"/>
      <c r="E10" s="218"/>
      <c r="F10" s="394"/>
      <c r="G10" s="416"/>
      <c r="H10" s="215"/>
      <c r="I10" s="348"/>
      <c r="J10" s="177" t="s">
        <v>285</v>
      </c>
      <c r="K10" s="107"/>
      <c r="L10" s="107"/>
      <c r="M10" s="247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47"/>
      <c r="Y10" s="239"/>
      <c r="Z10" s="247"/>
      <c r="AA10" s="247"/>
      <c r="AB10" s="247"/>
      <c r="AC10" s="247"/>
      <c r="AD10" s="239"/>
      <c r="AE10" s="247"/>
      <c r="AF10" s="247"/>
      <c r="AG10" s="247"/>
      <c r="AH10" s="248"/>
      <c r="AI10" s="247"/>
      <c r="AJ10" s="231">
        <f aca="true" t="shared" si="0" ref="AJ10:AJ19">SUM(N10:AI10)</f>
        <v>0</v>
      </c>
      <c r="AK10" s="230">
        <v>600000000</v>
      </c>
    </row>
    <row r="11" spans="1:37" s="5" customFormat="1" ht="34.5" hidden="1" thickBot="1">
      <c r="A11" s="218"/>
      <c r="B11" s="391"/>
      <c r="C11" s="391"/>
      <c r="D11" s="152"/>
      <c r="E11" s="218"/>
      <c r="F11" s="394"/>
      <c r="G11" s="417"/>
      <c r="H11" s="215"/>
      <c r="I11" s="348" t="s">
        <v>8</v>
      </c>
      <c r="J11" s="178" t="s">
        <v>286</v>
      </c>
      <c r="K11" s="107"/>
      <c r="L11" s="107"/>
      <c r="M11" s="247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47"/>
      <c r="Y11" s="239"/>
      <c r="Z11" s="247"/>
      <c r="AA11" s="247"/>
      <c r="AB11" s="247"/>
      <c r="AC11" s="247"/>
      <c r="AD11" s="239"/>
      <c r="AE11" s="247"/>
      <c r="AF11" s="247"/>
      <c r="AG11" s="247"/>
      <c r="AH11" s="248"/>
      <c r="AI11" s="247"/>
      <c r="AJ11" s="231">
        <f t="shared" si="0"/>
        <v>0</v>
      </c>
      <c r="AK11" s="230">
        <f>N11</f>
        <v>0</v>
      </c>
    </row>
    <row r="12" spans="1:37" s="1" customFormat="1" ht="49.5" customHeight="1" thickBot="1">
      <c r="A12" s="218"/>
      <c r="B12" s="391"/>
      <c r="C12" s="391"/>
      <c r="D12" s="156"/>
      <c r="E12" s="218"/>
      <c r="F12" s="77" t="s">
        <v>129</v>
      </c>
      <c r="G12" s="349" t="s">
        <v>119</v>
      </c>
      <c r="H12" s="350" t="s">
        <v>58</v>
      </c>
      <c r="I12" s="351" t="s">
        <v>112</v>
      </c>
      <c r="J12" s="105" t="s">
        <v>287</v>
      </c>
      <c r="K12" s="120"/>
      <c r="L12" s="120"/>
      <c r="M12" s="249"/>
      <c r="N12" s="239"/>
      <c r="O12" s="239">
        <v>189687798</v>
      </c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50"/>
      <c r="AI12" s="239"/>
      <c r="AJ12" s="400">
        <f t="shared" si="0"/>
        <v>189687798</v>
      </c>
      <c r="AK12" s="230">
        <v>189687797.88</v>
      </c>
    </row>
    <row r="13" spans="1:37" s="1" customFormat="1" ht="45.75" thickBot="1">
      <c r="A13" s="218"/>
      <c r="B13" s="391"/>
      <c r="C13" s="391"/>
      <c r="D13" s="156"/>
      <c r="E13" s="218"/>
      <c r="F13" s="199" t="s">
        <v>130</v>
      </c>
      <c r="G13" s="213" t="s">
        <v>110</v>
      </c>
      <c r="H13" s="215" t="s">
        <v>59</v>
      </c>
      <c r="I13" s="352" t="s">
        <v>117</v>
      </c>
      <c r="J13" s="105" t="s">
        <v>287</v>
      </c>
      <c r="K13" s="79"/>
      <c r="L13" s="79"/>
      <c r="M13" s="251"/>
      <c r="N13" s="241">
        <v>78548913</v>
      </c>
      <c r="O13" s="241">
        <v>74289837</v>
      </c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52"/>
      <c r="AI13" s="241"/>
      <c r="AJ13" s="400">
        <f t="shared" si="0"/>
        <v>152838750</v>
      </c>
      <c r="AK13" s="230">
        <f>N13</f>
        <v>78548913</v>
      </c>
    </row>
    <row r="14" spans="1:37" s="1" customFormat="1" ht="45.75" thickBot="1">
      <c r="A14" s="218"/>
      <c r="B14" s="391"/>
      <c r="C14" s="391"/>
      <c r="D14" s="156"/>
      <c r="E14" s="218"/>
      <c r="F14" s="200"/>
      <c r="G14" s="213"/>
      <c r="H14" s="215" t="s">
        <v>8</v>
      </c>
      <c r="I14" s="353" t="s">
        <v>115</v>
      </c>
      <c r="J14" s="105" t="s">
        <v>287</v>
      </c>
      <c r="K14" s="79"/>
      <c r="L14" s="79"/>
      <c r="M14" s="251"/>
      <c r="N14" s="241">
        <v>25250318</v>
      </c>
      <c r="O14" s="241">
        <v>321312202</v>
      </c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52"/>
      <c r="AI14" s="241"/>
      <c r="AJ14" s="400">
        <f t="shared" si="0"/>
        <v>346562520</v>
      </c>
      <c r="AK14" s="230">
        <f>N14</f>
        <v>25250318</v>
      </c>
    </row>
    <row r="15" spans="1:37" s="1" customFormat="1" ht="23.25" thickBot="1">
      <c r="A15" s="218"/>
      <c r="B15" s="391"/>
      <c r="C15" s="391"/>
      <c r="D15" s="156"/>
      <c r="E15" s="218"/>
      <c r="F15" s="200"/>
      <c r="G15" s="213"/>
      <c r="H15" s="215"/>
      <c r="I15" s="354" t="s">
        <v>116</v>
      </c>
      <c r="J15" s="97" t="s">
        <v>287</v>
      </c>
      <c r="K15" s="79"/>
      <c r="L15" s="79"/>
      <c r="M15" s="251"/>
      <c r="N15" s="241">
        <f>16695000+22133938.12</f>
        <v>38828938.120000005</v>
      </c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52"/>
      <c r="AI15" s="241"/>
      <c r="AJ15" s="400">
        <f t="shared" si="0"/>
        <v>38828938.120000005</v>
      </c>
      <c r="AK15" s="231">
        <f>AJ15/2</f>
        <v>19414469.060000002</v>
      </c>
    </row>
    <row r="16" spans="1:37" s="1" customFormat="1" ht="34.5" thickBot="1">
      <c r="A16" s="218"/>
      <c r="B16" s="391"/>
      <c r="C16" s="391"/>
      <c r="D16" s="156"/>
      <c r="E16" s="218"/>
      <c r="F16" s="29"/>
      <c r="G16" s="213"/>
      <c r="H16" s="215" t="s">
        <v>312</v>
      </c>
      <c r="I16" s="354" t="s">
        <v>320</v>
      </c>
      <c r="J16" s="97"/>
      <c r="K16" s="79"/>
      <c r="L16" s="79"/>
      <c r="M16" s="251"/>
      <c r="N16" s="234">
        <v>43370000</v>
      </c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>
        <v>294076196</v>
      </c>
      <c r="AE16" s="241"/>
      <c r="AF16" s="241"/>
      <c r="AG16" s="241"/>
      <c r="AH16" s="252"/>
      <c r="AI16" s="241"/>
      <c r="AJ16" s="400">
        <f t="shared" si="0"/>
        <v>337446196</v>
      </c>
      <c r="AK16" s="231"/>
    </row>
    <row r="17" spans="1:37" s="1" customFormat="1" ht="45.75" thickBot="1">
      <c r="A17" s="218"/>
      <c r="B17" s="391"/>
      <c r="C17" s="391"/>
      <c r="D17" s="156"/>
      <c r="E17" s="218"/>
      <c r="F17" s="28" t="s">
        <v>132</v>
      </c>
      <c r="G17" s="415" t="s">
        <v>120</v>
      </c>
      <c r="H17" s="215"/>
      <c r="I17" s="354" t="s">
        <v>113</v>
      </c>
      <c r="J17" s="97" t="s">
        <v>287</v>
      </c>
      <c r="K17" s="80"/>
      <c r="L17" s="80"/>
      <c r="M17" s="241"/>
      <c r="N17" s="241">
        <v>33999919.88</v>
      </c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52"/>
      <c r="AI17" s="241"/>
      <c r="AJ17" s="400">
        <f t="shared" si="0"/>
        <v>33999919.88</v>
      </c>
      <c r="AK17" s="231">
        <f>AJ17/2</f>
        <v>16999959.94</v>
      </c>
    </row>
    <row r="18" spans="1:37" s="1" customFormat="1" ht="34.5" thickBot="1">
      <c r="A18" s="218"/>
      <c r="B18" s="391"/>
      <c r="C18" s="391"/>
      <c r="D18" s="156"/>
      <c r="E18" s="218"/>
      <c r="F18" s="28"/>
      <c r="G18" s="417"/>
      <c r="H18" s="215"/>
      <c r="I18" s="355" t="s">
        <v>319</v>
      </c>
      <c r="J18" s="193" t="s">
        <v>289</v>
      </c>
      <c r="K18" s="194"/>
      <c r="L18" s="194"/>
      <c r="M18" s="253"/>
      <c r="N18" s="253">
        <v>359815197</v>
      </c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4"/>
      <c r="AI18" s="253"/>
      <c r="AJ18" s="400">
        <f t="shared" si="0"/>
        <v>359815197</v>
      </c>
      <c r="AK18" s="232">
        <f>AJ18</f>
        <v>359815197</v>
      </c>
    </row>
    <row r="19" spans="1:37" s="1" customFormat="1" ht="25.5" customHeight="1" thickBot="1">
      <c r="A19" s="218"/>
      <c r="B19" s="391"/>
      <c r="C19" s="391"/>
      <c r="D19" s="156"/>
      <c r="E19" s="208"/>
      <c r="F19" s="77" t="s">
        <v>131</v>
      </c>
      <c r="G19" s="212" t="s">
        <v>121</v>
      </c>
      <c r="H19" s="350" t="s">
        <v>60</v>
      </c>
      <c r="I19" s="354" t="s">
        <v>114</v>
      </c>
      <c r="J19" s="192" t="s">
        <v>288</v>
      </c>
      <c r="K19" s="80"/>
      <c r="L19" s="80"/>
      <c r="M19" s="241"/>
      <c r="N19" s="241">
        <v>193420669</v>
      </c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>
        <v>55979331</v>
      </c>
      <c r="Z19" s="241"/>
      <c r="AA19" s="241"/>
      <c r="AB19" s="241"/>
      <c r="AC19" s="241"/>
      <c r="AD19" s="241"/>
      <c r="AE19" s="145"/>
      <c r="AF19" s="241"/>
      <c r="AG19" s="241"/>
      <c r="AH19" s="252"/>
      <c r="AI19" s="241"/>
      <c r="AJ19" s="400">
        <f t="shared" si="0"/>
        <v>249400000</v>
      </c>
      <c r="AK19" s="231">
        <f>AJ19</f>
        <v>249400000</v>
      </c>
    </row>
    <row r="20" spans="1:39" s="1" customFormat="1" ht="12" thickBot="1">
      <c r="A20" s="218"/>
      <c r="B20" s="391"/>
      <c r="C20" s="391"/>
      <c r="D20" s="156"/>
      <c r="E20" s="185">
        <v>0.18</v>
      </c>
      <c r="F20" s="39"/>
      <c r="G20" s="356"/>
      <c r="H20" s="357" t="s">
        <v>31</v>
      </c>
      <c r="I20" s="357"/>
      <c r="J20" s="55"/>
      <c r="K20" s="20"/>
      <c r="L20" s="20"/>
      <c r="M20" s="255"/>
      <c r="N20" s="255">
        <f>SUM(N9:N19)</f>
        <v>1722107506</v>
      </c>
      <c r="O20" s="255">
        <f aca="true" t="shared" si="1" ref="O20:AH20">SUM(O9:O19)</f>
        <v>585289837</v>
      </c>
      <c r="P20" s="255">
        <f t="shared" si="1"/>
        <v>0</v>
      </c>
      <c r="Q20" s="255">
        <f t="shared" si="1"/>
        <v>0</v>
      </c>
      <c r="R20" s="255">
        <f t="shared" si="1"/>
        <v>0</v>
      </c>
      <c r="S20" s="255">
        <f t="shared" si="1"/>
        <v>0</v>
      </c>
      <c r="T20" s="255">
        <f t="shared" si="1"/>
        <v>0</v>
      </c>
      <c r="U20" s="255">
        <f t="shared" si="1"/>
        <v>0</v>
      </c>
      <c r="V20" s="255">
        <f t="shared" si="1"/>
        <v>0</v>
      </c>
      <c r="W20" s="255">
        <f t="shared" si="1"/>
        <v>0</v>
      </c>
      <c r="X20" s="255">
        <f t="shared" si="1"/>
        <v>0</v>
      </c>
      <c r="Y20" s="255">
        <f t="shared" si="1"/>
        <v>55979331</v>
      </c>
      <c r="Z20" s="255">
        <f t="shared" si="1"/>
        <v>0</v>
      </c>
      <c r="AA20" s="255">
        <f t="shared" si="1"/>
        <v>0</v>
      </c>
      <c r="AB20" s="255">
        <f t="shared" si="1"/>
        <v>0</v>
      </c>
      <c r="AC20" s="255">
        <f t="shared" si="1"/>
        <v>0</v>
      </c>
      <c r="AD20" s="255">
        <f t="shared" si="1"/>
        <v>294076196</v>
      </c>
      <c r="AE20" s="255">
        <f t="shared" si="1"/>
        <v>597217.5</v>
      </c>
      <c r="AF20" s="255">
        <f t="shared" si="1"/>
        <v>0</v>
      </c>
      <c r="AG20" s="256">
        <f t="shared" si="1"/>
        <v>0</v>
      </c>
      <c r="AH20" s="257">
        <f t="shared" si="1"/>
        <v>11279860</v>
      </c>
      <c r="AI20" s="255"/>
      <c r="AJ20" s="233">
        <f aca="true" t="shared" si="2" ref="AJ20:AJ25">SUM(N20:AI20)</f>
        <v>2669329947.5</v>
      </c>
      <c r="AK20" s="233">
        <f>SUM(AK9:AK18)</f>
        <v>1770091969.13</v>
      </c>
      <c r="AL20" s="1">
        <f>SUM(AJ9:AJ19)</f>
        <v>2669329947.5</v>
      </c>
      <c r="AM20" s="1">
        <f>+AL20-AJ20</f>
        <v>0</v>
      </c>
    </row>
    <row r="21" spans="1:37" s="1" customFormat="1" ht="45.75" thickBot="1">
      <c r="A21" s="218"/>
      <c r="B21" s="391"/>
      <c r="C21" s="391"/>
      <c r="D21" s="156"/>
      <c r="E21" s="219" t="s">
        <v>3</v>
      </c>
      <c r="F21" s="393" t="s">
        <v>133</v>
      </c>
      <c r="G21" s="396" t="s">
        <v>2</v>
      </c>
      <c r="H21" s="455" t="s">
        <v>61</v>
      </c>
      <c r="I21" s="352" t="s">
        <v>125</v>
      </c>
      <c r="J21" s="437" t="s">
        <v>297</v>
      </c>
      <c r="K21" s="81"/>
      <c r="L21" s="81"/>
      <c r="M21" s="240"/>
      <c r="N21" s="240">
        <v>40000000</v>
      </c>
      <c r="O21" s="240"/>
      <c r="P21" s="240"/>
      <c r="Q21" s="240">
        <f>1367236043</f>
        <v>1367236043</v>
      </c>
      <c r="R21" s="240"/>
      <c r="S21" s="240"/>
      <c r="T21" s="240"/>
      <c r="U21" s="240"/>
      <c r="V21" s="240"/>
      <c r="W21" s="240"/>
      <c r="X21" s="240"/>
      <c r="Y21" s="240"/>
      <c r="Z21" s="240"/>
      <c r="AA21" s="240">
        <f>87385948</f>
        <v>87385948</v>
      </c>
      <c r="AB21" s="240"/>
      <c r="AC21" s="240">
        <f>56190192*0.1</f>
        <v>5619019.2</v>
      </c>
      <c r="AD21" s="240"/>
      <c r="AE21" s="240">
        <f>2654300*0.1125</f>
        <v>298608.75</v>
      </c>
      <c r="AF21" s="240">
        <f>788414739</f>
        <v>788414739</v>
      </c>
      <c r="AG21" s="258">
        <f>(109245675)</f>
        <v>109245675</v>
      </c>
      <c r="AH21" s="259">
        <f>35608614</f>
        <v>35608614</v>
      </c>
      <c r="AI21" s="240"/>
      <c r="AJ21" s="266">
        <f t="shared" si="2"/>
        <v>2433808646.95</v>
      </c>
      <c r="AK21" s="67"/>
    </row>
    <row r="22" spans="1:37" s="1" customFormat="1" ht="45.75" thickBot="1">
      <c r="A22" s="218"/>
      <c r="B22" s="391"/>
      <c r="C22" s="391"/>
      <c r="D22" s="156"/>
      <c r="E22" s="220"/>
      <c r="F22" s="394"/>
      <c r="G22" s="397"/>
      <c r="H22" s="456"/>
      <c r="I22" s="354" t="s">
        <v>126</v>
      </c>
      <c r="J22" s="465"/>
      <c r="K22" s="80"/>
      <c r="L22" s="80"/>
      <c r="M22" s="241"/>
      <c r="N22" s="239">
        <v>40000000</v>
      </c>
      <c r="O22" s="241"/>
      <c r="P22" s="260"/>
      <c r="Q22" s="260"/>
      <c r="R22" s="261"/>
      <c r="S22" s="261"/>
      <c r="T22" s="262"/>
      <c r="U22" s="262"/>
      <c r="V22" s="261"/>
      <c r="W22" s="241"/>
      <c r="X22" s="241"/>
      <c r="Y22" s="241"/>
      <c r="Z22" s="241"/>
      <c r="AA22" s="260"/>
      <c r="AB22" s="241"/>
      <c r="AC22" s="241">
        <f>56190192*0.1</f>
        <v>5619019.2</v>
      </c>
      <c r="AD22" s="263"/>
      <c r="AE22" s="241">
        <f>2654300*0.1125</f>
        <v>298608.75</v>
      </c>
      <c r="AF22" s="241"/>
      <c r="AG22" s="258"/>
      <c r="AH22" s="241">
        <v>5351080</v>
      </c>
      <c r="AI22" s="240"/>
      <c r="AJ22" s="266">
        <f t="shared" si="2"/>
        <v>51268707.95</v>
      </c>
      <c r="AK22" s="68"/>
    </row>
    <row r="23" spans="1:37" s="1" customFormat="1" ht="45.75" thickBot="1">
      <c r="A23" s="218"/>
      <c r="B23" s="391"/>
      <c r="C23" s="391"/>
      <c r="D23" s="156"/>
      <c r="E23" s="220"/>
      <c r="F23" s="395"/>
      <c r="G23" s="398"/>
      <c r="H23" s="457"/>
      <c r="I23" s="361" t="s">
        <v>127</v>
      </c>
      <c r="J23" s="186" t="s">
        <v>299</v>
      </c>
      <c r="K23" s="123"/>
      <c r="L23" s="123"/>
      <c r="M23" s="264"/>
      <c r="N23" s="264">
        <f>200000000-35608614</f>
        <v>164391386</v>
      </c>
      <c r="O23" s="264"/>
      <c r="P23" s="264"/>
      <c r="Q23" s="264"/>
      <c r="R23" s="264">
        <v>298034549</v>
      </c>
      <c r="S23" s="264">
        <v>219726699</v>
      </c>
      <c r="T23" s="265"/>
      <c r="U23" s="265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54">
        <f>1955784</f>
        <v>1955784</v>
      </c>
      <c r="AI23" s="210"/>
      <c r="AJ23" s="266">
        <f t="shared" si="2"/>
        <v>684108418</v>
      </c>
      <c r="AK23" s="68"/>
    </row>
    <row r="24" spans="1:37" s="1" customFormat="1" ht="45.75" thickBot="1">
      <c r="A24" s="218"/>
      <c r="B24" s="391"/>
      <c r="C24" s="392"/>
      <c r="D24" s="154"/>
      <c r="E24" s="221"/>
      <c r="F24" s="28" t="s">
        <v>134</v>
      </c>
      <c r="G24" s="213" t="s">
        <v>121</v>
      </c>
      <c r="H24" s="215" t="s">
        <v>62</v>
      </c>
      <c r="I24" s="332" t="s">
        <v>124</v>
      </c>
      <c r="J24" s="187" t="s">
        <v>296</v>
      </c>
      <c r="K24" s="69"/>
      <c r="L24" s="69"/>
      <c r="M24" s="258"/>
      <c r="N24" s="258">
        <v>100000000</v>
      </c>
      <c r="O24" s="258"/>
      <c r="P24" s="258">
        <v>153866502</v>
      </c>
      <c r="Q24" s="258"/>
      <c r="R24" s="258"/>
      <c r="S24" s="258"/>
      <c r="T24" s="258"/>
      <c r="U24" s="258"/>
      <c r="V24" s="258"/>
      <c r="W24" s="258">
        <f>453231354/16</f>
        <v>28326959.625</v>
      </c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67">
        <v>2567329</v>
      </c>
      <c r="AI24" s="209"/>
      <c r="AJ24" s="266">
        <f t="shared" si="2"/>
        <v>284760790.625</v>
      </c>
      <c r="AK24" s="12"/>
    </row>
    <row r="25" spans="1:39" s="1" customFormat="1" ht="12" thickBot="1">
      <c r="A25" s="218"/>
      <c r="B25" s="391"/>
      <c r="C25" s="161"/>
      <c r="D25" s="156"/>
      <c r="E25" s="185">
        <v>0.2</v>
      </c>
      <c r="F25" s="54"/>
      <c r="G25" s="357"/>
      <c r="H25" s="357" t="s">
        <v>30</v>
      </c>
      <c r="I25" s="362"/>
      <c r="J25" s="164"/>
      <c r="K25" s="164"/>
      <c r="L25" s="165"/>
      <c r="M25" s="165">
        <f>SUM(M21:M24)</f>
        <v>0</v>
      </c>
      <c r="N25" s="255">
        <f>SUM(N21:N24)</f>
        <v>344391386</v>
      </c>
      <c r="O25" s="165">
        <f aca="true" t="shared" si="3" ref="O25:AI25">SUM(O21:O24)</f>
        <v>0</v>
      </c>
      <c r="P25" s="165">
        <f t="shared" si="3"/>
        <v>153866502</v>
      </c>
      <c r="Q25" s="165">
        <f t="shared" si="3"/>
        <v>1367236043</v>
      </c>
      <c r="R25" s="165">
        <f t="shared" si="3"/>
        <v>298034549</v>
      </c>
      <c r="S25" s="165">
        <f>SUM(S21:S24)</f>
        <v>219726699</v>
      </c>
      <c r="T25" s="165">
        <f t="shared" si="3"/>
        <v>0</v>
      </c>
      <c r="U25" s="165">
        <f t="shared" si="3"/>
        <v>0</v>
      </c>
      <c r="V25" s="165">
        <f t="shared" si="3"/>
        <v>0</v>
      </c>
      <c r="W25" s="165">
        <f t="shared" si="3"/>
        <v>28326959.625</v>
      </c>
      <c r="X25" s="165">
        <f t="shared" si="3"/>
        <v>0</v>
      </c>
      <c r="Y25" s="165">
        <f t="shared" si="3"/>
        <v>0</v>
      </c>
      <c r="Z25" s="165">
        <f t="shared" si="3"/>
        <v>0</v>
      </c>
      <c r="AA25" s="165">
        <f t="shared" si="3"/>
        <v>87385948</v>
      </c>
      <c r="AB25" s="165">
        <f t="shared" si="3"/>
        <v>0</v>
      </c>
      <c r="AC25" s="165">
        <f t="shared" si="3"/>
        <v>11238038.4</v>
      </c>
      <c r="AD25" s="165">
        <f t="shared" si="3"/>
        <v>0</v>
      </c>
      <c r="AE25" s="165">
        <f t="shared" si="3"/>
        <v>597217.5</v>
      </c>
      <c r="AF25" s="165">
        <f t="shared" si="3"/>
        <v>788414739</v>
      </c>
      <c r="AG25" s="165">
        <f t="shared" si="3"/>
        <v>109245675</v>
      </c>
      <c r="AH25" s="165">
        <f>SUM(AH21:AH24)</f>
        <v>45482807</v>
      </c>
      <c r="AI25" s="268">
        <f t="shared" si="3"/>
        <v>0</v>
      </c>
      <c r="AJ25" s="233">
        <f t="shared" si="2"/>
        <v>3453946563.525</v>
      </c>
      <c r="AK25" s="12"/>
      <c r="AL25" s="1">
        <f>SUM(AJ21:AJ24)</f>
        <v>3453946563.5249996</v>
      </c>
      <c r="AM25" s="1">
        <f>+AL25-AJ25</f>
        <v>0</v>
      </c>
    </row>
    <row r="26" spans="1:37" s="1" customFormat="1" ht="90" customHeight="1" thickBot="1">
      <c r="A26" s="218"/>
      <c r="B26" s="391"/>
      <c r="C26" s="390" t="s">
        <v>245</v>
      </c>
      <c r="D26" s="155"/>
      <c r="E26" s="305" t="s">
        <v>63</v>
      </c>
      <c r="F26" s="27" t="s">
        <v>137</v>
      </c>
      <c r="G26" s="108" t="s">
        <v>118</v>
      </c>
      <c r="H26" s="363" t="s">
        <v>57</v>
      </c>
      <c r="I26" s="317" t="s">
        <v>142</v>
      </c>
      <c r="J26" s="125"/>
      <c r="K26" s="126"/>
      <c r="L26" s="126"/>
      <c r="M26" s="269"/>
      <c r="N26" s="270">
        <f>20000000+70000000</f>
        <v>90000000</v>
      </c>
      <c r="O26" s="270"/>
      <c r="P26" s="271"/>
      <c r="Q26" s="271"/>
      <c r="R26" s="271"/>
      <c r="S26" s="271"/>
      <c r="T26" s="271"/>
      <c r="U26" s="271"/>
      <c r="V26" s="271"/>
      <c r="W26" s="270"/>
      <c r="X26" s="271"/>
      <c r="Y26" s="270"/>
      <c r="Z26" s="270"/>
      <c r="AA26" s="270"/>
      <c r="AB26" s="270"/>
      <c r="AC26" s="270"/>
      <c r="AD26" s="270"/>
      <c r="AE26" s="270"/>
      <c r="AF26" s="270"/>
      <c r="AG26" s="270"/>
      <c r="AH26" s="272"/>
      <c r="AI26" s="270"/>
      <c r="AJ26" s="401">
        <f>SUM(M26:AI26)</f>
        <v>90000000</v>
      </c>
      <c r="AK26" s="12"/>
    </row>
    <row r="27" spans="1:37" s="1" customFormat="1" ht="64.5" customHeight="1">
      <c r="A27" s="218"/>
      <c r="B27" s="391"/>
      <c r="C27" s="391"/>
      <c r="D27" s="156"/>
      <c r="E27" s="218"/>
      <c r="F27" s="27" t="s">
        <v>141</v>
      </c>
      <c r="G27" s="108" t="s">
        <v>138</v>
      </c>
      <c r="H27" s="363" t="s">
        <v>75</v>
      </c>
      <c r="I27" s="364" t="s">
        <v>143</v>
      </c>
      <c r="J27" s="172" t="s">
        <v>8</v>
      </c>
      <c r="K27" s="124"/>
      <c r="L27" s="124"/>
      <c r="M27" s="273"/>
      <c r="N27" s="274">
        <v>40435109</v>
      </c>
      <c r="O27" s="239"/>
      <c r="P27" s="274"/>
      <c r="Q27" s="274"/>
      <c r="R27" s="274"/>
      <c r="S27" s="274"/>
      <c r="T27" s="274"/>
      <c r="U27" s="274">
        <v>43164891</v>
      </c>
      <c r="V27" s="274"/>
      <c r="W27" s="239"/>
      <c r="X27" s="145"/>
      <c r="Y27" s="239"/>
      <c r="Z27" s="239"/>
      <c r="AA27" s="239"/>
      <c r="AB27" s="239"/>
      <c r="AC27" s="239"/>
      <c r="AD27" s="239"/>
      <c r="AE27" s="239"/>
      <c r="AF27" s="239"/>
      <c r="AG27" s="239"/>
      <c r="AH27" s="250"/>
      <c r="AI27" s="239">
        <v>8000000</v>
      </c>
      <c r="AJ27" s="230">
        <f aca="true" t="shared" si="4" ref="AJ27:AJ40">SUM(N27:AI27)</f>
        <v>91600000</v>
      </c>
      <c r="AK27" s="12"/>
    </row>
    <row r="28" spans="1:37" s="1" customFormat="1" ht="33.75">
      <c r="A28" s="218"/>
      <c r="B28" s="391"/>
      <c r="C28" s="391"/>
      <c r="D28" s="156"/>
      <c r="E28" s="218"/>
      <c r="F28" s="28"/>
      <c r="G28" s="109"/>
      <c r="H28" s="365"/>
      <c r="I28" s="319" t="s">
        <v>144</v>
      </c>
      <c r="J28" s="468" t="s">
        <v>275</v>
      </c>
      <c r="K28" s="86"/>
      <c r="L28" s="86"/>
      <c r="M28" s="275"/>
      <c r="N28" s="241">
        <v>2000000</v>
      </c>
      <c r="O28" s="241"/>
      <c r="P28" s="276"/>
      <c r="Q28" s="276"/>
      <c r="R28" s="276"/>
      <c r="S28" s="276"/>
      <c r="T28" s="276"/>
      <c r="U28" s="276"/>
      <c r="V28" s="276"/>
      <c r="W28" s="241"/>
      <c r="X28" s="276"/>
      <c r="Y28" s="241"/>
      <c r="Z28" s="241"/>
      <c r="AA28" s="241"/>
      <c r="AB28" s="241"/>
      <c r="AC28" s="241"/>
      <c r="AD28" s="241"/>
      <c r="AE28" s="241"/>
      <c r="AF28" s="241"/>
      <c r="AG28" s="241"/>
      <c r="AH28" s="252"/>
      <c r="AI28" s="241"/>
      <c r="AJ28" s="231">
        <f t="shared" si="4"/>
        <v>2000000</v>
      </c>
      <c r="AK28" s="12"/>
    </row>
    <row r="29" spans="1:37" s="1" customFormat="1" ht="56.25">
      <c r="A29" s="218"/>
      <c r="B29" s="391"/>
      <c r="C29" s="391"/>
      <c r="D29" s="156"/>
      <c r="E29" s="218"/>
      <c r="F29" s="28"/>
      <c r="G29" s="109"/>
      <c r="H29" s="365"/>
      <c r="I29" s="369" t="s">
        <v>145</v>
      </c>
      <c r="J29" s="469"/>
      <c r="K29" s="86"/>
      <c r="L29" s="86"/>
      <c r="M29" s="275"/>
      <c r="N29" s="241">
        <v>3792725</v>
      </c>
      <c r="O29" s="241"/>
      <c r="P29" s="276"/>
      <c r="Q29" s="276"/>
      <c r="R29" s="276"/>
      <c r="S29" s="276"/>
      <c r="T29" s="276"/>
      <c r="U29" s="276"/>
      <c r="V29" s="276"/>
      <c r="W29" s="241"/>
      <c r="X29" s="276"/>
      <c r="Y29" s="241"/>
      <c r="Z29" s="241"/>
      <c r="AA29" s="241"/>
      <c r="AB29" s="241"/>
      <c r="AC29" s="241"/>
      <c r="AD29" s="241"/>
      <c r="AE29" s="241"/>
      <c r="AF29" s="241"/>
      <c r="AG29" s="241"/>
      <c r="AH29" s="252"/>
      <c r="AI29" s="241">
        <v>15495589</v>
      </c>
      <c r="AJ29" s="231">
        <f t="shared" si="4"/>
        <v>19288314</v>
      </c>
      <c r="AK29" s="12"/>
    </row>
    <row r="30" spans="1:37" s="1" customFormat="1" ht="57" thickBot="1">
      <c r="A30" s="218"/>
      <c r="B30" s="391"/>
      <c r="C30" s="391"/>
      <c r="D30" s="156"/>
      <c r="E30" s="218"/>
      <c r="F30" s="28"/>
      <c r="G30" s="109"/>
      <c r="H30" s="215"/>
      <c r="I30" s="370" t="s">
        <v>146</v>
      </c>
      <c r="J30" s="470"/>
      <c r="K30" s="88"/>
      <c r="L30" s="88"/>
      <c r="M30" s="277"/>
      <c r="N30" s="253">
        <v>3626690</v>
      </c>
      <c r="O30" s="278"/>
      <c r="P30" s="278"/>
      <c r="Q30" s="278"/>
      <c r="R30" s="278"/>
      <c r="S30" s="278"/>
      <c r="T30" s="278"/>
      <c r="U30" s="278"/>
      <c r="V30" s="278"/>
      <c r="W30" s="253"/>
      <c r="X30" s="278"/>
      <c r="Y30" s="253"/>
      <c r="Z30" s="253"/>
      <c r="AA30" s="253"/>
      <c r="AB30" s="253"/>
      <c r="AC30" s="253"/>
      <c r="AD30" s="253"/>
      <c r="AE30" s="253"/>
      <c r="AF30" s="253"/>
      <c r="AG30" s="253"/>
      <c r="AH30" s="254"/>
      <c r="AI30" s="253">
        <v>35482950</v>
      </c>
      <c r="AJ30" s="232">
        <f t="shared" si="4"/>
        <v>39109640</v>
      </c>
      <c r="AK30" s="12"/>
    </row>
    <row r="31" spans="1:37" s="1" customFormat="1" ht="48.75" customHeight="1">
      <c r="A31" s="218"/>
      <c r="B31" s="391"/>
      <c r="C31" s="391"/>
      <c r="D31" s="156"/>
      <c r="E31" s="218"/>
      <c r="F31" s="27" t="s">
        <v>140</v>
      </c>
      <c r="G31" s="108" t="s">
        <v>139</v>
      </c>
      <c r="H31" s="214" t="s">
        <v>76</v>
      </c>
      <c r="I31" s="364" t="s">
        <v>147</v>
      </c>
      <c r="J31" s="468" t="s">
        <v>276</v>
      </c>
      <c r="K31" s="124"/>
      <c r="L31" s="124"/>
      <c r="M31" s="273"/>
      <c r="N31" s="239">
        <v>2400000</v>
      </c>
      <c r="O31" s="274"/>
      <c r="P31" s="274"/>
      <c r="Q31" s="274"/>
      <c r="R31" s="274"/>
      <c r="S31" s="274"/>
      <c r="T31" s="274"/>
      <c r="U31" s="274"/>
      <c r="V31" s="274"/>
      <c r="W31" s="239"/>
      <c r="X31" s="274"/>
      <c r="Y31" s="239"/>
      <c r="Z31" s="239"/>
      <c r="AA31" s="239"/>
      <c r="AB31" s="239"/>
      <c r="AC31" s="239"/>
      <c r="AD31" s="239"/>
      <c r="AE31" s="239"/>
      <c r="AF31" s="239"/>
      <c r="AG31" s="239"/>
      <c r="AH31" s="250"/>
      <c r="AI31" s="239"/>
      <c r="AJ31" s="230">
        <f t="shared" si="4"/>
        <v>2400000</v>
      </c>
      <c r="AK31" s="12"/>
    </row>
    <row r="32" spans="1:37" s="1" customFormat="1" ht="22.5">
      <c r="A32" s="218"/>
      <c r="B32" s="391"/>
      <c r="C32" s="391"/>
      <c r="D32" s="156"/>
      <c r="E32" s="218"/>
      <c r="F32" s="28"/>
      <c r="G32" s="109"/>
      <c r="H32" s="215"/>
      <c r="I32" s="369" t="s">
        <v>148</v>
      </c>
      <c r="J32" s="469"/>
      <c r="K32" s="86"/>
      <c r="L32" s="86"/>
      <c r="M32" s="275"/>
      <c r="N32" s="241"/>
      <c r="O32" s="276"/>
      <c r="P32" s="276"/>
      <c r="Q32" s="276"/>
      <c r="R32" s="276"/>
      <c r="S32" s="276"/>
      <c r="T32" s="276"/>
      <c r="U32" s="276"/>
      <c r="V32" s="276"/>
      <c r="W32" s="241"/>
      <c r="X32" s="276"/>
      <c r="Y32" s="241"/>
      <c r="Z32" s="241"/>
      <c r="AA32" s="241"/>
      <c r="AB32" s="241"/>
      <c r="AC32" s="241"/>
      <c r="AD32" s="241"/>
      <c r="AE32" s="241"/>
      <c r="AF32" s="241"/>
      <c r="AG32" s="241"/>
      <c r="AH32" s="252"/>
      <c r="AI32" s="241">
        <v>2000000</v>
      </c>
      <c r="AJ32" s="231">
        <f t="shared" si="4"/>
        <v>2000000</v>
      </c>
      <c r="AK32" s="12"/>
    </row>
    <row r="33" spans="1:37" s="1" customFormat="1" ht="23.25" thickBot="1">
      <c r="A33" s="218"/>
      <c r="B33" s="391"/>
      <c r="C33" s="391"/>
      <c r="D33" s="156"/>
      <c r="E33" s="218"/>
      <c r="F33" s="29"/>
      <c r="G33" s="110"/>
      <c r="H33" s="216"/>
      <c r="I33" s="371" t="s">
        <v>149</v>
      </c>
      <c r="J33" s="470"/>
      <c r="K33" s="127"/>
      <c r="L33" s="127"/>
      <c r="M33" s="279"/>
      <c r="N33" s="264"/>
      <c r="O33" s="265"/>
      <c r="P33" s="265"/>
      <c r="Q33" s="265"/>
      <c r="R33" s="265"/>
      <c r="S33" s="265"/>
      <c r="T33" s="265"/>
      <c r="U33" s="265"/>
      <c r="V33" s="265"/>
      <c r="W33" s="264"/>
      <c r="X33" s="265"/>
      <c r="Y33" s="264"/>
      <c r="Z33" s="264"/>
      <c r="AA33" s="264"/>
      <c r="AB33" s="264"/>
      <c r="AC33" s="264"/>
      <c r="AD33" s="264"/>
      <c r="AE33" s="264"/>
      <c r="AF33" s="264"/>
      <c r="AG33" s="264"/>
      <c r="AH33" s="280"/>
      <c r="AI33" s="264">
        <v>3500000</v>
      </c>
      <c r="AJ33" s="402">
        <f t="shared" si="4"/>
        <v>3500000</v>
      </c>
      <c r="AK33" s="12"/>
    </row>
    <row r="34" spans="1:37" s="1" customFormat="1" ht="12" hidden="1" thickBot="1">
      <c r="A34" s="218"/>
      <c r="B34" s="391"/>
      <c r="C34" s="392"/>
      <c r="D34" s="154"/>
      <c r="E34" s="306"/>
      <c r="F34" s="28"/>
      <c r="G34" s="110"/>
      <c r="H34" s="365" t="s">
        <v>77</v>
      </c>
      <c r="I34" s="372"/>
      <c r="J34" s="125"/>
      <c r="K34" s="126"/>
      <c r="L34" s="126"/>
      <c r="M34" s="269"/>
      <c r="N34" s="270"/>
      <c r="O34" s="270"/>
      <c r="P34" s="271"/>
      <c r="Q34" s="271"/>
      <c r="R34" s="271"/>
      <c r="S34" s="271"/>
      <c r="T34" s="271"/>
      <c r="U34" s="271"/>
      <c r="V34" s="271"/>
      <c r="W34" s="270"/>
      <c r="X34" s="271"/>
      <c r="Y34" s="270"/>
      <c r="Z34" s="270"/>
      <c r="AA34" s="270"/>
      <c r="AB34" s="270"/>
      <c r="AC34" s="270"/>
      <c r="AD34" s="270"/>
      <c r="AE34" s="270"/>
      <c r="AF34" s="270"/>
      <c r="AG34" s="270"/>
      <c r="AH34" s="272"/>
      <c r="AI34" s="270"/>
      <c r="AJ34" s="402">
        <f t="shared" si="4"/>
        <v>0</v>
      </c>
      <c r="AK34" s="12"/>
    </row>
    <row r="35" spans="1:39" s="1" customFormat="1" ht="23.25" thickBot="1">
      <c r="A35" s="218"/>
      <c r="B35" s="391"/>
      <c r="C35" s="145"/>
      <c r="D35" s="145"/>
      <c r="E35" s="185">
        <v>0.01</v>
      </c>
      <c r="F35" s="39"/>
      <c r="G35" s="356"/>
      <c r="H35" s="357" t="s">
        <v>74</v>
      </c>
      <c r="I35" s="357"/>
      <c r="J35" s="55"/>
      <c r="K35" s="21"/>
      <c r="L35" s="21"/>
      <c r="M35" s="281"/>
      <c r="N35" s="255">
        <f>SUM(N26:N34)</f>
        <v>142254524</v>
      </c>
      <c r="O35" s="255">
        <f aca="true" t="shared" si="5" ref="O35:AI35">SUM(O27:O34)</f>
        <v>0</v>
      </c>
      <c r="P35" s="255">
        <f t="shared" si="5"/>
        <v>0</v>
      </c>
      <c r="Q35" s="255">
        <f t="shared" si="5"/>
        <v>0</v>
      </c>
      <c r="R35" s="255">
        <f t="shared" si="5"/>
        <v>0</v>
      </c>
      <c r="S35" s="255">
        <f t="shared" si="5"/>
        <v>0</v>
      </c>
      <c r="T35" s="255">
        <f t="shared" si="5"/>
        <v>0</v>
      </c>
      <c r="U35" s="255">
        <f t="shared" si="5"/>
        <v>43164891</v>
      </c>
      <c r="V35" s="255">
        <f t="shared" si="5"/>
        <v>0</v>
      </c>
      <c r="W35" s="255">
        <f t="shared" si="5"/>
        <v>0</v>
      </c>
      <c r="X35" s="255">
        <f t="shared" si="5"/>
        <v>0</v>
      </c>
      <c r="Y35" s="255">
        <f t="shared" si="5"/>
        <v>0</v>
      </c>
      <c r="Z35" s="255">
        <f t="shared" si="5"/>
        <v>0</v>
      </c>
      <c r="AA35" s="255">
        <f t="shared" si="5"/>
        <v>0</v>
      </c>
      <c r="AB35" s="255">
        <f t="shared" si="5"/>
        <v>0</v>
      </c>
      <c r="AC35" s="255">
        <f t="shared" si="5"/>
        <v>0</v>
      </c>
      <c r="AD35" s="255">
        <f>SUM(AD27:AD34)</f>
        <v>0</v>
      </c>
      <c r="AE35" s="255">
        <f t="shared" si="5"/>
        <v>0</v>
      </c>
      <c r="AF35" s="255">
        <f t="shared" si="5"/>
        <v>0</v>
      </c>
      <c r="AG35" s="255">
        <f t="shared" si="5"/>
        <v>0</v>
      </c>
      <c r="AH35" s="255">
        <f t="shared" si="5"/>
        <v>0</v>
      </c>
      <c r="AI35" s="255">
        <f t="shared" si="5"/>
        <v>64478539</v>
      </c>
      <c r="AJ35" s="233">
        <f>SUM(N35:AI35)</f>
        <v>249897954</v>
      </c>
      <c r="AK35" s="12"/>
      <c r="AL35" s="1">
        <f>SUM(AJ26:AJ34)</f>
        <v>249897954</v>
      </c>
      <c r="AM35" s="1">
        <f>+AL35-AJ35</f>
        <v>0</v>
      </c>
    </row>
    <row r="36" spans="1:37" s="1" customFormat="1" ht="96.75" customHeight="1">
      <c r="A36" s="218"/>
      <c r="B36" s="391"/>
      <c r="C36" s="162" t="s">
        <v>254</v>
      </c>
      <c r="D36" s="151"/>
      <c r="E36" s="305" t="s">
        <v>7</v>
      </c>
      <c r="F36" s="27" t="s">
        <v>150</v>
      </c>
      <c r="G36" s="212" t="s">
        <v>118</v>
      </c>
      <c r="H36" s="214" t="s">
        <v>57</v>
      </c>
      <c r="I36" s="364" t="s">
        <v>152</v>
      </c>
      <c r="J36" s="188" t="s">
        <v>294</v>
      </c>
      <c r="K36" s="78"/>
      <c r="L36" s="78"/>
      <c r="M36" s="240"/>
      <c r="N36" s="240">
        <f>40000000</f>
        <v>40000000</v>
      </c>
      <c r="O36" s="240"/>
      <c r="P36" s="282"/>
      <c r="Q36" s="282"/>
      <c r="R36" s="282"/>
      <c r="S36" s="282"/>
      <c r="T36" s="282"/>
      <c r="U36" s="282"/>
      <c r="V36" s="282"/>
      <c r="W36" s="282"/>
      <c r="X36" s="282"/>
      <c r="Y36" s="240"/>
      <c r="Z36" s="240"/>
      <c r="AA36" s="145"/>
      <c r="AB36" s="240"/>
      <c r="AC36" s="240"/>
      <c r="AD36" s="240"/>
      <c r="AE36" s="240"/>
      <c r="AF36" s="240"/>
      <c r="AG36" s="240"/>
      <c r="AH36" s="259"/>
      <c r="AI36" s="240"/>
      <c r="AJ36" s="400">
        <f t="shared" si="4"/>
        <v>40000000</v>
      </c>
      <c r="AK36" s="12"/>
    </row>
    <row r="37" spans="1:37" s="1" customFormat="1" ht="34.5" thickBot="1">
      <c r="A37" s="218"/>
      <c r="B37" s="391"/>
      <c r="C37" s="163"/>
      <c r="D37" s="152"/>
      <c r="E37" s="218"/>
      <c r="F37" s="28"/>
      <c r="G37" s="359"/>
      <c r="H37" s="216"/>
      <c r="I37" s="370" t="s">
        <v>153</v>
      </c>
      <c r="J37" s="166" t="s">
        <v>273</v>
      </c>
      <c r="K37" s="116"/>
      <c r="L37" s="116"/>
      <c r="M37" s="264"/>
      <c r="N37" s="264">
        <f>40000000</f>
        <v>40000000</v>
      </c>
      <c r="O37" s="264"/>
      <c r="P37" s="265"/>
      <c r="Q37" s="265"/>
      <c r="R37" s="265"/>
      <c r="S37" s="265"/>
      <c r="T37" s="265"/>
      <c r="U37" s="265"/>
      <c r="V37" s="265"/>
      <c r="W37" s="265"/>
      <c r="X37" s="265"/>
      <c r="Y37" s="264"/>
      <c r="Z37" s="264"/>
      <c r="AA37" s="264"/>
      <c r="AB37" s="264"/>
      <c r="AC37" s="264"/>
      <c r="AD37" s="264"/>
      <c r="AE37" s="264"/>
      <c r="AF37" s="264"/>
      <c r="AG37" s="264"/>
      <c r="AH37" s="280"/>
      <c r="AI37" s="264"/>
      <c r="AJ37" s="402">
        <f t="shared" si="4"/>
        <v>40000000</v>
      </c>
      <c r="AK37" s="12"/>
    </row>
    <row r="38" spans="1:37" s="1" customFormat="1" ht="56.25" customHeight="1" thickBot="1">
      <c r="A38" s="218"/>
      <c r="B38" s="391"/>
      <c r="C38" s="163"/>
      <c r="D38" s="152"/>
      <c r="E38" s="218"/>
      <c r="F38" s="27" t="s">
        <v>235</v>
      </c>
      <c r="G38" s="212" t="s">
        <v>151</v>
      </c>
      <c r="H38" s="215" t="s">
        <v>78</v>
      </c>
      <c r="I38" s="317" t="s">
        <v>154</v>
      </c>
      <c r="J38" s="173" t="s">
        <v>274</v>
      </c>
      <c r="K38" s="78"/>
      <c r="L38" s="78"/>
      <c r="M38" s="240"/>
      <c r="N38" s="240">
        <f>60000000-32373668-19894704</f>
        <v>7731628</v>
      </c>
      <c r="O38" s="240"/>
      <c r="P38" s="282"/>
      <c r="Q38" s="282"/>
      <c r="R38" s="282"/>
      <c r="S38" s="282"/>
      <c r="T38" s="282"/>
      <c r="U38" s="282"/>
      <c r="V38" s="282"/>
      <c r="W38" s="282"/>
      <c r="X38" s="282"/>
      <c r="Y38" s="240"/>
      <c r="Z38" s="240"/>
      <c r="AA38" s="240"/>
      <c r="AB38" s="240"/>
      <c r="AC38" s="240"/>
      <c r="AD38" s="240"/>
      <c r="AE38" s="240"/>
      <c r="AF38" s="240"/>
      <c r="AG38" s="240"/>
      <c r="AH38" s="259"/>
      <c r="AI38" s="240">
        <v>19894704</v>
      </c>
      <c r="AJ38" s="402">
        <f t="shared" si="4"/>
        <v>27626332</v>
      </c>
      <c r="AK38" s="12"/>
    </row>
    <row r="39" spans="1:37" s="1" customFormat="1" ht="54" customHeight="1">
      <c r="A39" s="218"/>
      <c r="B39" s="391"/>
      <c r="C39" s="163"/>
      <c r="D39" s="152"/>
      <c r="E39" s="218"/>
      <c r="F39" s="28" t="s">
        <v>236</v>
      </c>
      <c r="G39" s="212" t="s">
        <v>139</v>
      </c>
      <c r="H39" s="215" t="s">
        <v>76</v>
      </c>
      <c r="I39" s="364" t="s">
        <v>155</v>
      </c>
      <c r="J39" s="105" t="s">
        <v>274</v>
      </c>
      <c r="K39" s="117"/>
      <c r="L39" s="117"/>
      <c r="M39" s="239"/>
      <c r="N39" s="239">
        <f>25000000</f>
        <v>25000000</v>
      </c>
      <c r="O39" s="239"/>
      <c r="P39" s="274"/>
      <c r="Q39" s="274"/>
      <c r="R39" s="274"/>
      <c r="S39" s="274"/>
      <c r="T39" s="274"/>
      <c r="U39" s="274"/>
      <c r="V39" s="274"/>
      <c r="W39" s="274"/>
      <c r="X39" s="274"/>
      <c r="Y39" s="239"/>
      <c r="Z39" s="239"/>
      <c r="AA39" s="239"/>
      <c r="AB39" s="239"/>
      <c r="AC39" s="239"/>
      <c r="AD39" s="239"/>
      <c r="AE39" s="239"/>
      <c r="AF39" s="239"/>
      <c r="AG39" s="239"/>
      <c r="AH39" s="250"/>
      <c r="AI39" s="239"/>
      <c r="AJ39" s="402">
        <f t="shared" si="4"/>
        <v>25000000</v>
      </c>
      <c r="AK39" s="12"/>
    </row>
    <row r="40" spans="1:37" s="1" customFormat="1" ht="22.5">
      <c r="A40" s="218"/>
      <c r="B40" s="391"/>
      <c r="C40" s="163"/>
      <c r="D40" s="152"/>
      <c r="E40" s="218"/>
      <c r="F40" s="28"/>
      <c r="G40" s="359"/>
      <c r="H40" s="215"/>
      <c r="I40" s="320" t="s">
        <v>156</v>
      </c>
      <c r="J40" s="466" t="s">
        <v>273</v>
      </c>
      <c r="K40" s="79"/>
      <c r="L40" s="79"/>
      <c r="M40" s="241"/>
      <c r="N40" s="471">
        <v>20000000</v>
      </c>
      <c r="O40" s="241"/>
      <c r="P40" s="276"/>
      <c r="Q40" s="276"/>
      <c r="R40" s="276"/>
      <c r="S40" s="276"/>
      <c r="T40" s="276"/>
      <c r="U40" s="276"/>
      <c r="V40" s="473">
        <v>32373668</v>
      </c>
      <c r="W40" s="276"/>
      <c r="X40" s="473"/>
      <c r="Y40" s="241"/>
      <c r="Z40" s="241"/>
      <c r="AA40" s="241"/>
      <c r="AB40" s="241"/>
      <c r="AC40" s="241"/>
      <c r="AD40" s="241"/>
      <c r="AE40" s="241"/>
      <c r="AF40" s="241"/>
      <c r="AG40" s="241"/>
      <c r="AH40" s="252"/>
      <c r="AI40" s="241">
        <v>86421425</v>
      </c>
      <c r="AJ40" s="475">
        <f t="shared" si="4"/>
        <v>138795093</v>
      </c>
      <c r="AK40" s="12"/>
    </row>
    <row r="41" spans="1:37" s="1" customFormat="1" ht="34.5" thickBot="1">
      <c r="A41" s="218"/>
      <c r="B41" s="391"/>
      <c r="C41" s="163"/>
      <c r="D41" s="152"/>
      <c r="E41" s="218"/>
      <c r="F41" s="28"/>
      <c r="G41" s="359"/>
      <c r="H41" s="216"/>
      <c r="I41" s="370" t="s">
        <v>157</v>
      </c>
      <c r="J41" s="467"/>
      <c r="K41" s="116"/>
      <c r="L41" s="116"/>
      <c r="M41" s="264"/>
      <c r="N41" s="472"/>
      <c r="O41" s="264"/>
      <c r="P41" s="265"/>
      <c r="Q41" s="265"/>
      <c r="R41" s="265"/>
      <c r="S41" s="265"/>
      <c r="T41" s="265"/>
      <c r="U41" s="265"/>
      <c r="V41" s="474"/>
      <c r="W41" s="265"/>
      <c r="X41" s="474"/>
      <c r="Y41" s="264"/>
      <c r="Z41" s="264"/>
      <c r="AA41" s="264"/>
      <c r="AB41" s="264"/>
      <c r="AC41" s="264"/>
      <c r="AD41" s="264"/>
      <c r="AE41" s="264"/>
      <c r="AF41" s="264"/>
      <c r="AG41" s="264"/>
      <c r="AH41" s="280"/>
      <c r="AI41" s="264"/>
      <c r="AJ41" s="476"/>
      <c r="AK41" s="12"/>
    </row>
    <row r="42" spans="1:39" s="1" customFormat="1" ht="12" thickBot="1">
      <c r="A42" s="218"/>
      <c r="B42" s="391"/>
      <c r="C42" s="145"/>
      <c r="D42" s="145"/>
      <c r="E42" s="185">
        <v>0.02</v>
      </c>
      <c r="F42" s="39"/>
      <c r="G42" s="356"/>
      <c r="H42" s="357" t="s">
        <v>33</v>
      </c>
      <c r="I42" s="357"/>
      <c r="J42" s="55"/>
      <c r="K42" s="21"/>
      <c r="L42" s="21"/>
      <c r="M42" s="281"/>
      <c r="N42" s="255">
        <f>SUM(N36:N41)</f>
        <v>132731628</v>
      </c>
      <c r="O42" s="255">
        <f aca="true" t="shared" si="6" ref="O42:U42">SUM(O36:O41)</f>
        <v>0</v>
      </c>
      <c r="P42" s="255">
        <f t="shared" si="6"/>
        <v>0</v>
      </c>
      <c r="Q42" s="255">
        <f t="shared" si="6"/>
        <v>0</v>
      </c>
      <c r="R42" s="255">
        <f t="shared" si="6"/>
        <v>0</v>
      </c>
      <c r="S42" s="255">
        <f t="shared" si="6"/>
        <v>0</v>
      </c>
      <c r="T42" s="255">
        <f t="shared" si="6"/>
        <v>0</v>
      </c>
      <c r="U42" s="255">
        <f t="shared" si="6"/>
        <v>0</v>
      </c>
      <c r="V42" s="255">
        <f>SUM(V36:V40)</f>
        <v>32373668</v>
      </c>
      <c r="W42" s="255">
        <f>SUM(W36:W41)</f>
        <v>0</v>
      </c>
      <c r="X42" s="255">
        <f>SUM(X36:X40)</f>
        <v>0</v>
      </c>
      <c r="Y42" s="255">
        <f aca="true" t="shared" si="7" ref="Y42:AI42">SUM(Y36:Y41)</f>
        <v>0</v>
      </c>
      <c r="Z42" s="255">
        <f t="shared" si="7"/>
        <v>0</v>
      </c>
      <c r="AA42" s="255">
        <f t="shared" si="7"/>
        <v>0</v>
      </c>
      <c r="AB42" s="255">
        <f t="shared" si="7"/>
        <v>0</v>
      </c>
      <c r="AC42" s="255">
        <f t="shared" si="7"/>
        <v>0</v>
      </c>
      <c r="AD42" s="255">
        <f>SUM(AD36:AD41)</f>
        <v>0</v>
      </c>
      <c r="AE42" s="255">
        <f t="shared" si="7"/>
        <v>0</v>
      </c>
      <c r="AF42" s="255">
        <f t="shared" si="7"/>
        <v>0</v>
      </c>
      <c r="AG42" s="255">
        <f t="shared" si="7"/>
        <v>0</v>
      </c>
      <c r="AH42" s="255">
        <f t="shared" si="7"/>
        <v>0</v>
      </c>
      <c r="AI42" s="255">
        <f t="shared" si="7"/>
        <v>106316129</v>
      </c>
      <c r="AJ42" s="233">
        <f>SUM(N42:AI42)</f>
        <v>271421425</v>
      </c>
      <c r="AK42" s="12"/>
      <c r="AL42" s="1">
        <f>SUM(AJ36:AJ41)</f>
        <v>271421425</v>
      </c>
      <c r="AM42" s="1">
        <f>+AL42-AJ42</f>
        <v>0</v>
      </c>
    </row>
    <row r="43" spans="1:37" s="1" customFormat="1" ht="68.25" thickBot="1">
      <c r="A43" s="218"/>
      <c r="B43" s="391"/>
      <c r="C43" s="226" t="s">
        <v>253</v>
      </c>
      <c r="D43" s="151"/>
      <c r="E43" s="305" t="s">
        <v>9</v>
      </c>
      <c r="F43" s="27" t="s">
        <v>162</v>
      </c>
      <c r="G43" s="108" t="s">
        <v>118</v>
      </c>
      <c r="H43" s="363" t="s">
        <v>79</v>
      </c>
      <c r="I43" s="332" t="s">
        <v>159</v>
      </c>
      <c r="J43" s="128"/>
      <c r="K43" s="129"/>
      <c r="L43" s="129"/>
      <c r="M43" s="284"/>
      <c r="N43" s="240"/>
      <c r="O43" s="240"/>
      <c r="P43" s="282"/>
      <c r="Q43" s="282"/>
      <c r="R43" s="282"/>
      <c r="S43" s="282"/>
      <c r="T43" s="282"/>
      <c r="U43" s="282"/>
      <c r="V43" s="282"/>
      <c r="W43" s="240"/>
      <c r="X43" s="282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>
        <f>357099076/2</f>
        <v>178549538</v>
      </c>
      <c r="AJ43" s="400">
        <f>SUM(N43:AI43)</f>
        <v>178549538</v>
      </c>
      <c r="AK43" s="12"/>
    </row>
    <row r="44" spans="1:37" s="1" customFormat="1" ht="34.5" thickBot="1">
      <c r="A44" s="218"/>
      <c r="B44" s="391"/>
      <c r="C44" s="217"/>
      <c r="D44" s="154"/>
      <c r="E44" s="306"/>
      <c r="F44" s="28" t="s">
        <v>163</v>
      </c>
      <c r="G44" s="109" t="s">
        <v>2</v>
      </c>
      <c r="H44" s="365" t="s">
        <v>2</v>
      </c>
      <c r="I44" s="333" t="s">
        <v>158</v>
      </c>
      <c r="J44" s="125"/>
      <c r="K44" s="126"/>
      <c r="L44" s="126"/>
      <c r="M44" s="269"/>
      <c r="N44" s="270"/>
      <c r="O44" s="270"/>
      <c r="P44" s="271"/>
      <c r="Q44" s="271"/>
      <c r="R44" s="271"/>
      <c r="S44" s="271"/>
      <c r="T44" s="271"/>
      <c r="U44" s="271"/>
      <c r="V44" s="271"/>
      <c r="W44" s="270"/>
      <c r="X44" s="271"/>
      <c r="Y44" s="270"/>
      <c r="Z44" s="270"/>
      <c r="AA44" s="270"/>
      <c r="AB44" s="270"/>
      <c r="AC44" s="270"/>
      <c r="AD44" s="240"/>
      <c r="AE44" s="270"/>
      <c r="AF44" s="270"/>
      <c r="AG44" s="270"/>
      <c r="AH44" s="258"/>
      <c r="AI44" s="240">
        <f>357099076/2</f>
        <v>178549538</v>
      </c>
      <c r="AJ44" s="400">
        <f>SUM(N44:AI44)</f>
        <v>178549538</v>
      </c>
      <c r="AK44" s="12"/>
    </row>
    <row r="45" spans="1:39" s="1" customFormat="1" ht="12" thickBot="1">
      <c r="A45" s="218"/>
      <c r="B45" s="392"/>
      <c r="C45" s="74"/>
      <c r="D45" s="144"/>
      <c r="E45" s="185">
        <v>0.02</v>
      </c>
      <c r="F45" s="39"/>
      <c r="G45" s="356"/>
      <c r="H45" s="357" t="s">
        <v>259</v>
      </c>
      <c r="I45" s="357"/>
      <c r="J45" s="55"/>
      <c r="K45" s="21"/>
      <c r="L45" s="21"/>
      <c r="M45" s="281"/>
      <c r="N45" s="255">
        <f>SUM(N43:N44)</f>
        <v>0</v>
      </c>
      <c r="O45" s="255">
        <f aca="true" t="shared" si="8" ref="O45:AI45">SUM(O43:O44)</f>
        <v>0</v>
      </c>
      <c r="P45" s="255">
        <f t="shared" si="8"/>
        <v>0</v>
      </c>
      <c r="Q45" s="255">
        <f t="shared" si="8"/>
        <v>0</v>
      </c>
      <c r="R45" s="255">
        <f t="shared" si="8"/>
        <v>0</v>
      </c>
      <c r="S45" s="255">
        <f t="shared" si="8"/>
        <v>0</v>
      </c>
      <c r="T45" s="255">
        <f t="shared" si="8"/>
        <v>0</v>
      </c>
      <c r="U45" s="255">
        <f t="shared" si="8"/>
        <v>0</v>
      </c>
      <c r="V45" s="255">
        <f t="shared" si="8"/>
        <v>0</v>
      </c>
      <c r="W45" s="255">
        <f t="shared" si="8"/>
        <v>0</v>
      </c>
      <c r="X45" s="255">
        <f t="shared" si="8"/>
        <v>0</v>
      </c>
      <c r="Y45" s="255">
        <f t="shared" si="8"/>
        <v>0</v>
      </c>
      <c r="Z45" s="255">
        <f t="shared" si="8"/>
        <v>0</v>
      </c>
      <c r="AA45" s="255">
        <f t="shared" si="8"/>
        <v>0</v>
      </c>
      <c r="AB45" s="255">
        <f t="shared" si="8"/>
        <v>0</v>
      </c>
      <c r="AC45" s="255">
        <f t="shared" si="8"/>
        <v>0</v>
      </c>
      <c r="AD45" s="255">
        <f t="shared" si="8"/>
        <v>0</v>
      </c>
      <c r="AE45" s="255">
        <f t="shared" si="8"/>
        <v>0</v>
      </c>
      <c r="AF45" s="255">
        <f t="shared" si="8"/>
        <v>0</v>
      </c>
      <c r="AG45" s="255">
        <f t="shared" si="8"/>
        <v>0</v>
      </c>
      <c r="AH45" s="255">
        <f t="shared" si="8"/>
        <v>0</v>
      </c>
      <c r="AI45" s="255">
        <f t="shared" si="8"/>
        <v>357099076</v>
      </c>
      <c r="AJ45" s="233">
        <f>SUM(N45:AI45)</f>
        <v>357099076</v>
      </c>
      <c r="AK45" s="12"/>
      <c r="AL45" s="1">
        <f>SUM(AJ43:AJ44)</f>
        <v>357099076</v>
      </c>
      <c r="AM45" s="1">
        <f>+AJ45-AL45</f>
        <v>0</v>
      </c>
    </row>
    <row r="46" spans="1:38" s="5" customFormat="1" ht="39.75" customHeight="1">
      <c r="A46" s="218"/>
      <c r="B46" s="434" t="s">
        <v>260</v>
      </c>
      <c r="C46" s="223" t="s">
        <v>249</v>
      </c>
      <c r="D46" s="151"/>
      <c r="E46" s="305" t="s">
        <v>10</v>
      </c>
      <c r="F46" s="27" t="s">
        <v>161</v>
      </c>
      <c r="G46" s="108" t="s">
        <v>160</v>
      </c>
      <c r="H46" s="373" t="s">
        <v>80</v>
      </c>
      <c r="I46" s="364" t="s">
        <v>166</v>
      </c>
      <c r="J46" s="179" t="s">
        <v>290</v>
      </c>
      <c r="K46" s="78"/>
      <c r="L46" s="78"/>
      <c r="M46" s="238"/>
      <c r="N46" s="240">
        <v>120270660</v>
      </c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50"/>
      <c r="AI46" s="239"/>
      <c r="AJ46" s="231">
        <f aca="true" t="shared" si="9" ref="AJ46:AJ56">SUM(N46:AI46)</f>
        <v>120270660</v>
      </c>
      <c r="AK46" s="11" t="e">
        <f>+#REF!-AJ45</f>
        <v>#REF!</v>
      </c>
      <c r="AL46" s="1"/>
    </row>
    <row r="47" spans="1:38" s="5" customFormat="1" ht="33.75">
      <c r="A47" s="218"/>
      <c r="B47" s="435"/>
      <c r="C47" s="224"/>
      <c r="D47" s="152"/>
      <c r="E47" s="218"/>
      <c r="F47" s="28"/>
      <c r="G47" s="359"/>
      <c r="H47" s="449" t="s">
        <v>81</v>
      </c>
      <c r="I47" s="451" t="s">
        <v>164</v>
      </c>
      <c r="J47" s="169" t="s">
        <v>268</v>
      </c>
      <c r="K47" s="79"/>
      <c r="L47" s="79"/>
      <c r="M47" s="251"/>
      <c r="N47" s="241">
        <f>209000000+204000000+2720000-100000000-28326960-28326960</f>
        <v>259066080</v>
      </c>
      <c r="O47" s="241"/>
      <c r="P47" s="241"/>
      <c r="Q47" s="241"/>
      <c r="R47" s="241"/>
      <c r="S47" s="241"/>
      <c r="T47" s="241"/>
      <c r="U47" s="241"/>
      <c r="V47" s="241"/>
      <c r="W47" s="241">
        <f>28326960*2</f>
        <v>56653920</v>
      </c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52"/>
      <c r="AI47" s="241"/>
      <c r="AJ47" s="231">
        <f t="shared" si="9"/>
        <v>315720000</v>
      </c>
      <c r="AK47" s="62"/>
      <c r="AL47" s="1"/>
    </row>
    <row r="48" spans="1:38" s="5" customFormat="1" ht="22.5">
      <c r="A48" s="218"/>
      <c r="B48" s="435"/>
      <c r="C48" s="224"/>
      <c r="D48" s="152"/>
      <c r="E48" s="218"/>
      <c r="F48" s="28"/>
      <c r="G48" s="359"/>
      <c r="H48" s="450"/>
      <c r="I48" s="452"/>
      <c r="J48" s="97" t="s">
        <v>267</v>
      </c>
      <c r="K48" s="79"/>
      <c r="L48" s="79"/>
      <c r="M48" s="251"/>
      <c r="N48" s="241">
        <f>53250000+20000000+10000000</f>
        <v>83250000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52"/>
      <c r="AI48" s="241"/>
      <c r="AJ48" s="231">
        <f t="shared" si="9"/>
        <v>83250000</v>
      </c>
      <c r="AK48" s="62"/>
      <c r="AL48" s="1"/>
    </row>
    <row r="49" spans="1:38" s="5" customFormat="1" ht="33.75">
      <c r="A49" s="218"/>
      <c r="B49" s="435"/>
      <c r="C49" s="224"/>
      <c r="D49" s="152"/>
      <c r="E49" s="218"/>
      <c r="F49" s="28"/>
      <c r="G49" s="359"/>
      <c r="H49" s="374" t="s">
        <v>82</v>
      </c>
      <c r="I49" s="369" t="s">
        <v>168</v>
      </c>
      <c r="J49" s="97" t="s">
        <v>266</v>
      </c>
      <c r="K49" s="80"/>
      <c r="L49" s="80"/>
      <c r="M49" s="251"/>
      <c r="N49" s="241">
        <f>31961000+40280000</f>
        <v>72241000</v>
      </c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52"/>
      <c r="AI49" s="241"/>
      <c r="AJ49" s="231">
        <f t="shared" si="9"/>
        <v>72241000</v>
      </c>
      <c r="AK49" s="62"/>
      <c r="AL49" s="1"/>
    </row>
    <row r="50" spans="1:37" s="1" customFormat="1" ht="22.5">
      <c r="A50" s="218"/>
      <c r="B50" s="435"/>
      <c r="C50" s="224"/>
      <c r="D50" s="156"/>
      <c r="E50" s="218"/>
      <c r="F50" s="28"/>
      <c r="G50" s="359"/>
      <c r="H50" s="374" t="s">
        <v>84</v>
      </c>
      <c r="I50" s="369" t="s">
        <v>167</v>
      </c>
      <c r="J50" s="102" t="s">
        <v>287</v>
      </c>
      <c r="K50" s="90"/>
      <c r="L50" s="90"/>
      <c r="M50" s="285"/>
      <c r="N50" s="241">
        <v>153136120</v>
      </c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145"/>
      <c r="AA50" s="241"/>
      <c r="AB50" s="241"/>
      <c r="AC50" s="241"/>
      <c r="AD50" s="241"/>
      <c r="AE50" s="241"/>
      <c r="AF50" s="241"/>
      <c r="AG50" s="241"/>
      <c r="AH50" s="252"/>
      <c r="AI50" s="241"/>
      <c r="AJ50" s="231">
        <f t="shared" si="9"/>
        <v>153136120</v>
      </c>
      <c r="AK50" s="12"/>
    </row>
    <row r="51" spans="1:37" s="1" customFormat="1" ht="33.75">
      <c r="A51" s="218"/>
      <c r="B51" s="435"/>
      <c r="C51" s="224"/>
      <c r="D51" s="156"/>
      <c r="E51" s="218"/>
      <c r="F51" s="28"/>
      <c r="G51" s="359"/>
      <c r="H51" s="374" t="s">
        <v>85</v>
      </c>
      <c r="I51" s="369" t="s">
        <v>165</v>
      </c>
      <c r="J51" s="102"/>
      <c r="K51" s="90"/>
      <c r="L51" s="90"/>
      <c r="M51" s="285"/>
      <c r="N51" s="241">
        <v>5000000</v>
      </c>
      <c r="O51" s="241"/>
      <c r="P51" s="241"/>
      <c r="Q51" s="241"/>
      <c r="R51" s="241"/>
      <c r="S51" s="241"/>
      <c r="T51" s="241"/>
      <c r="U51" s="241"/>
      <c r="V51" s="241"/>
      <c r="W51" s="286"/>
      <c r="X51" s="241"/>
      <c r="Y51" s="241"/>
      <c r="Z51" s="241"/>
      <c r="AA51" s="241"/>
      <c r="AB51" s="241"/>
      <c r="AC51" s="241"/>
      <c r="AD51" s="286"/>
      <c r="AE51" s="241"/>
      <c r="AF51" s="241"/>
      <c r="AG51" s="241"/>
      <c r="AH51" s="252"/>
      <c r="AI51" s="241"/>
      <c r="AJ51" s="231">
        <f t="shared" si="9"/>
        <v>5000000</v>
      </c>
      <c r="AK51" s="12"/>
    </row>
    <row r="52" spans="1:37" s="1" customFormat="1" ht="23.25" thickBot="1">
      <c r="A52" s="218"/>
      <c r="B52" s="435"/>
      <c r="C52" s="224"/>
      <c r="D52" s="156"/>
      <c r="E52" s="218"/>
      <c r="F52" s="28"/>
      <c r="G52" s="359"/>
      <c r="H52" s="375" t="s">
        <v>86</v>
      </c>
      <c r="I52" s="370" t="s">
        <v>169</v>
      </c>
      <c r="J52" s="170" t="s">
        <v>269</v>
      </c>
      <c r="K52" s="91"/>
      <c r="L52" s="91"/>
      <c r="M52" s="287"/>
      <c r="N52" s="253">
        <v>13750000</v>
      </c>
      <c r="O52" s="253"/>
      <c r="P52" s="278"/>
      <c r="Q52" s="278"/>
      <c r="R52" s="278"/>
      <c r="S52" s="278"/>
      <c r="T52" s="278"/>
      <c r="U52" s="278"/>
      <c r="V52" s="278"/>
      <c r="W52" s="253"/>
      <c r="X52" s="278"/>
      <c r="Y52" s="253"/>
      <c r="Z52" s="253"/>
      <c r="AA52" s="253"/>
      <c r="AB52" s="253"/>
      <c r="AC52" s="253"/>
      <c r="AD52" s="253"/>
      <c r="AE52" s="253"/>
      <c r="AF52" s="253"/>
      <c r="AG52" s="253"/>
      <c r="AH52" s="254"/>
      <c r="AI52" s="253"/>
      <c r="AJ52" s="231">
        <f t="shared" si="9"/>
        <v>13750000</v>
      </c>
      <c r="AK52" s="12"/>
    </row>
    <row r="53" spans="1:37" s="1" customFormat="1" ht="33.75">
      <c r="A53" s="218"/>
      <c r="B53" s="435"/>
      <c r="C53" s="224"/>
      <c r="D53" s="156"/>
      <c r="E53" s="218"/>
      <c r="F53" s="27" t="s">
        <v>171</v>
      </c>
      <c r="G53" s="108" t="s">
        <v>170</v>
      </c>
      <c r="H53" s="453" t="s">
        <v>87</v>
      </c>
      <c r="I53" s="376" t="s">
        <v>173</v>
      </c>
      <c r="J53" s="463" t="s">
        <v>293</v>
      </c>
      <c r="K53" s="112"/>
      <c r="L53" s="112"/>
      <c r="M53" s="288"/>
      <c r="N53" s="289">
        <v>22310160</v>
      </c>
      <c r="O53" s="289"/>
      <c r="P53" s="290"/>
      <c r="Q53" s="290"/>
      <c r="R53" s="290"/>
      <c r="S53" s="290"/>
      <c r="T53" s="290"/>
      <c r="U53" s="290"/>
      <c r="V53" s="290"/>
      <c r="W53" s="289"/>
      <c r="X53" s="290"/>
      <c r="Y53" s="289"/>
      <c r="Z53" s="289"/>
      <c r="AA53" s="289"/>
      <c r="AB53" s="289"/>
      <c r="AC53" s="289"/>
      <c r="AD53" s="289"/>
      <c r="AE53" s="289"/>
      <c r="AF53" s="289"/>
      <c r="AG53" s="289"/>
      <c r="AH53" s="291"/>
      <c r="AI53" s="289"/>
      <c r="AJ53" s="231">
        <f t="shared" si="9"/>
        <v>22310160</v>
      </c>
      <c r="AK53" s="12"/>
    </row>
    <row r="54" spans="1:37" s="1" customFormat="1" ht="22.5">
      <c r="A54" s="218"/>
      <c r="B54" s="435"/>
      <c r="C54" s="224"/>
      <c r="D54" s="156"/>
      <c r="E54" s="218"/>
      <c r="F54" s="28"/>
      <c r="G54" s="359"/>
      <c r="H54" s="454"/>
      <c r="I54" s="377" t="s">
        <v>174</v>
      </c>
      <c r="J54" s="464"/>
      <c r="K54" s="113"/>
      <c r="L54" s="113"/>
      <c r="M54" s="292"/>
      <c r="N54" s="293">
        <v>10000000</v>
      </c>
      <c r="O54" s="293"/>
      <c r="P54" s="294"/>
      <c r="Q54" s="294"/>
      <c r="R54" s="294"/>
      <c r="S54" s="294"/>
      <c r="T54" s="294"/>
      <c r="U54" s="294"/>
      <c r="V54" s="294"/>
      <c r="W54" s="293"/>
      <c r="X54" s="294"/>
      <c r="Y54" s="293"/>
      <c r="Z54" s="293"/>
      <c r="AA54" s="293"/>
      <c r="AB54" s="293"/>
      <c r="AC54" s="293"/>
      <c r="AD54" s="293"/>
      <c r="AE54" s="293"/>
      <c r="AF54" s="293"/>
      <c r="AG54" s="293"/>
      <c r="AH54" s="295"/>
      <c r="AI54" s="410"/>
      <c r="AJ54" s="231">
        <f t="shared" si="9"/>
        <v>10000000</v>
      </c>
      <c r="AK54" s="12"/>
    </row>
    <row r="55" spans="1:37" s="1" customFormat="1" ht="33.75">
      <c r="A55" s="218"/>
      <c r="B55" s="435"/>
      <c r="C55" s="224"/>
      <c r="D55" s="156"/>
      <c r="E55" s="218"/>
      <c r="F55" s="28"/>
      <c r="G55" s="359"/>
      <c r="H55" s="450"/>
      <c r="I55" s="378" t="s">
        <v>175</v>
      </c>
      <c r="J55" s="180" t="s">
        <v>291</v>
      </c>
      <c r="K55" s="114"/>
      <c r="L55" s="114"/>
      <c r="M55" s="296"/>
      <c r="N55" s="297">
        <f>528860000-96734480-14326960-673040</f>
        <v>417125520</v>
      </c>
      <c r="O55" s="297"/>
      <c r="P55" s="298"/>
      <c r="Q55" s="298"/>
      <c r="R55" s="298"/>
      <c r="S55" s="298"/>
      <c r="T55" s="298"/>
      <c r="U55" s="298"/>
      <c r="V55" s="298"/>
      <c r="W55" s="297"/>
      <c r="X55" s="298"/>
      <c r="Y55" s="297"/>
      <c r="Z55" s="297"/>
      <c r="AA55" s="297"/>
      <c r="AB55" s="297"/>
      <c r="AC55" s="297"/>
      <c r="AD55" s="297"/>
      <c r="AE55" s="297"/>
      <c r="AF55" s="297"/>
      <c r="AG55" s="297"/>
      <c r="AH55" s="299"/>
      <c r="AI55" s="297"/>
      <c r="AJ55" s="231">
        <f t="shared" si="9"/>
        <v>417125520</v>
      </c>
      <c r="AK55" s="12"/>
    </row>
    <row r="56" spans="1:37" s="1" customFormat="1" ht="23.25" thickBot="1">
      <c r="A56" s="218"/>
      <c r="B56" s="435"/>
      <c r="C56" s="225"/>
      <c r="D56" s="154"/>
      <c r="E56" s="306"/>
      <c r="F56" s="28"/>
      <c r="G56" s="359"/>
      <c r="H56" s="379" t="s">
        <v>83</v>
      </c>
      <c r="I56" s="319" t="s">
        <v>172</v>
      </c>
      <c r="J56" s="111" t="s">
        <v>287</v>
      </c>
      <c r="K56" s="61"/>
      <c r="L56" s="61"/>
      <c r="M56" s="300"/>
      <c r="N56" s="283">
        <v>46404640</v>
      </c>
      <c r="O56" s="283"/>
      <c r="P56" s="301"/>
      <c r="Q56" s="301"/>
      <c r="R56" s="301"/>
      <c r="S56" s="301"/>
      <c r="T56" s="301"/>
      <c r="U56" s="301"/>
      <c r="V56" s="301"/>
      <c r="W56" s="283"/>
      <c r="X56" s="301"/>
      <c r="Y56" s="283"/>
      <c r="Z56" s="283"/>
      <c r="AA56" s="283"/>
      <c r="AB56" s="283"/>
      <c r="AC56" s="283"/>
      <c r="AD56" s="283"/>
      <c r="AE56" s="283"/>
      <c r="AF56" s="283"/>
      <c r="AG56" s="283"/>
      <c r="AH56" s="302"/>
      <c r="AI56" s="283"/>
      <c r="AJ56" s="231">
        <f t="shared" si="9"/>
        <v>46404640</v>
      </c>
      <c r="AK56" s="12"/>
    </row>
    <row r="57" spans="1:39" s="1" customFormat="1" ht="23.25" thickBot="1">
      <c r="A57" s="218"/>
      <c r="B57" s="435"/>
      <c r="E57" s="185">
        <v>0.02</v>
      </c>
      <c r="F57" s="39"/>
      <c r="G57" s="356"/>
      <c r="H57" s="357" t="s">
        <v>73</v>
      </c>
      <c r="I57" s="357"/>
      <c r="J57" s="55"/>
      <c r="K57" s="21"/>
      <c r="L57" s="21"/>
      <c r="M57" s="281"/>
      <c r="N57" s="281">
        <f>SUM(N46:N56)</f>
        <v>1202554180</v>
      </c>
      <c r="O57" s="281">
        <f aca="true" t="shared" si="10" ref="O57:AI57">SUM(O46:O56)</f>
        <v>0</v>
      </c>
      <c r="P57" s="281">
        <f t="shared" si="10"/>
        <v>0</v>
      </c>
      <c r="Q57" s="281">
        <f t="shared" si="10"/>
        <v>0</v>
      </c>
      <c r="R57" s="281">
        <f t="shared" si="10"/>
        <v>0</v>
      </c>
      <c r="S57" s="281">
        <f t="shared" si="10"/>
        <v>0</v>
      </c>
      <c r="T57" s="281">
        <f t="shared" si="10"/>
        <v>0</v>
      </c>
      <c r="U57" s="281">
        <f t="shared" si="10"/>
        <v>0</v>
      </c>
      <c r="V57" s="281">
        <f t="shared" si="10"/>
        <v>0</v>
      </c>
      <c r="W57" s="281">
        <f>SUM(W46:W56)</f>
        <v>56653920</v>
      </c>
      <c r="X57" s="281">
        <f t="shared" si="10"/>
        <v>0</v>
      </c>
      <c r="Y57" s="281">
        <f t="shared" si="10"/>
        <v>0</v>
      </c>
      <c r="Z57" s="281">
        <f t="shared" si="10"/>
        <v>0</v>
      </c>
      <c r="AA57" s="281">
        <f t="shared" si="10"/>
        <v>0</v>
      </c>
      <c r="AB57" s="281">
        <f t="shared" si="10"/>
        <v>0</v>
      </c>
      <c r="AC57" s="281">
        <f t="shared" si="10"/>
        <v>0</v>
      </c>
      <c r="AD57" s="281">
        <f t="shared" si="10"/>
        <v>0</v>
      </c>
      <c r="AE57" s="281">
        <f t="shared" si="10"/>
        <v>0</v>
      </c>
      <c r="AF57" s="281">
        <f t="shared" si="10"/>
        <v>0</v>
      </c>
      <c r="AG57" s="281">
        <f t="shared" si="10"/>
        <v>0</v>
      </c>
      <c r="AH57" s="281">
        <f t="shared" si="10"/>
        <v>0</v>
      </c>
      <c r="AI57" s="281">
        <f t="shared" si="10"/>
        <v>0</v>
      </c>
      <c r="AJ57" s="233">
        <f aca="true" t="shared" si="11" ref="AJ57:AJ69">SUM(N57:AI57)</f>
        <v>1259208100</v>
      </c>
      <c r="AK57" s="12">
        <f>SUM(O57:AG57)</f>
        <v>56653920</v>
      </c>
      <c r="AL57" s="1">
        <f>SUM(AJ46:AJ56)</f>
        <v>1259208100</v>
      </c>
      <c r="AM57" s="1">
        <f>+AL57-AJ57</f>
        <v>0</v>
      </c>
    </row>
    <row r="58" spans="1:37" s="1" customFormat="1" ht="92.25" customHeight="1" thickBot="1">
      <c r="A58" s="218"/>
      <c r="B58" s="435"/>
      <c r="C58" s="245" t="s">
        <v>64</v>
      </c>
      <c r="D58" s="155"/>
      <c r="E58" s="26" t="s">
        <v>311</v>
      </c>
      <c r="F58" s="205" t="s">
        <v>176</v>
      </c>
      <c r="G58" s="212" t="s">
        <v>118</v>
      </c>
      <c r="H58" s="214" t="s">
        <v>88</v>
      </c>
      <c r="I58" s="380" t="s">
        <v>180</v>
      </c>
      <c r="J58" s="92"/>
      <c r="K58" s="93"/>
      <c r="L58" s="93"/>
      <c r="M58" s="303"/>
      <c r="N58" s="240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40">
        <f>121669778*30%</f>
        <v>36500933.4</v>
      </c>
      <c r="AE58" s="238"/>
      <c r="AF58" s="238"/>
      <c r="AG58" s="238"/>
      <c r="AH58" s="238">
        <v>500000</v>
      </c>
      <c r="AI58" s="240"/>
      <c r="AJ58" s="400">
        <f t="shared" si="11"/>
        <v>37000933.4</v>
      </c>
      <c r="AK58" s="12"/>
    </row>
    <row r="59" spans="1:37" s="1" customFormat="1" ht="36.75" customHeight="1" thickBot="1">
      <c r="A59" s="218"/>
      <c r="B59" s="435"/>
      <c r="C59" s="222"/>
      <c r="D59" s="154"/>
      <c r="E59" s="31"/>
      <c r="F59" s="206" t="s">
        <v>178</v>
      </c>
      <c r="G59" s="108" t="s">
        <v>177</v>
      </c>
      <c r="H59" s="381" t="s">
        <v>89</v>
      </c>
      <c r="I59" s="380" t="s">
        <v>179</v>
      </c>
      <c r="J59" s="94"/>
      <c r="K59" s="95"/>
      <c r="L59" s="95"/>
      <c r="M59" s="277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>
        <f>121669778*70%</f>
        <v>85168844.6</v>
      </c>
      <c r="AE59" s="253"/>
      <c r="AF59" s="253"/>
      <c r="AG59" s="253"/>
      <c r="AH59" s="253"/>
      <c r="AI59" s="253"/>
      <c r="AJ59" s="232">
        <f t="shared" si="11"/>
        <v>85168844.6</v>
      </c>
      <c r="AK59" s="12"/>
    </row>
    <row r="60" spans="1:37" s="1" customFormat="1" ht="34.5" thickBot="1">
      <c r="A60" s="218"/>
      <c r="B60" s="435"/>
      <c r="C60" s="202"/>
      <c r="D60" s="145"/>
      <c r="E60" s="31"/>
      <c r="F60" s="206" t="s">
        <v>313</v>
      </c>
      <c r="G60" s="108" t="s">
        <v>314</v>
      </c>
      <c r="H60" s="381" t="s">
        <v>315</v>
      </c>
      <c r="I60" s="380" t="s">
        <v>316</v>
      </c>
      <c r="J60" s="203"/>
      <c r="K60" s="204"/>
      <c r="L60" s="204"/>
      <c r="M60" s="304"/>
      <c r="N60" s="283">
        <v>30000000</v>
      </c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32">
        <f t="shared" si="11"/>
        <v>30000000</v>
      </c>
      <c r="AK60" s="12"/>
    </row>
    <row r="61" spans="1:39" s="1" customFormat="1" ht="12" thickBot="1">
      <c r="A61" s="218"/>
      <c r="B61" s="435"/>
      <c r="E61" s="185">
        <v>0.02</v>
      </c>
      <c r="F61" s="39"/>
      <c r="G61" s="356"/>
      <c r="H61" s="357" t="s">
        <v>72</v>
      </c>
      <c r="I61" s="357"/>
      <c r="J61" s="55"/>
      <c r="K61" s="21"/>
      <c r="L61" s="21"/>
      <c r="M61" s="281"/>
      <c r="N61" s="255">
        <f>SUM(N58:N60)</f>
        <v>30000000</v>
      </c>
      <c r="O61" s="255">
        <f aca="true" t="shared" si="12" ref="O61:AI61">SUM(O58:O59)</f>
        <v>0</v>
      </c>
      <c r="P61" s="255">
        <f t="shared" si="12"/>
        <v>0</v>
      </c>
      <c r="Q61" s="255">
        <f t="shared" si="12"/>
        <v>0</v>
      </c>
      <c r="R61" s="255">
        <f t="shared" si="12"/>
        <v>0</v>
      </c>
      <c r="S61" s="255">
        <f t="shared" si="12"/>
        <v>0</v>
      </c>
      <c r="T61" s="255">
        <f t="shared" si="12"/>
        <v>0</v>
      </c>
      <c r="U61" s="255">
        <f t="shared" si="12"/>
        <v>0</v>
      </c>
      <c r="V61" s="255">
        <f t="shared" si="12"/>
        <v>0</v>
      </c>
      <c r="W61" s="255">
        <f t="shared" si="12"/>
        <v>0</v>
      </c>
      <c r="X61" s="255">
        <f t="shared" si="12"/>
        <v>0</v>
      </c>
      <c r="Y61" s="255">
        <f t="shared" si="12"/>
        <v>0</v>
      </c>
      <c r="Z61" s="255">
        <f t="shared" si="12"/>
        <v>0</v>
      </c>
      <c r="AA61" s="255">
        <f t="shared" si="12"/>
        <v>0</v>
      </c>
      <c r="AB61" s="255">
        <f t="shared" si="12"/>
        <v>0</v>
      </c>
      <c r="AC61" s="255">
        <f t="shared" si="12"/>
        <v>0</v>
      </c>
      <c r="AD61" s="255">
        <f t="shared" si="12"/>
        <v>121669778</v>
      </c>
      <c r="AE61" s="255">
        <f t="shared" si="12"/>
        <v>0</v>
      </c>
      <c r="AF61" s="255">
        <f t="shared" si="12"/>
        <v>0</v>
      </c>
      <c r="AG61" s="255">
        <f t="shared" si="12"/>
        <v>0</v>
      </c>
      <c r="AH61" s="255">
        <f t="shared" si="12"/>
        <v>500000</v>
      </c>
      <c r="AI61" s="255">
        <f t="shared" si="12"/>
        <v>0</v>
      </c>
      <c r="AJ61" s="233">
        <f t="shared" si="11"/>
        <v>152169778</v>
      </c>
      <c r="AK61" s="12">
        <f>SUM(O61:AG61)</f>
        <v>121669778</v>
      </c>
      <c r="AL61" s="1">
        <f>SUM(AJ58:AJ60)</f>
        <v>152169778</v>
      </c>
      <c r="AM61" s="1">
        <f>+AL61-AJ61</f>
        <v>0</v>
      </c>
    </row>
    <row r="62" spans="1:37" s="1" customFormat="1" ht="54" customHeight="1" thickBot="1">
      <c r="A62" s="218"/>
      <c r="B62" s="435"/>
      <c r="C62" s="366" t="s">
        <v>249</v>
      </c>
      <c r="E62" s="242" t="s">
        <v>65</v>
      </c>
      <c r="F62" s="27" t="s">
        <v>205</v>
      </c>
      <c r="G62" s="212" t="s">
        <v>139</v>
      </c>
      <c r="H62" s="214" t="s">
        <v>99</v>
      </c>
      <c r="I62" s="370" t="s">
        <v>206</v>
      </c>
      <c r="J62" s="118"/>
      <c r="K62" s="119"/>
      <c r="L62" s="119"/>
      <c r="M62" s="307"/>
      <c r="N62" s="270">
        <f>203587382-28326960</f>
        <v>175260422</v>
      </c>
      <c r="O62" s="307"/>
      <c r="P62" s="307"/>
      <c r="Q62" s="307"/>
      <c r="R62" s="307"/>
      <c r="S62" s="307"/>
      <c r="T62" s="307"/>
      <c r="U62" s="307"/>
      <c r="V62" s="307"/>
      <c r="W62" s="270">
        <v>28326960</v>
      </c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8"/>
      <c r="AI62" s="307"/>
      <c r="AJ62" s="401">
        <f t="shared" si="11"/>
        <v>203587382</v>
      </c>
      <c r="AK62" s="12"/>
    </row>
    <row r="63" spans="1:37" s="1" customFormat="1" ht="45.75" thickBot="1">
      <c r="A63" s="218"/>
      <c r="B63" s="435"/>
      <c r="C63" s="367"/>
      <c r="E63" s="243"/>
      <c r="F63" s="28"/>
      <c r="G63" s="359"/>
      <c r="H63" s="350" t="s">
        <v>100</v>
      </c>
      <c r="I63" s="364" t="s">
        <v>207</v>
      </c>
      <c r="J63" s="118"/>
      <c r="K63" s="119"/>
      <c r="L63" s="119"/>
      <c r="M63" s="307"/>
      <c r="N63" s="270">
        <v>200000000</v>
      </c>
      <c r="O63" s="307"/>
      <c r="P63" s="307"/>
      <c r="Q63" s="307"/>
      <c r="R63" s="307"/>
      <c r="S63" s="307"/>
      <c r="T63" s="307"/>
      <c r="U63" s="307"/>
      <c r="V63" s="307"/>
      <c r="W63" s="270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8"/>
      <c r="AI63" s="307"/>
      <c r="AJ63" s="401">
        <f t="shared" si="11"/>
        <v>200000000</v>
      </c>
      <c r="AK63" s="12"/>
    </row>
    <row r="64" spans="1:37" s="1" customFormat="1" ht="45.75" thickBot="1">
      <c r="A64" s="218"/>
      <c r="B64" s="435"/>
      <c r="C64" s="368"/>
      <c r="E64" s="244"/>
      <c r="F64" s="77" t="s">
        <v>204</v>
      </c>
      <c r="G64" s="349" t="s">
        <v>203</v>
      </c>
      <c r="H64" s="350" t="s">
        <v>101</v>
      </c>
      <c r="I64" s="364" t="s">
        <v>208</v>
      </c>
      <c r="J64" s="121"/>
      <c r="K64" s="66"/>
      <c r="L64" s="66"/>
      <c r="M64" s="309"/>
      <c r="N64" s="283">
        <v>100000000</v>
      </c>
      <c r="O64" s="309"/>
      <c r="P64" s="309"/>
      <c r="Q64" s="309"/>
      <c r="R64" s="309"/>
      <c r="S64" s="309"/>
      <c r="T64" s="309"/>
      <c r="U64" s="309"/>
      <c r="V64" s="309"/>
      <c r="W64" s="283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10"/>
      <c r="AI64" s="309"/>
      <c r="AJ64" s="401">
        <f t="shared" si="11"/>
        <v>100000000</v>
      </c>
      <c r="AK64" s="12"/>
    </row>
    <row r="65" spans="1:39" s="1" customFormat="1" ht="23.25" thickBot="1">
      <c r="A65" s="218"/>
      <c r="B65" s="435"/>
      <c r="E65" s="185">
        <v>0.04</v>
      </c>
      <c r="F65" s="39"/>
      <c r="G65" s="356"/>
      <c r="H65" s="357" t="s">
        <v>70</v>
      </c>
      <c r="I65" s="357"/>
      <c r="J65" s="55"/>
      <c r="K65" s="21"/>
      <c r="L65" s="21"/>
      <c r="M65" s="281"/>
      <c r="N65" s="281">
        <f>SUM(N62:N64)</f>
        <v>475260422</v>
      </c>
      <c r="O65" s="281">
        <f aca="true" t="shared" si="13" ref="O65:AI65">SUM(O62:O64)</f>
        <v>0</v>
      </c>
      <c r="P65" s="281">
        <f t="shared" si="13"/>
        <v>0</v>
      </c>
      <c r="Q65" s="281">
        <f t="shared" si="13"/>
        <v>0</v>
      </c>
      <c r="R65" s="281">
        <f t="shared" si="13"/>
        <v>0</v>
      </c>
      <c r="S65" s="281">
        <f t="shared" si="13"/>
        <v>0</v>
      </c>
      <c r="T65" s="281">
        <f t="shared" si="13"/>
        <v>0</v>
      </c>
      <c r="U65" s="281">
        <f t="shared" si="13"/>
        <v>0</v>
      </c>
      <c r="V65" s="281">
        <f t="shared" si="13"/>
        <v>0</v>
      </c>
      <c r="W65" s="281">
        <f t="shared" si="13"/>
        <v>28326960</v>
      </c>
      <c r="X65" s="281">
        <f t="shared" si="13"/>
        <v>0</v>
      </c>
      <c r="Y65" s="281">
        <f t="shared" si="13"/>
        <v>0</v>
      </c>
      <c r="Z65" s="281">
        <f t="shared" si="13"/>
        <v>0</v>
      </c>
      <c r="AA65" s="281">
        <f t="shared" si="13"/>
        <v>0</v>
      </c>
      <c r="AB65" s="281">
        <f t="shared" si="13"/>
        <v>0</v>
      </c>
      <c r="AC65" s="281">
        <f t="shared" si="13"/>
        <v>0</v>
      </c>
      <c r="AD65" s="281">
        <f t="shared" si="13"/>
        <v>0</v>
      </c>
      <c r="AE65" s="281">
        <f t="shared" si="13"/>
        <v>0</v>
      </c>
      <c r="AF65" s="281">
        <f t="shared" si="13"/>
        <v>0</v>
      </c>
      <c r="AG65" s="281">
        <f t="shared" si="13"/>
        <v>0</v>
      </c>
      <c r="AH65" s="281">
        <f t="shared" si="13"/>
        <v>0</v>
      </c>
      <c r="AI65" s="281">
        <f t="shared" si="13"/>
        <v>0</v>
      </c>
      <c r="AJ65" s="233">
        <f t="shared" si="11"/>
        <v>503587382</v>
      </c>
      <c r="AK65" s="12"/>
      <c r="AL65" s="1">
        <f>SUM(AJ62:AJ64)</f>
        <v>503587382</v>
      </c>
      <c r="AM65" s="1">
        <f>+AL65-AJ65</f>
        <v>0</v>
      </c>
    </row>
    <row r="66" spans="1:37" s="1" customFormat="1" ht="51" customHeight="1" thickBot="1">
      <c r="A66" s="218"/>
      <c r="B66" s="435"/>
      <c r="C66" s="431" t="s">
        <v>64</v>
      </c>
      <c r="D66" s="155"/>
      <c r="E66" s="366" t="s">
        <v>66</v>
      </c>
      <c r="F66" s="27" t="s">
        <v>225</v>
      </c>
      <c r="G66" s="108" t="s">
        <v>224</v>
      </c>
      <c r="H66" s="363" t="s">
        <v>38</v>
      </c>
      <c r="I66" s="458" t="s">
        <v>226</v>
      </c>
      <c r="J66" s="63"/>
      <c r="K66" s="73"/>
      <c r="L66" s="69"/>
      <c r="M66" s="311"/>
      <c r="N66" s="258">
        <v>100000000</v>
      </c>
      <c r="O66" s="258"/>
      <c r="P66" s="312"/>
      <c r="Q66" s="312"/>
      <c r="R66" s="312"/>
      <c r="S66" s="312"/>
      <c r="T66" s="312"/>
      <c r="U66" s="312"/>
      <c r="V66" s="312"/>
      <c r="W66" s="312"/>
      <c r="X66" s="312"/>
      <c r="Y66" s="258"/>
      <c r="Z66" s="258"/>
      <c r="AA66" s="258"/>
      <c r="AB66" s="258"/>
      <c r="AC66" s="258"/>
      <c r="AD66" s="258">
        <v>97091147</v>
      </c>
      <c r="AE66" s="258"/>
      <c r="AF66" s="258"/>
      <c r="AG66" s="258"/>
      <c r="AH66" s="313"/>
      <c r="AI66" s="258"/>
      <c r="AJ66" s="404">
        <f t="shared" si="11"/>
        <v>197091147</v>
      </c>
      <c r="AK66" s="12"/>
    </row>
    <row r="67" spans="1:37" s="1" customFormat="1" ht="12" hidden="1" thickBot="1">
      <c r="A67" s="218"/>
      <c r="B67" s="435"/>
      <c r="C67" s="432"/>
      <c r="D67" s="156"/>
      <c r="E67" s="367"/>
      <c r="F67" s="28"/>
      <c r="G67" s="359"/>
      <c r="H67" s="365"/>
      <c r="I67" s="462"/>
      <c r="J67" s="71"/>
      <c r="K67" s="60"/>
      <c r="L67" s="60"/>
      <c r="M67" s="314"/>
      <c r="N67" s="315"/>
      <c r="O67" s="315"/>
      <c r="P67" s="316"/>
      <c r="Q67" s="316"/>
      <c r="R67" s="316"/>
      <c r="S67" s="316"/>
      <c r="T67" s="316"/>
      <c r="U67" s="316"/>
      <c r="V67" s="316"/>
      <c r="W67" s="315"/>
      <c r="X67" s="316"/>
      <c r="Y67" s="315"/>
      <c r="Z67" s="315"/>
      <c r="AA67" s="315"/>
      <c r="AB67" s="315"/>
      <c r="AC67" s="315"/>
      <c r="AD67" s="315"/>
      <c r="AE67" s="315"/>
      <c r="AF67" s="315"/>
      <c r="AG67" s="315"/>
      <c r="AH67" s="267"/>
      <c r="AI67" s="315"/>
      <c r="AJ67" s="404">
        <f t="shared" si="11"/>
        <v>0</v>
      </c>
      <c r="AK67" s="12"/>
    </row>
    <row r="68" spans="1:37" s="1" customFormat="1" ht="12" hidden="1" thickBot="1">
      <c r="A68" s="218"/>
      <c r="B68" s="435"/>
      <c r="C68" s="433"/>
      <c r="D68" s="154"/>
      <c r="E68" s="368"/>
      <c r="F68" s="29"/>
      <c r="G68" s="360"/>
      <c r="H68" s="382"/>
      <c r="I68" s="461"/>
      <c r="J68" s="44"/>
      <c r="K68" s="75"/>
      <c r="L68" s="70"/>
      <c r="M68" s="304"/>
      <c r="N68" s="283"/>
      <c r="O68" s="283"/>
      <c r="P68" s="301"/>
      <c r="Q68" s="301"/>
      <c r="R68" s="301"/>
      <c r="S68" s="301"/>
      <c r="T68" s="301"/>
      <c r="U68" s="301"/>
      <c r="V68" s="301"/>
      <c r="W68" s="283"/>
      <c r="X68" s="301"/>
      <c r="Y68" s="283"/>
      <c r="Z68" s="283"/>
      <c r="AA68" s="283"/>
      <c r="AB68" s="283"/>
      <c r="AC68" s="283"/>
      <c r="AD68" s="283"/>
      <c r="AE68" s="283"/>
      <c r="AF68" s="283"/>
      <c r="AG68" s="283"/>
      <c r="AH68" s="302"/>
      <c r="AI68" s="283"/>
      <c r="AJ68" s="404">
        <f t="shared" si="11"/>
        <v>0</v>
      </c>
      <c r="AK68" s="12"/>
    </row>
    <row r="69" spans="1:37" s="1" customFormat="1" ht="12" thickBot="1">
      <c r="A69" s="306"/>
      <c r="B69" s="436"/>
      <c r="E69" s="185">
        <v>0.01</v>
      </c>
      <c r="F69" s="39"/>
      <c r="G69" s="356"/>
      <c r="H69" s="357" t="s">
        <v>68</v>
      </c>
      <c r="I69" s="357"/>
      <c r="J69" s="55"/>
      <c r="K69" s="21"/>
      <c r="L69" s="21"/>
      <c r="M69" s="255"/>
      <c r="N69" s="255">
        <f>SUM(N66:N68)</f>
        <v>100000000</v>
      </c>
      <c r="O69" s="255">
        <f aca="true" t="shared" si="14" ref="O69:AH69">SUM(O66:O68)</f>
        <v>0</v>
      </c>
      <c r="P69" s="255">
        <f t="shared" si="14"/>
        <v>0</v>
      </c>
      <c r="Q69" s="255">
        <f t="shared" si="14"/>
        <v>0</v>
      </c>
      <c r="R69" s="255">
        <f t="shared" si="14"/>
        <v>0</v>
      </c>
      <c r="S69" s="255">
        <f t="shared" si="14"/>
        <v>0</v>
      </c>
      <c r="T69" s="255">
        <f t="shared" si="14"/>
        <v>0</v>
      </c>
      <c r="U69" s="255">
        <f t="shared" si="14"/>
        <v>0</v>
      </c>
      <c r="V69" s="255">
        <f t="shared" si="14"/>
        <v>0</v>
      </c>
      <c r="W69" s="255">
        <f t="shared" si="14"/>
        <v>0</v>
      </c>
      <c r="X69" s="255">
        <f t="shared" si="14"/>
        <v>0</v>
      </c>
      <c r="Y69" s="255">
        <f t="shared" si="14"/>
        <v>0</v>
      </c>
      <c r="Z69" s="255">
        <f t="shared" si="14"/>
        <v>0</v>
      </c>
      <c r="AA69" s="255">
        <f t="shared" si="14"/>
        <v>0</v>
      </c>
      <c r="AB69" s="255">
        <f t="shared" si="14"/>
        <v>0</v>
      </c>
      <c r="AC69" s="255">
        <f t="shared" si="14"/>
        <v>0</v>
      </c>
      <c r="AD69" s="255">
        <f t="shared" si="14"/>
        <v>97091147</v>
      </c>
      <c r="AE69" s="255">
        <f t="shared" si="14"/>
        <v>0</v>
      </c>
      <c r="AF69" s="255">
        <f t="shared" si="14"/>
        <v>0</v>
      </c>
      <c r="AG69" s="255">
        <f t="shared" si="14"/>
        <v>0</v>
      </c>
      <c r="AH69" s="255">
        <f t="shared" si="14"/>
        <v>0</v>
      </c>
      <c r="AI69" s="255">
        <v>0</v>
      </c>
      <c r="AJ69" s="233">
        <f t="shared" si="11"/>
        <v>197091147</v>
      </c>
      <c r="AK69" s="12"/>
    </row>
    <row r="70" spans="1:38" s="5" customFormat="1" ht="47.25" customHeight="1">
      <c r="A70" s="305" t="s">
        <v>246</v>
      </c>
      <c r="B70" s="305" t="s">
        <v>257</v>
      </c>
      <c r="C70" s="447" t="s">
        <v>250</v>
      </c>
      <c r="D70" s="151"/>
      <c r="E70" s="305" t="s">
        <v>11</v>
      </c>
      <c r="F70" s="27" t="s">
        <v>238</v>
      </c>
      <c r="G70" s="412" t="s">
        <v>189</v>
      </c>
      <c r="H70" s="214" t="s">
        <v>90</v>
      </c>
      <c r="I70" s="458" t="s">
        <v>186</v>
      </c>
      <c r="J70" s="181" t="s">
        <v>270</v>
      </c>
      <c r="K70" s="78"/>
      <c r="L70" s="78"/>
      <c r="M70" s="238"/>
      <c r="N70" s="318">
        <v>56173040</v>
      </c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59"/>
      <c r="AI70" s="240"/>
      <c r="AJ70" s="266">
        <f aca="true" t="shared" si="15" ref="AJ70:AJ79">SUM(N70:AI70)</f>
        <v>56173040</v>
      </c>
      <c r="AK70" s="11">
        <f>+AK61-AJ61</f>
        <v>-30500000</v>
      </c>
      <c r="AL70" s="1"/>
    </row>
    <row r="71" spans="1:38" s="5" customFormat="1" ht="22.5" hidden="1">
      <c r="A71" s="218"/>
      <c r="B71" s="218"/>
      <c r="C71" s="448"/>
      <c r="D71" s="152"/>
      <c r="E71" s="218"/>
      <c r="F71" s="28"/>
      <c r="G71" s="413"/>
      <c r="H71" s="215"/>
      <c r="I71" s="452"/>
      <c r="J71" s="183" t="s">
        <v>292</v>
      </c>
      <c r="K71" s="117"/>
      <c r="L71" s="117"/>
      <c r="M71" s="247"/>
      <c r="N71" s="260"/>
      <c r="O71" s="239"/>
      <c r="P71" s="239"/>
      <c r="Q71" s="239"/>
      <c r="R71" s="239"/>
      <c r="S71" s="239"/>
      <c r="T71" s="239"/>
      <c r="U71" s="239"/>
      <c r="V71" s="239"/>
      <c r="W71" s="241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50"/>
      <c r="AI71" s="239"/>
      <c r="AJ71" s="405">
        <f t="shared" si="15"/>
        <v>0</v>
      </c>
      <c r="AK71" s="11"/>
      <c r="AL71" s="1"/>
    </row>
    <row r="72" spans="1:38" s="5" customFormat="1" ht="34.5" thickBot="1">
      <c r="A72" s="218"/>
      <c r="B72" s="218"/>
      <c r="C72" s="448"/>
      <c r="D72" s="152"/>
      <c r="E72" s="218"/>
      <c r="F72" s="28"/>
      <c r="G72" s="413"/>
      <c r="H72" s="215"/>
      <c r="I72" s="320" t="s">
        <v>187</v>
      </c>
      <c r="J72" s="182"/>
      <c r="K72" s="79"/>
      <c r="L72" s="79"/>
      <c r="M72" s="251"/>
      <c r="N72" s="264">
        <f>60000000/2-7848280</f>
        <v>22151720</v>
      </c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60"/>
      <c r="AE72" s="241"/>
      <c r="AF72" s="241"/>
      <c r="AG72" s="241"/>
      <c r="AH72" s="252"/>
      <c r="AI72" s="241"/>
      <c r="AJ72" s="405">
        <f t="shared" si="15"/>
        <v>22151720</v>
      </c>
      <c r="AK72" s="11"/>
      <c r="AL72" s="1"/>
    </row>
    <row r="73" spans="1:38" s="5" customFormat="1" ht="23.25" hidden="1" thickBot="1">
      <c r="A73" s="218"/>
      <c r="B73" s="218"/>
      <c r="C73" s="448"/>
      <c r="D73" s="152"/>
      <c r="E73" s="218"/>
      <c r="F73" s="28"/>
      <c r="G73" s="413"/>
      <c r="H73" s="216"/>
      <c r="I73" s="370" t="s">
        <v>188</v>
      </c>
      <c r="J73" s="101"/>
      <c r="K73" s="89"/>
      <c r="L73" s="89"/>
      <c r="M73" s="321"/>
      <c r="N73" s="322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4"/>
      <c r="AI73" s="253"/>
      <c r="AJ73" s="406">
        <f t="shared" si="15"/>
        <v>0</v>
      </c>
      <c r="AK73" s="11"/>
      <c r="AL73" s="1"/>
    </row>
    <row r="74" spans="1:38" s="5" customFormat="1" ht="33.75">
      <c r="A74" s="218"/>
      <c r="B74" s="218"/>
      <c r="C74" s="448"/>
      <c r="D74" s="152"/>
      <c r="E74" s="218"/>
      <c r="F74" s="28"/>
      <c r="G74" s="413"/>
      <c r="H74" s="214" t="s">
        <v>91</v>
      </c>
      <c r="I74" s="458" t="s">
        <v>185</v>
      </c>
      <c r="J74" s="167" t="s">
        <v>271</v>
      </c>
      <c r="K74" s="58"/>
      <c r="L74" s="58"/>
      <c r="M74" s="311"/>
      <c r="N74" s="323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>
        <v>13655918</v>
      </c>
      <c r="AE74" s="258"/>
      <c r="AF74" s="258"/>
      <c r="AG74" s="258"/>
      <c r="AH74" s="313"/>
      <c r="AI74" s="258"/>
      <c r="AJ74" s="266">
        <f t="shared" si="15"/>
        <v>13655918</v>
      </c>
      <c r="AK74" s="11"/>
      <c r="AL74" s="1"/>
    </row>
    <row r="75" spans="1:38" s="5" customFormat="1" ht="45.75" thickBot="1">
      <c r="A75" s="218"/>
      <c r="B75" s="218"/>
      <c r="C75" s="448"/>
      <c r="D75" s="152"/>
      <c r="E75" s="218"/>
      <c r="F75" s="28"/>
      <c r="G75" s="413"/>
      <c r="H75" s="216"/>
      <c r="I75" s="461"/>
      <c r="J75" s="171" t="s">
        <v>272</v>
      </c>
      <c r="K75" s="89"/>
      <c r="L75" s="89"/>
      <c r="M75" s="321"/>
      <c r="N75" s="322">
        <f>25000000-13655918</f>
        <v>11344082</v>
      </c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4"/>
      <c r="AI75" s="253"/>
      <c r="AJ75" s="406">
        <f t="shared" si="15"/>
        <v>11344082</v>
      </c>
      <c r="AK75" s="11"/>
      <c r="AL75" s="1"/>
    </row>
    <row r="76" spans="1:38" s="5" customFormat="1" ht="91.5" customHeight="1" hidden="1">
      <c r="A76" s="218"/>
      <c r="B76" s="218"/>
      <c r="C76" s="448"/>
      <c r="D76" s="152"/>
      <c r="E76" s="218"/>
      <c r="F76" s="27" t="s">
        <v>190</v>
      </c>
      <c r="G76" s="413" t="s">
        <v>181</v>
      </c>
      <c r="H76" s="215" t="s">
        <v>57</v>
      </c>
      <c r="I76" s="364" t="s">
        <v>182</v>
      </c>
      <c r="J76" s="103"/>
      <c r="K76" s="117"/>
      <c r="L76" s="117"/>
      <c r="M76" s="247"/>
      <c r="N76" s="260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50"/>
      <c r="AI76" s="239"/>
      <c r="AJ76" s="266">
        <f t="shared" si="15"/>
        <v>0</v>
      </c>
      <c r="AK76" s="11"/>
      <c r="AL76" s="1"/>
    </row>
    <row r="77" spans="1:38" s="5" customFormat="1" ht="33.75" hidden="1">
      <c r="A77" s="218"/>
      <c r="B77" s="218"/>
      <c r="C77" s="448"/>
      <c r="D77" s="152"/>
      <c r="E77" s="218"/>
      <c r="F77" s="28"/>
      <c r="G77" s="413"/>
      <c r="H77" s="215"/>
      <c r="I77" s="369" t="s">
        <v>183</v>
      </c>
      <c r="J77" s="100"/>
      <c r="K77" s="79"/>
      <c r="L77" s="79"/>
      <c r="M77" s="251"/>
      <c r="N77" s="263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52"/>
      <c r="AI77" s="241"/>
      <c r="AJ77" s="405">
        <f t="shared" si="15"/>
        <v>0</v>
      </c>
      <c r="AK77" s="11"/>
      <c r="AL77" s="1"/>
    </row>
    <row r="78" spans="1:38" s="5" customFormat="1" ht="34.5" hidden="1" thickBot="1">
      <c r="A78" s="218"/>
      <c r="B78" s="218"/>
      <c r="C78" s="448"/>
      <c r="D78" s="152"/>
      <c r="E78" s="218"/>
      <c r="F78" s="29"/>
      <c r="G78" s="414"/>
      <c r="H78" s="215"/>
      <c r="I78" s="371" t="s">
        <v>184</v>
      </c>
      <c r="J78" s="115"/>
      <c r="K78" s="116"/>
      <c r="L78" s="116"/>
      <c r="M78" s="324"/>
      <c r="N78" s="325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80"/>
      <c r="AI78" s="264"/>
      <c r="AJ78" s="406">
        <f t="shared" si="15"/>
        <v>0</v>
      </c>
      <c r="AK78" s="11"/>
      <c r="AL78" s="1"/>
    </row>
    <row r="79" spans="1:38" s="5" customFormat="1" ht="60" customHeight="1" thickBot="1">
      <c r="A79" s="218"/>
      <c r="B79" s="218"/>
      <c r="C79" s="448"/>
      <c r="D79" s="152"/>
      <c r="E79" s="306"/>
      <c r="F79" s="28" t="s">
        <v>238</v>
      </c>
      <c r="G79" s="212" t="s">
        <v>191</v>
      </c>
      <c r="H79" s="214"/>
      <c r="I79" s="364" t="s">
        <v>240</v>
      </c>
      <c r="J79" s="118"/>
      <c r="K79" s="119"/>
      <c r="L79" s="119"/>
      <c r="M79" s="307"/>
      <c r="N79" s="326">
        <v>25000000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2"/>
      <c r="AI79" s="270"/>
      <c r="AJ79" s="266">
        <f t="shared" si="15"/>
        <v>25000000</v>
      </c>
      <c r="AK79" s="11"/>
      <c r="AL79" s="1"/>
    </row>
    <row r="80" spans="1:39" s="1" customFormat="1" ht="12" thickBot="1">
      <c r="A80" s="218"/>
      <c r="B80" s="218"/>
      <c r="C80" s="448"/>
      <c r="D80" s="154"/>
      <c r="E80" s="185">
        <v>0.01</v>
      </c>
      <c r="F80" s="39"/>
      <c r="G80" s="356"/>
      <c r="H80" s="357" t="s">
        <v>34</v>
      </c>
      <c r="I80" s="357"/>
      <c r="J80" s="55"/>
      <c r="K80" s="21"/>
      <c r="L80" s="21"/>
      <c r="M80" s="281"/>
      <c r="N80" s="255">
        <f>SUM(N70:N79)</f>
        <v>114668842</v>
      </c>
      <c r="O80" s="255">
        <f aca="true" t="shared" si="16" ref="O80:AI80">SUM(O70:O79)</f>
        <v>0</v>
      </c>
      <c r="P80" s="255">
        <f t="shared" si="16"/>
        <v>0</v>
      </c>
      <c r="Q80" s="255">
        <f t="shared" si="16"/>
        <v>0</v>
      </c>
      <c r="R80" s="255">
        <f t="shared" si="16"/>
        <v>0</v>
      </c>
      <c r="S80" s="255">
        <f t="shared" si="16"/>
        <v>0</v>
      </c>
      <c r="T80" s="255">
        <f t="shared" si="16"/>
        <v>0</v>
      </c>
      <c r="U80" s="255">
        <f t="shared" si="16"/>
        <v>0</v>
      </c>
      <c r="V80" s="255">
        <f t="shared" si="16"/>
        <v>0</v>
      </c>
      <c r="W80" s="255">
        <f t="shared" si="16"/>
        <v>0</v>
      </c>
      <c r="X80" s="255">
        <f t="shared" si="16"/>
        <v>0</v>
      </c>
      <c r="Y80" s="255">
        <f t="shared" si="16"/>
        <v>0</v>
      </c>
      <c r="Z80" s="255">
        <f t="shared" si="16"/>
        <v>0</v>
      </c>
      <c r="AA80" s="255">
        <f t="shared" si="16"/>
        <v>0</v>
      </c>
      <c r="AB80" s="255">
        <f t="shared" si="16"/>
        <v>0</v>
      </c>
      <c r="AC80" s="255">
        <f t="shared" si="16"/>
        <v>0</v>
      </c>
      <c r="AD80" s="255">
        <f t="shared" si="16"/>
        <v>13655918</v>
      </c>
      <c r="AE80" s="255">
        <f t="shared" si="16"/>
        <v>0</v>
      </c>
      <c r="AF80" s="255">
        <f t="shared" si="16"/>
        <v>0</v>
      </c>
      <c r="AG80" s="255">
        <f t="shared" si="16"/>
        <v>0</v>
      </c>
      <c r="AH80" s="255">
        <f t="shared" si="16"/>
        <v>0</v>
      </c>
      <c r="AI80" s="255">
        <f t="shared" si="16"/>
        <v>0</v>
      </c>
      <c r="AJ80" s="233">
        <f>SUM(N80:AI80)</f>
        <v>128324760</v>
      </c>
      <c r="AK80" s="12">
        <f>SUM(O80:AG80)</f>
        <v>13655918</v>
      </c>
      <c r="AL80" s="1">
        <f>SUM(AJ70:AJ79)</f>
        <v>128324760</v>
      </c>
      <c r="AM80" s="1">
        <f>+AL80-AJ80</f>
        <v>0</v>
      </c>
    </row>
    <row r="81" spans="1:37" s="1" customFormat="1" ht="41.25" customHeight="1" thickBot="1">
      <c r="A81" s="218"/>
      <c r="B81" s="218"/>
      <c r="C81" s="448"/>
      <c r="D81" s="156"/>
      <c r="E81" s="195" t="s">
        <v>67</v>
      </c>
      <c r="F81" s="27" t="s">
        <v>232</v>
      </c>
      <c r="G81" s="212" t="s">
        <v>233</v>
      </c>
      <c r="H81" s="214" t="s">
        <v>109</v>
      </c>
      <c r="I81" s="383" t="s">
        <v>234</v>
      </c>
      <c r="J81" s="64" t="s">
        <v>274</v>
      </c>
      <c r="K81" s="58"/>
      <c r="L81" s="58"/>
      <c r="M81" s="311"/>
      <c r="N81" s="258">
        <f>80000000</f>
        <v>80000000</v>
      </c>
      <c r="O81" s="312"/>
      <c r="P81" s="312"/>
      <c r="Q81" s="312"/>
      <c r="R81" s="312"/>
      <c r="S81" s="312"/>
      <c r="T81" s="312"/>
      <c r="U81" s="312"/>
      <c r="V81" s="312"/>
      <c r="W81" s="258"/>
      <c r="X81" s="312"/>
      <c r="Y81" s="258"/>
      <c r="Z81" s="145"/>
      <c r="AA81" s="258"/>
      <c r="AB81" s="258"/>
      <c r="AC81" s="258"/>
      <c r="AD81" s="258"/>
      <c r="AE81" s="258"/>
      <c r="AF81" s="258"/>
      <c r="AG81" s="258"/>
      <c r="AH81" s="313"/>
      <c r="AI81" s="258"/>
      <c r="AJ81" s="404">
        <f aca="true" t="shared" si="17" ref="AJ81:AJ86">SUM(N81:AI81)</f>
        <v>80000000</v>
      </c>
      <c r="AK81" s="12"/>
    </row>
    <row r="82" spans="1:37" s="1" customFormat="1" ht="12" thickBot="1">
      <c r="A82" s="218"/>
      <c r="B82" s="306"/>
      <c r="C82" s="157"/>
      <c r="D82" s="154"/>
      <c r="E82" s="185">
        <v>0</v>
      </c>
      <c r="F82" s="39"/>
      <c r="G82" s="356"/>
      <c r="H82" s="357" t="s">
        <v>69</v>
      </c>
      <c r="I82" s="357"/>
      <c r="J82" s="55"/>
      <c r="K82" s="21"/>
      <c r="L82" s="21"/>
      <c r="M82" s="281"/>
      <c r="N82" s="255">
        <f>SUM(N81)</f>
        <v>80000000</v>
      </c>
      <c r="O82" s="255">
        <f aca="true" t="shared" si="18" ref="O82:AI82">SUM(O81)</f>
        <v>0</v>
      </c>
      <c r="P82" s="255">
        <f t="shared" si="18"/>
        <v>0</v>
      </c>
      <c r="Q82" s="255">
        <f t="shared" si="18"/>
        <v>0</v>
      </c>
      <c r="R82" s="255">
        <f t="shared" si="18"/>
        <v>0</v>
      </c>
      <c r="S82" s="255">
        <f t="shared" si="18"/>
        <v>0</v>
      </c>
      <c r="T82" s="255">
        <f t="shared" si="18"/>
        <v>0</v>
      </c>
      <c r="U82" s="255">
        <f t="shared" si="18"/>
        <v>0</v>
      </c>
      <c r="V82" s="255">
        <f t="shared" si="18"/>
        <v>0</v>
      </c>
      <c r="W82" s="255">
        <f t="shared" si="18"/>
        <v>0</v>
      </c>
      <c r="X82" s="255">
        <f t="shared" si="18"/>
        <v>0</v>
      </c>
      <c r="Y82" s="255">
        <f t="shared" si="18"/>
        <v>0</v>
      </c>
      <c r="Z82" s="255">
        <f t="shared" si="18"/>
        <v>0</v>
      </c>
      <c r="AA82" s="255">
        <f t="shared" si="18"/>
        <v>0</v>
      </c>
      <c r="AB82" s="255">
        <f t="shared" si="18"/>
        <v>0</v>
      </c>
      <c r="AC82" s="255">
        <f t="shared" si="18"/>
        <v>0</v>
      </c>
      <c r="AD82" s="255">
        <f t="shared" si="18"/>
        <v>0</v>
      </c>
      <c r="AE82" s="255">
        <f t="shared" si="18"/>
        <v>0</v>
      </c>
      <c r="AF82" s="255">
        <f t="shared" si="18"/>
        <v>0</v>
      </c>
      <c r="AG82" s="255">
        <f t="shared" si="18"/>
        <v>0</v>
      </c>
      <c r="AH82" s="255">
        <f t="shared" si="18"/>
        <v>0</v>
      </c>
      <c r="AI82" s="255">
        <f t="shared" si="18"/>
        <v>0</v>
      </c>
      <c r="AJ82" s="233">
        <f>SUM(N82:AI82)</f>
        <v>80000000</v>
      </c>
      <c r="AK82" s="12"/>
    </row>
    <row r="83" spans="1:38" s="5" customFormat="1" ht="80.25" customHeight="1" thickBot="1">
      <c r="A83" s="218"/>
      <c r="B83" s="305" t="s">
        <v>258</v>
      </c>
      <c r="C83" s="442" t="s">
        <v>251</v>
      </c>
      <c r="D83" s="151"/>
      <c r="E83" s="223" t="s">
        <v>5</v>
      </c>
      <c r="F83" s="27" t="s">
        <v>197</v>
      </c>
      <c r="G83" s="415" t="s">
        <v>118</v>
      </c>
      <c r="H83" s="214" t="s">
        <v>92</v>
      </c>
      <c r="I83" s="317" t="s">
        <v>193</v>
      </c>
      <c r="J83" s="197" t="s">
        <v>282</v>
      </c>
      <c r="K83" s="96"/>
      <c r="L83" s="96"/>
      <c r="M83" s="327"/>
      <c r="N83" s="240">
        <f>2037279129-169815197-310000000-333807895+500993554-69659093-100000000-70000000-30000000</f>
        <v>1454990498</v>
      </c>
      <c r="O83" s="238"/>
      <c r="P83" s="238"/>
      <c r="Q83" s="238"/>
      <c r="R83" s="238"/>
      <c r="S83" s="238"/>
      <c r="T83" s="238"/>
      <c r="U83" s="238"/>
      <c r="V83" s="238"/>
      <c r="W83" s="238">
        <f>28326960</f>
        <v>28326960</v>
      </c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59">
        <v>165406073</v>
      </c>
      <c r="AI83" s="411"/>
      <c r="AJ83" s="404">
        <f t="shared" si="17"/>
        <v>1648723531</v>
      </c>
      <c r="AK83" s="12"/>
      <c r="AL83" s="1"/>
    </row>
    <row r="84" spans="1:38" s="5" customFormat="1" ht="23.25" thickBot="1">
      <c r="A84" s="218"/>
      <c r="B84" s="218"/>
      <c r="C84" s="443"/>
      <c r="D84" s="152"/>
      <c r="E84" s="445"/>
      <c r="F84" s="28"/>
      <c r="G84" s="416"/>
      <c r="H84" s="215" t="s">
        <v>93</v>
      </c>
      <c r="I84" s="369" t="s">
        <v>194</v>
      </c>
      <c r="J84" s="97" t="s">
        <v>284</v>
      </c>
      <c r="K84" s="98"/>
      <c r="L84" s="99"/>
      <c r="M84" s="328"/>
      <c r="N84" s="241">
        <f>300000000-137140558.56</f>
        <v>162859441.44</v>
      </c>
      <c r="O84" s="251"/>
      <c r="P84" s="251"/>
      <c r="Q84" s="251"/>
      <c r="R84" s="251"/>
      <c r="S84" s="251"/>
      <c r="T84" s="251"/>
      <c r="U84" s="251"/>
      <c r="V84" s="251"/>
      <c r="W84" s="24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329"/>
      <c r="AI84" s="251"/>
      <c r="AJ84" s="404">
        <f t="shared" si="17"/>
        <v>162859441.44</v>
      </c>
      <c r="AK84" s="12"/>
      <c r="AL84" s="1"/>
    </row>
    <row r="85" spans="1:38" s="5" customFormat="1" ht="13.5" customHeight="1" thickBot="1">
      <c r="A85" s="218"/>
      <c r="B85" s="218"/>
      <c r="C85" s="443"/>
      <c r="D85" s="152"/>
      <c r="E85" s="445"/>
      <c r="F85" s="28"/>
      <c r="G85" s="417"/>
      <c r="H85" s="384" t="s">
        <v>95</v>
      </c>
      <c r="I85" s="370" t="s">
        <v>195</v>
      </c>
      <c r="J85" s="171" t="s">
        <v>95</v>
      </c>
      <c r="K85" s="83"/>
      <c r="L85" s="130"/>
      <c r="M85" s="330"/>
      <c r="N85" s="253">
        <v>100000000</v>
      </c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  <c r="AG85" s="321"/>
      <c r="AH85" s="331"/>
      <c r="AI85" s="321"/>
      <c r="AJ85" s="404">
        <f t="shared" si="17"/>
        <v>100000000</v>
      </c>
      <c r="AK85" s="12"/>
      <c r="AL85" s="1"/>
    </row>
    <row r="86" spans="1:38" s="5" customFormat="1" ht="34.5" thickBot="1">
      <c r="A86" s="218"/>
      <c r="B86" s="218"/>
      <c r="C86" s="444"/>
      <c r="D86" s="153"/>
      <c r="E86" s="446"/>
      <c r="F86" s="77" t="s">
        <v>198</v>
      </c>
      <c r="G86" s="213" t="s">
        <v>192</v>
      </c>
      <c r="H86" s="215" t="s">
        <v>94</v>
      </c>
      <c r="I86" s="333" t="s">
        <v>196</v>
      </c>
      <c r="J86" s="122"/>
      <c r="K86" s="65"/>
      <c r="L86" s="66"/>
      <c r="M86" s="283"/>
      <c r="N86" s="283">
        <v>30000000</v>
      </c>
      <c r="O86" s="283"/>
      <c r="P86" s="283"/>
      <c r="Q86" s="283"/>
      <c r="R86" s="283"/>
      <c r="S86" s="283"/>
      <c r="T86" s="283"/>
      <c r="U86" s="283"/>
      <c r="V86" s="283"/>
      <c r="W86" s="283">
        <v>28326960</v>
      </c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302"/>
      <c r="AI86" s="283"/>
      <c r="AJ86" s="404">
        <f t="shared" si="17"/>
        <v>58326960</v>
      </c>
      <c r="AK86" s="11"/>
      <c r="AL86" s="1"/>
    </row>
    <row r="87" spans="1:39" s="1" customFormat="1" ht="23.25" thickBot="1">
      <c r="A87" s="218"/>
      <c r="B87" s="218"/>
      <c r="E87" s="185">
        <v>0.33</v>
      </c>
      <c r="F87" s="39"/>
      <c r="G87" s="356"/>
      <c r="H87" s="357" t="s">
        <v>71</v>
      </c>
      <c r="I87" s="357"/>
      <c r="J87" s="55"/>
      <c r="K87" s="21"/>
      <c r="L87" s="21"/>
      <c r="M87" s="281"/>
      <c r="N87" s="255">
        <f>SUM(N83:N86)</f>
        <v>1747849939.44</v>
      </c>
      <c r="O87" s="255">
        <f aca="true" t="shared" si="19" ref="O87:AH87">SUM(O83:O86)</f>
        <v>0</v>
      </c>
      <c r="P87" s="255">
        <f t="shared" si="19"/>
        <v>0</v>
      </c>
      <c r="Q87" s="255">
        <f t="shared" si="19"/>
        <v>0</v>
      </c>
      <c r="R87" s="255">
        <f t="shared" si="19"/>
        <v>0</v>
      </c>
      <c r="S87" s="255">
        <f t="shared" si="19"/>
        <v>0</v>
      </c>
      <c r="T87" s="255">
        <f t="shared" si="19"/>
        <v>0</v>
      </c>
      <c r="U87" s="255">
        <f t="shared" si="19"/>
        <v>0</v>
      </c>
      <c r="V87" s="255">
        <f t="shared" si="19"/>
        <v>0</v>
      </c>
      <c r="W87" s="255">
        <f t="shared" si="19"/>
        <v>56653920</v>
      </c>
      <c r="X87" s="255">
        <f t="shared" si="19"/>
        <v>0</v>
      </c>
      <c r="Y87" s="255">
        <f t="shared" si="19"/>
        <v>0</v>
      </c>
      <c r="Z87" s="255">
        <f t="shared" si="19"/>
        <v>0</v>
      </c>
      <c r="AA87" s="255">
        <f t="shared" si="19"/>
        <v>0</v>
      </c>
      <c r="AB87" s="255">
        <f t="shared" si="19"/>
        <v>0</v>
      </c>
      <c r="AC87" s="255">
        <f t="shared" si="19"/>
        <v>0</v>
      </c>
      <c r="AD87" s="255">
        <f t="shared" si="19"/>
        <v>0</v>
      </c>
      <c r="AE87" s="255">
        <f t="shared" si="19"/>
        <v>0</v>
      </c>
      <c r="AF87" s="255">
        <f t="shared" si="19"/>
        <v>0</v>
      </c>
      <c r="AG87" s="255">
        <f t="shared" si="19"/>
        <v>0</v>
      </c>
      <c r="AH87" s="255">
        <f t="shared" si="19"/>
        <v>165406073</v>
      </c>
      <c r="AI87" s="255">
        <f>SUM(AI83:AI86)</f>
        <v>0</v>
      </c>
      <c r="AJ87" s="233">
        <f aca="true" t="shared" si="20" ref="AJ87:AJ95">SUM(N87:AI87)</f>
        <v>1969909932.44</v>
      </c>
      <c r="AK87" s="12">
        <f>SUM(O87:AG87)</f>
        <v>56653920</v>
      </c>
      <c r="AL87" s="1">
        <f>SUM(AJ83:AJ86)</f>
        <v>1969909932.44</v>
      </c>
      <c r="AM87" s="1">
        <f>+AL87-AJ87</f>
        <v>0</v>
      </c>
    </row>
    <row r="88" spans="1:37" s="1" customFormat="1" ht="88.5" customHeight="1" hidden="1" thickBot="1">
      <c r="A88" s="218"/>
      <c r="B88" s="218"/>
      <c r="C88" s="442" t="s">
        <v>255</v>
      </c>
      <c r="D88" s="155"/>
      <c r="E88" s="305" t="s">
        <v>35</v>
      </c>
      <c r="F88" s="27" t="s">
        <v>201</v>
      </c>
      <c r="G88" s="212" t="s">
        <v>118</v>
      </c>
      <c r="H88" s="214" t="s">
        <v>96</v>
      </c>
      <c r="I88" s="317" t="s">
        <v>199</v>
      </c>
      <c r="J88" s="196"/>
      <c r="K88" s="131"/>
      <c r="L88" s="131"/>
      <c r="M88" s="288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91"/>
      <c r="AI88" s="289"/>
      <c r="AJ88" s="404">
        <f t="shared" si="20"/>
        <v>0</v>
      </c>
      <c r="AK88" s="11">
        <f>+AK87-AJ87</f>
        <v>-1913256012.44</v>
      </c>
    </row>
    <row r="89" spans="1:37" s="1" customFormat="1" ht="12" hidden="1" thickBot="1">
      <c r="A89" s="218"/>
      <c r="B89" s="218"/>
      <c r="C89" s="443"/>
      <c r="D89" s="156"/>
      <c r="E89" s="218"/>
      <c r="F89" s="28"/>
      <c r="G89" s="359"/>
      <c r="H89" s="385" t="s">
        <v>97</v>
      </c>
      <c r="I89" s="370"/>
      <c r="J89" s="94"/>
      <c r="K89" s="91"/>
      <c r="L89" s="91"/>
      <c r="M89" s="287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4"/>
      <c r="AI89" s="253"/>
      <c r="AJ89" s="404">
        <f t="shared" si="20"/>
        <v>0</v>
      </c>
      <c r="AK89" s="11"/>
    </row>
    <row r="90" spans="1:37" s="1" customFormat="1" ht="23.25" thickBot="1">
      <c r="A90" s="218"/>
      <c r="B90" s="218"/>
      <c r="C90" s="444"/>
      <c r="D90" s="154"/>
      <c r="E90" s="306"/>
      <c r="F90" s="77" t="s">
        <v>202</v>
      </c>
      <c r="G90" s="212" t="s">
        <v>110</v>
      </c>
      <c r="H90" s="365" t="s">
        <v>98</v>
      </c>
      <c r="I90" s="371" t="s">
        <v>200</v>
      </c>
      <c r="J90" s="111"/>
      <c r="K90" s="61"/>
      <c r="L90" s="61"/>
      <c r="M90" s="300"/>
      <c r="N90" s="283">
        <v>377306631</v>
      </c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302"/>
      <c r="AI90" s="283"/>
      <c r="AJ90" s="404">
        <f t="shared" si="20"/>
        <v>377306631</v>
      </c>
      <c r="AK90" s="11"/>
    </row>
    <row r="91" spans="1:37" s="1" customFormat="1" ht="12" thickBot="1">
      <c r="A91" s="218"/>
      <c r="B91" s="218"/>
      <c r="E91" s="185">
        <v>0.02</v>
      </c>
      <c r="F91" s="39"/>
      <c r="G91" s="356"/>
      <c r="H91" s="357" t="s">
        <v>36</v>
      </c>
      <c r="I91" s="357"/>
      <c r="J91" s="55"/>
      <c r="K91" s="21"/>
      <c r="L91" s="21"/>
      <c r="M91" s="281"/>
      <c r="N91" s="255">
        <f>SUM(N88:N90)</f>
        <v>377306631</v>
      </c>
      <c r="O91" s="255">
        <f aca="true" t="shared" si="21" ref="O91:AI91">SUM(O88:O90)</f>
        <v>0</v>
      </c>
      <c r="P91" s="255">
        <f t="shared" si="21"/>
        <v>0</v>
      </c>
      <c r="Q91" s="255">
        <f t="shared" si="21"/>
        <v>0</v>
      </c>
      <c r="R91" s="255">
        <f t="shared" si="21"/>
        <v>0</v>
      </c>
      <c r="S91" s="255">
        <f t="shared" si="21"/>
        <v>0</v>
      </c>
      <c r="T91" s="255">
        <f t="shared" si="21"/>
        <v>0</v>
      </c>
      <c r="U91" s="255">
        <f t="shared" si="21"/>
        <v>0</v>
      </c>
      <c r="V91" s="255">
        <f t="shared" si="21"/>
        <v>0</v>
      </c>
      <c r="W91" s="255">
        <f t="shared" si="21"/>
        <v>0</v>
      </c>
      <c r="X91" s="255">
        <f t="shared" si="21"/>
        <v>0</v>
      </c>
      <c r="Y91" s="255">
        <f t="shared" si="21"/>
        <v>0</v>
      </c>
      <c r="Z91" s="255">
        <f t="shared" si="21"/>
        <v>0</v>
      </c>
      <c r="AA91" s="255">
        <f t="shared" si="21"/>
        <v>0</v>
      </c>
      <c r="AB91" s="255">
        <f t="shared" si="21"/>
        <v>0</v>
      </c>
      <c r="AC91" s="255">
        <f t="shared" si="21"/>
        <v>0</v>
      </c>
      <c r="AD91" s="255">
        <f t="shared" si="21"/>
        <v>0</v>
      </c>
      <c r="AE91" s="255">
        <f t="shared" si="21"/>
        <v>0</v>
      </c>
      <c r="AF91" s="255">
        <f t="shared" si="21"/>
        <v>0</v>
      </c>
      <c r="AG91" s="255">
        <f t="shared" si="21"/>
        <v>0</v>
      </c>
      <c r="AH91" s="255">
        <f t="shared" si="21"/>
        <v>0</v>
      </c>
      <c r="AI91" s="255">
        <f t="shared" si="21"/>
        <v>0</v>
      </c>
      <c r="AJ91" s="233">
        <f t="shared" si="20"/>
        <v>377306631</v>
      </c>
      <c r="AK91" s="12">
        <f>SUM(O91:AG91)</f>
        <v>0</v>
      </c>
    </row>
    <row r="92" spans="1:37" s="1" customFormat="1" ht="22.5">
      <c r="A92" s="218"/>
      <c r="B92" s="218"/>
      <c r="C92" s="428" t="s">
        <v>247</v>
      </c>
      <c r="D92" s="158"/>
      <c r="E92" s="242" t="s">
        <v>4</v>
      </c>
      <c r="F92" s="393" t="s">
        <v>135</v>
      </c>
      <c r="G92" s="415" t="s">
        <v>118</v>
      </c>
      <c r="H92" s="455" t="s">
        <v>57</v>
      </c>
      <c r="I92" s="459" t="s">
        <v>122</v>
      </c>
      <c r="J92" s="173" t="s">
        <v>277</v>
      </c>
      <c r="K92" s="82"/>
      <c r="L92" s="82"/>
      <c r="M92" s="327"/>
      <c r="N92" s="240">
        <f>200000000-28326960-5034141-12915.44</f>
        <v>166625983.56</v>
      </c>
      <c r="O92" s="240"/>
      <c r="P92" s="282"/>
      <c r="Q92" s="282"/>
      <c r="R92" s="282"/>
      <c r="S92" s="282"/>
      <c r="T92" s="282"/>
      <c r="U92" s="282"/>
      <c r="V92" s="282"/>
      <c r="W92" s="240">
        <v>28326960</v>
      </c>
      <c r="X92" s="282"/>
      <c r="Y92" s="240"/>
      <c r="Z92" s="240"/>
      <c r="AA92" s="240"/>
      <c r="AB92" s="240"/>
      <c r="AC92" s="240"/>
      <c r="AD92" s="240"/>
      <c r="AE92" s="240"/>
      <c r="AF92" s="240"/>
      <c r="AG92" s="240"/>
      <c r="AH92" s="259"/>
      <c r="AI92" s="240"/>
      <c r="AJ92" s="400">
        <f t="shared" si="20"/>
        <v>194952943.56</v>
      </c>
      <c r="AK92" s="11">
        <f>+AK91-AJ91</f>
        <v>-377306631</v>
      </c>
    </row>
    <row r="93" spans="1:37" s="1" customFormat="1" ht="75" customHeight="1" thickBot="1">
      <c r="A93" s="218"/>
      <c r="B93" s="218"/>
      <c r="C93" s="429"/>
      <c r="D93" s="174"/>
      <c r="E93" s="243"/>
      <c r="F93" s="395"/>
      <c r="G93" s="417"/>
      <c r="H93" s="456"/>
      <c r="I93" s="460"/>
      <c r="J93" s="175" t="s">
        <v>278</v>
      </c>
      <c r="K93" s="72"/>
      <c r="L93" s="72"/>
      <c r="M93" s="334"/>
      <c r="N93" s="315"/>
      <c r="O93" s="315"/>
      <c r="P93" s="316"/>
      <c r="Q93" s="316"/>
      <c r="R93" s="316"/>
      <c r="S93" s="316"/>
      <c r="T93" s="316"/>
      <c r="U93" s="316"/>
      <c r="V93" s="316"/>
      <c r="W93" s="315">
        <f>28326960+5598566</f>
        <v>33925526</v>
      </c>
      <c r="X93" s="316"/>
      <c r="Y93" s="315"/>
      <c r="Z93" s="315"/>
      <c r="AA93" s="315"/>
      <c r="AB93" s="315">
        <v>4503281</v>
      </c>
      <c r="AC93" s="315"/>
      <c r="AD93" s="315"/>
      <c r="AE93" s="315">
        <f>2654300*0.225</f>
        <v>597217.5</v>
      </c>
      <c r="AF93" s="315"/>
      <c r="AG93" s="315"/>
      <c r="AH93" s="267"/>
      <c r="AI93" s="315"/>
      <c r="AJ93" s="231">
        <f t="shared" si="20"/>
        <v>39026024.5</v>
      </c>
      <c r="AK93" s="11"/>
    </row>
    <row r="94" spans="1:37" s="1" customFormat="1" ht="68.25" thickBot="1">
      <c r="A94" s="218"/>
      <c r="B94" s="218"/>
      <c r="C94" s="430"/>
      <c r="D94" s="154"/>
      <c r="E94" s="244"/>
      <c r="F94" s="27" t="s">
        <v>136</v>
      </c>
      <c r="G94" s="358" t="s">
        <v>2</v>
      </c>
      <c r="H94" s="350" t="s">
        <v>2</v>
      </c>
      <c r="I94" s="332" t="s">
        <v>123</v>
      </c>
      <c r="J94" s="173" t="s">
        <v>295</v>
      </c>
      <c r="K94" s="83"/>
      <c r="L94" s="83"/>
      <c r="M94" s="330"/>
      <c r="N94" s="253">
        <v>334683072</v>
      </c>
      <c r="O94" s="253"/>
      <c r="P94" s="278"/>
      <c r="Q94" s="278"/>
      <c r="R94" s="278"/>
      <c r="S94" s="278"/>
      <c r="T94" s="278">
        <v>442440132</v>
      </c>
      <c r="U94" s="278"/>
      <c r="V94" s="278"/>
      <c r="W94" s="253"/>
      <c r="X94" s="278"/>
      <c r="Y94" s="253"/>
      <c r="Z94" s="253"/>
      <c r="AA94" s="253"/>
      <c r="AB94" s="253"/>
      <c r="AC94" s="253"/>
      <c r="AD94" s="253"/>
      <c r="AE94" s="253"/>
      <c r="AF94" s="253"/>
      <c r="AG94" s="253"/>
      <c r="AH94" s="254"/>
      <c r="AI94" s="253"/>
      <c r="AJ94" s="232">
        <f t="shared" si="20"/>
        <v>777123204</v>
      </c>
      <c r="AK94" s="11"/>
    </row>
    <row r="95" spans="1:39" s="1" customFormat="1" ht="23.25" thickBot="1">
      <c r="A95" s="218"/>
      <c r="B95" s="218"/>
      <c r="E95" s="185">
        <v>0.04</v>
      </c>
      <c r="F95" s="39"/>
      <c r="G95" s="356"/>
      <c r="H95" s="357" t="s">
        <v>32</v>
      </c>
      <c r="I95" s="357"/>
      <c r="J95" s="55"/>
      <c r="K95" s="21"/>
      <c r="L95" s="21"/>
      <c r="M95" s="281"/>
      <c r="N95" s="281">
        <f>SUM(N92:N94)</f>
        <v>501309055.56</v>
      </c>
      <c r="O95" s="281">
        <f aca="true" t="shared" si="22" ref="O95:AI95">SUM(O92:O94)</f>
        <v>0</v>
      </c>
      <c r="P95" s="281">
        <f t="shared" si="22"/>
        <v>0</v>
      </c>
      <c r="Q95" s="281">
        <f t="shared" si="22"/>
        <v>0</v>
      </c>
      <c r="R95" s="281">
        <f t="shared" si="22"/>
        <v>0</v>
      </c>
      <c r="S95" s="281">
        <f t="shared" si="22"/>
        <v>0</v>
      </c>
      <c r="T95" s="281">
        <f t="shared" si="22"/>
        <v>442440132</v>
      </c>
      <c r="U95" s="281">
        <f t="shared" si="22"/>
        <v>0</v>
      </c>
      <c r="V95" s="281">
        <f t="shared" si="22"/>
        <v>0</v>
      </c>
      <c r="W95" s="281">
        <f t="shared" si="22"/>
        <v>62252486</v>
      </c>
      <c r="X95" s="281">
        <f t="shared" si="22"/>
        <v>0</v>
      </c>
      <c r="Y95" s="281">
        <f t="shared" si="22"/>
        <v>0</v>
      </c>
      <c r="Z95" s="281">
        <f t="shared" si="22"/>
        <v>0</v>
      </c>
      <c r="AA95" s="281">
        <f t="shared" si="22"/>
        <v>0</v>
      </c>
      <c r="AB95" s="281">
        <f t="shared" si="22"/>
        <v>4503281</v>
      </c>
      <c r="AC95" s="281">
        <f t="shared" si="22"/>
        <v>0</v>
      </c>
      <c r="AD95" s="281">
        <f t="shared" si="22"/>
        <v>0</v>
      </c>
      <c r="AE95" s="281">
        <f t="shared" si="22"/>
        <v>597217.5</v>
      </c>
      <c r="AF95" s="281">
        <f t="shared" si="22"/>
        <v>0</v>
      </c>
      <c r="AG95" s="281">
        <f t="shared" si="22"/>
        <v>0</v>
      </c>
      <c r="AH95" s="281">
        <f t="shared" si="22"/>
        <v>0</v>
      </c>
      <c r="AI95" s="281">
        <f t="shared" si="22"/>
        <v>0</v>
      </c>
      <c r="AJ95" s="233">
        <f t="shared" si="20"/>
        <v>1011102172.06</v>
      </c>
      <c r="AK95" s="11"/>
      <c r="AL95" s="1">
        <f>SUM(AJ92:AJ94)</f>
        <v>1011102172.06</v>
      </c>
      <c r="AM95" s="1">
        <f>+AL95-AJ95</f>
        <v>0</v>
      </c>
    </row>
    <row r="96" spans="1:38" ht="57" thickBot="1">
      <c r="A96" s="218"/>
      <c r="B96" s="218"/>
      <c r="C96" s="223" t="s">
        <v>252</v>
      </c>
      <c r="D96" s="146"/>
      <c r="E96" s="223" t="s">
        <v>6</v>
      </c>
      <c r="F96" s="77" t="s">
        <v>210</v>
      </c>
      <c r="G96" s="349" t="s">
        <v>209</v>
      </c>
      <c r="H96" s="386" t="s">
        <v>102</v>
      </c>
      <c r="I96" s="380" t="s">
        <v>213</v>
      </c>
      <c r="J96" s="118"/>
      <c r="K96" s="119"/>
      <c r="L96" s="119"/>
      <c r="M96" s="307"/>
      <c r="N96" s="270">
        <f>25000000-796290</f>
        <v>24203710</v>
      </c>
      <c r="O96" s="270"/>
      <c r="P96" s="271"/>
      <c r="Q96" s="271"/>
      <c r="R96" s="271"/>
      <c r="S96" s="271"/>
      <c r="T96" s="271"/>
      <c r="U96" s="271"/>
      <c r="V96" s="271"/>
      <c r="W96" s="270"/>
      <c r="X96" s="271"/>
      <c r="Y96" s="270"/>
      <c r="Z96" s="270"/>
      <c r="AA96" s="270"/>
      <c r="AB96" s="270"/>
      <c r="AC96" s="270"/>
      <c r="AD96" s="270"/>
      <c r="AE96" s="270">
        <f>2654300*0.325</f>
        <v>862647.5</v>
      </c>
      <c r="AF96" s="270"/>
      <c r="AG96" s="270"/>
      <c r="AH96" s="272"/>
      <c r="AI96" s="270"/>
      <c r="AJ96" s="401">
        <f aca="true" t="shared" si="23" ref="AJ96:AJ102">SUM(N96:AI96)</f>
        <v>25066357.5</v>
      </c>
      <c r="AK96" s="12"/>
      <c r="AL96" s="1"/>
    </row>
    <row r="97" spans="1:38" ht="69" customHeight="1" thickBot="1">
      <c r="A97" s="218"/>
      <c r="B97" s="218"/>
      <c r="C97" s="224"/>
      <c r="E97" s="224"/>
      <c r="F97" s="77" t="s">
        <v>218</v>
      </c>
      <c r="G97" s="349" t="s">
        <v>212</v>
      </c>
      <c r="H97" s="350" t="s">
        <v>103</v>
      </c>
      <c r="I97" s="317" t="s">
        <v>214</v>
      </c>
      <c r="J97" s="104"/>
      <c r="K97" s="25"/>
      <c r="L97" s="25"/>
      <c r="M97" s="335"/>
      <c r="N97" s="315">
        <v>30000000</v>
      </c>
      <c r="O97" s="315"/>
      <c r="P97" s="316"/>
      <c r="Q97" s="316"/>
      <c r="R97" s="316"/>
      <c r="S97" s="316"/>
      <c r="T97" s="316"/>
      <c r="U97" s="316"/>
      <c r="V97" s="316"/>
      <c r="W97" s="315"/>
      <c r="X97" s="316"/>
      <c r="Y97" s="315"/>
      <c r="Z97" s="315"/>
      <c r="AA97" s="315"/>
      <c r="AB97" s="315">
        <v>39809975</v>
      </c>
      <c r="AC97" s="315"/>
      <c r="AD97" s="315"/>
      <c r="AE97" s="315"/>
      <c r="AF97" s="315"/>
      <c r="AG97" s="315"/>
      <c r="AH97" s="267"/>
      <c r="AI97" s="315"/>
      <c r="AJ97" s="407">
        <f t="shared" si="23"/>
        <v>69809975</v>
      </c>
      <c r="AK97" s="12"/>
      <c r="AL97" s="1"/>
    </row>
    <row r="98" spans="1:38" ht="43.5" customHeight="1">
      <c r="A98" s="218"/>
      <c r="B98" s="218"/>
      <c r="C98" s="224"/>
      <c r="E98" s="224"/>
      <c r="F98" s="27" t="s">
        <v>219</v>
      </c>
      <c r="G98" s="212" t="s">
        <v>211</v>
      </c>
      <c r="H98" s="363" t="s">
        <v>104</v>
      </c>
      <c r="I98" s="364" t="s">
        <v>215</v>
      </c>
      <c r="J98" s="84"/>
      <c r="K98" s="85"/>
      <c r="L98" s="85"/>
      <c r="M98" s="284"/>
      <c r="N98" s="240">
        <v>157771682</v>
      </c>
      <c r="O98" s="240"/>
      <c r="P98" s="282"/>
      <c r="Q98" s="282"/>
      <c r="R98" s="282"/>
      <c r="S98" s="282"/>
      <c r="T98" s="282"/>
      <c r="U98" s="282"/>
      <c r="V98" s="282"/>
      <c r="W98" s="240"/>
      <c r="X98" s="282"/>
      <c r="Y98" s="240"/>
      <c r="Z98" s="240"/>
      <c r="AA98" s="240"/>
      <c r="AB98" s="240"/>
      <c r="AC98" s="240"/>
      <c r="AD98" s="240"/>
      <c r="AE98" s="240"/>
      <c r="AF98" s="240"/>
      <c r="AG98" s="240"/>
      <c r="AH98" s="259"/>
      <c r="AI98" s="240"/>
      <c r="AJ98" s="404">
        <f t="shared" si="23"/>
        <v>157771682</v>
      </c>
      <c r="AK98" s="12"/>
      <c r="AL98" s="1"/>
    </row>
    <row r="99" spans="1:38" ht="23.25" thickBot="1">
      <c r="A99" s="218"/>
      <c r="B99" s="218"/>
      <c r="C99" s="224"/>
      <c r="E99" s="224"/>
      <c r="F99" s="29"/>
      <c r="G99" s="211"/>
      <c r="H99" s="384"/>
      <c r="I99" s="371" t="s">
        <v>216</v>
      </c>
      <c r="J99" s="87"/>
      <c r="K99" s="88"/>
      <c r="L99" s="88"/>
      <c r="M99" s="277"/>
      <c r="N99" s="253">
        <v>20000000</v>
      </c>
      <c r="O99" s="253"/>
      <c r="P99" s="278"/>
      <c r="Q99" s="278"/>
      <c r="R99" s="278"/>
      <c r="S99" s="278"/>
      <c r="T99" s="278"/>
      <c r="U99" s="278"/>
      <c r="V99" s="278"/>
      <c r="W99" s="253"/>
      <c r="X99" s="278"/>
      <c r="Y99" s="253"/>
      <c r="Z99" s="253"/>
      <c r="AA99" s="253"/>
      <c r="AB99" s="253"/>
      <c r="AC99" s="253"/>
      <c r="AD99" s="253"/>
      <c r="AE99" s="253"/>
      <c r="AF99" s="253"/>
      <c r="AG99" s="253"/>
      <c r="AH99" s="254"/>
      <c r="AI99" s="253"/>
      <c r="AJ99" s="403">
        <f t="shared" si="23"/>
        <v>20000000</v>
      </c>
      <c r="AK99" s="12"/>
      <c r="AL99" s="1"/>
    </row>
    <row r="100" spans="1:38" ht="93.75" customHeight="1" thickBot="1">
      <c r="A100" s="218"/>
      <c r="B100" s="218"/>
      <c r="C100" s="224"/>
      <c r="E100" s="224"/>
      <c r="F100" s="77" t="s">
        <v>220</v>
      </c>
      <c r="G100" s="211" t="s">
        <v>217</v>
      </c>
      <c r="H100" s="386"/>
      <c r="I100" s="380" t="s">
        <v>222</v>
      </c>
      <c r="J100" s="118"/>
      <c r="K100" s="126"/>
      <c r="L100" s="126"/>
      <c r="M100" s="269"/>
      <c r="N100" s="270">
        <v>10000000</v>
      </c>
      <c r="O100" s="270"/>
      <c r="P100" s="271"/>
      <c r="Q100" s="271"/>
      <c r="R100" s="271"/>
      <c r="S100" s="271"/>
      <c r="T100" s="271"/>
      <c r="U100" s="271"/>
      <c r="V100" s="271"/>
      <c r="W100" s="270"/>
      <c r="X100" s="271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2"/>
      <c r="AI100" s="270"/>
      <c r="AJ100" s="407">
        <f t="shared" si="23"/>
        <v>10000000</v>
      </c>
      <c r="AK100" s="12"/>
      <c r="AL100" s="1"/>
    </row>
    <row r="101" spans="1:38" ht="47.25" customHeight="1" thickBot="1">
      <c r="A101" s="218"/>
      <c r="B101" s="218"/>
      <c r="C101" s="224"/>
      <c r="E101" s="224"/>
      <c r="F101" s="28" t="s">
        <v>221</v>
      </c>
      <c r="G101" s="213" t="s">
        <v>139</v>
      </c>
      <c r="H101" s="365"/>
      <c r="I101" s="380" t="s">
        <v>223</v>
      </c>
      <c r="J101" s="132"/>
      <c r="K101" s="133"/>
      <c r="L101" s="133"/>
      <c r="M101" s="336"/>
      <c r="N101" s="270">
        <v>15000000</v>
      </c>
      <c r="O101" s="270"/>
      <c r="P101" s="271"/>
      <c r="Q101" s="271"/>
      <c r="R101" s="271"/>
      <c r="S101" s="271"/>
      <c r="T101" s="271"/>
      <c r="U101" s="271"/>
      <c r="V101" s="271"/>
      <c r="W101" s="270"/>
      <c r="X101" s="271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2"/>
      <c r="AI101" s="270"/>
      <c r="AJ101" s="401">
        <f t="shared" si="23"/>
        <v>15000000</v>
      </c>
      <c r="AK101" s="11">
        <f>+AK91-AJ91</f>
        <v>-377306631</v>
      </c>
      <c r="AL101" s="1"/>
    </row>
    <row r="102" spans="1:39" ht="28.5" customHeight="1" thickBot="1">
      <c r="A102" s="218"/>
      <c r="B102" s="218"/>
      <c r="C102" s="225"/>
      <c r="D102" s="147"/>
      <c r="E102" s="225"/>
      <c r="F102" s="77"/>
      <c r="G102" s="349" t="s">
        <v>237</v>
      </c>
      <c r="H102" s="386"/>
      <c r="I102" s="380" t="s">
        <v>241</v>
      </c>
      <c r="J102" s="132"/>
      <c r="K102" s="133"/>
      <c r="L102" s="133"/>
      <c r="M102" s="336"/>
      <c r="N102" s="270">
        <v>310000000</v>
      </c>
      <c r="O102" s="270"/>
      <c r="P102" s="271"/>
      <c r="Q102" s="271"/>
      <c r="R102" s="271"/>
      <c r="S102" s="271"/>
      <c r="T102" s="271"/>
      <c r="U102" s="271"/>
      <c r="V102" s="271"/>
      <c r="W102" s="270"/>
      <c r="X102" s="271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2"/>
      <c r="AI102" s="270"/>
      <c r="AJ102" s="401">
        <f t="shared" si="23"/>
        <v>310000000</v>
      </c>
      <c r="AK102" s="11"/>
      <c r="AL102" s="1"/>
      <c r="AM102" s="189"/>
    </row>
    <row r="103" spans="1:39" ht="12" thickBot="1">
      <c r="A103" s="218"/>
      <c r="B103" s="218"/>
      <c r="E103" s="185">
        <v>0.03</v>
      </c>
      <c r="F103" s="39"/>
      <c r="G103" s="356"/>
      <c r="H103" s="357" t="s">
        <v>37</v>
      </c>
      <c r="I103" s="357"/>
      <c r="J103" s="55"/>
      <c r="K103" s="21"/>
      <c r="L103" s="21"/>
      <c r="M103" s="281"/>
      <c r="N103" s="255">
        <f>SUM(N96:N102)</f>
        <v>566975392</v>
      </c>
      <c r="O103" s="255">
        <f aca="true" t="shared" si="24" ref="O103:AI103">SUM(O96:O102)</f>
        <v>0</v>
      </c>
      <c r="P103" s="255">
        <f t="shared" si="24"/>
        <v>0</v>
      </c>
      <c r="Q103" s="255">
        <f t="shared" si="24"/>
        <v>0</v>
      </c>
      <c r="R103" s="255">
        <f t="shared" si="24"/>
        <v>0</v>
      </c>
      <c r="S103" s="255">
        <f t="shared" si="24"/>
        <v>0</v>
      </c>
      <c r="T103" s="255">
        <f t="shared" si="24"/>
        <v>0</v>
      </c>
      <c r="U103" s="255">
        <f t="shared" si="24"/>
        <v>0</v>
      </c>
      <c r="V103" s="255">
        <f t="shared" si="24"/>
        <v>0</v>
      </c>
      <c r="W103" s="255">
        <f t="shared" si="24"/>
        <v>0</v>
      </c>
      <c r="X103" s="255">
        <f t="shared" si="24"/>
        <v>0</v>
      </c>
      <c r="Y103" s="255">
        <f t="shared" si="24"/>
        <v>0</v>
      </c>
      <c r="Z103" s="255">
        <f t="shared" si="24"/>
        <v>0</v>
      </c>
      <c r="AA103" s="255">
        <f t="shared" si="24"/>
        <v>0</v>
      </c>
      <c r="AB103" s="255">
        <f t="shared" si="24"/>
        <v>39809975</v>
      </c>
      <c r="AC103" s="255">
        <f t="shared" si="24"/>
        <v>0</v>
      </c>
      <c r="AD103" s="255">
        <f t="shared" si="24"/>
        <v>0</v>
      </c>
      <c r="AE103" s="255">
        <f>SUM(AE96:AE102)</f>
        <v>862647.5</v>
      </c>
      <c r="AF103" s="255">
        <f t="shared" si="24"/>
        <v>0</v>
      </c>
      <c r="AG103" s="255">
        <f t="shared" si="24"/>
        <v>0</v>
      </c>
      <c r="AH103" s="255">
        <f t="shared" si="24"/>
        <v>0</v>
      </c>
      <c r="AI103" s="255">
        <f t="shared" si="24"/>
        <v>0</v>
      </c>
      <c r="AJ103" s="233">
        <f>SUM(N103:AI103)</f>
        <v>607648014.5</v>
      </c>
      <c r="AK103" s="12">
        <f>SUM(O103:AG103)</f>
        <v>40672622.5</v>
      </c>
      <c r="AL103" s="1">
        <f>SUM(AJ96:AJ102)</f>
        <v>607648014.5</v>
      </c>
      <c r="AM103" s="184">
        <f>+AL103-AJ103</f>
        <v>0</v>
      </c>
    </row>
    <row r="104" spans="1:38" ht="92.25" customHeight="1" thickBot="1">
      <c r="A104" s="218"/>
      <c r="B104" s="218"/>
      <c r="C104" s="439" t="s">
        <v>251</v>
      </c>
      <c r="D104" s="148"/>
      <c r="E104" s="219" t="s">
        <v>12</v>
      </c>
      <c r="F104" s="27" t="s">
        <v>227</v>
      </c>
      <c r="G104" s="412" t="s">
        <v>181</v>
      </c>
      <c r="H104" s="214" t="s">
        <v>105</v>
      </c>
      <c r="I104" s="320" t="s">
        <v>231</v>
      </c>
      <c r="J104" s="198" t="s">
        <v>310</v>
      </c>
      <c r="K104" s="135"/>
      <c r="L104" s="135"/>
      <c r="M104" s="307"/>
      <c r="N104" s="270">
        <v>100000000</v>
      </c>
      <c r="O104" s="307"/>
      <c r="P104" s="307"/>
      <c r="Q104" s="307"/>
      <c r="R104" s="307"/>
      <c r="S104" s="307"/>
      <c r="T104" s="307"/>
      <c r="U104" s="307"/>
      <c r="V104" s="307"/>
      <c r="W104" s="270"/>
      <c r="X104" s="307"/>
      <c r="Y104" s="307"/>
      <c r="Z104" s="307"/>
      <c r="AA104" s="307"/>
      <c r="AB104" s="307"/>
      <c r="AC104" s="270">
        <v>44952153.6</v>
      </c>
      <c r="AD104" s="270"/>
      <c r="AE104" s="307"/>
      <c r="AF104" s="307"/>
      <c r="AG104" s="307"/>
      <c r="AH104" s="308"/>
      <c r="AI104" s="307"/>
      <c r="AJ104" s="401">
        <f aca="true" t="shared" si="25" ref="AJ104:AJ109">SUM(N104:AI104)</f>
        <v>144952153.6</v>
      </c>
      <c r="AK104" s="12"/>
      <c r="AL104" s="1"/>
    </row>
    <row r="105" spans="1:38" ht="34.5" thickBot="1">
      <c r="A105" s="218"/>
      <c r="B105" s="218"/>
      <c r="C105" s="440"/>
      <c r="D105" s="149"/>
      <c r="E105" s="220"/>
      <c r="F105" s="28"/>
      <c r="G105" s="413"/>
      <c r="H105" s="350" t="s">
        <v>106</v>
      </c>
      <c r="I105" s="380" t="s">
        <v>229</v>
      </c>
      <c r="J105" s="118" t="s">
        <v>279</v>
      </c>
      <c r="K105" s="135"/>
      <c r="L105" s="135"/>
      <c r="M105" s="307"/>
      <c r="N105" s="270"/>
      <c r="O105" s="307"/>
      <c r="P105" s="307"/>
      <c r="Q105" s="307"/>
      <c r="R105" s="307"/>
      <c r="S105" s="307"/>
      <c r="T105" s="307"/>
      <c r="U105" s="307"/>
      <c r="V105" s="307"/>
      <c r="W105" s="270">
        <f>221017108.38/7</f>
        <v>31573872.625714283</v>
      </c>
      <c r="X105" s="307"/>
      <c r="Y105" s="307"/>
      <c r="Z105" s="307"/>
      <c r="AA105" s="307"/>
      <c r="AB105" s="307"/>
      <c r="AC105" s="270"/>
      <c r="AD105" s="270"/>
      <c r="AE105" s="307"/>
      <c r="AF105" s="307"/>
      <c r="AG105" s="307"/>
      <c r="AH105" s="308"/>
      <c r="AI105" s="307"/>
      <c r="AJ105" s="401">
        <f t="shared" si="25"/>
        <v>31573872.625714283</v>
      </c>
      <c r="AK105" s="12"/>
      <c r="AL105" s="1"/>
    </row>
    <row r="106" spans="1:38" ht="45.75" thickBot="1">
      <c r="A106" s="218"/>
      <c r="B106" s="218"/>
      <c r="C106" s="440"/>
      <c r="D106" s="149"/>
      <c r="E106" s="220"/>
      <c r="F106" s="28"/>
      <c r="G106" s="413"/>
      <c r="H106" s="215" t="s">
        <v>107</v>
      </c>
      <c r="I106" s="387" t="s">
        <v>230</v>
      </c>
      <c r="J106" s="103" t="s">
        <v>280</v>
      </c>
      <c r="K106" s="134"/>
      <c r="L106" s="134"/>
      <c r="M106" s="247"/>
      <c r="N106" s="239">
        <v>179268033</v>
      </c>
      <c r="O106" s="247"/>
      <c r="P106" s="247"/>
      <c r="Q106" s="247"/>
      <c r="R106" s="247"/>
      <c r="S106" s="247"/>
      <c r="T106" s="247"/>
      <c r="U106" s="247"/>
      <c r="V106" s="247"/>
      <c r="W106" s="240">
        <v>189443236</v>
      </c>
      <c r="X106" s="238"/>
      <c r="Y106" s="247"/>
      <c r="Z106" s="247"/>
      <c r="AA106" s="247"/>
      <c r="AB106" s="247"/>
      <c r="AC106" s="239"/>
      <c r="AD106" s="239"/>
      <c r="AE106" s="247"/>
      <c r="AF106" s="247"/>
      <c r="AG106" s="247"/>
      <c r="AH106" s="248"/>
      <c r="AI106" s="247"/>
      <c r="AJ106" s="230">
        <f t="shared" si="25"/>
        <v>368711269</v>
      </c>
      <c r="AK106" s="12"/>
      <c r="AL106" s="1"/>
    </row>
    <row r="107" spans="1:38" ht="23.25" hidden="1" thickBot="1">
      <c r="A107" s="218"/>
      <c r="B107" s="218"/>
      <c r="C107" s="440"/>
      <c r="D107" s="149"/>
      <c r="E107" s="220"/>
      <c r="F107" s="28"/>
      <c r="G107" s="413"/>
      <c r="H107" s="215"/>
      <c r="I107" s="388" t="s">
        <v>242</v>
      </c>
      <c r="J107" s="176" t="s">
        <v>281</v>
      </c>
      <c r="K107" s="136"/>
      <c r="L107" s="136"/>
      <c r="M107" s="324"/>
      <c r="N107" s="264"/>
      <c r="O107" s="324"/>
      <c r="P107" s="324"/>
      <c r="Q107" s="324"/>
      <c r="R107" s="324"/>
      <c r="S107" s="324"/>
      <c r="T107" s="324"/>
      <c r="U107" s="324"/>
      <c r="V107" s="324"/>
      <c r="W107" s="253"/>
      <c r="X107" s="321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37"/>
      <c r="AI107" s="324"/>
      <c r="AJ107" s="230">
        <f t="shared" si="25"/>
        <v>0</v>
      </c>
      <c r="AK107" s="12"/>
      <c r="AL107" s="1"/>
    </row>
    <row r="108" spans="1:38" ht="23.25" thickBot="1">
      <c r="A108" s="218"/>
      <c r="B108" s="218"/>
      <c r="C108" s="440"/>
      <c r="D108" s="149"/>
      <c r="E108" s="220"/>
      <c r="F108" s="28"/>
      <c r="G108" s="413"/>
      <c r="H108" s="214" t="s">
        <v>108</v>
      </c>
      <c r="I108" s="317" t="s">
        <v>228</v>
      </c>
      <c r="J108" s="437"/>
      <c r="K108" s="137"/>
      <c r="L108" s="138"/>
      <c r="M108" s="338"/>
      <c r="N108" s="289"/>
      <c r="O108" s="338"/>
      <c r="P108" s="338"/>
      <c r="Q108" s="338"/>
      <c r="R108" s="338"/>
      <c r="S108" s="338"/>
      <c r="T108" s="338"/>
      <c r="U108" s="338"/>
      <c r="V108" s="338"/>
      <c r="W108" s="289"/>
      <c r="X108" s="338"/>
      <c r="Y108" s="338"/>
      <c r="Z108" s="338"/>
      <c r="AA108" s="338"/>
      <c r="AB108" s="338"/>
      <c r="AC108" s="338"/>
      <c r="AD108" s="338"/>
      <c r="AE108" s="339"/>
      <c r="AF108" s="338"/>
      <c r="AG108" s="338"/>
      <c r="AH108" s="340"/>
      <c r="AI108" s="289">
        <v>244724391</v>
      </c>
      <c r="AJ108" s="230">
        <f t="shared" si="25"/>
        <v>244724391</v>
      </c>
      <c r="AK108" s="12"/>
      <c r="AL108" s="1"/>
    </row>
    <row r="109" spans="1:40" ht="13.5" customHeight="1" hidden="1" thickBot="1">
      <c r="A109" s="218"/>
      <c r="B109" s="218"/>
      <c r="C109" s="441"/>
      <c r="D109" s="150"/>
      <c r="E109" s="221"/>
      <c r="F109" s="28"/>
      <c r="G109" s="414"/>
      <c r="H109" s="216"/>
      <c r="I109" s="371"/>
      <c r="J109" s="438"/>
      <c r="K109" s="139"/>
      <c r="L109" s="139"/>
      <c r="M109" s="341"/>
      <c r="N109" s="342"/>
      <c r="O109" s="341"/>
      <c r="P109" s="341"/>
      <c r="Q109" s="341"/>
      <c r="R109" s="341"/>
      <c r="S109" s="341"/>
      <c r="T109" s="341"/>
      <c r="U109" s="341"/>
      <c r="V109" s="341"/>
      <c r="W109" s="342"/>
      <c r="X109" s="341"/>
      <c r="Y109" s="341"/>
      <c r="Z109" s="341"/>
      <c r="AA109" s="341"/>
      <c r="AB109" s="341"/>
      <c r="AC109" s="341"/>
      <c r="AD109" s="341"/>
      <c r="AE109" s="341"/>
      <c r="AF109" s="341"/>
      <c r="AG109" s="341"/>
      <c r="AH109" s="343"/>
      <c r="AI109" s="341"/>
      <c r="AJ109" s="230">
        <f t="shared" si="25"/>
        <v>0</v>
      </c>
      <c r="AK109" s="12"/>
      <c r="AL109" s="1"/>
      <c r="AM109" s="189"/>
      <c r="AN109" s="189"/>
    </row>
    <row r="110" spans="1:39" ht="12" thickBot="1">
      <c r="A110" s="306"/>
      <c r="B110" s="306"/>
      <c r="E110" s="185"/>
      <c r="F110" s="39"/>
      <c r="G110" s="356"/>
      <c r="H110" s="357" t="s">
        <v>39</v>
      </c>
      <c r="I110" s="357"/>
      <c r="J110" s="55"/>
      <c r="K110" s="21"/>
      <c r="L110" s="21"/>
      <c r="M110" s="281"/>
      <c r="N110" s="281">
        <f aca="true" t="shared" si="26" ref="N110:AI110">SUM(N104:N109)</f>
        <v>279268033</v>
      </c>
      <c r="O110" s="281">
        <f t="shared" si="26"/>
        <v>0</v>
      </c>
      <c r="P110" s="281">
        <f t="shared" si="26"/>
        <v>0</v>
      </c>
      <c r="Q110" s="281">
        <f t="shared" si="26"/>
        <v>0</v>
      </c>
      <c r="R110" s="281">
        <f t="shared" si="26"/>
        <v>0</v>
      </c>
      <c r="S110" s="281">
        <f t="shared" si="26"/>
        <v>0</v>
      </c>
      <c r="T110" s="281">
        <f t="shared" si="26"/>
        <v>0</v>
      </c>
      <c r="U110" s="281">
        <f t="shared" si="26"/>
        <v>0</v>
      </c>
      <c r="V110" s="281">
        <f t="shared" si="26"/>
        <v>0</v>
      </c>
      <c r="W110" s="281">
        <f t="shared" si="26"/>
        <v>221017108.62571427</v>
      </c>
      <c r="X110" s="281">
        <f t="shared" si="26"/>
        <v>0</v>
      </c>
      <c r="Y110" s="281">
        <f t="shared" si="26"/>
        <v>0</v>
      </c>
      <c r="Z110" s="281">
        <f t="shared" si="26"/>
        <v>0</v>
      </c>
      <c r="AA110" s="281">
        <f t="shared" si="26"/>
        <v>0</v>
      </c>
      <c r="AB110" s="281">
        <f t="shared" si="26"/>
        <v>0</v>
      </c>
      <c r="AC110" s="281">
        <f t="shared" si="26"/>
        <v>44952153.6</v>
      </c>
      <c r="AD110" s="281">
        <f t="shared" si="26"/>
        <v>0</v>
      </c>
      <c r="AE110" s="281">
        <f t="shared" si="26"/>
        <v>0</v>
      </c>
      <c r="AF110" s="281">
        <f t="shared" si="26"/>
        <v>0</v>
      </c>
      <c r="AG110" s="281">
        <f t="shared" si="26"/>
        <v>0</v>
      </c>
      <c r="AH110" s="281">
        <f t="shared" si="26"/>
        <v>0</v>
      </c>
      <c r="AI110" s="281">
        <f t="shared" si="26"/>
        <v>244724391</v>
      </c>
      <c r="AJ110" s="233">
        <f>SUM(N110:AI110)</f>
        <v>789961686.2257143</v>
      </c>
      <c r="AK110" s="12">
        <f>SUM(O110:AG110)</f>
        <v>265969262.22571427</v>
      </c>
      <c r="AL110" s="1">
        <f>SUM(AJ104:AJ109)</f>
        <v>789961686.2257142</v>
      </c>
      <c r="AM110" s="189">
        <f>+AL110-AJ110</f>
        <v>0</v>
      </c>
    </row>
    <row r="111" spans="2:38" ht="23.25" thickBot="1">
      <c r="B111" s="35"/>
      <c r="C111" s="35"/>
      <c r="D111" s="35"/>
      <c r="E111" s="35"/>
      <c r="F111" s="40"/>
      <c r="G111" s="389"/>
      <c r="H111" s="399" t="s">
        <v>25</v>
      </c>
      <c r="I111" s="399"/>
      <c r="J111" s="56"/>
      <c r="K111" s="24"/>
      <c r="L111" s="24"/>
      <c r="M111" s="344">
        <f aca="true" t="shared" si="27" ref="M111:AI111">M20+M25+M35+M42+M45+M57+M61+M65+M69+M80+M82+M87+M91+M95+M103+M110</f>
        <v>0</v>
      </c>
      <c r="N111" s="344">
        <f>N20+N25+N35+N42+N45+N57+N61+N65+N69+N80+N82+N87+N91+N95+N103+N110</f>
        <v>7816677539.000001</v>
      </c>
      <c r="O111" s="344">
        <f t="shared" si="27"/>
        <v>585289837</v>
      </c>
      <c r="P111" s="344">
        <f t="shared" si="27"/>
        <v>153866502</v>
      </c>
      <c r="Q111" s="344">
        <f t="shared" si="27"/>
        <v>1367236043</v>
      </c>
      <c r="R111" s="344">
        <f t="shared" si="27"/>
        <v>298034549</v>
      </c>
      <c r="S111" s="344">
        <f t="shared" si="27"/>
        <v>219726699</v>
      </c>
      <c r="T111" s="344">
        <f t="shared" si="27"/>
        <v>442440132</v>
      </c>
      <c r="U111" s="344">
        <f t="shared" si="27"/>
        <v>43164891</v>
      </c>
      <c r="V111" s="344">
        <f t="shared" si="27"/>
        <v>32373668</v>
      </c>
      <c r="W111" s="344">
        <f t="shared" si="27"/>
        <v>453231354.2507143</v>
      </c>
      <c r="X111" s="344">
        <f t="shared" si="27"/>
        <v>0</v>
      </c>
      <c r="Y111" s="344">
        <f t="shared" si="27"/>
        <v>55979331</v>
      </c>
      <c r="Z111" s="344">
        <f t="shared" si="27"/>
        <v>0</v>
      </c>
      <c r="AA111" s="344">
        <f t="shared" si="27"/>
        <v>87385948</v>
      </c>
      <c r="AB111" s="344">
        <f t="shared" si="27"/>
        <v>44313256</v>
      </c>
      <c r="AC111" s="344">
        <f t="shared" si="27"/>
        <v>56190192</v>
      </c>
      <c r="AD111" s="344">
        <f t="shared" si="27"/>
        <v>526493039</v>
      </c>
      <c r="AE111" s="344">
        <f t="shared" si="27"/>
        <v>2654300</v>
      </c>
      <c r="AF111" s="344">
        <f t="shared" si="27"/>
        <v>788414739</v>
      </c>
      <c r="AG111" s="344">
        <f t="shared" si="27"/>
        <v>109245675</v>
      </c>
      <c r="AH111" s="344">
        <f t="shared" si="27"/>
        <v>222668740</v>
      </c>
      <c r="AI111" s="344">
        <f t="shared" si="27"/>
        <v>772618135</v>
      </c>
      <c r="AJ111" s="408">
        <f>AJ20+AJ25+AJ35+AJ42+AJ45+AJ57+AJ61+AJ65+AJ69+AJ80+AJ82+AJ87+AJ91+AJ95+AJ103+AJ110</f>
        <v>14078004569.250713</v>
      </c>
      <c r="AK111" s="57">
        <f>SUM(O111:AG111)</f>
        <v>5266040155.250714</v>
      </c>
      <c r="AL111" s="184"/>
    </row>
    <row r="112" spans="7:38" ht="12" thickBot="1">
      <c r="G112" s="345"/>
      <c r="H112" s="346"/>
      <c r="I112" s="347"/>
      <c r="N112" s="201">
        <v>7816677539</v>
      </c>
      <c r="O112" s="201">
        <v>585289837</v>
      </c>
      <c r="P112" s="201">
        <v>153866502</v>
      </c>
      <c r="Q112" s="201">
        <v>1367236043</v>
      </c>
      <c r="R112" s="201">
        <v>298034549</v>
      </c>
      <c r="S112" s="201">
        <v>219726699</v>
      </c>
      <c r="T112" s="201">
        <v>442440132</v>
      </c>
      <c r="U112" s="201">
        <v>43164891</v>
      </c>
      <c r="V112" s="201">
        <v>32373668</v>
      </c>
      <c r="W112" s="201">
        <v>453231354</v>
      </c>
      <c r="X112" s="201"/>
      <c r="Y112" s="201">
        <v>55979331</v>
      </c>
      <c r="Z112" s="201"/>
      <c r="AA112" s="201">
        <v>87385948</v>
      </c>
      <c r="AB112" s="201">
        <v>44313256</v>
      </c>
      <c r="AC112" s="201">
        <v>56190192</v>
      </c>
      <c r="AD112" s="201">
        <f>294076196+97091147+121669778+13655918</f>
        <v>526493039</v>
      </c>
      <c r="AE112" s="201">
        <v>2654300</v>
      </c>
      <c r="AF112" s="201">
        <v>788414739</v>
      </c>
      <c r="AG112" s="201">
        <v>109245675</v>
      </c>
      <c r="AH112" s="201">
        <f>165406073+11279860+2567329+35608614+1955784+500000+5351080</f>
        <v>222668740</v>
      </c>
      <c r="AI112" s="201">
        <f>64478539+357099076+19894704+86421425+244724391</f>
        <v>772618135</v>
      </c>
      <c r="AJ112" s="201">
        <v>14078004566</v>
      </c>
      <c r="AK112" s="201"/>
      <c r="AL112" s="184"/>
    </row>
    <row r="113" spans="5:36" ht="12" thickBot="1">
      <c r="E113" s="185"/>
      <c r="G113" s="345"/>
      <c r="H113" s="346"/>
      <c r="I113" s="347"/>
      <c r="N113" s="190">
        <f>N112-N111</f>
        <v>0</v>
      </c>
      <c r="O113" s="190">
        <f aca="true" t="shared" si="28" ref="O113:AE113">O112-O111</f>
        <v>0</v>
      </c>
      <c r="P113" s="190">
        <f t="shared" si="28"/>
        <v>0</v>
      </c>
      <c r="Q113" s="190">
        <f t="shared" si="28"/>
        <v>0</v>
      </c>
      <c r="R113" s="190">
        <f t="shared" si="28"/>
        <v>0</v>
      </c>
      <c r="S113" s="190">
        <f t="shared" si="28"/>
        <v>0</v>
      </c>
      <c r="T113" s="190">
        <f t="shared" si="28"/>
        <v>0</v>
      </c>
      <c r="U113" s="190">
        <f t="shared" si="28"/>
        <v>0</v>
      </c>
      <c r="V113" s="190">
        <f t="shared" si="28"/>
        <v>0</v>
      </c>
      <c r="W113" s="190">
        <f t="shared" si="28"/>
        <v>-0.2507143020629883</v>
      </c>
      <c r="X113" s="190">
        <f t="shared" si="28"/>
        <v>0</v>
      </c>
      <c r="Y113" s="190">
        <f t="shared" si="28"/>
        <v>0</v>
      </c>
      <c r="Z113" s="190">
        <f t="shared" si="28"/>
        <v>0</v>
      </c>
      <c r="AA113" s="190">
        <f t="shared" si="28"/>
        <v>0</v>
      </c>
      <c r="AB113" s="190">
        <f t="shared" si="28"/>
        <v>0</v>
      </c>
      <c r="AC113" s="190">
        <f t="shared" si="28"/>
        <v>0</v>
      </c>
      <c r="AD113" s="190">
        <f t="shared" si="28"/>
        <v>0</v>
      </c>
      <c r="AE113" s="190">
        <f t="shared" si="28"/>
        <v>0</v>
      </c>
      <c r="AF113" s="190">
        <f>AF112-AF111</f>
        <v>0</v>
      </c>
      <c r="AG113" s="190">
        <f>AG112-AG111</f>
        <v>0</v>
      </c>
      <c r="AH113" s="190">
        <f>AH112-AH111</f>
        <v>0</v>
      </c>
      <c r="AI113" s="190">
        <f>AI112-AI111</f>
        <v>0</v>
      </c>
      <c r="AJ113" s="190">
        <f>AJ112-AJ111</f>
        <v>-3.250713348388672</v>
      </c>
    </row>
    <row r="114" spans="7:36" ht="11.25">
      <c r="G114" s="345"/>
      <c r="H114" s="346"/>
      <c r="I114" s="347"/>
      <c r="AA114" s="13" t="s">
        <v>317</v>
      </c>
      <c r="AD114" s="13" t="s">
        <v>318</v>
      </c>
      <c r="AI114" s="207"/>
      <c r="AJ114" s="190"/>
    </row>
    <row r="115" spans="7:14" ht="11.25">
      <c r="G115" s="345"/>
      <c r="H115" s="346"/>
      <c r="I115" s="347"/>
      <c r="N115" s="190"/>
    </row>
    <row r="116" spans="7:36" ht="11.25">
      <c r="G116" s="345"/>
      <c r="H116" s="346"/>
      <c r="I116" s="347"/>
      <c r="AJ116" s="190"/>
    </row>
    <row r="117" spans="8:14" ht="11.25">
      <c r="H117" s="76"/>
      <c r="N117" s="201"/>
    </row>
    <row r="118" spans="8:14" ht="11.25">
      <c r="H118" s="76"/>
      <c r="N118" s="201"/>
    </row>
    <row r="120" ht="11.25">
      <c r="AJ120" s="201"/>
    </row>
  </sheetData>
  <mergeCells count="69">
    <mergeCell ref="N40:N41"/>
    <mergeCell ref="V40:V41"/>
    <mergeCell ref="X40:X41"/>
    <mergeCell ref="AJ40:AJ41"/>
    <mergeCell ref="J53:J54"/>
    <mergeCell ref="J21:J22"/>
    <mergeCell ref="J40:J41"/>
    <mergeCell ref="J28:J30"/>
    <mergeCell ref="J31:J33"/>
    <mergeCell ref="E66:E68"/>
    <mergeCell ref="I70:I71"/>
    <mergeCell ref="G92:G93"/>
    <mergeCell ref="F92:F93"/>
    <mergeCell ref="H92:H93"/>
    <mergeCell ref="I92:I93"/>
    <mergeCell ref="I74:I75"/>
    <mergeCell ref="I66:I68"/>
    <mergeCell ref="H47:H48"/>
    <mergeCell ref="I47:I48"/>
    <mergeCell ref="H53:H55"/>
    <mergeCell ref="E9:E18"/>
    <mergeCell ref="E36:E41"/>
    <mergeCell ref="H21:H23"/>
    <mergeCell ref="C96:C102"/>
    <mergeCell ref="E83:E86"/>
    <mergeCell ref="E70:E79"/>
    <mergeCell ref="C70:C81"/>
    <mergeCell ref="J108:J109"/>
    <mergeCell ref="C104:C109"/>
    <mergeCell ref="C88:C90"/>
    <mergeCell ref="A70:A110"/>
    <mergeCell ref="C83:C86"/>
    <mergeCell ref="B70:B82"/>
    <mergeCell ref="B83:B110"/>
    <mergeCell ref="E104:E109"/>
    <mergeCell ref="E96:E102"/>
    <mergeCell ref="E88:E90"/>
    <mergeCell ref="A9:A69"/>
    <mergeCell ref="E21:E24"/>
    <mergeCell ref="C92:C94"/>
    <mergeCell ref="E92:E94"/>
    <mergeCell ref="C66:C68"/>
    <mergeCell ref="B46:B69"/>
    <mergeCell ref="E46:E56"/>
    <mergeCell ref="B9:B45"/>
    <mergeCell ref="C26:C34"/>
    <mergeCell ref="E26:E34"/>
    <mergeCell ref="C62:C64"/>
    <mergeCell ref="E43:E44"/>
    <mergeCell ref="E62:E64"/>
    <mergeCell ref="C58:C59"/>
    <mergeCell ref="C46:C56"/>
    <mergeCell ref="C43:C44"/>
    <mergeCell ref="C9:C24"/>
    <mergeCell ref="F9:F11"/>
    <mergeCell ref="G9:G11"/>
    <mergeCell ref="F21:F23"/>
    <mergeCell ref="G21:G23"/>
    <mergeCell ref="G17:G18"/>
    <mergeCell ref="E2:AJ2"/>
    <mergeCell ref="E3:AJ3"/>
    <mergeCell ref="G5:G8"/>
    <mergeCell ref="K5:L5"/>
    <mergeCell ref="M5:N5"/>
    <mergeCell ref="O5:AJ5"/>
    <mergeCell ref="G104:G109"/>
    <mergeCell ref="G83:G85"/>
    <mergeCell ref="G70:G75"/>
    <mergeCell ref="G76:G78"/>
  </mergeCells>
  <printOptions horizontalCentered="1"/>
  <pageMargins left="1.12" right="0" top="0.7874015748031497" bottom="0.61" header="0.5511811023622047" footer="0.46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ALCALDIA DE TOCANCIPA</dc:creator>
  <cp:keywords/>
  <dc:description/>
  <cp:lastModifiedBy>Consejo Municipal</cp:lastModifiedBy>
  <cp:lastPrinted>2007-11-27T16:37:25Z</cp:lastPrinted>
  <dcterms:created xsi:type="dcterms:W3CDTF">2001-06-20T20:52:59Z</dcterms:created>
  <dcterms:modified xsi:type="dcterms:W3CDTF">2007-11-27T16:40:54Z</dcterms:modified>
  <cp:category/>
  <cp:version/>
  <cp:contentType/>
  <cp:contentStatus/>
</cp:coreProperties>
</file>